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0623b5f42f6fa7ce/Desktop/Internet/EA/"/>
    </mc:Choice>
  </mc:AlternateContent>
  <xr:revisionPtr revIDLastSave="0" documentId="8_{C5FF5EFB-D473-43B2-9221-11DE3E49BF15}" xr6:coauthVersionLast="47" xr6:coauthVersionMax="47" xr10:uidLastSave="{00000000-0000-0000-0000-000000000000}"/>
  <bookViews>
    <workbookView xWindow="5370" yWindow="5370" windowWidth="43200" windowHeight="23445" xr2:uid="{823A2793-1D4D-4940-B76B-57BD80D7DF7A}"/>
  </bookViews>
  <sheets>
    <sheet name="Model" sheetId="1" r:id="rId1"/>
    <sheet name="Release" sheetId="2" r:id="rId2"/>
    <sheet name="CFB" sheetId="3" r:id="rId3"/>
    <sheet name="Titles" sheetId="4" r:id="rId4"/>
  </sheets>
  <definedNames>
    <definedName name="\Z">#REF!</definedName>
    <definedName name="___ann10">#REF!</definedName>
    <definedName name="___ann11">#REF!</definedName>
    <definedName name="___ann12">#REF!</definedName>
    <definedName name="___ann13">#REF!</definedName>
    <definedName name="___ann14">#REF!</definedName>
    <definedName name="___ann15">#REF!</definedName>
    <definedName name="___ann16">#REF!</definedName>
    <definedName name="___ann6">#REF!</definedName>
    <definedName name="___ann7">#REF!</definedName>
    <definedName name="___ann8">#REF!</definedName>
    <definedName name="___ann9">#REF!</definedName>
    <definedName name="___avg9293">#REF!</definedName>
    <definedName name="___avg9394">#REF!</definedName>
    <definedName name="___avg9495">#REF!</definedName>
    <definedName name="___avg9596">#REF!</definedName>
    <definedName name="___avg9697">#REF!</definedName>
    <definedName name="___avg9798">#REF!</definedName>
    <definedName name="___DAT1">#REF!</definedName>
    <definedName name="___DAT2">#REF!</definedName>
    <definedName name="___DAT3">#REF!</definedName>
    <definedName name="___DAT4">#REF!</definedName>
    <definedName name="___DAT5">#REF!</definedName>
    <definedName name="___DAT6">#REF!</definedName>
    <definedName name="___DAT7">#REF!</definedName>
    <definedName name="___DAT8">#REF!</definedName>
    <definedName name="___dep1">#REF!</definedName>
    <definedName name="___FYE2">#REF!</definedName>
    <definedName name="___own1">#REF!</definedName>
    <definedName name="___TOP10">#REF!</definedName>
    <definedName name="___twx1">#REF!</definedName>
    <definedName name="___twx2">#REF!</definedName>
    <definedName name="___twx3">#REF!</definedName>
    <definedName name="__ann10">#REF!</definedName>
    <definedName name="__ann11">#REF!</definedName>
    <definedName name="__ann12">#REF!</definedName>
    <definedName name="__ann13">#REF!</definedName>
    <definedName name="__ann14">#REF!</definedName>
    <definedName name="__ann15">#REF!</definedName>
    <definedName name="__ann16">#REF!</definedName>
    <definedName name="__ann6">#REF!</definedName>
    <definedName name="__ann7">#REF!</definedName>
    <definedName name="__ann8">#REF!</definedName>
    <definedName name="__ann9">#REF!</definedName>
    <definedName name="__avg9293">#REF!</definedName>
    <definedName name="__avg9394">#REF!</definedName>
    <definedName name="__avg9495">#REF!</definedName>
    <definedName name="__avg9596">#REF!</definedName>
    <definedName name="__avg9697">#REF!</definedName>
    <definedName name="__avg9798">#REF!</definedName>
    <definedName name="__DAT1">#REF!</definedName>
    <definedName name="__DAT2">#REF!</definedName>
    <definedName name="__DAT3">#REF!</definedName>
    <definedName name="__DAT4">#REF!</definedName>
    <definedName name="__DAT5">#REF!</definedName>
    <definedName name="__DAT6">#REF!</definedName>
    <definedName name="__DAT7">#REF!</definedName>
    <definedName name="__DAT8">#REF!</definedName>
    <definedName name="__dep1">#REF!</definedName>
    <definedName name="__FDS_HYPERLINK_TOGGLE_STATE__" hidden="1">"ON"</definedName>
    <definedName name="__FDS_UNIQUE_RANGE_ID_GENERATOR_COUNTER" hidden="1">1</definedName>
    <definedName name="__FDS_USED_FOR_REUSING_RANGE_IDS_RECYCLE">{1,1,1,1,1,1,1,1,1,1,1,1,1,2,2,2,2,2,2,2,2,2,2,2,2,2}</definedName>
    <definedName name="__FYE2">#REF!</definedName>
    <definedName name="__own1">#REF!</definedName>
    <definedName name="__TOP10">#REF!</definedName>
    <definedName name="__twx1">#REF!</definedName>
    <definedName name="__twx2">#REF!</definedName>
    <definedName name="__twx3">#REF!</definedName>
    <definedName name="_1__FDSAUDITLINK__" hidden="1">{"fdsup://Directions/FactSet Auditing Viewer?action=AUDIT_VALUE&amp;DB=129&amp;ID1=69515610&amp;VALUEID=02649&amp;SDATE=201102&amp;PERIODTYPE=QTR_STD&amp;SCFT=3&amp;window=popup_no_bar&amp;width=385&amp;height=120&amp;START_MAXIMIZED=FALSE&amp;creator=factset&amp;display_string=Audit"}</definedName>
    <definedName name="_1_0Market">#REF!</definedName>
    <definedName name="_10__FDSAUDITLINK__" hidden="1">{"fdsup://IBCentral/FAT Viewer?action=UPDATE&amp;creator=factset&amp;DOC_NAME=fat:reuters_qtrly_source_window.fat&amp;display_string=Audit&amp;DYN_ARGS=TRUE&amp;VAR:ID1=50217510&amp;VAR:RCODE=STLD&amp;VAR:SDATE=20100699&amp;VAR:FREQ=Q&amp;VAR:RELITEM=RP&amp;VAR:CURRENCY=LOCAL&amp;VAR:CURRSOURCE=EXSHA","RE&amp;VAR:NATFREQ=QUARTERLY&amp;VAR:RFIELD=FINALIZED&amp;VAR:DB_TYPE=FNR&amp;VAR:UNITS=M&amp;window=popup&amp;width=450&amp;height=300&amp;START_MAXIMIZED=FALSE"}</definedName>
    <definedName name="_101__FDSAUDITLINK__" hidden="1">{"fdsup://IBCentral/FAT Viewer?action=UPDATE&amp;creator=factset&amp;DOC_NAME=fat:reuters_semi_source_window.fat&amp;display_string=Audit&amp;DYN_ARGS=TRUE&amp;VAR:ID1=550507&amp;VAR:RCODE=SCSI&amp;VAR:SDATE=20110699&amp;VAR:FREQ=FSA&amp;VAR:RELITEM=RP&amp;VAR:CURRENCY=&amp;VAR:CURRSOURCE=EXSHARE&amp;VAR",":NATFREQ=FSA&amp;VAR:RFIELD=FINALIZED&amp;VAR:DB_TYPE=&amp;VAR:UNITS=M&amp;window=popup&amp;width=450&amp;height=300&amp;START_MAXIMIZED=FALSE"}</definedName>
    <definedName name="_10D_0Working_l">#REF!</definedName>
    <definedName name="_11__FDSAUDITLINK__" hidden="1">{"fdsup://Directions/FactSet Auditing Viewer?action=AUDIT_VALUE&amp;DB=129&amp;ID1=09746Y10&amp;VALUEID=02649&amp;SDATE=201102&amp;PERIODTYPE=QTR_STD&amp;SCFT=3&amp;window=popup_no_bar&amp;width=385&amp;height=120&amp;START_MAXIMIZED=FALSE&amp;creator=factset&amp;display_string=Audit"}</definedName>
    <definedName name="_114__FDSAUDITLINK__" hidden="1">{"fdsup://IBCentral/FAT Viewer?action=UPDATE&amp;creator=factset&amp;DOC_NAME=fat:reuters_semi_source_window.fat&amp;display_string=Audit&amp;DYN_ARGS=TRUE&amp;VAR:ID1=626685&amp;VAR:RCODE=SCSI&amp;VAR:SDATE=20110399&amp;VAR:FREQ=FSA&amp;VAR:RELITEM=RP&amp;VAR:CURRENCY=&amp;VAR:CURRSOURCE=EXSHARE&amp;VAR",":NATFREQ=FSA&amp;VAR:RFIELD=FINALIZED&amp;VAR:DB_TYPE=&amp;VAR:UNITS=M&amp;window=popup&amp;width=450&amp;height=300&amp;START_MAXIMIZED=FALSE"}</definedName>
    <definedName name="_11D_0Working_l">#REF!</definedName>
    <definedName name="_12__FDSAUDITLINK__" hidden="1">{"fdsup://IBCentral/FAT Viewer?action=UPDATE&amp;creator=factset&amp;DOC_NAME=fat:reuters_qtrly_source_window.fat&amp;display_string=Audit&amp;DYN_ARGS=TRUE&amp;VAR:ID1=H8912810&amp;VAR:RCODE=STLD&amp;VAR:SDATE=20100699&amp;VAR:FREQ=Q&amp;VAR:RELITEM=RP&amp;VAR:CURRENCY=LOCAL&amp;VAR:CURRSOURCE=EXSHA","RE&amp;VAR:NATFREQ=QUARTERLY&amp;VAR:RFIELD=FINALIZED&amp;VAR:DB_TYPE=FNR&amp;VAR:UNITS=M&amp;window=popup&amp;width=450&amp;height=300&amp;START_MAXIMIZED=FALSE"}</definedName>
    <definedName name="_126__FDSAUDITLINK__" hidden="1">{"fdsup://IBCentral/FAT Viewer?action=UPDATE&amp;creator=factset&amp;DOC_NAME=fat:reuters_semi_source_window.fat&amp;display_string=Audit&amp;DYN_ARGS=TRUE&amp;VAR:ID1=711131&amp;VAR:RCODE=SCSI&amp;VAR:SDATE=20110799&amp;VAR:FREQ=FSA&amp;VAR:RELITEM=RP&amp;VAR:CURRENCY=&amp;VAR:CURRSOURCE=EXSHARE&amp;VAR",":NATFREQ=FSA&amp;VAR:RFIELD=FINALIZED&amp;VAR:DB_TYPE=&amp;VAR:UNITS=M&amp;window=popup&amp;width=450&amp;height=300&amp;START_MAXIMIZED=FALSE"}</definedName>
    <definedName name="_12D__Working_l">#REF!</definedName>
    <definedName name="_12D_0Working_l">#REF!</definedName>
    <definedName name="_13__FDSAUDITLINK__" hidden="1">{"fdsup://IBCentral/FAT Viewer?action=UPDATE&amp;creator=factset&amp;DOC_NAME=fat:reuters_qtrly_source_window.fat&amp;display_string=Audit&amp;DYN_ARGS=TRUE&amp;VAR:ID1=43851610&amp;VAR:RCODE=STLD&amp;VAR:SDATE=20100699&amp;VAR:FREQ=Q&amp;VAR:RELITEM=RP&amp;VAR:CURRENCY=LOCAL&amp;VAR:CURRSOURCE=EXSHA","RE&amp;VAR:NATFREQ=QUARTERLY&amp;VAR:RFIELD=FINALIZED&amp;VAR:DB_TYPE=FNR&amp;VAR:UNITS=M&amp;window=popup&amp;width=450&amp;height=300&amp;START_MAXIMIZED=FALSE"}</definedName>
    <definedName name="_13f_switch">#REF!</definedName>
    <definedName name="_14__FDSAUDITLINK__" hidden="1">{"fdsup://IBCentral/FAT Viewer?action=UPDATE&amp;creator=factset&amp;DOC_NAME=fat:reuters_qtrly_source_window.fat&amp;display_string=Audit&amp;DYN_ARGS=TRUE&amp;VAR:ID1=10467410&amp;VAR:RCODE=STLD&amp;VAR:SDATE=20100799&amp;VAR:FREQ=Q&amp;VAR:RELITEM=RP&amp;VAR:CURRENCY=LOCAL&amp;VAR:CURRSOURCE=EXSHA","RE&amp;VAR:NATFREQ=QUARTERLY&amp;VAR:RFIELD=FINALIZED&amp;VAR:DB_TYPE=FNR&amp;VAR:UNITS=M&amp;window=popup&amp;width=450&amp;height=300&amp;START_MAXIMIZED=FALSE"}</definedName>
    <definedName name="_15__FDSAUDITLINK__" hidden="1">{"fdsup://IBCentral/FAT Viewer?action=UPDATE&amp;creator=factset&amp;DOC_NAME=fat:reuters_qtrly_source_window.fat&amp;display_string=Audit&amp;DYN_ARGS=TRUE&amp;VAR:ID1=516921&amp;VAR:RCODE=STLD&amp;VAR:SDATE=20100699&amp;VAR:FREQ=Q&amp;VAR:RELITEM=RP&amp;VAR:CURRENCY=LOCAL&amp;VAR:CURRSOURCE=EXSHARE","&amp;VAR:NATFREQ=QUARTERLY&amp;VAR:RFIELD=FINALIZED&amp;VAR:DB_TYPE=FNR&amp;VAR:UNITS=M&amp;window=popup&amp;width=450&amp;height=300&amp;START_MAXIMIZED=FALSE"}</definedName>
    <definedName name="_1996_Sprint_Corporation_Quarterly_Earnings_Model">#REF!</definedName>
    <definedName name="_1996_Sprint_Corporation_Quarterly_Margin_Analysis">#REF!</definedName>
    <definedName name="_1996_Sprint_Corporation_Quarterly_Revenues_Model">#REF!</definedName>
    <definedName name="_1997_Sprint_Quarterly_Earnings_Model">#REF!</definedName>
    <definedName name="_1997_Sprint_Quarterly_Margin_Analysis">#REF!</definedName>
    <definedName name="_1997_Sprint_Quarterly_Revenue_Model">#REF!</definedName>
    <definedName name="_2__FDSAUDITLINK__" hidden="1">{"fdsup://IBCentral/FAT Viewer?action=UPDATE&amp;creator=factset&amp;DOC_NAME=fat:reuters_qtrly_source_window.fat&amp;display_string=Audit&amp;DYN_ARGS=TRUE&amp;VAR:ID1=36955010&amp;VAR:RCODE=STLD&amp;VAR:SDATE=20100699&amp;VAR:FREQ=Q&amp;VAR:RELITEM=RP&amp;VAR:CURRENCY=LOCAL&amp;VAR:CURRSOURCE=EXSHA","RE&amp;VAR:NATFREQ=QUARTERLY&amp;VAR:RFIELD=FINALIZED&amp;VAR:DB_TYPE=FNR&amp;VAR:UNITS=M&amp;window=popup&amp;width=450&amp;height=300&amp;START_MAXIMIZED=FALSE"}</definedName>
    <definedName name="_2_0Market">#REF!</definedName>
    <definedName name="_21__FDSAUDITLINK__" hidden="1">{"fdsup://IBCentral/FAT Viewer?action=UPDATE&amp;creator=factset&amp;DOC_NAME=fat:reuters_qtrly_source_window.fat&amp;display_string=Audit&amp;DYN_ARGS=TRUE&amp;VAR:ID1=02553E10&amp;VAR:RCODE=FDSPFDSTKTOTAL&amp;VAR:SDATE=20110799&amp;VAR:FREQ=Quarterly&amp;VAR:RELITEM=RP&amp;VAR:CURRENCY=&amp;VAR:CUR","RSOURCE=EXSHARE&amp;VAR:NATFREQ=QUARTERLY&amp;VAR:RFIELD=FINALIZED&amp;VAR:DB_TYPE=&amp;VAR:UNITS=M&amp;window=popup&amp;width=450&amp;height=300&amp;START_MAXIMIZED=FALSE"}</definedName>
    <definedName name="_3__FDSAUDITLINK__" hidden="1">{"fdsup://IBCentral/FAT Viewer?action=UPDATE&amp;creator=factset&amp;DOC_NAME=fat:reuters_qtrly_source_window.fat&amp;display_string=Audit&amp;DYN_ARGS=TRUE&amp;VAR:ID1=75511150&amp;VAR:RCODE=STLD&amp;VAR:SDATE=20100699&amp;VAR:FREQ=Q&amp;VAR:RELITEM=RP&amp;VAR:CURRENCY=LOCAL&amp;VAR:CURRSOURCE=EXSHA","RE&amp;VAR:NATFREQ=QUARTERLY&amp;VAR:RFIELD=FINALIZED&amp;VAR:DB_TYPE=FNR&amp;VAR:UNITS=M&amp;window=popup&amp;width=450&amp;height=300&amp;START_MAXIMIZED=FALSE"}</definedName>
    <definedName name="_3_0Market">#REF!</definedName>
    <definedName name="_4__FDSAUDITLINK__" hidden="1">{"fdsup://IBCentral/FAT Viewer?action=UPDATE&amp;creator=factset&amp;DOC_NAME=fat:reuters_qtrly_source_window.fat&amp;display_string=Audit&amp;DYN_ARGS=TRUE&amp;VAR:ID1=09702310&amp;VAR:RCODE=STLD&amp;VAR:SDATE=20100699&amp;VAR:FREQ=Q&amp;VAR:RELITEM=RP&amp;VAR:CURRENCY=LOCAL&amp;VAR:CURRSOURCE=EXSHA","RE&amp;VAR:NATFREQ=QUARTERLY&amp;VAR:RFIELD=FINALIZED&amp;VAR:DB_TYPE=FNR&amp;VAR:UNITS=M&amp;window=popup&amp;width=450&amp;height=300&amp;START_MAXIMIZED=FALSE"}</definedName>
    <definedName name="_4_0Market">#REF!</definedName>
    <definedName name="_4Market">#REF!</definedName>
    <definedName name="_5__FDSAUDITLINK__" hidden="1">{"fdsup://Directions/FactSet Auditing Viewer?action=AUDIT_VALUE&amp;DB=129&amp;ID1=606660&amp;VALUEID=02649&amp;SDATE=2011&amp;PERIODTYPE=ANN_STD&amp;SCFT=3&amp;window=popup_no_bar&amp;width=385&amp;height=120&amp;START_MAXIMIZED=FALSE&amp;creator=factset&amp;display_string=Audit"}</definedName>
    <definedName name="_5B_0Working_pr">#REF!</definedName>
    <definedName name="_6__FDSAUDITLINK__" hidden="1">{"fdsup://IBCentral/FAT Viewer?action=UPDATE&amp;creator=factset&amp;DOC_NAME=fat:reuters_qtrly_source_window.fat&amp;display_string=Audit&amp;DYN_ARGS=TRUE&amp;VAR:ID1=53983010&amp;VAR:RCODE=STLD&amp;VAR:SDATE=20100699&amp;VAR:FREQ=Q&amp;VAR:RELITEM=RP&amp;VAR:CURRENCY=LOCAL&amp;VAR:CURRSOURCE=EXSHA","RE&amp;VAR:NATFREQ=QUARTERLY&amp;VAR:RFIELD=FINALIZED&amp;VAR:DB_TYPE=FNR&amp;VAR:UNITS=M&amp;window=popup&amp;width=450&amp;height=300&amp;START_MAXIMIZED=FALSE"}</definedName>
    <definedName name="_6B_0Working_pr">#REF!</definedName>
    <definedName name="_7__FDSAUDITLINK__" hidden="1">{"fdsup://Directions/FactSet Auditing Viewer?action=AUDIT_VALUE&amp;DB=129&amp;ID1=295109&amp;VALUEID=02649&amp;SDATE=201102&amp;PERIODTYPE=QTR_STD&amp;SCFT=3&amp;window=popup_no_bar&amp;width=385&amp;height=120&amp;START_MAXIMIZED=FALSE&amp;creator=factset&amp;display_string=Audit"}</definedName>
    <definedName name="_7B_0Working_pr">#REF!</definedName>
    <definedName name="_8__FDSAUDITLINK__" hidden="1">{"fdsup://IBCentral/FAT Viewer?action=UPDATE&amp;creator=factset&amp;DOC_NAME=fat:reuters_qtrly_source_window.fat&amp;display_string=Audit&amp;DYN_ARGS=TRUE&amp;VAR:ID1=56456310&amp;VAR:RCODE=STLD&amp;VAR:SDATE=20100699&amp;VAR:FREQ=Q&amp;VAR:RELITEM=RP&amp;VAR:CURRENCY=LOCAL&amp;VAR:CURRSOURCE=EXSHA","RE&amp;VAR:NATFREQ=QUARTERLY&amp;VAR:RFIELD=FINALIZED&amp;VAR:DB_TYPE=FNR&amp;VAR:UNITS=M&amp;window=popup&amp;width=450&amp;height=300&amp;START_MAXIMIZED=FALSE"}</definedName>
    <definedName name="_8B__Working_pr">#REF!</definedName>
    <definedName name="_8B_0Working_pr">#REF!</definedName>
    <definedName name="_9__FDSAUDITLINK__" hidden="1">{"fdsup://IBCentral/FAT Viewer?action=UPDATE&amp;creator=factset&amp;DOC_NAME=fat:reuters_qtrly_source_window.fat&amp;display_string=Audit&amp;DYN_ARGS=TRUE&amp;VAR:ID1=15671010&amp;VAR:RCODE=STLD&amp;VAR:SDATE=20100699&amp;VAR:FREQ=Q&amp;VAR:RELITEM=RP&amp;VAR:CURRENCY=LOCAL&amp;VAR:CURRSOURCE=EXSHA","RE&amp;VAR:NATFREQ=QUARTERLY&amp;VAR:RFIELD=FINALIZED&amp;VAR:DB_TYPE=FNR&amp;VAR:UNITS=M&amp;window=popup&amp;width=450&amp;height=300&amp;START_MAXIMIZED=FALSE"}</definedName>
    <definedName name="_9D_0Working_l">#REF!</definedName>
    <definedName name="_ann10">#REF!</definedName>
    <definedName name="_ann11">#REF!</definedName>
    <definedName name="_ann12">#REF!</definedName>
    <definedName name="_ann13">#REF!</definedName>
    <definedName name="_ann14">#REF!</definedName>
    <definedName name="_ann15">#REF!</definedName>
    <definedName name="_ann16">#REF!</definedName>
    <definedName name="_ann6">#REF!</definedName>
    <definedName name="_ann7">#REF!</definedName>
    <definedName name="_ann8">#REF!</definedName>
    <definedName name="_ann9">#REF!</definedName>
    <definedName name="_avg9293">#REF!</definedName>
    <definedName name="_avg9394">#REF!</definedName>
    <definedName name="_avg9495">#REF!</definedName>
    <definedName name="_avg9596">#REF!</definedName>
    <definedName name="_avg9697">#REF!</definedName>
    <definedName name="_avg9798">#REF!</definedName>
    <definedName name="_bdm.0FE7C5DC676D4206AC1A6C3AC95FFA5A.edm" hidden="1">#REF!</definedName>
    <definedName name="_bdm.149EECDB265A4B439CA7F4074DEE7741.edm" hidden="1">#REF!</definedName>
    <definedName name="_bdm.2CBC9AA2014F4EBDBC17D886B45F9859.edm" hidden="1">#REF!</definedName>
    <definedName name="_bdm.30B08C95B9394BBDBB74681991DF1821.edm" hidden="1">#REF!</definedName>
    <definedName name="_bdm.30C4655899BD4C3698ADC2D8B2C44E97.edm" hidden="1">#REF!</definedName>
    <definedName name="_bdm.3466CC53D4F247A18D3F4EC288EA6EC8.edm" hidden="1">#REF!</definedName>
    <definedName name="_bdm.38BAE04D5F2747EDA54890D902088C59.edm" hidden="1">#REF!</definedName>
    <definedName name="_bdm.46A2A83BCD254E11989A262F3F53C291.edm" hidden="1">#REF!</definedName>
    <definedName name="_bdm.50b07507fbf24edeae2944634cce0164.edm" hidden="1">#REF!</definedName>
    <definedName name="_bdm.5939D4790AE74B9493505CD9980F4561.edm" hidden="1">#REF!</definedName>
    <definedName name="_bdm.5BE4AE09F37349BDA9334813DCCCAB3C.edm" hidden="1">#REF!</definedName>
    <definedName name="_bdm.6BD74FDA6557427E8D8645D26171A55E.edm" hidden="1">#REF!</definedName>
    <definedName name="_bdm.7301403817A04ECFB5C59528FC085F5B.edm" hidden="1">#REF!</definedName>
    <definedName name="_bdm.7E482E3890A9461E9B82016C1EE19FCC.edm" hidden="1">#REF!</definedName>
    <definedName name="_bdm.8499DD178BD84D788635487D16D9DAD0.edm" hidden="1">#REF!</definedName>
    <definedName name="_bdm.8CCCEFC6273A4306B820226FB34E114F.edm" hidden="1">#REF!</definedName>
    <definedName name="_bdm.8F1A5638BB4B49B4A072A2D6F54DD74D.edm" hidden="1">#REF!</definedName>
    <definedName name="_bdm.94348BAD6E434530BE25276A507603ED.edm" hidden="1">#REF!</definedName>
    <definedName name="_bdm.95bab1ddb4e94c07b18d5ec692ade051.edm" hidden="1">#REF!</definedName>
    <definedName name="_bdm.9931A6EC2CD64620B716FDD91C7E1F0B.edm" hidden="1">#REF!</definedName>
    <definedName name="_bdm.A56EA7AC900D4D5FB90A98F7E86786E8.edm" hidden="1">#REF!</definedName>
    <definedName name="_bdm.B04197FB604941A487B937FAECA7A36F.edm" hidden="1">#REF!</definedName>
    <definedName name="_Cat1">#REF!</definedName>
    <definedName name="_DAT1">#REF!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ep1">#REF!</definedName>
    <definedName name="_det1">#REF!</definedName>
    <definedName name="_div1">#REF!</definedName>
    <definedName name="_div2">#REF!</definedName>
    <definedName name="_xlnm._FilterDatabase" localSheetId="3" hidden="1">Titles!$B$3:$E$1031</definedName>
    <definedName name="_FYE2">#REF!</definedName>
    <definedName name="_Model_Path">"S:\TELECOM_WIRELINE\Companies\DIS\DIS_Model.xlsx"</definedName>
    <definedName name="_nc1">#REF!</definedName>
    <definedName name="_nc2">#REF!</definedName>
    <definedName name="_nc3">#REF!</definedName>
    <definedName name="_np1">#REF!</definedName>
    <definedName name="_np2">#REF!</definedName>
    <definedName name="_np3">#REF!</definedName>
    <definedName name="_Order1" hidden="1">255</definedName>
    <definedName name="_own1">#REF!</definedName>
    <definedName name="_put1">#REF!</definedName>
    <definedName name="_put2">#REF!</definedName>
    <definedName name="_put3">#REF!</definedName>
    <definedName name="_Regression_Int" hidden="1">1</definedName>
    <definedName name="_Table1_Out" hidden="1">#REF!</definedName>
    <definedName name="_Table2_Out" hidden="1">#REF!</definedName>
    <definedName name="_table2_out1" hidden="1">#REF!</definedName>
    <definedName name="_TOP10">#REF!</definedName>
    <definedName name="_top50">#REF!</definedName>
    <definedName name="_twx1">#REF!</definedName>
    <definedName name="_twx2">#REF!</definedName>
    <definedName name="_twx3">#REF!</definedName>
    <definedName name="a" hidden="1">{"cf",#N/A,FALSE,"Annual";"is",#N/A,FALSE,"Annual";"geo",#N/A,FALSE,"Annual";"jwt",#N/A,FALSE,"Annual";"om",#N/A,FALSE,"Annual";"other",#N/A,FALSE,"Annual";"omcontd",#N/A,FALSE,"Annual"}</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B" hidden="1">{TRUE,TRUE,-1.25,-15.5,456.75,279.75,FALSE,FALSE,TRUE,TRUE,0,1,21,1,127,6,3,4,TRUE,TRUE,3,TRUE,1,TRUE,100,"Swvu.profits.","ACwvu.profits.",1,FALSE,FALSE,0.511811023622047,0.511811023622047,0.511811023622047,0.511811023622047,1,"","",FALSE,FALSE,FALSE,FALSE,1,#N/A,1,1,#DIV/0!,FALSE,"Rwvu.profits.",#N/A,FALSE,FALSE}</definedName>
    <definedName name="accdil">#REF!</definedName>
    <definedName name="Account">#REF!</definedName>
    <definedName name="Acct1">#REF!</definedName>
    <definedName name="acct3">#REF!</definedName>
    <definedName name="Acct4">#REF!</definedName>
    <definedName name="acq_analystused">#REF!</definedName>
    <definedName name="acq_analystuseddate">#REF!</definedName>
    <definedName name="acq_balsheet_source">#REF!</definedName>
    <definedName name="acq_balsheet_sourcedate">#REF!</definedName>
    <definedName name="acq_bv">#REF!</definedName>
    <definedName name="acq_case1">#REF!</definedName>
    <definedName name="acq_case2">#REF!</definedName>
    <definedName name="acq_case3">#REF!</definedName>
    <definedName name="acq_case4">#REF!</definedName>
    <definedName name="acq_caseused">#REF!</definedName>
    <definedName name="acq_cash">#REF!</definedName>
    <definedName name="acq_cda_sourcedate">#REF!</definedName>
    <definedName name="acq_cy0ebit">#REF!</definedName>
    <definedName name="acq_cy0ebitda">#REF!</definedName>
    <definedName name="acq_cy0eps">#REF!</definedName>
    <definedName name="acq_cy0gp">#REF!</definedName>
    <definedName name="acq_cy0ni">#REF!</definedName>
    <definedName name="acq_cy0revs">#REF!</definedName>
    <definedName name="acq_cy1ebit">#REF!</definedName>
    <definedName name="acq_cy1ebitda">#REF!</definedName>
    <definedName name="acq_cy1eps">#REF!</definedName>
    <definedName name="acq_cy1gp">#REF!</definedName>
    <definedName name="acq_cy1ni">#REF!</definedName>
    <definedName name="acq_cy1revs">#REF!</definedName>
    <definedName name="acq_cy2ebit">#REF!</definedName>
    <definedName name="acq_cy2ebitda">#REF!</definedName>
    <definedName name="acq_cy2eps">#REF!</definedName>
    <definedName name="acq_cy2gp">#REF!</definedName>
    <definedName name="acq_cy2ni">#REF!</definedName>
    <definedName name="acq_cy2revs">#REF!</definedName>
    <definedName name="acq_cy3ebit">#REF!</definedName>
    <definedName name="acq_cy3ebitda">#REF!</definedName>
    <definedName name="acq_cy3eps">#REF!</definedName>
    <definedName name="acq_cy3gp">#REF!</definedName>
    <definedName name="acq_cy3ni">#REF!</definedName>
    <definedName name="acq_cy3revs">#REF!</definedName>
    <definedName name="acq_debt">#REF!</definedName>
    <definedName name="acq_emp_ga">#REF!</definedName>
    <definedName name="acq_emp_manu">#REF!</definedName>
    <definedName name="acq_emp_rd">#REF!</definedName>
    <definedName name="acq_emp_sales">#REF!</definedName>
    <definedName name="acq_emp_source">#REF!</definedName>
    <definedName name="acq_emp_sourcedate">#REF!</definedName>
    <definedName name="acq_emp_total">#REF!</definedName>
    <definedName name="acq_fc">#REF!</definedName>
    <definedName name="acq_fc_cy0eps">#REF!</definedName>
    <definedName name="acq_fc_cy0fdshares">#REF!</definedName>
    <definedName name="acq_fc_cy1eps">#REF!</definedName>
    <definedName name="acq_fc_cy1fdshares">#REF!</definedName>
    <definedName name="acq_fc_cy2eps">#REF!</definedName>
    <definedName name="acq_fc_cy2fdshares">#REF!</definedName>
    <definedName name="acq_fc_cy3eps">#REF!</definedName>
    <definedName name="acq_fc_cy3fdshares">#REF!</definedName>
    <definedName name="acq_fc_ltgr">#REF!</definedName>
    <definedName name="acq_fcshares">#REF!</definedName>
    <definedName name="acq_fcswitch">#REF!</definedName>
    <definedName name="acq_fdamv">#REF!</definedName>
    <definedName name="acq_fdemv">#REF!</definedName>
    <definedName name="acq_fdshares">#REF!</definedName>
    <definedName name="acq_fye">#REF!</definedName>
    <definedName name="acq_inc">#REF!</definedName>
    <definedName name="acq_itm_optionsout">#REF!</definedName>
    <definedName name="acq_lqe">#REF!</definedName>
    <definedName name="acq_ltest">#REF!</definedName>
    <definedName name="acq_ltgr">#REF!</definedName>
    <definedName name="acq_ltmebit">#REF!</definedName>
    <definedName name="acq_ltmebitda">#REF!</definedName>
    <definedName name="acq_ltmeps">#REF!</definedName>
    <definedName name="acq_ltmgp">#REF!</definedName>
    <definedName name="acq_ltmni">#REF!</definedName>
    <definedName name="acq_ltmrevs">#REF!</definedName>
    <definedName name="acq_ltrevgr">#REF!</definedName>
    <definedName name="acq_ltsharecreep">#REF!</definedName>
    <definedName name="acq_name">#REF!</definedName>
    <definedName name="acq_netdebt">#REF!</definedName>
    <definedName name="acq_ntmeps">#REF!</definedName>
    <definedName name="acq_number">#REF!</definedName>
    <definedName name="acq_optionep">#REF!</definedName>
    <definedName name="acq_optionproceeds">#REF!</definedName>
    <definedName name="acq_options">#REF!</definedName>
    <definedName name="acq_optionsout">#REF!</definedName>
    <definedName name="acq_optionsout_source">#REF!</definedName>
    <definedName name="acq_optionsout_sourcedate">#REF!</definedName>
    <definedName name="acq_primshares">#REF!</definedName>
    <definedName name="acq_primshares_source">#REF!</definedName>
    <definedName name="acq_primshares_sourcedate">#REF!</definedName>
    <definedName name="acq_proxydate">#REF!</definedName>
    <definedName name="acq_sp30">#REF!</definedName>
    <definedName name="acq_spcurr">#REF!</definedName>
    <definedName name="acq_splast10">#REF!</definedName>
    <definedName name="acq_splast180">#REF!</definedName>
    <definedName name="acq_splast30">#REF!</definedName>
    <definedName name="acq_splast60">#REF!</definedName>
    <definedName name="acq_splast90">#REF!</definedName>
    <definedName name="acq_spltmavg">#REF!</definedName>
    <definedName name="acq_spltmhigh">#REF!</definedName>
    <definedName name="acq_spltmhighdate">#REF!</definedName>
    <definedName name="acq_spltmlow">#REF!</definedName>
    <definedName name="acq_spltmlowdate">#REF!</definedName>
    <definedName name="acq_spperavg">#REF!</definedName>
    <definedName name="acq_tangbv">#REF!</definedName>
    <definedName name="acq_tick">#REF!</definedName>
    <definedName name="acquiror">#REF!</definedName>
    <definedName name="actual_start_year">1992</definedName>
    <definedName name="adap">#REF!</definedName>
    <definedName name="adf" hidden="1">{"Page1",#N/A,FALSE,"CompCo";"Page2",#N/A,FALSE,"CompCo"}</definedName>
    <definedName name="adfauui" hidden="1">{"Page1",#N/A,FALSE,"CompCo";"Page2",#N/A,FALSE,"CompCo"}</definedName>
    <definedName name="adfda" hidden="1">{#N/A,#N/A,FALSE,"Aging Summary";#N/A,#N/A,FALSE,"Ratio Analysis";#N/A,#N/A,FALSE,"Test 120 Day Accts";#N/A,#N/A,FALSE,"Tickmarks"}</definedName>
    <definedName name="adfda2" hidden="1">{#N/A,#N/A,FALSE,"Aging Summary";#N/A,#N/A,FALSE,"Ratio Analysis";#N/A,#N/A,FALSE,"Test 120 Day Accts";#N/A,#N/A,FALSE,"Tickmarks"}</definedName>
    <definedName name="AdjustValue">#N/A</definedName>
    <definedName name="admin">1</definedName>
    <definedName name="adsf" hidden="1">{TRUE,TRUE,-1.25,-15.5,456.75,279.75,FALSE,FALSE,TRUE,TRUE,0,1,21,1,127,6,3,4,TRUE,TRUE,3,TRUE,1,TRUE,100,"Swvu.profits.","ACwvu.profits.",1,FALSE,FALSE,0.511811023622047,0.511811023622047,0.511811023622047,0.511811023622047,1,"","",FALSE,FALSE,FALSE,FALSE,1,#N/A,1,1,#DIV/0!,FALSE,"Rwvu.profits.",#N/A,FALSE,FALSE}</definedName>
    <definedName name="aklm">#REF!</definedName>
    <definedName name="All">#REF!</definedName>
    <definedName name="Amazon.com___Discounted_Cash_Earnings_Model____in_thousands">#REF!</definedName>
    <definedName name="Amazon.com_Income_Statement">#REF!</definedName>
    <definedName name="Amortization">#REF!</definedName>
    <definedName name="antc">#REF!</definedName>
    <definedName name="aol">#REF!</definedName>
    <definedName name="APC">#REF!</definedName>
    <definedName name="Application">#REF!</definedName>
    <definedName name="AR">#REF!</definedName>
    <definedName name="arghhhhhhhhhhhhhhhhhhhhhhhhhhhh">#N/A</definedName>
    <definedName name="as">#REF!</definedName>
    <definedName name="AS2DocOpenMode" hidden="1">"AS2DocumentEdit"</definedName>
    <definedName name="ASAT">#REF!</definedName>
    <definedName name="asdf" hidden="1">{TRUE,TRUE,-1.25,-15.5,456.75,279.75,FALSE,FALSE,TRUE,TRUE,0,1,8,1,4,6,3,4,TRUE,TRUE,3,TRUE,1,TRUE,100,"Swvu.turnover.","ACwvu.turnover.",1,FALSE,FALSE,0.511811023622047,0.511811023622047,0.511811023622047,0.511811023622047,1,"","",FALSE,FALSE,FALSE,FALSE,1,#N/A,1,1,#DIV/0!,FALSE,"Rwvu.turnover.",#N/A,FALSE,FALSE}</definedName>
    <definedName name="asdfg" hidden="1">{"Page1",#N/A,FALSE,"CompCo";"Page2",#N/A,FALSE,"CompCo"}</definedName>
    <definedName name="Assumptions">#REF!</definedName>
    <definedName name="AT_TAnnualMarginAnalysis">#REF!</definedName>
    <definedName name="AT_TQuarterlyMarginAnalysis">#REF!</definedName>
    <definedName name="ATCF1999PF">#REF!</definedName>
    <definedName name="ATCF2000">#REF!</definedName>
    <definedName name="ATCF2001">#REF!</definedName>
    <definedName name="ATCF2002">#REF!</definedName>
    <definedName name="athm">#REF!</definedName>
    <definedName name="BACK_A">#REF!</definedName>
    <definedName name="balance.sheet">#REF!</definedName>
    <definedName name="balsht">#REF!</definedName>
    <definedName name="bb_NDJDNDMxN0I3NUNBNDgwNT" hidden="1">#REF!</definedName>
    <definedName name="BEFREECOMP">#REF!</definedName>
    <definedName name="BFREComp">#REF!</definedName>
    <definedName name="Bids">#REF!</definedName>
    <definedName name="blend">#REF!</definedName>
    <definedName name="Blended_Margin">#REF!</definedName>
    <definedName name="Blended_Margins">#REF!</definedName>
    <definedName name="boring" hidden="1">{"Page1",#N/A,FALSE,"CompCo";"Page2",#N/A,FALSE,"CompCo"}</definedName>
    <definedName name="BS">#REF!</definedName>
    <definedName name="BS_CFlow">#REF!</definedName>
    <definedName name="BSA">#REF!</definedName>
    <definedName name="bsvalue">#REF!</definedName>
    <definedName name="BUSSERV">#REF!</definedName>
    <definedName name="button">#REF!</definedName>
    <definedName name="bxrt">#REF!</definedName>
    <definedName name="CABLE_FxM">#REF!</definedName>
    <definedName name="CALENDAR_IS">#REF!</definedName>
    <definedName name="Call">#REF!</definedName>
    <definedName name="call1">#REF!</definedName>
    <definedName name="call2">#REF!</definedName>
    <definedName name="call3">#REF!</definedName>
    <definedName name="Canada">{"Cereva Networks, Inc"}</definedName>
    <definedName name="CapExTop">#REF!</definedName>
    <definedName name="CapitalExpenditures">#REF!</definedName>
    <definedName name="capturn">#REF!</definedName>
    <definedName name="case">#REF!</definedName>
    <definedName name="case_num">1</definedName>
    <definedName name="CASE2">#REF!</definedName>
    <definedName name="cash">#REF!</definedName>
    <definedName name="cash1day">#REF!</definedName>
    <definedName name="cash1week">#REF!</definedName>
    <definedName name="cash2">#REF!</definedName>
    <definedName name="cash4week">#REF!</definedName>
    <definedName name="cashcount">#REF!</definedName>
    <definedName name="CASHFLOW">#REF!</definedName>
    <definedName name="cb_sChart16EBA7BA">#REF!</definedName>
    <definedName name="cb_sChart16EBA7BA_opts" hidden="1">"1, 1, 1, False, 2, True, False, , 0, False, True, 1, 2"</definedName>
    <definedName name="cb_sChart1AC0211C_opts" hidden="1">"1, 1, 1, False, 2, False, False, , 0, False, False, 2, 2"</definedName>
    <definedName name="cb_sChart1AC021B3_opts" hidden="1">"1, 1, 1, False, 2, False, False, , 0, False, False, 2, 2"</definedName>
    <definedName name="cb_sChart1AC02226_opts" hidden="1">"1, 1, 1, False, 2, False, False, , 0, False, False, 2, 2"</definedName>
    <definedName name="cb_sChart1AC02446_opts" hidden="1">"1, 1, 1, False, 2, True, False, , 0, False, True, 2, 2"</definedName>
    <definedName name="cb_sChart1AC02765_opts" hidden="1">"1, 1, 1, False, 2, True, False, , 0, False, True, 2, 2"</definedName>
    <definedName name="cb_sChart1AC027D9_opts" hidden="1">"1, 1, 1, False, 2, True, False, , 0, False, True, 2, 2"</definedName>
    <definedName name="CF">#REF!</definedName>
    <definedName name="ChartType">#REF!</definedName>
    <definedName name="Churn">#REF!</definedName>
    <definedName name="CIQANR_803cf0cd9d86474fa22ecee05b9c8174" hidden="1">#REF!</definedName>
    <definedName name="CIQANR_955b7905f6174f49905cdc26c6dfd633" hidden="1">#REF!</definedName>
    <definedName name="CIQANR_e55a05f407564249b234cda01a12de08" hidden="1">#REF!</definedName>
    <definedName name="CIQWBGuid" hidden="1">"bc267f49-fb8b-447a-ac1d-f763363a9514"</definedName>
    <definedName name="circ">#REF!</definedName>
    <definedName name="Class_B">68.45</definedName>
    <definedName name="cleveland">#REF!</definedName>
    <definedName name="CLIENT">#REF!</definedName>
    <definedName name="cm">1</definedName>
    <definedName name="co1_">#REF!</definedName>
    <definedName name="co1_balsheet_source">#REF!</definedName>
    <definedName name="co1_balsheet_sourcedate">#REF!</definedName>
    <definedName name="co1_bv">#REF!</definedName>
    <definedName name="co1_case1">#REF!</definedName>
    <definedName name="co1_case2">#REF!</definedName>
    <definedName name="co1_case3">#REF!</definedName>
    <definedName name="co1_case4">#REF!</definedName>
    <definedName name="co1_caseswitch">#REF!</definedName>
    <definedName name="co1_cash">#REF!</definedName>
    <definedName name="co1_cda_sourcedate">#REF!</definedName>
    <definedName name="co1_cy0ebit">#REF!</definedName>
    <definedName name="co1_cy0ebitda">#REF!</definedName>
    <definedName name="co1_cy0eps">#REF!</definedName>
    <definedName name="co1_cy0gp">#REF!</definedName>
    <definedName name="co1_cy0ni">#REF!</definedName>
    <definedName name="co1_cy0revs">#REF!</definedName>
    <definedName name="co1_cy1ebit">#REF!</definedName>
    <definedName name="co1_cy1ebitda">#REF!</definedName>
    <definedName name="co1_cy1eps">#REF!</definedName>
    <definedName name="co1_cy1gp">#REF!</definedName>
    <definedName name="co1_cy1ni">#REF!</definedName>
    <definedName name="co1_cy1revs">#REF!</definedName>
    <definedName name="co1_cy2ebit">#REF!</definedName>
    <definedName name="co1_cy2ebitda">#REF!</definedName>
    <definedName name="co1_cy2eps">#REF!</definedName>
    <definedName name="co1_cy2gp">#REF!</definedName>
    <definedName name="co1_cy2ni">#REF!</definedName>
    <definedName name="co1_cy2revs">#REF!</definedName>
    <definedName name="co1_cy3ebit">#REF!</definedName>
    <definedName name="co1_cy3ebitda">#REF!</definedName>
    <definedName name="co1_cy3eps">#REF!</definedName>
    <definedName name="co1_cy3gp">#REF!</definedName>
    <definedName name="co1_cy3ni">#REF!</definedName>
    <definedName name="co1_cy3revs">#REF!</definedName>
    <definedName name="co1_debt">#REF!</definedName>
    <definedName name="co1_emp_ga">#REF!</definedName>
    <definedName name="co1_emp_manu">#REF!</definedName>
    <definedName name="co1_emp_rd">#REF!</definedName>
    <definedName name="co1_emp_sales">#REF!</definedName>
    <definedName name="co1_emp_source">#REF!</definedName>
    <definedName name="co1_emp_sourcedate">#REF!</definedName>
    <definedName name="co1_emp_total">#REF!</definedName>
    <definedName name="co1_eratio_incr">#REF!</definedName>
    <definedName name="co1_eratio_min">#REF!</definedName>
    <definedName name="co1_fc_cy0eps">#REF!</definedName>
    <definedName name="co1_fc_cy0fdshares">#REF!</definedName>
    <definedName name="co1_fc_cy1eps">#REF!</definedName>
    <definedName name="co1_fc_cy1fdshares">#REF!</definedName>
    <definedName name="co1_fc_cy2eps">#REF!</definedName>
    <definedName name="co1_fc_cy2fdshares">#REF!</definedName>
    <definedName name="co1_fc_cy3eps">#REF!</definedName>
    <definedName name="co1_fc_cy3fdshares">#REF!</definedName>
    <definedName name="co1_fc_ltgr">#REF!</definedName>
    <definedName name="co1_fcshares">#REF!</definedName>
    <definedName name="co1_fcswitch">#REF!</definedName>
    <definedName name="co1_fdamv">#REF!</definedName>
    <definedName name="co1_fdemv">#REF!</definedName>
    <definedName name="co1_fdshares">#REF!</definedName>
    <definedName name="co1_inc">#REF!</definedName>
    <definedName name="co1_itm_optionsout">#REF!</definedName>
    <definedName name="co1_lqe">#REF!</definedName>
    <definedName name="co1_ltest">#REF!</definedName>
    <definedName name="co1_ltgr">#REF!</definedName>
    <definedName name="co1_ltmebit">#REF!</definedName>
    <definedName name="co1_ltmebitda">#REF!</definedName>
    <definedName name="co1_ltmeps">#REF!</definedName>
    <definedName name="co1_ltmgp">#REF!</definedName>
    <definedName name="co1_ltmni">#REF!</definedName>
    <definedName name="co1_ltmrevs">#REF!</definedName>
    <definedName name="co1_ltrevgr">#REF!</definedName>
    <definedName name="co1_ltsharecreep">#REF!</definedName>
    <definedName name="co1_netdebt">#REF!</definedName>
    <definedName name="co1_ntmeps">#REF!</definedName>
    <definedName name="co1_optionep">#REF!</definedName>
    <definedName name="co1_optionproceeds">#REF!</definedName>
    <definedName name="co1_options">#REF!</definedName>
    <definedName name="co1_optionsout">#REF!</definedName>
    <definedName name="co1_optionsout_source">#REF!</definedName>
    <definedName name="co1_optionsout_sourcedate">#REF!</definedName>
    <definedName name="co1_primshares">#REF!</definedName>
    <definedName name="co1_primshares_source">#REF!</definedName>
    <definedName name="co1_primshares_sourcedate">#REF!</definedName>
    <definedName name="co1_proxydate">#REF!</definedName>
    <definedName name="co1_purch_acq_cashretained">#REF!</definedName>
    <definedName name="co1_purch_costofcash">#REF!</definedName>
    <definedName name="co1_purch_costofdebt">#REF!</definedName>
    <definedName name="co1_purch_gw_amortper">#REF!</definedName>
    <definedName name="co1_purch_gw_writeoff">#REF!</definedName>
    <definedName name="co1_purch_percentcash_case1">#REF!</definedName>
    <definedName name="co1_purch_percentcash_case2">#REF!</definedName>
    <definedName name="co1_shareowner">#REF!</definedName>
    <definedName name="co1_spcurr">#REF!</definedName>
    <definedName name="co1_tangbv">#REF!</definedName>
    <definedName name="co1_tick">#REF!</definedName>
    <definedName name="co10_">#REF!</definedName>
    <definedName name="co10_analystused">#REF!</definedName>
    <definedName name="co10_balsheet_source">#REF!</definedName>
    <definedName name="co10_balsheet_sourcedate">#REF!</definedName>
    <definedName name="co10_bv">#REF!</definedName>
    <definedName name="co10_cal">#REF!</definedName>
    <definedName name="co10_case1">#REF!</definedName>
    <definedName name="co10_case2">#REF!</definedName>
    <definedName name="co10_case3">#REF!</definedName>
    <definedName name="co10_case4">#REF!</definedName>
    <definedName name="co10_caseswitch">#REF!</definedName>
    <definedName name="co10_cash">#REF!</definedName>
    <definedName name="co10_cda_sourcedate">#REF!</definedName>
    <definedName name="co10_cy0ebit">#REF!</definedName>
    <definedName name="co10_cy0eps">#REF!</definedName>
    <definedName name="co10_cy0gp">#REF!</definedName>
    <definedName name="co10_cy0ni">#REF!</definedName>
    <definedName name="co10_cy0revs">#REF!</definedName>
    <definedName name="co10_cy1ebit">#REF!</definedName>
    <definedName name="co10_cy1eps">#REF!</definedName>
    <definedName name="co10_cy1gp">#REF!</definedName>
    <definedName name="co10_cy1ni">#REF!</definedName>
    <definedName name="co10_cy1revs">#REF!</definedName>
    <definedName name="co10_cy2ebit">#REF!</definedName>
    <definedName name="co10_cy2eps">#REF!</definedName>
    <definedName name="co10_cy2gp">#REF!</definedName>
    <definedName name="co10_cy2ni">#REF!</definedName>
    <definedName name="co10_cy2revs">#REF!</definedName>
    <definedName name="co10_cy3ebit">#REF!</definedName>
    <definedName name="co10_cy3eps">#REF!</definedName>
    <definedName name="co10_cy3gp">#REF!</definedName>
    <definedName name="co10_cy3ni">#REF!</definedName>
    <definedName name="co10_cy3revs">#REF!</definedName>
    <definedName name="co10_debt">#REF!</definedName>
    <definedName name="co10_emp_ga">#REF!</definedName>
    <definedName name="co10_emp_manu">#REF!</definedName>
    <definedName name="co10_emp_rd">#REF!</definedName>
    <definedName name="co10_emp_sales">#REF!</definedName>
    <definedName name="co10_emp_source">#REF!</definedName>
    <definedName name="co10_emp_sourcedate">#REF!</definedName>
    <definedName name="co10_emp_total">#REF!</definedName>
    <definedName name="co10_eratio_incr">#REF!</definedName>
    <definedName name="co10_eratio_min">#REF!</definedName>
    <definedName name="co10_fc_cy0eps">#REF!</definedName>
    <definedName name="co10_fc_cy0fdshares">#REF!</definedName>
    <definedName name="co10_fc_cy1eps">#REF!</definedName>
    <definedName name="co10_fc_cy1fdshares">#REF!</definedName>
    <definedName name="co10_fc_cy2eps">#REF!</definedName>
    <definedName name="co10_fc_cy2fdshares">#REF!</definedName>
    <definedName name="co10_fc_cy3eps">#REF!</definedName>
    <definedName name="co10_fc_cy3fdshares">#REF!</definedName>
    <definedName name="co10_fc_ltgr">#REF!</definedName>
    <definedName name="co10_fcshares">#REF!</definedName>
    <definedName name="co10_fcswitch">#REF!</definedName>
    <definedName name="co10_fdamv">#REF!</definedName>
    <definedName name="co10_fdemv">#REF!</definedName>
    <definedName name="co10_fdshares">#REF!</definedName>
    <definedName name="co10_fye">#REF!</definedName>
    <definedName name="co10_inc">#REF!</definedName>
    <definedName name="co10_itm_optionsout">#REF!</definedName>
    <definedName name="co10_lqe">#REF!</definedName>
    <definedName name="co10_ltest">#REF!</definedName>
    <definedName name="co10_ltgr">#REF!</definedName>
    <definedName name="co10_ltmebit">#REF!</definedName>
    <definedName name="co10_ltmeps">#REF!</definedName>
    <definedName name="co10_ltmgp">#REF!</definedName>
    <definedName name="co10_ltmni">#REF!</definedName>
    <definedName name="co10_ltmrevs">#REF!</definedName>
    <definedName name="co10_ltrevgr">#REF!</definedName>
    <definedName name="co10_ltsharecreep">#REF!</definedName>
    <definedName name="co10_name">#REF!</definedName>
    <definedName name="co10_netdebt">#REF!</definedName>
    <definedName name="co10_ntmeps">#REF!</definedName>
    <definedName name="co10_optionep">#REF!</definedName>
    <definedName name="co10_optionproceeds">#REF!</definedName>
    <definedName name="co10_options">#REF!</definedName>
    <definedName name="co10_optionsout">#REF!</definedName>
    <definedName name="co10_optionsout_source">#REF!</definedName>
    <definedName name="co10_optionsout_sourcedate">#REF!</definedName>
    <definedName name="co10_primshares">#REF!</definedName>
    <definedName name="co10_primshares_source">#REF!</definedName>
    <definedName name="co10_primshares_sourcedate">#REF!</definedName>
    <definedName name="co10_proxydate">#REF!</definedName>
    <definedName name="co10_purch_acq_cashretained">#REF!</definedName>
    <definedName name="co10_purch_costofcash">#REF!</definedName>
    <definedName name="co10_purch_costofdebt">#REF!</definedName>
    <definedName name="co10_purch_gw_amortper">#REF!</definedName>
    <definedName name="co10_purch_gw_writeoff">#REF!</definedName>
    <definedName name="co10_purch_percentcash_case1">#REF!</definedName>
    <definedName name="co10_purch_percentcash_case2">#REF!</definedName>
    <definedName name="co10_reportdate">#REF!</definedName>
    <definedName name="co10_shareowner">#REF!</definedName>
    <definedName name="co10_spcurr">#REF!</definedName>
    <definedName name="co10_tangbv">#REF!</definedName>
    <definedName name="co10_tick">#REF!</definedName>
    <definedName name="co2_">#REF!</definedName>
    <definedName name="co2_analystused">#REF!</definedName>
    <definedName name="co2_balsheet_source">#REF!</definedName>
    <definedName name="co2_balsheet_sourcedate">#REF!</definedName>
    <definedName name="co2_bv">#REF!</definedName>
    <definedName name="co2_cal">#REF!</definedName>
    <definedName name="co2_case1">#REF!</definedName>
    <definedName name="co2_case2">#REF!</definedName>
    <definedName name="co2_case3">#REF!</definedName>
    <definedName name="co2_case4">#REF!</definedName>
    <definedName name="co2_caseswitch">#REF!</definedName>
    <definedName name="co2_cash">#REF!</definedName>
    <definedName name="co2_cda_sourcedate">#REF!</definedName>
    <definedName name="co2_cy0ebit">#REF!</definedName>
    <definedName name="co2_cy0ebitda">#REF!</definedName>
    <definedName name="co2_cy0eps">#REF!</definedName>
    <definedName name="co2_cy0gp">#REF!</definedName>
    <definedName name="co2_cy0ni">#REF!</definedName>
    <definedName name="co2_cy0revs">#REF!</definedName>
    <definedName name="co2_cy1ebit">#REF!</definedName>
    <definedName name="co2_cy1ebitda">#REF!</definedName>
    <definedName name="co2_cy1eps">#REF!</definedName>
    <definedName name="co2_cy1gp">#REF!</definedName>
    <definedName name="co2_cy1ni">#REF!</definedName>
    <definedName name="co2_cy1revs">#REF!</definedName>
    <definedName name="co2_cy2ebit">#REF!</definedName>
    <definedName name="co2_cy2ebitda">#REF!</definedName>
    <definedName name="co2_cy2eps">#REF!</definedName>
    <definedName name="co2_cy2gp">#REF!</definedName>
    <definedName name="co2_cy2ni">#REF!</definedName>
    <definedName name="co2_cy2revs">#REF!</definedName>
    <definedName name="co2_cy3ebit">#REF!</definedName>
    <definedName name="co2_cy3ebitda">#REF!</definedName>
    <definedName name="co2_cy3eps">#REF!</definedName>
    <definedName name="co2_cy3gp">#REF!</definedName>
    <definedName name="co2_cy3ni">#REF!</definedName>
    <definedName name="co2_cy3revs">#REF!</definedName>
    <definedName name="co2_debt">#REF!</definedName>
    <definedName name="co2_emp_ga">#REF!</definedName>
    <definedName name="co2_emp_manu">#REF!</definedName>
    <definedName name="co2_emp_rd">#REF!</definedName>
    <definedName name="co2_emp_sales">#REF!</definedName>
    <definedName name="co2_emp_source">#REF!</definedName>
    <definedName name="co2_emp_sourcedate">#REF!</definedName>
    <definedName name="co2_emp_total">#REF!</definedName>
    <definedName name="co2_eratio_incr">#REF!</definedName>
    <definedName name="co2_eratio_min">#REF!</definedName>
    <definedName name="co2_fc_cy0eps">#REF!</definedName>
    <definedName name="co2_fc_cy0fdshares">#REF!</definedName>
    <definedName name="co2_fc_cy1eps">#REF!</definedName>
    <definedName name="co2_fc_cy1fdshares">#REF!</definedName>
    <definedName name="co2_fc_cy2eps">#REF!</definedName>
    <definedName name="co2_fc_cy2fdshares">#REF!</definedName>
    <definedName name="co2_fc_cy3eps">#REF!</definedName>
    <definedName name="co2_fc_cy3fdshares">#REF!</definedName>
    <definedName name="co2_fc_ltgr">#REF!</definedName>
    <definedName name="co2_fcshares">#REF!</definedName>
    <definedName name="co2_fcswitch">#REF!</definedName>
    <definedName name="co2_fdamv">#REF!</definedName>
    <definedName name="co2_fdemv">#REF!</definedName>
    <definedName name="co2_fdshares">#REF!</definedName>
    <definedName name="co2_fye">#REF!</definedName>
    <definedName name="co2_inc">#REF!</definedName>
    <definedName name="co2_itm_optionsout">#REF!</definedName>
    <definedName name="co2_lqe">#REF!</definedName>
    <definedName name="co2_ltest">#REF!</definedName>
    <definedName name="co2_ltgr">#REF!</definedName>
    <definedName name="co2_ltmebit">#REF!</definedName>
    <definedName name="co2_ltmebitda">#REF!</definedName>
    <definedName name="co2_ltmeps">#REF!</definedName>
    <definedName name="co2_ltmgp">#REF!</definedName>
    <definedName name="co2_ltmni">#REF!</definedName>
    <definedName name="co2_ltmrevs">#REF!</definedName>
    <definedName name="co2_ltrevgr">#REF!</definedName>
    <definedName name="co2_ltsharecreep">#REF!</definedName>
    <definedName name="co2_name">#REF!</definedName>
    <definedName name="co2_netdebt">#REF!</definedName>
    <definedName name="co2_ntmeps">#REF!</definedName>
    <definedName name="co2_optionep">#REF!</definedName>
    <definedName name="co2_optionproceeds">#REF!</definedName>
    <definedName name="co2_options">#REF!</definedName>
    <definedName name="co2_optionsout">#REF!</definedName>
    <definedName name="co2_optionsout_source">#REF!</definedName>
    <definedName name="co2_optionsout_sourcedate">#REF!</definedName>
    <definedName name="co2_primshares">#REF!</definedName>
    <definedName name="co2_primshares_source">#REF!</definedName>
    <definedName name="co2_primshares_sourcedate">#REF!</definedName>
    <definedName name="co2_proxydate">#REF!</definedName>
    <definedName name="co2_purch_acq_cashretained">#REF!</definedName>
    <definedName name="co2_purch_costofcash">#REF!</definedName>
    <definedName name="co2_purch_costofdebt">#REF!</definedName>
    <definedName name="co2_purch_gw_amortper">#REF!</definedName>
    <definedName name="co2_purch_gw_writeoff">#REF!</definedName>
    <definedName name="co2_purch_percentcash_case1">#REF!</definedName>
    <definedName name="co2_purch_percentcash_case2">#REF!</definedName>
    <definedName name="co2_reportdate">#REF!</definedName>
    <definedName name="co2_shareowner">#REF!</definedName>
    <definedName name="co2_spcurr">#REF!</definedName>
    <definedName name="co2_tangbv">#REF!</definedName>
    <definedName name="co2_tick">#REF!</definedName>
    <definedName name="co3_">#REF!</definedName>
    <definedName name="co3_analystused">#REF!</definedName>
    <definedName name="co3_balsheet_source">#REF!</definedName>
    <definedName name="co3_balsheet_sourcedate">#REF!</definedName>
    <definedName name="co3_bv">#REF!</definedName>
    <definedName name="co3_cal">#REF!</definedName>
    <definedName name="co3_case1">#REF!</definedName>
    <definedName name="co3_case2">#REF!</definedName>
    <definedName name="co3_case3">#REF!</definedName>
    <definedName name="co3_case4">#REF!</definedName>
    <definedName name="co3_caseswitch">#REF!</definedName>
    <definedName name="co3_cash">#REF!</definedName>
    <definedName name="co3_cda_sourcedate">#REF!</definedName>
    <definedName name="co3_cy0ebit">#REF!</definedName>
    <definedName name="co3_cy0eps">#REF!</definedName>
    <definedName name="co3_cy0gp">#REF!</definedName>
    <definedName name="co3_cy0ni">#REF!</definedName>
    <definedName name="co3_cy0revs">#REF!</definedName>
    <definedName name="co3_cy1ebit">#REF!</definedName>
    <definedName name="co3_cy1eps">#REF!</definedName>
    <definedName name="co3_cy1gp">#REF!</definedName>
    <definedName name="co3_cy1ni">#REF!</definedName>
    <definedName name="co3_cy1revs">#REF!</definedName>
    <definedName name="co3_cy2ebit">#REF!</definedName>
    <definedName name="co3_cy2eps">#REF!</definedName>
    <definedName name="co3_cy2gp">#REF!</definedName>
    <definedName name="co3_cy2ni">#REF!</definedName>
    <definedName name="co3_cy2revs">#REF!</definedName>
    <definedName name="co3_cy3ebit">#REF!</definedName>
    <definedName name="co3_cy3eps">#REF!</definedName>
    <definedName name="co3_cy3gp">#REF!</definedName>
    <definedName name="co3_cy3ni">#REF!</definedName>
    <definedName name="co3_cy3revs">#REF!</definedName>
    <definedName name="co3_debt">#REF!</definedName>
    <definedName name="co3_emp_ga">#REF!</definedName>
    <definedName name="co3_emp_manu">#REF!</definedName>
    <definedName name="co3_emp_rd">#REF!</definedName>
    <definedName name="co3_emp_sales">#REF!</definedName>
    <definedName name="co3_emp_source">#REF!</definedName>
    <definedName name="co3_emp_sourcedate">#REF!</definedName>
    <definedName name="co3_emp_total">#REF!</definedName>
    <definedName name="co3_eratio_incr">#REF!</definedName>
    <definedName name="co3_eratio_min">#REF!</definedName>
    <definedName name="co3_fc_cy0eps">#REF!</definedName>
    <definedName name="co3_fc_cy0fdshares">#REF!</definedName>
    <definedName name="co3_fc_cy1eps">#REF!</definedName>
    <definedName name="co3_fc_cy1fdshares">#REF!</definedName>
    <definedName name="co3_fc_cy2eps">#REF!</definedName>
    <definedName name="co3_fc_cy2fdshares">#REF!</definedName>
    <definedName name="co3_fc_cy3eps">#REF!</definedName>
    <definedName name="co3_fc_cy3fdshares">#REF!</definedName>
    <definedName name="co3_fc_ltgr">#REF!</definedName>
    <definedName name="co3_fcshares">#REF!</definedName>
    <definedName name="co3_fcswitch">#REF!</definedName>
    <definedName name="co3_fdamv">#REF!</definedName>
    <definedName name="co3_fdemv">#REF!</definedName>
    <definedName name="co3_fdshares">#REF!</definedName>
    <definedName name="co3_fye">#REF!</definedName>
    <definedName name="co3_inc">#REF!</definedName>
    <definedName name="co3_itm_optionsout">#REF!</definedName>
    <definedName name="co3_lqe">#REF!</definedName>
    <definedName name="co3_ltest">#REF!</definedName>
    <definedName name="co3_ltgr">#REF!</definedName>
    <definedName name="co3_ltmebit">#REF!</definedName>
    <definedName name="co3_ltmeps">#REF!</definedName>
    <definedName name="co3_ltmgp">#REF!</definedName>
    <definedName name="co3_ltmni">#REF!</definedName>
    <definedName name="co3_ltmrevs">#REF!</definedName>
    <definedName name="co3_ltrevgr">#REF!</definedName>
    <definedName name="co3_ltsharecreep">#REF!</definedName>
    <definedName name="co3_name">#REF!</definedName>
    <definedName name="co3_netdebt">#REF!</definedName>
    <definedName name="co3_ntmeps">#REF!</definedName>
    <definedName name="co3_optionep">#REF!</definedName>
    <definedName name="co3_optionproceeds">#REF!</definedName>
    <definedName name="co3_options">#REF!</definedName>
    <definedName name="co3_optionsout">#REF!</definedName>
    <definedName name="co3_optionsout_source">#REF!</definedName>
    <definedName name="co3_optionsout_sourcedate">#REF!</definedName>
    <definedName name="co3_primshares">#REF!</definedName>
    <definedName name="co3_primshares_source">#REF!</definedName>
    <definedName name="co3_primshares_sourcedate">#REF!</definedName>
    <definedName name="co3_proxydate">#REF!</definedName>
    <definedName name="co3_purch_acq_cashretained">#REF!</definedName>
    <definedName name="co3_purch_costofcash">#REF!</definedName>
    <definedName name="co3_purch_costofdebt">#REF!</definedName>
    <definedName name="co3_purch_gw_amortper">#REF!</definedName>
    <definedName name="co3_purch_gw_writeoff">#REF!</definedName>
    <definedName name="co3_purch_percentcash_case1">#REF!</definedName>
    <definedName name="co3_purch_percentcash_case2">#REF!</definedName>
    <definedName name="co3_reportdate">#REF!</definedName>
    <definedName name="co3_shareowner">#REF!</definedName>
    <definedName name="co3_spcurr">#REF!</definedName>
    <definedName name="co3_tangbv">#REF!</definedName>
    <definedName name="co3_tick">#REF!</definedName>
    <definedName name="co4_">#REF!</definedName>
    <definedName name="co4_analystused">#REF!</definedName>
    <definedName name="co4_balsheet_source">#REF!</definedName>
    <definedName name="co4_balsheet_sourcedate">#REF!</definedName>
    <definedName name="co4_bv">#REF!</definedName>
    <definedName name="co4_cal">#REF!</definedName>
    <definedName name="co4_case1">#REF!</definedName>
    <definedName name="co4_case2">#REF!</definedName>
    <definedName name="co4_case3">#REF!</definedName>
    <definedName name="co4_case4">#REF!</definedName>
    <definedName name="co4_caseswitch">#REF!</definedName>
    <definedName name="co4_cash">#REF!</definedName>
    <definedName name="co4_cda_sourcedate">#REF!</definedName>
    <definedName name="co4_cy0ebit">#REF!</definedName>
    <definedName name="co4_cy0eps">#REF!</definedName>
    <definedName name="co4_cy0gp">#REF!</definedName>
    <definedName name="co4_cy0ni">#REF!</definedName>
    <definedName name="co4_cy0revs">#REF!</definedName>
    <definedName name="co4_cy1ebit">#REF!</definedName>
    <definedName name="co4_cy1eps">#REF!</definedName>
    <definedName name="co4_cy1gp">#REF!</definedName>
    <definedName name="co4_cy1ni">#REF!</definedName>
    <definedName name="co4_cy1revs">#REF!</definedName>
    <definedName name="co4_cy2ebit">#REF!</definedName>
    <definedName name="co4_cy2eps">#REF!</definedName>
    <definedName name="co4_cy2gp">#REF!</definedName>
    <definedName name="co4_cy2ni">#REF!</definedName>
    <definedName name="co4_cy2revs">#REF!</definedName>
    <definedName name="co4_cy3ebit">#REF!</definedName>
    <definedName name="co4_cy3eps">#REF!</definedName>
    <definedName name="co4_cy3gp">#REF!</definedName>
    <definedName name="co4_cy3ni">#REF!</definedName>
    <definedName name="co4_cy3revs">#REF!</definedName>
    <definedName name="co4_debt">#REF!</definedName>
    <definedName name="co4_emp_ga">#REF!</definedName>
    <definedName name="co4_emp_manu">#REF!</definedName>
    <definedName name="co4_emp_rd">#REF!</definedName>
    <definedName name="co4_emp_sales">#REF!</definedName>
    <definedName name="co4_emp_source">#REF!</definedName>
    <definedName name="co4_emp_sourcedate">#REF!</definedName>
    <definedName name="co4_emp_total">#REF!</definedName>
    <definedName name="co4_eratio_incr">#REF!</definedName>
    <definedName name="co4_eratio_min">#REF!</definedName>
    <definedName name="co4_fc_cy0eps">#REF!</definedName>
    <definedName name="co4_fc_cy0fdshares">#REF!</definedName>
    <definedName name="co4_fc_cy1eps">#REF!</definedName>
    <definedName name="co4_fc_cy1fdshares">#REF!</definedName>
    <definedName name="co4_fc_cy2eps">#REF!</definedName>
    <definedName name="co4_fc_cy2fdshares">#REF!</definedName>
    <definedName name="co4_fc_cy3eps">#REF!</definedName>
    <definedName name="co4_fc_cy3fdshares">#REF!</definedName>
    <definedName name="co4_fc_ltgr">#REF!</definedName>
    <definedName name="co4_fcshares">#REF!</definedName>
    <definedName name="co4_fcswitch">#REF!</definedName>
    <definedName name="co4_fdamv">#REF!</definedName>
    <definedName name="co4_fdemv">#REF!</definedName>
    <definedName name="co4_fdshares">#REF!</definedName>
    <definedName name="co4_fye">#REF!</definedName>
    <definedName name="co4_inc">#REF!</definedName>
    <definedName name="co4_itm_optionsout">#REF!</definedName>
    <definedName name="co4_lqe">#REF!</definedName>
    <definedName name="co4_ltest">#REF!</definedName>
    <definedName name="co4_ltgr">#REF!</definedName>
    <definedName name="co4_ltmebit">#REF!</definedName>
    <definedName name="co4_ltmeps">#REF!</definedName>
    <definedName name="co4_ltmgp">#REF!</definedName>
    <definedName name="co4_ltmni">#REF!</definedName>
    <definedName name="co4_ltmrevs">#REF!</definedName>
    <definedName name="co4_ltrevgr">#REF!</definedName>
    <definedName name="co4_ltsharecreep">#REF!</definedName>
    <definedName name="co4_name">#REF!</definedName>
    <definedName name="co4_netdebt">#REF!</definedName>
    <definedName name="co4_ntmeps">#REF!</definedName>
    <definedName name="co4_optionep">#REF!</definedName>
    <definedName name="co4_optionproceeds">#REF!</definedName>
    <definedName name="co4_options">#REF!</definedName>
    <definedName name="co4_optionsout">#REF!</definedName>
    <definedName name="co4_optionsout_source">#REF!</definedName>
    <definedName name="co4_optionsout_sourcedate">#REF!</definedName>
    <definedName name="co4_primshares">#REF!</definedName>
    <definedName name="co4_primshares_source">#REF!</definedName>
    <definedName name="co4_primshares_sourcedate">#REF!</definedName>
    <definedName name="co4_proxydate">#REF!</definedName>
    <definedName name="co4_purch_acq_cashretained">#REF!</definedName>
    <definedName name="co4_purch_costofcash">#REF!</definedName>
    <definedName name="co4_purch_costofdebt">#REF!</definedName>
    <definedName name="co4_purch_gw_amortper">#REF!</definedName>
    <definedName name="co4_purch_gw_writeoff">#REF!</definedName>
    <definedName name="co4_purch_percentcash_case1">#REF!</definedName>
    <definedName name="co4_purch_percentcash_case2">#REF!</definedName>
    <definedName name="co4_reportdate">#REF!</definedName>
    <definedName name="co4_shareowner">#REF!</definedName>
    <definedName name="co4_spcurr">#REF!</definedName>
    <definedName name="co4_tangbv">#REF!</definedName>
    <definedName name="co4_tick">#REF!</definedName>
    <definedName name="co5_">#REF!</definedName>
    <definedName name="co5_analystused">#REF!</definedName>
    <definedName name="co5_balsheet_source">#REF!</definedName>
    <definedName name="co5_balsheet_sourcedate">#REF!</definedName>
    <definedName name="co5_bv">#REF!</definedName>
    <definedName name="co5_cal">#REF!</definedName>
    <definedName name="co5_case1">#REF!</definedName>
    <definedName name="co5_case2">#REF!</definedName>
    <definedName name="co5_case3">#REF!</definedName>
    <definedName name="co5_case4">#REF!</definedName>
    <definedName name="co5_caseswitch">#REF!</definedName>
    <definedName name="co5_cash">#REF!</definedName>
    <definedName name="co5_cda_sourcedate">#REF!</definedName>
    <definedName name="co5_cy0ebit">#REF!</definedName>
    <definedName name="co5_cy0eps">#REF!</definedName>
    <definedName name="co5_cy0gp">#REF!</definedName>
    <definedName name="co5_cy0ni">#REF!</definedName>
    <definedName name="co5_cy0revs">#REF!</definedName>
    <definedName name="co5_cy1ebit">#REF!</definedName>
    <definedName name="co5_cy1eps">#REF!</definedName>
    <definedName name="co5_cy1gp">#REF!</definedName>
    <definedName name="co5_cy1ni">#REF!</definedName>
    <definedName name="co5_cy1revs">#REF!</definedName>
    <definedName name="co5_cy2ebit">#REF!</definedName>
    <definedName name="co5_cy2eps">#REF!</definedName>
    <definedName name="co5_cy2gp">#REF!</definedName>
    <definedName name="co5_cy2ni">#REF!</definedName>
    <definedName name="co5_cy2revs">#REF!</definedName>
    <definedName name="co5_cy3ebit">#REF!</definedName>
    <definedName name="co5_cy3eps">#REF!</definedName>
    <definedName name="co5_cy3gp">#REF!</definedName>
    <definedName name="co5_cy3ni">#REF!</definedName>
    <definedName name="co5_cy3revs">#REF!</definedName>
    <definedName name="co5_debt">#REF!</definedName>
    <definedName name="co5_emp_ga">#REF!</definedName>
    <definedName name="co5_emp_manu">#REF!</definedName>
    <definedName name="co5_emp_rd">#REF!</definedName>
    <definedName name="co5_emp_sales">#REF!</definedName>
    <definedName name="co5_emp_source">#REF!</definedName>
    <definedName name="co5_emp_sourcedate">#REF!</definedName>
    <definedName name="co5_emp_total">#REF!</definedName>
    <definedName name="co5_eratio_incr">#REF!</definedName>
    <definedName name="co5_eratio_min">#REF!</definedName>
    <definedName name="co5_fc_cy0eps">#REF!</definedName>
    <definedName name="co5_fc_cy0fdshares">#REF!</definedName>
    <definedName name="co5_fc_cy1eps">#REF!</definedName>
    <definedName name="co5_fc_cy1fdshares">#REF!</definedName>
    <definedName name="co5_fc_cy2eps">#REF!</definedName>
    <definedName name="co5_fc_cy2fdshares">#REF!</definedName>
    <definedName name="co5_fc_cy3eps">#REF!</definedName>
    <definedName name="co5_fc_cy3fdshares">#REF!</definedName>
    <definedName name="co5_fc_ltgr">#REF!</definedName>
    <definedName name="co5_fcshares">#REF!</definedName>
    <definedName name="co5_fcswitch">#REF!</definedName>
    <definedName name="co5_fdamv">#REF!</definedName>
    <definedName name="co5_fdemv">#REF!</definedName>
    <definedName name="co5_fdshares">#REF!</definedName>
    <definedName name="co5_fye">#REF!</definedName>
    <definedName name="co5_inc">#REF!</definedName>
    <definedName name="co5_itm_optionsout">#REF!</definedName>
    <definedName name="co5_lqe">#REF!</definedName>
    <definedName name="co5_ltest">#REF!</definedName>
    <definedName name="co5_ltgr">#REF!</definedName>
    <definedName name="co5_ltmebit">#REF!</definedName>
    <definedName name="co5_ltmeps">#REF!</definedName>
    <definedName name="co5_ltmgp">#REF!</definedName>
    <definedName name="co5_ltmni">#REF!</definedName>
    <definedName name="co5_ltmrevs">#REF!</definedName>
    <definedName name="co5_ltrevgr">#REF!</definedName>
    <definedName name="co5_ltsharecreep">#REF!</definedName>
    <definedName name="co5_name">#REF!</definedName>
    <definedName name="co5_netdebt">#REF!</definedName>
    <definedName name="co5_ntmeps">#REF!</definedName>
    <definedName name="co5_optionep">#REF!</definedName>
    <definedName name="co5_optionproceeds">#REF!</definedName>
    <definedName name="co5_options">#REF!</definedName>
    <definedName name="co5_optionsout">#REF!</definedName>
    <definedName name="co5_optionsout_source">#REF!</definedName>
    <definedName name="co5_optionsout_sourcedate">#REF!</definedName>
    <definedName name="co5_primshares">#REF!</definedName>
    <definedName name="co5_primshares_source">#REF!</definedName>
    <definedName name="co5_primshares_sourcedate">#REF!</definedName>
    <definedName name="co5_proxydate">#REF!</definedName>
    <definedName name="co5_purch_acq_cashretained">#REF!</definedName>
    <definedName name="co5_purch_costofcash">#REF!</definedName>
    <definedName name="co5_purch_costofdebt">#REF!</definedName>
    <definedName name="co5_purch_gw_amortper">#REF!</definedName>
    <definedName name="co5_purch_gw_writeoff">#REF!</definedName>
    <definedName name="co5_purch_percentcash_case1">#REF!</definedName>
    <definedName name="co5_purch_percentcash_case2">#REF!</definedName>
    <definedName name="co5_reportdate">#REF!</definedName>
    <definedName name="co5_shareowner">#REF!</definedName>
    <definedName name="co5_spcurr">#REF!</definedName>
    <definedName name="co5_tangbv">#REF!</definedName>
    <definedName name="co5_tick">#REF!</definedName>
    <definedName name="co6_">#REF!</definedName>
    <definedName name="co6_analystused">#REF!</definedName>
    <definedName name="co6_balsheet_source">#REF!</definedName>
    <definedName name="co6_balsheet_sourcedate">#REF!</definedName>
    <definedName name="co6_bv">#REF!</definedName>
    <definedName name="co6_cal">#REF!</definedName>
    <definedName name="co6_case1">#REF!</definedName>
    <definedName name="co6_case2">#REF!</definedName>
    <definedName name="co6_case3">#REF!</definedName>
    <definedName name="co6_case4">#REF!</definedName>
    <definedName name="co6_caseswitch">#REF!</definedName>
    <definedName name="co6_cash">#REF!</definedName>
    <definedName name="co6_cda_sourcedate">#REF!</definedName>
    <definedName name="co6_cy0ebit">#REF!</definedName>
    <definedName name="co6_cy0eps">#REF!</definedName>
    <definedName name="co6_cy0gp">#REF!</definedName>
    <definedName name="co6_cy0ni">#REF!</definedName>
    <definedName name="co6_cy0revs">#REF!</definedName>
    <definedName name="co6_cy1ebit">#REF!</definedName>
    <definedName name="co6_cy1eps">#REF!</definedName>
    <definedName name="co6_cy1gp">#REF!</definedName>
    <definedName name="co6_cy1ni">#REF!</definedName>
    <definedName name="co6_cy1revs">#REF!</definedName>
    <definedName name="co6_cy2ebit">#REF!</definedName>
    <definedName name="co6_cy2eps">#REF!</definedName>
    <definedName name="co6_cy2gp">#REF!</definedName>
    <definedName name="co6_cy2ni">#REF!</definedName>
    <definedName name="co6_cy2revs">#REF!</definedName>
    <definedName name="co6_cy3ebit">#REF!</definedName>
    <definedName name="co6_cy3eps">#REF!</definedName>
    <definedName name="co6_cy3gp">#REF!</definedName>
    <definedName name="co6_cy3ni">#REF!</definedName>
    <definedName name="co6_cy3revs">#REF!</definedName>
    <definedName name="co6_debt">#REF!</definedName>
    <definedName name="co6_emp_ga">#REF!</definedName>
    <definedName name="co6_emp_manu">#REF!</definedName>
    <definedName name="co6_emp_rd">#REF!</definedName>
    <definedName name="co6_emp_sales">#REF!</definedName>
    <definedName name="co6_emp_source">#REF!</definedName>
    <definedName name="co6_emp_sourcedate">#REF!</definedName>
    <definedName name="co6_emp_total">#REF!</definedName>
    <definedName name="co6_eratio_incr">#REF!</definedName>
    <definedName name="co6_eratio_min">#REF!</definedName>
    <definedName name="co6_fc_cy0eps">#REF!</definedName>
    <definedName name="co6_fc_cy0fdshares">#REF!</definedName>
    <definedName name="co6_fc_cy1eps">#REF!</definedName>
    <definedName name="co6_fc_cy1fdshares">#REF!</definedName>
    <definedName name="co6_fc_cy2eps">#REF!</definedName>
    <definedName name="co6_fc_cy2fdshares">#REF!</definedName>
    <definedName name="co6_fc_cy3eps">#REF!</definedName>
    <definedName name="co6_fc_cy3fdshares">#REF!</definedName>
    <definedName name="co6_fc_ltgr">#REF!</definedName>
    <definedName name="co6_fcshares">#REF!</definedName>
    <definedName name="co6_fcswitch">#REF!</definedName>
    <definedName name="co6_fdamv">#REF!</definedName>
    <definedName name="co6_fdemv">#REF!</definedName>
    <definedName name="co6_fdshares">#REF!</definedName>
    <definedName name="co6_fye">#REF!</definedName>
    <definedName name="co6_inc">#REF!</definedName>
    <definedName name="co6_itm_optionsout">#REF!</definedName>
    <definedName name="co6_lqe">#REF!</definedName>
    <definedName name="co6_ltest">#REF!</definedName>
    <definedName name="co6_ltgr">#REF!</definedName>
    <definedName name="co6_ltmebit">#REF!</definedName>
    <definedName name="co6_ltmeps">#REF!</definedName>
    <definedName name="co6_ltmgp">#REF!</definedName>
    <definedName name="co6_ltmni">#REF!</definedName>
    <definedName name="co6_ltmrevs">#REF!</definedName>
    <definedName name="co6_ltrevgr">#REF!</definedName>
    <definedName name="co6_ltsharecreep">#REF!</definedName>
    <definedName name="co6_name">#REF!</definedName>
    <definedName name="co6_netdebt">#REF!</definedName>
    <definedName name="co6_ntmeps">#REF!</definedName>
    <definedName name="co6_optionep">#REF!</definedName>
    <definedName name="co6_optionproceeds">#REF!</definedName>
    <definedName name="co6_options">#REF!</definedName>
    <definedName name="co6_optionsout">#REF!</definedName>
    <definedName name="co6_optionsout_source">#REF!</definedName>
    <definedName name="co6_optionsout_sourcedate">#REF!</definedName>
    <definedName name="co6_primshares">#REF!</definedName>
    <definedName name="co6_primshares_source">#REF!</definedName>
    <definedName name="co6_primshares_sourcedate">#REF!</definedName>
    <definedName name="co6_proxydate">#REF!</definedName>
    <definedName name="co6_purch_acq_cashretained">#REF!</definedName>
    <definedName name="co6_purch_costofcash">#REF!</definedName>
    <definedName name="co6_purch_costofdebt">#REF!</definedName>
    <definedName name="co6_purch_gw_amortper">#REF!</definedName>
    <definedName name="co6_purch_gw_writeoff">#REF!</definedName>
    <definedName name="co6_purch_percentcash_case1">#REF!</definedName>
    <definedName name="co6_purch_percentcash_case2">#REF!</definedName>
    <definedName name="co6_reportdate">#REF!</definedName>
    <definedName name="co6_shareowner">#REF!</definedName>
    <definedName name="co6_spcurr">#REF!</definedName>
    <definedName name="co6_tangbv">#REF!</definedName>
    <definedName name="co6_tick">#REF!</definedName>
    <definedName name="co7_">#REF!</definedName>
    <definedName name="co7_analystused">#REF!</definedName>
    <definedName name="co7_balsheet_source">#REF!</definedName>
    <definedName name="co7_balsheet_sourcedate">#REF!</definedName>
    <definedName name="co7_bv">#REF!</definedName>
    <definedName name="co7_cal">#REF!</definedName>
    <definedName name="co7_case1">#REF!</definedName>
    <definedName name="co7_case2">#REF!</definedName>
    <definedName name="co7_case3">#REF!</definedName>
    <definedName name="co7_case4">#REF!</definedName>
    <definedName name="co7_caseswitch">#REF!</definedName>
    <definedName name="co7_cash">#REF!</definedName>
    <definedName name="co7_cda_sourcedate">#REF!</definedName>
    <definedName name="co7_cy0ebit">#REF!</definedName>
    <definedName name="co7_cy0eps">#REF!</definedName>
    <definedName name="co7_cy0gp">#REF!</definedName>
    <definedName name="co7_cy0ni">#REF!</definedName>
    <definedName name="co7_cy0revs">#REF!</definedName>
    <definedName name="co7_cy1ebit">#REF!</definedName>
    <definedName name="co7_cy1eps">#REF!</definedName>
    <definedName name="co7_cy1gp">#REF!</definedName>
    <definedName name="co7_cy1ni">#REF!</definedName>
    <definedName name="co7_cy1revs">#REF!</definedName>
    <definedName name="co7_cy2ebit">#REF!</definedName>
    <definedName name="co7_cy2eps">#REF!</definedName>
    <definedName name="co7_cy2gp">#REF!</definedName>
    <definedName name="co7_cy2ni">#REF!</definedName>
    <definedName name="co7_cy2revs">#REF!</definedName>
    <definedName name="co7_cy3ebit">#REF!</definedName>
    <definedName name="co7_cy3eps">#REF!</definedName>
    <definedName name="co7_cy3gp">#REF!</definedName>
    <definedName name="co7_cy3ni">#REF!</definedName>
    <definedName name="co7_cy3revs">#REF!</definedName>
    <definedName name="co7_debt">#REF!</definedName>
    <definedName name="co7_emp_ga">#REF!</definedName>
    <definedName name="co7_emp_manu">#REF!</definedName>
    <definedName name="co7_emp_rd">#REF!</definedName>
    <definedName name="co7_emp_sales">#REF!</definedName>
    <definedName name="co7_emp_source">#REF!</definedName>
    <definedName name="co7_emp_sourcedate">#REF!</definedName>
    <definedName name="co7_emp_total">#REF!</definedName>
    <definedName name="co7_eratio_incr">#REF!</definedName>
    <definedName name="co7_eratio_min">#REF!</definedName>
    <definedName name="co7_fc_cy0eps">#REF!</definedName>
    <definedName name="co7_fc_cy0fdshares">#REF!</definedName>
    <definedName name="co7_fc_cy1eps">#REF!</definedName>
    <definedName name="co7_fc_cy1fdshares">#REF!</definedName>
    <definedName name="co7_fc_cy2eps">#REF!</definedName>
    <definedName name="co7_fc_cy2fdshares">#REF!</definedName>
    <definedName name="co7_fc_cy3eps">#REF!</definedName>
    <definedName name="co7_fc_cy3fdshares">#REF!</definedName>
    <definedName name="co7_fc_ltgr">#REF!</definedName>
    <definedName name="co7_fcshares">#REF!</definedName>
    <definedName name="co7_fcswitch">#REF!</definedName>
    <definedName name="co7_fdamv">#REF!</definedName>
    <definedName name="co7_fdemv">#REF!</definedName>
    <definedName name="co7_fdshares">#REF!</definedName>
    <definedName name="co7_fye">#REF!</definedName>
    <definedName name="co7_inc">#REF!</definedName>
    <definedName name="co7_itm_optionsout">#REF!</definedName>
    <definedName name="co7_lqe">#REF!</definedName>
    <definedName name="co7_ltest">#REF!</definedName>
    <definedName name="co7_ltgr">#REF!</definedName>
    <definedName name="co7_ltmebit">#REF!</definedName>
    <definedName name="co7_ltmeps">#REF!</definedName>
    <definedName name="co7_ltmgp">#REF!</definedName>
    <definedName name="co7_ltmni">#REF!</definedName>
    <definedName name="co7_ltmrevs">#REF!</definedName>
    <definedName name="co7_ltrevgr">#REF!</definedName>
    <definedName name="co7_ltsharecreep">#REF!</definedName>
    <definedName name="co7_name">#REF!</definedName>
    <definedName name="co7_netdebt">#REF!</definedName>
    <definedName name="co7_ntmeps">#REF!</definedName>
    <definedName name="co7_optionep">#REF!</definedName>
    <definedName name="co7_optionproceeds">#REF!</definedName>
    <definedName name="co7_options">#REF!</definedName>
    <definedName name="co7_optionsout">#REF!</definedName>
    <definedName name="co7_optionsout_source">#REF!</definedName>
    <definedName name="co7_optionsout_sourcedate">#REF!</definedName>
    <definedName name="co7_primshares">#REF!</definedName>
    <definedName name="co7_primshares_source">#REF!</definedName>
    <definedName name="co7_primshares_sourcedate">#REF!</definedName>
    <definedName name="co7_proxydate">#REF!</definedName>
    <definedName name="co7_purch_acq_cashretained">#REF!</definedName>
    <definedName name="co7_purch_costofcash">#REF!</definedName>
    <definedName name="co7_purch_costofdebt">#REF!</definedName>
    <definedName name="co7_purch_gw_amortper">#REF!</definedName>
    <definedName name="co7_purch_gw_writeoff">#REF!</definedName>
    <definedName name="co7_purch_percentcash_case1">#REF!</definedName>
    <definedName name="co7_purch_percentcash_case2">#REF!</definedName>
    <definedName name="co7_reportdate">#REF!</definedName>
    <definedName name="co7_shareowner">#REF!</definedName>
    <definedName name="co7_spcurr">#REF!</definedName>
    <definedName name="co7_tangbv">#REF!</definedName>
    <definedName name="co7_tick">#REF!</definedName>
    <definedName name="co8_">#REF!</definedName>
    <definedName name="co8_analystused">#REF!</definedName>
    <definedName name="co8_balsheet_source">#REF!</definedName>
    <definedName name="co8_balsheet_sourcedate">#REF!</definedName>
    <definedName name="co8_bv">#REF!</definedName>
    <definedName name="co8_cal">#REF!</definedName>
    <definedName name="co8_case1">#REF!</definedName>
    <definedName name="co8_case2">#REF!</definedName>
    <definedName name="co8_case3">#REF!</definedName>
    <definedName name="co8_case4">#REF!</definedName>
    <definedName name="co8_caseswitch">#REF!</definedName>
    <definedName name="co8_cash">#REF!</definedName>
    <definedName name="co8_cda_sourcedate">#REF!</definedName>
    <definedName name="co8_cy0ebit">#REF!</definedName>
    <definedName name="co8_cy0eps">#REF!</definedName>
    <definedName name="co8_cy0gp">#REF!</definedName>
    <definedName name="co8_cy0ni">#REF!</definedName>
    <definedName name="co8_cy0revs">#REF!</definedName>
    <definedName name="co8_cy1ebit">#REF!</definedName>
    <definedName name="co8_cy1eps">#REF!</definedName>
    <definedName name="co8_cy1gp">#REF!</definedName>
    <definedName name="co8_cy1ni">#REF!</definedName>
    <definedName name="co8_cy1revs">#REF!</definedName>
    <definedName name="co8_cy2ebit">#REF!</definedName>
    <definedName name="co8_cy2eps">#REF!</definedName>
    <definedName name="co8_cy2gp">#REF!</definedName>
    <definedName name="co8_cy2ni">#REF!</definedName>
    <definedName name="co8_cy2revs">#REF!</definedName>
    <definedName name="co8_cy3ebit">#REF!</definedName>
    <definedName name="co8_cy3eps">#REF!</definedName>
    <definedName name="co8_cy3gp">#REF!</definedName>
    <definedName name="co8_cy3ni">#REF!</definedName>
    <definedName name="co8_cy3revs">#REF!</definedName>
    <definedName name="co8_debt">#REF!</definedName>
    <definedName name="co8_emp_ga">#REF!</definedName>
    <definedName name="co8_emp_manu">#REF!</definedName>
    <definedName name="co8_emp_rd">#REF!</definedName>
    <definedName name="co8_emp_sales">#REF!</definedName>
    <definedName name="co8_emp_source">#REF!</definedName>
    <definedName name="co8_emp_sourcedate">#REF!</definedName>
    <definedName name="co8_emp_total">#REF!</definedName>
    <definedName name="co8_eratio_incr">#REF!</definedName>
    <definedName name="co8_eratio_min">#REF!</definedName>
    <definedName name="co8_fc_cy0eps">#REF!</definedName>
    <definedName name="co8_fc_cy0fdshares">#REF!</definedName>
    <definedName name="co8_fc_cy1eps">#REF!</definedName>
    <definedName name="co8_fc_cy1fdshares">#REF!</definedName>
    <definedName name="co8_fc_cy2eps">#REF!</definedName>
    <definedName name="co8_fc_cy2fdshares">#REF!</definedName>
    <definedName name="co8_fc_cy3eps">#REF!</definedName>
    <definedName name="co8_fc_cy3fdshares">#REF!</definedName>
    <definedName name="co8_fc_ltgr">#REF!</definedName>
    <definedName name="co8_fcshares">#REF!</definedName>
    <definedName name="co8_fcswitch">#REF!</definedName>
    <definedName name="co8_fdamv">#REF!</definedName>
    <definedName name="co8_fdemv">#REF!</definedName>
    <definedName name="co8_fdshares">#REF!</definedName>
    <definedName name="co8_fye">#REF!</definedName>
    <definedName name="co8_inc">#REF!</definedName>
    <definedName name="co8_itm_optionsout">#REF!</definedName>
    <definedName name="co8_lqe">#REF!</definedName>
    <definedName name="co8_ltest">#REF!</definedName>
    <definedName name="co8_ltgr">#REF!</definedName>
    <definedName name="co8_ltmebit">#REF!</definedName>
    <definedName name="co8_ltmeps">#REF!</definedName>
    <definedName name="co8_ltmgp">#REF!</definedName>
    <definedName name="co8_ltmni">#REF!</definedName>
    <definedName name="co8_ltmrevs">#REF!</definedName>
    <definedName name="co8_ltrevgr">#REF!</definedName>
    <definedName name="co8_ltsharecreep">#REF!</definedName>
    <definedName name="co8_name">#REF!</definedName>
    <definedName name="co8_netdebt">#REF!</definedName>
    <definedName name="co8_ntmeps">#REF!</definedName>
    <definedName name="co8_optionep">#REF!</definedName>
    <definedName name="co8_optionproceeds">#REF!</definedName>
    <definedName name="co8_options">#REF!</definedName>
    <definedName name="co8_optionsout">#REF!</definedName>
    <definedName name="co8_optionsout_source">#REF!</definedName>
    <definedName name="co8_optionsout_sourcedate">#REF!</definedName>
    <definedName name="co8_primshares">#REF!</definedName>
    <definedName name="co8_primshares_source">#REF!</definedName>
    <definedName name="co8_primshares_sourcedate">#REF!</definedName>
    <definedName name="co8_proxydate">#REF!</definedName>
    <definedName name="co8_purch_acq_cashretained">#REF!</definedName>
    <definedName name="co8_purch_costofcash">#REF!</definedName>
    <definedName name="co8_purch_costofdebt">#REF!</definedName>
    <definedName name="co8_purch_gw_amortper">#REF!</definedName>
    <definedName name="co8_purch_gw_writeoff">#REF!</definedName>
    <definedName name="co8_purch_percentcash_case1">#REF!</definedName>
    <definedName name="co8_purch_percentcash_case2">#REF!</definedName>
    <definedName name="co8_reportdate">#REF!</definedName>
    <definedName name="co8_shareowner">#REF!</definedName>
    <definedName name="co8_spcurr">#REF!</definedName>
    <definedName name="co8_tangbv">#REF!</definedName>
    <definedName name="co8_tick">#REF!</definedName>
    <definedName name="co9_">#REF!</definedName>
    <definedName name="co9_analystused">#REF!</definedName>
    <definedName name="co9_balsheet_source">#REF!</definedName>
    <definedName name="co9_balsheet_sourcedate">#REF!</definedName>
    <definedName name="co9_bv">#REF!</definedName>
    <definedName name="co9_cal">#REF!</definedName>
    <definedName name="co9_case1">#REF!</definedName>
    <definedName name="co9_case2">#REF!</definedName>
    <definedName name="co9_case3">#REF!</definedName>
    <definedName name="co9_case4">#REF!</definedName>
    <definedName name="co9_caseswitch">#REF!</definedName>
    <definedName name="co9_cash">#REF!</definedName>
    <definedName name="co9_cda_sourcedate">#REF!</definedName>
    <definedName name="co9_cy0ebit">#REF!</definedName>
    <definedName name="co9_cy0eps">#REF!</definedName>
    <definedName name="co9_cy0gp">#REF!</definedName>
    <definedName name="co9_cy0ni">#REF!</definedName>
    <definedName name="co9_cy0revs">#REF!</definedName>
    <definedName name="co9_cy1ebit">#REF!</definedName>
    <definedName name="co9_cy1eps">#REF!</definedName>
    <definedName name="co9_cy1gp">#REF!</definedName>
    <definedName name="co9_cy1ni">#REF!</definedName>
    <definedName name="co9_cy1revs">#REF!</definedName>
    <definedName name="co9_cy2ebit">#REF!</definedName>
    <definedName name="co9_cy2eps">#REF!</definedName>
    <definedName name="co9_cy2gp">#REF!</definedName>
    <definedName name="co9_cy2ni">#REF!</definedName>
    <definedName name="co9_cy2revs">#REF!</definedName>
    <definedName name="co9_cy3ebit">#REF!</definedName>
    <definedName name="co9_cy3eps">#REF!</definedName>
    <definedName name="co9_cy3gp">#REF!</definedName>
    <definedName name="co9_cy3ni">#REF!</definedName>
    <definedName name="co9_cy3revs">#REF!</definedName>
    <definedName name="co9_debt">#REF!</definedName>
    <definedName name="co9_emp_ga">#REF!</definedName>
    <definedName name="co9_emp_manu">#REF!</definedName>
    <definedName name="co9_emp_rd">#REF!</definedName>
    <definedName name="co9_emp_sales">#REF!</definedName>
    <definedName name="co9_emp_source">#REF!</definedName>
    <definedName name="co9_emp_sourcedate">#REF!</definedName>
    <definedName name="co9_emp_total">#REF!</definedName>
    <definedName name="co9_eratio_incr">#REF!</definedName>
    <definedName name="co9_eratio_min">#REF!</definedName>
    <definedName name="co9_fc_cy0eps">#REF!</definedName>
    <definedName name="co9_fc_cy0fdshares">#REF!</definedName>
    <definedName name="co9_fc_cy1eps">#REF!</definedName>
    <definedName name="co9_fc_cy1fdshares">#REF!</definedName>
    <definedName name="co9_fc_cy2eps">#REF!</definedName>
    <definedName name="co9_fc_cy2fdshares">#REF!</definedName>
    <definedName name="co9_fc_cy3eps">#REF!</definedName>
    <definedName name="co9_fc_cy3fdshares">#REF!</definedName>
    <definedName name="co9_fc_ltgr">#REF!</definedName>
    <definedName name="co9_fcshares">#REF!</definedName>
    <definedName name="co9_fcswitch">#REF!</definedName>
    <definedName name="co9_fdamv">#REF!</definedName>
    <definedName name="co9_fdemv">#REF!</definedName>
    <definedName name="co9_fdshares">#REF!</definedName>
    <definedName name="co9_fye">#REF!</definedName>
    <definedName name="co9_inc">#REF!</definedName>
    <definedName name="co9_itm_optionsout">#REF!</definedName>
    <definedName name="co9_lqe">#REF!</definedName>
    <definedName name="co9_ltest">#REF!</definedName>
    <definedName name="co9_ltgr">#REF!</definedName>
    <definedName name="co9_ltmebit">#REF!</definedName>
    <definedName name="co9_ltmeps">#REF!</definedName>
    <definedName name="co9_ltmgp">#REF!</definedName>
    <definedName name="co9_ltmni">#REF!</definedName>
    <definedName name="co9_ltmrevs">#REF!</definedName>
    <definedName name="co9_ltrevgr">#REF!</definedName>
    <definedName name="co9_ltsharecreep">#REF!</definedName>
    <definedName name="co9_name">#REF!</definedName>
    <definedName name="co9_netdebt">#REF!</definedName>
    <definedName name="co9_ntmeps">#REF!</definedName>
    <definedName name="co9_optionep">#REF!</definedName>
    <definedName name="co9_optionproceeds">#REF!</definedName>
    <definedName name="co9_options">#REF!</definedName>
    <definedName name="co9_optionsout">#REF!</definedName>
    <definedName name="co9_optionsout_source">#REF!</definedName>
    <definedName name="co9_optionsout_sourcedate">#REF!</definedName>
    <definedName name="co9_primshares">#REF!</definedName>
    <definedName name="co9_primshares_source">#REF!</definedName>
    <definedName name="co9_primshares_sourcedate">#REF!</definedName>
    <definedName name="co9_proxydate">#REF!</definedName>
    <definedName name="co9_purch_acq_cashretained">#REF!</definedName>
    <definedName name="co9_purch_costofcash">#REF!</definedName>
    <definedName name="co9_purch_costofdebt">#REF!</definedName>
    <definedName name="co9_purch_gw_amortper">#REF!</definedName>
    <definedName name="co9_purch_gw_writeoff">#REF!</definedName>
    <definedName name="co9_purch_percentcash_case1">#REF!</definedName>
    <definedName name="co9_purch_percentcash_case2">#REF!</definedName>
    <definedName name="co9_reportdate">#REF!</definedName>
    <definedName name="co9_shareowner">#REF!</definedName>
    <definedName name="co9_spcurr">#REF!</definedName>
    <definedName name="co9_tangbv">#REF!</definedName>
    <definedName name="co9_tick">#REF!</definedName>
    <definedName name="COGSDETAIL">#REF!</definedName>
    <definedName name="ColourIndex">#REF!</definedName>
    <definedName name="Column2Header">#REF!</definedName>
    <definedName name="Column3Header">#REF!</definedName>
    <definedName name="Column4Header">#REF!</definedName>
    <definedName name="Column5Header">#REF!</definedName>
    <definedName name="Column6Header">#REF!</definedName>
    <definedName name="Column7Header">#REF!</definedName>
    <definedName name="Column8Header">#REF!</definedName>
    <definedName name="Column9Header">#REF!</definedName>
    <definedName name="Comments">#REF!</definedName>
    <definedName name="Company_Name">#REF!</definedName>
    <definedName name="Compco1" hidden="1">{"Page1",#N/A,FALSE,"CompCo";"Page2",#N/A,FALSE,"CompCo"}</definedName>
    <definedName name="Compco2" hidden="1">{"Page1",#N/A,FALSE,"CompCo";"Page2",#N/A,FALSE,"CompCo"}</definedName>
    <definedName name="COMPOSITEPRICE">#REF!</definedName>
    <definedName name="computer">#N/A</definedName>
    <definedName name="COMPUTERS">#REF!</definedName>
    <definedName name="confectionery">#REF!</definedName>
    <definedName name="Consolidated_Balance_Sheets">#REF!</definedName>
    <definedName name="CONSSERV">#REF!</definedName>
    <definedName name="Contacts">#REF!</definedName>
    <definedName name="convention">#REF!</definedName>
    <definedName name="Converts">#REF!</definedName>
    <definedName name="CopyRange">#REF!</definedName>
    <definedName name="corp1">#REF!</definedName>
    <definedName name="corr">#REF!</definedName>
    <definedName name="COSTOFSALES">#REF!</definedName>
    <definedName name="cox">#REF!</definedName>
    <definedName name="CS">#REF!</definedName>
    <definedName name="csgs">#REF!</definedName>
    <definedName name="cu102.ShareScalingFactor" hidden="1">1000000</definedName>
    <definedName name="cu103.EmployeeScalingFactor" hidden="1">1000</definedName>
    <definedName name="cu107.DPSSymbol" hidden="1">"US$"</definedName>
    <definedName name="cu107.EPSSymbol" hidden="1">"US$"</definedName>
    <definedName name="cu71.ScalingFactor" hidden="1">1000000</definedName>
    <definedName name="curr_date">#REF!</definedName>
    <definedName name="CURRENCY">#REF!</definedName>
    <definedName name="current">#REF!</definedName>
    <definedName name="Current_Month">#REF!</definedName>
    <definedName name="Current_Year">#REF!</definedName>
    <definedName name="cursup">#REF!</definedName>
    <definedName name="customer">#REF!</definedName>
    <definedName name="CUSTransactionID" hidden="1">957572620.842</definedName>
    <definedName name="cvc">#REF!</definedName>
    <definedName name="d">#REF!</definedName>
    <definedName name="d1_">#REF!</definedName>
    <definedName name="d2_">#REF!</definedName>
    <definedName name="data">#REF!</definedName>
    <definedName name="DATA_CAPEX">#REF!</definedName>
    <definedName name="DATA_PL">#REF!</definedName>
    <definedName name="DATA_PRICING_AND_ASSUMPTIONS">#REF!</definedName>
    <definedName name="_xlnm.Database">#N/A</definedName>
    <definedName name="DATE">#REF!</definedName>
    <definedName name="Date1">#REF!</definedName>
    <definedName name="Date10">#REF!</definedName>
    <definedName name="Date2">#REF!</definedName>
    <definedName name="Date3">#REF!</definedName>
    <definedName name="Date4">#REF!</definedName>
    <definedName name="Date5">#REF!</definedName>
    <definedName name="Date6">#REF!</definedName>
    <definedName name="Date7">#REF!</definedName>
    <definedName name="Date8">#REF!</definedName>
    <definedName name="Date9">#REF!</definedName>
    <definedName name="Dates">#REF!</definedName>
    <definedName name="DB">"WIRENYPROD"</definedName>
    <definedName name="DCF">#REF!</definedName>
    <definedName name="DCF_Analysis">#REF!</definedName>
    <definedName name="DCF_Valuation">#REF!</definedName>
    <definedName name="DCFNEW">#REF!</definedName>
    <definedName name="Deal_Price">#REF!</definedName>
    <definedName name="dealon">#REF!</definedName>
    <definedName name="Debt">#REF!</definedName>
    <definedName name="DEP">#REF!</definedName>
    <definedName name="dep0">#REF!</definedName>
    <definedName name="Deprec.table">#REF!</definedName>
    <definedName name="DepreciationandDepletion">#REF!</definedName>
    <definedName name="desk">#N/A</definedName>
    <definedName name="Developed_Assets">#REF!</definedName>
    <definedName name="Developing_Assets">#REF!</definedName>
    <definedName name="DEVELOPMENT">5</definedName>
    <definedName name="df">#N/A</definedName>
    <definedName name="dfdfasdfdasfdsfadasfdsfadsfdsf">#N/A</definedName>
    <definedName name="dfg">#REF!</definedName>
    <definedName name="dfvbfbfb">#N/A</definedName>
    <definedName name="Dilution">#REF!</definedName>
    <definedName name="Disc_Cash_Flow">#REF!</definedName>
    <definedName name="Disc_CF">#REF!</definedName>
    <definedName name="DiscountYears">#REF!</definedName>
    <definedName name="div1_">#REF!</definedName>
    <definedName name="div2_">#REF!</definedName>
    <definedName name="ds">#REF!</definedName>
    <definedName name="dt_">#REF!</definedName>
    <definedName name="EARNINGS">#REF!</definedName>
    <definedName name="EBIT">#REF!</definedName>
    <definedName name="EBIT95">#REF!</definedName>
    <definedName name="EBITDA">#REF!</definedName>
    <definedName name="EBITDAGrowth">#REF!</definedName>
    <definedName name="EBITDAMargin">#REF!</definedName>
    <definedName name="EBITMargin">#REF!</definedName>
    <definedName name="EBITSENS">#REF!</definedName>
    <definedName name="Economics_of_1_LP_Unit">#REF!</definedName>
    <definedName name="epspredeal">#REF!</definedName>
    <definedName name="eratio_case">#REF!</definedName>
    <definedName name="eratio_curr">#REF!</definedName>
    <definedName name="eratio_currdate">#REF!</definedName>
    <definedName name="eratio_incr">#REF!</definedName>
    <definedName name="eratio_last10">#REF!</definedName>
    <definedName name="eratio_last180">#REF!</definedName>
    <definedName name="eratio_last30">#REF!</definedName>
    <definedName name="eratio_last60">#REF!</definedName>
    <definedName name="eratio_last90">#REF!</definedName>
    <definedName name="eratio_ltmavg">#REF!</definedName>
    <definedName name="eratio_ltmhigh">#REF!</definedName>
    <definedName name="eratio_ltmhighdate">#REF!</definedName>
    <definedName name="eratio_ltmlow">#REF!</definedName>
    <definedName name="eratio_ltmlowdate">#REF!</definedName>
    <definedName name="eratio_min">#REF!</definedName>
    <definedName name="eratio_peravg">#REF!</definedName>
    <definedName name="eratio_startdate">#REF!</definedName>
    <definedName name="erea">#REF!</definedName>
    <definedName name="ES">#REF!</definedName>
    <definedName name="EWBANDS">#REF!</definedName>
    <definedName name="Exch">" Sheet2!$F$2"</definedName>
    <definedName name="exes">#REF!</definedName>
    <definedName name="extraspend2">#REF!</definedName>
    <definedName name="FAM">#REF!</definedName>
    <definedName name="FCF">#REF!</definedName>
    <definedName name="fd">#REF!</definedName>
    <definedName name="Film_Length">#REF!</definedName>
    <definedName name="FILM_SYNDICATION_1">#REF!</definedName>
    <definedName name="FILM_SYNDICATION_2">#REF!</definedName>
    <definedName name="FILM_SYNDICATION_3">#REF!</definedName>
    <definedName name="finserv">#REF!</definedName>
    <definedName name="flowfnd">#REF!</definedName>
    <definedName name="foot16">#REF!</definedName>
    <definedName name="foot17">#REF!</definedName>
    <definedName name="foot18">#REF!</definedName>
    <definedName name="foot19">#REF!</definedName>
    <definedName name="foot20">#REF!</definedName>
    <definedName name="foot21">#REF!</definedName>
    <definedName name="forecast_year_3">#REF!+1</definedName>
    <definedName name="FOX_BROADCASTING_CIE__REPORTED_INCOME_STATEMENT">#REF!</definedName>
    <definedName name="FREE_CASH_FLOW_STATEMENT">#REF!</definedName>
    <definedName name="Freq1">#REF!</definedName>
    <definedName name="FREQ3">#REF!</definedName>
    <definedName name="Freq4">#REF!</definedName>
    <definedName name="fund.analysis">#REF!</definedName>
    <definedName name="future">#REF!</definedName>
    <definedName name="Future_estimates">#REF!</definedName>
    <definedName name="fxrate">#REF!</definedName>
    <definedName name="fy_1">#REF!</definedName>
    <definedName name="fy_2">#REF!</definedName>
    <definedName name="fy_3">#REF!</definedName>
    <definedName name="FY1999EPS">#REF!</definedName>
    <definedName name="FY2000EPS">#REF!</definedName>
    <definedName name="FY2001EPS">#REF!</definedName>
    <definedName name="GBP_EUR">#REF!</definedName>
    <definedName name="gen_inputs">#REF!</definedName>
    <definedName name="GEO">#REF!</definedName>
    <definedName name="GEOebay">#REF!</definedName>
    <definedName name="GEOGRAPHIC">#REF!</definedName>
    <definedName name="Germany">{"Cereva Networks, Inc"}</definedName>
    <definedName name="glad">#N/A</definedName>
    <definedName name="Goodwill_Amortization">25</definedName>
    <definedName name="GRD_EUR">#REF!</definedName>
    <definedName name="GROSSINCOME">#REF!</definedName>
    <definedName name="GROSSMARGINS">#REF!</definedName>
    <definedName name="Growth">#REF!</definedName>
    <definedName name="GROWTH3">#REF!</definedName>
    <definedName name="GWyears">40</definedName>
    <definedName name="h">#REF!</definedName>
    <definedName name="happy" hidden="1">{"Page1",#N/A,FALSE,"CompCo";"Page2",#N/A,FALSE,"CompCo"}</definedName>
    <definedName name="HBBALANCE">#REF!</definedName>
    <definedName name="Hds_Exec">#REF!</definedName>
    <definedName name="Hds_Other">#REF!</definedName>
    <definedName name="Hds_Sales">#REF!</definedName>
    <definedName name="healthdetail">#REF!</definedName>
    <definedName name="HEALTHINSURCOST">#REF!</definedName>
    <definedName name="hello.erff">#REF!</definedName>
    <definedName name="HISTORICAL">#REF!</definedName>
    <definedName name="Historical_data">#REF!</definedName>
    <definedName name="hkli9" hidden="1">{"Page1",#N/A,FALSE,"CompCo";"Page2",#N/A,FALSE,"CompCo"}</definedName>
    <definedName name="hklkl">#N/A</definedName>
    <definedName name="HLOOK_UP">#REF!</definedName>
    <definedName name="HolderToggle">#REF!</definedName>
    <definedName name="hostile1day">#REF!</definedName>
    <definedName name="hostile1week">#REF!</definedName>
    <definedName name="hostile4week">#REF!</definedName>
    <definedName name="hostilecount">#REF!</definedName>
    <definedName name="HTML_CodePage" hidden="1">1252</definedName>
    <definedName name="HTML_Control" hidden="1">{"'Asm'!$E$1:$AX$53"}</definedName>
    <definedName name="HTML_Description" hidden="1">""</definedName>
    <definedName name="HTML_Email" hidden="1">""</definedName>
    <definedName name="HTML_Header" hidden="1">"Asm"</definedName>
    <definedName name="HTML_LastUpdate" hidden="1">"10/12/98"</definedName>
    <definedName name="HTML_LineAfter" hidden="1">FALSE</definedName>
    <definedName name="HTML_LineBefore" hidden="1">FALSE</definedName>
    <definedName name="HTML_Name" hidden="1">"Tom Stone"</definedName>
    <definedName name="HTML_OBDlg2" hidden="1">TRUE</definedName>
    <definedName name="HTML_OBDlg4" hidden="1">TRUE</definedName>
    <definedName name="HTML_OS" hidden="1">0</definedName>
    <definedName name="HTML_PathFile" hidden="1">"f:\Finance\MyHTML.htm"</definedName>
    <definedName name="HTML_Title" hidden="1">"PlanRpts220"</definedName>
    <definedName name="HTML1_10" hidden="1">""</definedName>
    <definedName name="HTML1_11" hidden="1">1</definedName>
    <definedName name="HTML1_12" hidden="1">"Aswath:Adobe SiteMill™ 1.0.2:MyHomePage:FCFF3.html"</definedName>
    <definedName name="HTML1_2" hidden="1">1</definedName>
    <definedName name="HTML1_3" hidden="1">"FCFF3"</definedName>
    <definedName name="HTML1_4" hidden="1">"Three-Stage FCFF Model"</definedName>
    <definedName name="HTML1_5" hidden="1">""</definedName>
    <definedName name="HTML1_6" hidden="1">-4146</definedName>
    <definedName name="HTML1_7" hidden="1">-4146</definedName>
    <definedName name="HTML1_8" hidden="1">"10/22/96"</definedName>
    <definedName name="HTML1_9" hidden="1">"Aswath Damodaran"</definedName>
    <definedName name="HTMLCount" hidden="1">1</definedName>
    <definedName name="ILS_USD">#REF!</definedName>
    <definedName name="implied_call_volatility">#REF!</definedName>
    <definedName name="Inc.stmt">#REF!</definedName>
    <definedName name="Income_Statement">#REF!</definedName>
    <definedName name="incstat">#REF!</definedName>
    <definedName name="Index">#REF!</definedName>
    <definedName name="inf">#REF!</definedName>
    <definedName name="inputsArea">#REF!</definedName>
    <definedName name="InstallLocation">#REF!</definedName>
    <definedName name="Int_exp">8%</definedName>
    <definedName name="INTEREST">#REF!</definedName>
    <definedName name="Investment">#REF!</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"c1591"</definedName>
    <definedName name="IQ_AMORTIZED_COST_FDIC" hidden="1">"c6426"</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 hidden="1">"c5315"</definedName>
    <definedName name="IQ_AVG_BROKER_REC_REUT" hidden="1">"c3630"</definedName>
    <definedName name="IQ_AVG_DAILY_VOL" hidden="1">"c65"</definedName>
    <definedName name="IQ_AVG_INDUSTRY_REC" hidden="1">"c4455"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_COMMISSION" hidden="1">"c3514"</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CONVERSION" hidden="1">"c117"</definedName>
    <definedName name="IQ_CASH_DIVIDENDS_NET_INCOME_FDIC" hidden="1">"c6738"</definedName>
    <definedName name="IQ_CASH_DUE_BANKS" hidden="1">"c1351"</definedName>
    <definedName name="IQ_CASH_EQUIV" hidden="1">"c118"</definedName>
    <definedName name="IQ_CASH_FINAN" hidden="1">"c119"</definedName>
    <definedName name="IQ_CASH_FLOW_ACT_OR_EST" hidden="1">"c4154"</definedName>
    <definedName name="IQ_CASH_IN_PROCESS_FDIC" hidden="1">"c6386"</definedName>
    <definedName name="IQ_CASH_INTEREST" hidden="1">"c120"</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CE_FDIC" hidden="1">"c6296"</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TRACTS_OTHER_COMMODITIES_EQUITIES_FDIC" hidden="1">"c6522"</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BORROWING" hidden="1">"c2936"</definedName>
    <definedName name="IQ_COST_BORROWINGS" hidden="1">"c225"</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5000</definedName>
    <definedName name="IQ_CREDIT_CARD_CHARGE_OFFS_FDIC" hidden="1">"c6652"</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USIP" hidden="1">"c2245"</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INTEREST_SECURITIES" hidden="1">"c5509"</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 hidden="1">"c4278"</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PAYOUT" hidden="1">"c3005"</definedName>
    <definedName name="IQ_DISTRIBUTABLE_CASH_SHARE" hidden="1">"c3003"</definedName>
    <definedName name="IQ_DISTRIBUTABLE_CASH_SHARE_ACT_OR_EST" hidden="1">"c4286"</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ANNOUNCE_DATE_REUT" hidden="1">"c5314"</definedName>
    <definedName name="IQ_EARNINGS_COVERAGE_NET_CHARGE_OFFS_FDIC" hidden="1">"c6735"</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Q_INC" hidden="1">"c3498"</definedName>
    <definedName name="IQ_EBIT_EQ_INC_EXCL_SBC" hidden="1">"c3502"</definedName>
    <definedName name="IQ_EBIT_EXCL_SBC" hidden="1">"c3082"</definedName>
    <definedName name="IQ_EBIT_GW_ACT_OR_EST" hidden="1">"c4306"</definedName>
    <definedName name="IQ_EBIT_INT" hidden="1">"c360"</definedName>
    <definedName name="IQ_EBIT_MARGIN" hidden="1">"c359"</definedName>
    <definedName name="IQ_EBIT_OVER_IE" hidden="1">"c1369"</definedName>
    <definedName name="IQ_EBIT_SBC_ACT_OR_EST" hidden="1">"c4316"</definedName>
    <definedName name="IQ_EBIT_SBC_GW_ACT_OR_EST" hidden="1">"c4320"</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 hidden="1">"c3640"</definedName>
    <definedName name="IQ_EBITDA_EXCL_SBC" hidden="1">"c3081"</definedName>
    <definedName name="IQ_EBITDA_HIGH_EST" hidden="1">"c370"</definedName>
    <definedName name="IQ_EBITDA_HIGH_EST_REUT" hidden="1">"c3642"</definedName>
    <definedName name="IQ_EBITDA_INT" hidden="1">"c373"</definedName>
    <definedName name="IQ_EBITDA_LOW_EST" hidden="1">"c371"</definedName>
    <definedName name="IQ_EBITDA_LOW_EST_REUT" hidden="1">"c3643"</definedName>
    <definedName name="IQ_EBITDA_MARGIN" hidden="1">"c372"</definedName>
    <definedName name="IQ_EBITDA_MEDIAN_EST" hidden="1">"c1663"</definedName>
    <definedName name="IQ_EBITDA_MEDIAN_EST_REUT" hidden="1">"c3641"</definedName>
    <definedName name="IQ_EBITDA_NUM_EST" hidden="1">"c374"</definedName>
    <definedName name="IQ_EBITDA_NUM_EST_REUT" hidden="1">"c3644"</definedName>
    <definedName name="IQ_EBITDA_OVER_TOTAL_IE" hidden="1">"c1371"</definedName>
    <definedName name="IQ_EBITDA_SBC_ACT_OR_EST" hidden="1">"c4337"</definedName>
    <definedName name="IQ_EBITDA_STDDEV_EST" hidden="1">"c375"</definedName>
    <definedName name="IQ_EBITDA_STDDEV_EST_REUT" hidden="1">"c3645"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SBC_ACT_OR_EST" hidden="1">"c4350"</definedName>
    <definedName name="IQ_EBT_SBC_GW_ACT_OR_EST" hidden="1">"c4354"</definedName>
    <definedName name="IQ_EBT_UTI" hidden="1">"c390"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EST_REUT" hidden="1">"c5453"</definedName>
    <definedName name="IQ_EPS_HIGH_EST" hidden="1">"c400"</definedName>
    <definedName name="IQ_EPS_HIGH_EST_REUT" hidden="1">"c5454"</definedName>
    <definedName name="IQ_EPS_LOW_EST" hidden="1">"c401"</definedName>
    <definedName name="IQ_EPS_LOW_EST_REUT" hidden="1">"c5455"</definedName>
    <definedName name="IQ_EPS_MEDIAN_EST" hidden="1">"c1661"</definedName>
    <definedName name="IQ_EPS_MEDIAN_EST_REUT" hidden="1">"c5456"</definedName>
    <definedName name="IQ_EPS_NORM" hidden="1">"c1902"</definedName>
    <definedName name="IQ_EPS_NUM_EST" hidden="1">"c402"</definedName>
    <definedName name="IQ_EPS_NUM_EST_REUT" hidden="1">"c5451"</definedName>
    <definedName name="IQ_EPS_SBC_ACT_OR_EST" hidden="1">"c4376"</definedName>
    <definedName name="IQ_EPS_SBC_GW_ACT_OR_EST" hidden="1">"c4380"</definedName>
    <definedName name="IQ_EPS_STDDEV_EST" hidden="1">"c403"</definedName>
    <definedName name="IQ_EPS_STDDEV_EST_REUT" hidden="1">"c5452"</definedName>
    <definedName name="IQ_EQUITY_AFFIL" hidden="1">"c1451"</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T_ACT_FFO_REUT" hidden="1">"c3843"</definedName>
    <definedName name="IQ_EST_ACT_FFO_THOM" hidden="1">"c4005"</definedName>
    <definedName name="IQ_EST_CURRENCY" hidden="1">"c2140"</definedName>
    <definedName name="IQ_EST_CURRENCY_REUT" hidden="1">"c5437"</definedName>
    <definedName name="IQ_EST_DATE" hidden="1">"c1634"</definedName>
    <definedName name="IQ_EST_DATE_REUT" hidden="1">"c5438"</definedName>
    <definedName name="IQ_EST_EPS_GROWTH_1YR" hidden="1">"c1636"</definedName>
    <definedName name="IQ_EST_EPS_GROWTH_1YR_REUT" hidden="1">"c3646"</definedName>
    <definedName name="IQ_EST_EPS_GROWTH_5YR" hidden="1">"c1655"</definedName>
    <definedName name="IQ_EST_EPS_GROWTH_5YR_REUT" hidden="1">"c3633"</definedName>
    <definedName name="IQ_EST_EPS_GROWTH_Q_1YR" hidden="1">"c1641"</definedName>
    <definedName name="IQ_EST_EPS_GROWTH_Q_1YR_REUT" hidden="1">"c5410"</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VENDOR" hidden="1">"c5564"</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"ajsdasd"</definedName>
    <definedName name="IQ_EXPLORE_DRILL" hidden="1">"c409"</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EDFUNDS_SOLD" hidden="1">"c2256"</definedName>
    <definedName name="IQ_FFO" hidden="1">"c1574"</definedName>
    <definedName name="IQ_FFO_ADJ_ACT_OR_EST" hidden="1">"c4435"</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_CIQ" hidden="1">"c3668"</definedName>
    <definedName name="IQ_FFO_EST_DET_EST" hidden="1">"c12059"</definedName>
    <definedName name="IQ_FFO_EST_DET_EST_CIQ" hidden="1">"c12121"</definedName>
    <definedName name="IQ_FFO_EST_DET_EST_CURRENCY" hidden="1">"c12466"</definedName>
    <definedName name="IQ_FFO_EST_DET_EST_CURRENCY_CIQ" hidden="1">"c12512"</definedName>
    <definedName name="IQ_FFO_EST_DET_EST_CURRENCY_THOM" hidden="1">"c12487"</definedName>
    <definedName name="IQ_FFO_EST_DET_EST_DATE" hidden="1">"c12212"</definedName>
    <definedName name="IQ_FFO_EST_DET_EST_DATE_CIQ" hidden="1">"c12267"</definedName>
    <definedName name="IQ_FFO_EST_DET_EST_DATE_THOM" hidden="1">"c12238"</definedName>
    <definedName name="IQ_FFO_EST_DET_EST_INCL" hidden="1">"c12349"</definedName>
    <definedName name="IQ_FFO_EST_DET_EST_INCL_CIQ" hidden="1">"c12395"</definedName>
    <definedName name="IQ_FFO_EST_DET_EST_INCL_THOM" hidden="1">"c12370"</definedName>
    <definedName name="IQ_FFO_EST_DET_EST_ORIGIN" hidden="1">"c12722"</definedName>
    <definedName name="IQ_FFO_EST_DET_EST_ORIGIN_CIQ" hidden="1">"c12720"</definedName>
    <definedName name="IQ_FFO_EST_DET_EST_ORIGIN_THOM" hidden="1">"c12608"</definedName>
    <definedName name="IQ_FFO_EST_DET_EST_THOM" hidden="1">"c12088"</definedName>
    <definedName name="IQ_FFO_EST_REUT" hidden="1">"c3837"</definedName>
    <definedName name="IQ_FFO_EST_THOM" hidden="1">"c3999"</definedName>
    <definedName name="IQ_FFO_HIGH_EST_CIQ" hidden="1">"c3670"</definedName>
    <definedName name="IQ_FFO_HIGH_EST_REUT" hidden="1">"c3839"</definedName>
    <definedName name="IQ_FFO_HIGH_EST_THOM" hidden="1">"c4001"</definedName>
    <definedName name="IQ_FFO_LOW_EST_CIQ" hidden="1">"c3671"</definedName>
    <definedName name="IQ_FFO_LOW_EST_REUT" hidden="1">"c3840"</definedName>
    <definedName name="IQ_FFO_LOW_EST_THOM" hidden="1">"c4002"</definedName>
    <definedName name="IQ_FFO_MEDIAN_EST_CIQ" hidden="1">"c3669"</definedName>
    <definedName name="IQ_FFO_MEDIAN_EST_REUT" hidden="1">"c3838"</definedName>
    <definedName name="IQ_FFO_MEDIAN_EST_THOM" hidden="1">"c4000"</definedName>
    <definedName name="IQ_FFO_NUM_EST_CIQ" hidden="1">"c3672"</definedName>
    <definedName name="IQ_FFO_NUM_EST_REUT" hidden="1">"c3841"</definedName>
    <definedName name="IQ_FFO_NUM_EST_THOM" hidden="1">"c4003"</definedName>
    <definedName name="IQ_FFO_PAYOUT_RATIO" hidden="1">"c3492"</definedName>
    <definedName name="IQ_FFO_SHARE_ACT_OR_EST" hidden="1">"c4446"</definedName>
    <definedName name="IQ_FFO_STDDEV_EST_CIQ" hidden="1">"c3673"</definedName>
    <definedName name="IQ_FFO_STDDEV_EST_REUT" hidden="1">"c3842"</definedName>
    <definedName name="IQ_FFO_STDDEV_EST_THOM" hidden="1">"c4004"</definedName>
    <definedName name="IQ_FH">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NOTES_PAY_TOTAL" hidden="1">"c5522"</definedName>
    <definedName name="IQ_FIN_DIV_REV" hidden="1">"c437"</definedName>
    <definedName name="IQ_FIN_DIV_ST_DEBT_TOTAL" hidden="1">"c5527"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SPOT_FDIC" hidden="1">"c6356"</definedName>
    <definedName name="IQ_FY">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SALE_ASSETS_FDIC" hidden="1">"c6675"</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_TARGET_PRICE" hidden="1">"c1651"</definedName>
    <definedName name="IQ_HIGH_TARGET_PRICE_REUT" hidden="1">"c5317"</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AIR_OIL" hidden="1">"c547"</definedName>
    <definedName name="IQ_IMPAIRMENT_GW" hidden="1">"c548"</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EX_PROVIDED_DIVIDEND" hidden="1">"c19252"</definedName>
    <definedName name="IQ_INDEXCONSTITUENT_CLOSEPRICE" hidden="1">"c19241"</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"c1407"</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_SECURITY_SUPPL" hidden="1">"c5511"</definedName>
    <definedName name="IQ_INVESTMENT_BANKING_OTHER_FEES_FDIC" hidden="1">"c6666"</definedName>
    <definedName name="IQ_IPRD" hidden="1">"c644"</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 hidden="1">"c6372"</definedName>
    <definedName name="IQ_LIFOR" hidden="1">"c655"</definedName>
    <definedName name="IQ_LL" hidden="1">"c656"</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LOSS_EXP" hidden="1">"c672"</definedName>
    <definedName name="IQ_LOSS_TO_NET_EARNED" hidden="1">"c2751"</definedName>
    <definedName name="IQ_LOW_TARGET_PRICE" hidden="1">"c1652"</definedName>
    <definedName name="IQ_LOW_TARGET_PRICE_REUT" hidden="1">"c5318"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ATURITY_ONE_YEAR_LESS_FDIC" hidden="1">"c6425"</definedName>
    <definedName name="IQ_MC_RATIO" hidden="1">"c2783"</definedName>
    <definedName name="IQ_MC_STATUTORY_SURPLUS" hidden="1">"c2772"</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DIAN_TARGET_PRICE" hidden="1">"c1650"</definedName>
    <definedName name="IQ_MEDIAN_TARGET_PRICE_REUT" hidden="1">"c5316"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REUT" hidden="1">"c4048"</definedName>
    <definedName name="IQ_MM_ACCOUNT" hidden="1">"c743"</definedName>
    <definedName name="IQ_MONEY_MARKET_DEPOSIT_ACCOUNTS_FDIC" hidden="1">"c6553"</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FDIC" hidden="1">"c6335"</definedName>
    <definedName name="IQ_MTD" hidden="1">800000</definedName>
    <definedName name="IQ_MULTIFAMILY_RESIDENTIAL_LOANS_FDIC" hidden="1">"c6311"</definedName>
    <definedName name="IQ_NAMES_REVISION_DATE_" hidden="1">43356.4852777778</definedName>
    <definedName name="IQ_NAV_ACT_OR_EST" hidden="1">"c2225"</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BC_ACT_OR_EST" hidden="1">"c4474"</definedName>
    <definedName name="IQ_NI_SBC_GW_ACT_OR_EST" hidden="1">"c4478"</definedName>
    <definedName name="IQ_NI_SFAS" hidden="1">"c795"</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PENSION_EXP" hidden="1">"c3000"</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COURSE_DEBT" hidden="1">"c2550"</definedName>
    <definedName name="IQ_NONRECOURSE_DEBT_PCT" hidden="1">"c2551"</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 hidden="1">"c5563"</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AVINGS_DEPOSITS_FDIC" hidden="1">"c6554"</definedName>
    <definedName name="IQ_OTHER_STRIKE_PRICE_GRANTED" hidden="1">"c2692"</definedName>
    <definedName name="IQ_OTHER_TRANSACTIONS_FDIC" hidden="1">"c6504"</definedName>
    <definedName name="IQ_OTHER_UNDRAWN" hidden="1">"c2522"</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WNERSHIP" hidden="1">"c2160"</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REUT" hidden="1">"c4049"</definedName>
    <definedName name="IQ_PE_NORMALIZED" hidden="1">"c2207"</definedName>
    <definedName name="IQ_PE_RATIO" hidden="1">"c1610"</definedName>
    <definedName name="IQ_PEG_FWD" hidden="1">"c1863"</definedName>
    <definedName name="IQ_PEG_FWD_REUT" hidden="1">"c4052"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FFO_12MONTHS" hidden="1">"c1828"</definedName>
    <definedName name="IQ_PERCENT_CHANGE_EST_FFO_12MONTHS_CIQ" hidden="1">"c3769"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REUT" hidden="1">"c3964"</definedName>
    <definedName name="IQ_PERCENT_CHANGE_EST_FFO_WEEK_THOM" hidden="1">"c5274"</definedName>
    <definedName name="IQ_PERCENT_INSURED_FDIC" hidden="1">"c6374"</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RETURN_ASSETS_FDIC" hidden="1">"c6731"</definedName>
    <definedName name="IQ_PRICE_OVER_BVPS" hidden="1">"c1412"</definedName>
    <definedName name="IQ_PRICE_OVER_LTM_EPS" hidden="1">"c1413"</definedName>
    <definedName name="IQ_PRICE_TARGET" hidden="1">"c82"</definedName>
    <definedName name="IQ_PRICE_TARGET_REUT" hidden="1">"c3631"</definedName>
    <definedName name="IQ_PRICEDATE" hidden="1">"c1069"</definedName>
    <definedName name="IQ_PRICING_DATE" hidden="1">"c1613"</definedName>
    <definedName name="IQ_PRIMARY_INDUSTRY" hidden="1">"c1070"</definedName>
    <definedName name="IQ_PRINCIPAL_AMT" hidden="1">"c2157"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 hidden="1">"c4507"</definedName>
    <definedName name="IQ_RECURRING_PROFIT_SHARE_ACT_OR_EST" hidden="1">"c4508"</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STDDEV_EST_REUT" hidden="1">"c3639"</definedName>
    <definedName name="IQ_REV_UTI" hidden="1">"c1125"</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EST" hidden="1">"c1126"</definedName>
    <definedName name="IQ_REVENUE_EST_REUT" hidden="1">"c3634"</definedName>
    <definedName name="IQ_REVENUE_HIGH_EST" hidden="1">"c1127"</definedName>
    <definedName name="IQ_REVENUE_HIGH_EST_REUT" hidden="1">"c3636"</definedName>
    <definedName name="IQ_REVENUE_LOW_EST" hidden="1">"c1128"</definedName>
    <definedName name="IQ_REVENUE_LOW_EST_REUT" hidden="1">"c3637"</definedName>
    <definedName name="IQ_REVENUE_MEDIAN_EST" hidden="1">"c1662"</definedName>
    <definedName name="IQ_REVENUE_MEDIAN_EST_REUT" hidden="1">"c3635"</definedName>
    <definedName name="IQ_REVENUE_NUM_EST" hidden="1">"c1129"</definedName>
    <definedName name="IQ_REVENUE_NUM_EST_REUT" hidden="1">"c3638"</definedName>
    <definedName name="IQ_REVISION_DATE_" hidden="1">39489.6256597222</definedName>
    <definedName name="IQ_RISK_ADJ_BANK_ASSETS" hidden="1">"c2670"</definedName>
    <definedName name="IQ_RISK_WEIGHTED_ASSETS_FDIC" hidden="1">"c6370"</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 hidden="1">"c5513"</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RGET_PRICE_NUM" hidden="1">"c1653"</definedName>
    <definedName name="IQ_TARGET_PRICE_NUM_REUT" hidden="1">"c5319"</definedName>
    <definedName name="IQ_TARGET_PRICE_STDDEV" hidden="1">"c1654"</definedName>
    <definedName name="IQ_TARGET_PRICE_STDDEV_REUT" hidden="1">"c5320"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REUT" hidden="1">"c4050"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REUT" hidden="1">"c4051"</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RISK_BASED_CAPITAL_RATIO_FDIC" hidden="1">"c6747"</definedName>
    <definedName name="IQ_TOTAL_SECURITIES_FDIC" hidden="1">"c6306"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CURRENCY" hidden="1">"c2212"</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YEARHIGH" hidden="1">"c1337"</definedName>
    <definedName name="IQ_YEARHIGH_DATE" hidden="1">"c2250"</definedName>
    <definedName name="IQ_YEARLOW" hidden="1">"c1338"</definedName>
    <definedName name="IQ_YEARLOW_DATE" hidden="1">"c2251"</definedName>
    <definedName name="IQ_YTD">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1</definedName>
    <definedName name="IQB_BOOKMARK_LOCATION_0" hidden="1">#REF!</definedName>
    <definedName name="IQRPrecedentInputJ111" hidden="1">#REF!</definedName>
    <definedName name="IQRPrecedentInputQ114" hidden="1">#REF!</definedName>
    <definedName name="IQRY20" hidden="1">"$Y$21:$Y$39"</definedName>
    <definedName name="IS">#REF!</definedName>
    <definedName name="is_data">#REF!</definedName>
    <definedName name="j">#N/A</definedName>
    <definedName name="Japan" hidden="1">{"twx1",#N/A,FALSE,"twltm.xls";"twx2",#N/A,FALSE,"twltm.xls";"twx3",#N/A,FALSE,"twltm.xls"}</definedName>
    <definedName name="JB_ZONE">#REF!</definedName>
    <definedName name="jen" hidden="1">{TRUE,TRUE,-1.25,-15.5,456.75,279.75,FALSE,FALSE,TRUE,TRUE,0,1,8,1,4,6,3,4,TRUE,TRUE,3,TRUE,1,TRUE,100,"Swvu.turnover.","ACwvu.turnover.",1,FALSE,FALSE,0.511811023622047,0.511811023622047,0.511811023622047,0.511811023622047,1,"","",FALSE,FALSE,FALSE,FALSE,1,#N/A,1,1,#DIV/0!,FALSE,"Rwvu.turnover.",#N/A,FALSE,FALSE}</definedName>
    <definedName name="jjjj" hidden="1">{"Page1",#N/A,FALSE,"CompCo";"Page2",#N/A,FALSE,"CompCo"}</definedName>
    <definedName name="k">#REF!</definedName>
    <definedName name="kkk">#N/A</definedName>
    <definedName name="l">#REF!</definedName>
    <definedName name="lamp">#N/A</definedName>
    <definedName name="last93">#REF!</definedName>
    <definedName name="last94">#REF!</definedName>
    <definedName name="last95">#REF!</definedName>
    <definedName name="last96">#REF!</definedName>
    <definedName name="last97">#REF!</definedName>
    <definedName name="last98">#REF!</definedName>
    <definedName name="LastAPIcall">#REF!</definedName>
    <definedName name="Latam_Assets">#REF!</definedName>
    <definedName name="LBO">#REF!</definedName>
    <definedName name="lbtya">#REF!</definedName>
    <definedName name="LFY">#REF!</definedName>
    <definedName name="LIMIT_PE">#REF!</definedName>
    <definedName name="Linking_2HMarch">#REF!</definedName>
    <definedName name="Linking_2HMarchExit">#REF!</definedName>
    <definedName name="Linking_2Hmarchgraph">#REF!</definedName>
    <definedName name="Linking_2Hmarchgrowth">#REF!</definedName>
    <definedName name="Linking_2Qgrowth">#REF!</definedName>
    <definedName name="Linking_FBsensitivity">#REF!</definedName>
    <definedName name="Linking_GOOGsensitivity">#REF!</definedName>
    <definedName name="lisahuang">#N/A</definedName>
    <definedName name="lkjlkh" hidden="1">{"Page1",#N/A,FALSE,"CompCo";"Page2",#N/A,FALSE,"CompCo"}</definedName>
    <definedName name="LONG_DIST">#REF!</definedName>
    <definedName name="m">#REF!</definedName>
    <definedName name="m1_">#REF!</definedName>
    <definedName name="m2_">#REF!</definedName>
    <definedName name="MALCASE">#REF!</definedName>
    <definedName name="marganl">#REF!</definedName>
    <definedName name="Margin">#REF!</definedName>
    <definedName name="marinesf">#REF!</definedName>
    <definedName name="mat">#REF!</definedName>
    <definedName name="MCICOST">#REF!</definedName>
    <definedName name="MCIMARG">#REF!</definedName>
    <definedName name="MCIREV">#REF!</definedName>
    <definedName name="MD">#REF!</definedName>
    <definedName name="Merchants">#REF!</definedName>
    <definedName name="MET">#REF!</definedName>
    <definedName name="misc">1</definedName>
    <definedName name="misc2">1</definedName>
    <definedName name="MLNK009871aabffc46a89db283aba4efa724" hidden="1">#REF!</definedName>
    <definedName name="MLNK04162211a4fd4350b07a5a1cd78753b5" hidden="1">#REF!</definedName>
    <definedName name="MLNK0b2fe33992ac49f2ae48feca4f6891a4" hidden="1">#REF!</definedName>
    <definedName name="MLNK0bf1eda9dcb84764b894de9d63edb4db" hidden="1">#REF!</definedName>
    <definedName name="MLNK188d40722a6945e2bc4bac49310d9080" hidden="1">#REF!</definedName>
    <definedName name="MLNK1f988866aef64d88b9459232533c761e" hidden="1">#REF!</definedName>
    <definedName name="MLNK242202e1f77a490f84e1208f0dfe5f21" hidden="1">#REF!</definedName>
    <definedName name="MLNK24ecdcbc0ac242789f92b2b2ec330120" hidden="1">#REF!</definedName>
    <definedName name="MLNK304b4d0c67dd4319910ba4fb202c7013" hidden="1">#REF!</definedName>
    <definedName name="MLNK379a4e38cc9a43fab074c77bf927371e" hidden="1">#REF!</definedName>
    <definedName name="MLNK3d825d78b5df49e18f834b81dd27b196" hidden="1">#REF!</definedName>
    <definedName name="MLNK41f46120dd7a42ce90224a64bb47c494" hidden="1">#REF!</definedName>
    <definedName name="MLNK45d524cc220043a4b5ce4e1e88f42f80" hidden="1">#REF!</definedName>
    <definedName name="MLNK4b29efe08abf49338c3f14e260c6e2e1" hidden="1">#REF!</definedName>
    <definedName name="MLNK55f146321d1645048e0fe80907b074ac" hidden="1">#REF!</definedName>
    <definedName name="MLNK5db9943e74a54a669c161c9e2d66d1a6" hidden="1">#REF!</definedName>
    <definedName name="MLNK64e5c21cb80046fea78d9952db80ee45" hidden="1">#REF!</definedName>
    <definedName name="MLNK6f86524ef93e4117810602592a932307" hidden="1">#REF!</definedName>
    <definedName name="MLNK730ad86d95504fe1ab3380dd60ca3bd2" hidden="1">#REF!</definedName>
    <definedName name="MLNK740c6507a39e431096d22f476ae32a46" hidden="1">#REF!</definedName>
    <definedName name="MLNK7a1405b5246a497f89554eaed721d90a" hidden="1">#REF!</definedName>
    <definedName name="MLNK80cc5257d1994109ac61fc784c8601df" hidden="1">#REF!</definedName>
    <definedName name="MLNK831b5c9c316b4a77baae3a1563916612" hidden="1">#REF!</definedName>
    <definedName name="MLNK83b9b155bfab4b069e53a2ea8c678d57" hidden="1">#REF!</definedName>
    <definedName name="MLNK89a85e87c9f34bc1922e36eaaad91e8a" hidden="1">#REF!</definedName>
    <definedName name="MLNK8b5f696e74d44409b16a972f7316581b" hidden="1">#REF!</definedName>
    <definedName name="MLNK9021bb9305f74f4ea9fbab995d2ac257" hidden="1">#REF!</definedName>
    <definedName name="MLNK98af43e2435248578a26d3617ef0f285" hidden="1">#REF!</definedName>
    <definedName name="MLNK9ec40c7dde994197b2c238f43d991613" hidden="1">#REF!</definedName>
    <definedName name="MLNK9f7b635656ec4b8a9136ef46b69cac64" hidden="1">#REF!</definedName>
    <definedName name="MLNKa3f1b6f93c314df39e6a2c1f8c4304c9" hidden="1">#REF!</definedName>
    <definedName name="MLNKac91f94b2c3d4475b3833ce9dd913393" hidden="1">#REF!</definedName>
    <definedName name="MLNKac9f2785ccef4d2d84dac3bfb57cfe76" hidden="1">#REF!</definedName>
    <definedName name="MLNKad555ec5859e45ea8cb7895c1c45d427" hidden="1">#REF!</definedName>
    <definedName name="MLNKad98aa3fc86e4724bbb0c58d16423b14" hidden="1">#REF!</definedName>
    <definedName name="MLNKb20727eeb49b4242b6f91be17a5c8073" hidden="1">#REF!</definedName>
    <definedName name="MLNKb50db470f5344cb2a8a4d9f474db91f2" hidden="1">#REF!</definedName>
    <definedName name="MLNKb735b2cddece41b0b171b63f37709c8c" hidden="1">#REF!</definedName>
    <definedName name="MLNKc12f42e21d4d45c79d4ebc5d91183a40" hidden="1">#REF!</definedName>
    <definedName name="MLNKc19d7386088b4fc691ef03ddfcb7ea25" hidden="1">#REF!</definedName>
    <definedName name="MLNKc3f36c33c64d45d78029f903c9e88a57" hidden="1">#REF!</definedName>
    <definedName name="MLNKcac3df6540e84fbca687a891b4da4fea" hidden="1">#REF!</definedName>
    <definedName name="MLNKd6db9117c8264b41825654c26abb9d34" hidden="1">#REF!</definedName>
    <definedName name="MLNKdc482108f4db4c0698f6752d380fd342" hidden="1">#REF!</definedName>
    <definedName name="MLNKddf502b2c02649f1a12ed2e5af5b147f" hidden="1">#REF!</definedName>
    <definedName name="MLNKde3723a12aae402f963a016f8a858792" hidden="1">#REF!</definedName>
    <definedName name="MLNKe0c940748e9d4976b8b817b05a0dbd62" hidden="1">#REF!</definedName>
    <definedName name="MLNKe3852cc8e91e4e60add9a30d581d862d" hidden="1">#REF!</definedName>
    <definedName name="MLNKed005ee78da94c14bce57d5a3d0502b1" hidden="1">#REF!</definedName>
    <definedName name="MLNKedd335a695434f1ba8704c3be8301154" hidden="1">#REF!</definedName>
    <definedName name="MLNKef955eecbee84bb2a2b141e87e76c5e6" hidden="1">#REF!</definedName>
    <definedName name="MLNKf06725e30e8c4d40818c8bf958bf8661" hidden="1">#REF!</definedName>
    <definedName name="MLNKf1bd6ff2b179445398b1318655ca010b" hidden="1">#REF!</definedName>
    <definedName name="MLNKf8aa006b4eb5452495cbdc0fd0bc6920" hidden="1">#REF!</definedName>
    <definedName name="model">#REF!</definedName>
    <definedName name="model_case">#REF!</definedName>
    <definedName name="modsup">#REF!</definedName>
    <definedName name="multiple1">#REF!</definedName>
    <definedName name="MULTIPLES_EBITDA">#REF!</definedName>
    <definedName name="mynameis">#N/A</definedName>
    <definedName name="n1_">#REF!</definedName>
    <definedName name="n2_">#REF!</definedName>
    <definedName name="Name">#N/A</definedName>
    <definedName name="Name1">#N/A</definedName>
    <definedName name="NetIncomeToCommon">#REF!</definedName>
    <definedName name="NetRevenues">#REF!</definedName>
    <definedName name="New" hidden="1">{"twx1",#N/A,FALSE,"twltm.xls";"twx2",#N/A,FALSE,"twltm.xls";"twx3",#N/A,FALSE,"twltm.xls"}</definedName>
    <definedName name="NEWBUSINESS">#REF!</definedName>
    <definedName name="Newer" hidden="1">{"'Segment'!$A$1:$J$45"}</definedName>
    <definedName name="newstuff">#N/A</definedName>
    <definedName name="nextel">#REF!</definedName>
    <definedName name="nscp">#REF!</definedName>
    <definedName name="nstock">#REF!</definedName>
    <definedName name="offer">#REF!</definedName>
    <definedName name="offer_cash">#REF!</definedName>
    <definedName name="offer_options">#REF!</definedName>
    <definedName name="offpr">#REF!</definedName>
    <definedName name="oldstuff">#N/A</definedName>
    <definedName name="ool" hidden="1">{"Page1",#N/A,FALSE,"CompCo";"Page2",#N/A,FALSE,"CompCo"}</definedName>
    <definedName name="oooooi" hidden="1">{"Page1",#N/A,FALSE,"CompCo";"Page2",#N/A,FALSE,"CompCo"}</definedName>
    <definedName name="OpcaseA">#REF!</definedName>
    <definedName name="OpcaseT">#REF!</definedName>
    <definedName name="oper.eff">#REF!</definedName>
    <definedName name="Operating_Assumptions_FCF">#REF!</definedName>
    <definedName name="operatingArea">#REF!</definedName>
    <definedName name="OPERMARG">#REF!</definedName>
    <definedName name="OSS">#REF!</definedName>
    <definedName name="Other">#REF!</definedName>
    <definedName name="OTHER_EQUIP">#REF!</definedName>
    <definedName name="out">#REF!</definedName>
    <definedName name="OWNERSHIP">#REF!</definedName>
    <definedName name="Ownership_Table">#REF!</definedName>
    <definedName name="PANDL">#REF!</definedName>
    <definedName name="PasteSpecial">#REF!</definedName>
    <definedName name="Paul_s_model_with_changes1_ProForma_List">#REF!</definedName>
    <definedName name="pbPrinterFormat">"\\SUSNY005\P100064642 on Ne08:"</definedName>
    <definedName name="pbStartPageNumber">1</definedName>
    <definedName name="pbUpdatePageNumbering">TRUE</definedName>
    <definedName name="pcs">#REF!</definedName>
    <definedName name="Pdate">35902</definedName>
    <definedName name="Percentstock">#REF!/100</definedName>
    <definedName name="PERIOD">#REF!</definedName>
    <definedName name="periods">#REF!</definedName>
    <definedName name="PFPRICE">#REF!</definedName>
    <definedName name="PFPRICE2">#REF!</definedName>
    <definedName name="pfprint">#REF!</definedName>
    <definedName name="Phillieco">#REF!</definedName>
    <definedName name="phone">#N/A</definedName>
    <definedName name="PIXAROpenActual">#REF!,#REF!</definedName>
    <definedName name="PIXAROpenAdj">#REF!,#REF!</definedName>
    <definedName name="PIXARTotalUSActual">#REF!,#REF!</definedName>
    <definedName name="PIXARTotalUSAdj">#REF!,#REF!</definedName>
    <definedName name="PIXARWWActual">#REF!,#REF!</definedName>
    <definedName name="PKLDBANDTIN">#REF!</definedName>
    <definedName name="pooling_Premium">25%</definedName>
    <definedName name="pos">#REF!</definedName>
    <definedName name="pound">#REF!</definedName>
    <definedName name="PPtMatrix">#REF!</definedName>
    <definedName name="premium">#REF!</definedName>
    <definedName name="premium1">#REF!</definedName>
    <definedName name="premium2">#REF!</definedName>
    <definedName name="press">#REF!</definedName>
    <definedName name="PRICE">#REF!</definedName>
    <definedName name="price_date">36098</definedName>
    <definedName name="PriceDateA">#REF!</definedName>
    <definedName name="PriceO">#REF!</definedName>
    <definedName name="PricingDate">#REF!</definedName>
    <definedName name="PrimaryWeightedAverageShares">#REF!</definedName>
    <definedName name="_xlnm.Print_Area" localSheetId="0">Model!$A$1:$CW$506</definedName>
    <definedName name="Print_Area_MI">#REF!</definedName>
    <definedName name="Print_Cover_Tabs">#N/A</definedName>
    <definedName name="Print_Document">#N/A</definedName>
    <definedName name="_xlnm.Print_Titles">"Formula removed, name can be deleted."</definedName>
    <definedName name="Private_Portfolio">#REF!</definedName>
    <definedName name="Pro_Forma">#REF!</definedName>
    <definedName name="PROFILE">#REF!</definedName>
    <definedName name="proforma">#REF!</definedName>
    <definedName name="proj">#REF!</definedName>
    <definedName name="ProjectName">{"Cereva Networks, Inc"}</definedName>
    <definedName name="Public_Portfolio">#REF!</definedName>
    <definedName name="purch">#REF!</definedName>
    <definedName name="purch_acq_cashretained">#REF!</definedName>
    <definedName name="purch_costofcash">#REF!</definedName>
    <definedName name="purch_costofdebt">#REF!</definedName>
    <definedName name="purch_gw_amortper">#REF!</definedName>
    <definedName name="purch_gw_writeoff">#REF!</definedName>
    <definedName name="purch_percentcash_case1">#REF!</definedName>
    <definedName name="purch_percentcash_case2">#REF!</definedName>
    <definedName name="Purchase_Premium_A">25%</definedName>
    <definedName name="Purchase_Premium_B">0.25</definedName>
    <definedName name="q">#REF!</definedName>
    <definedName name="qtrly">#REF!</definedName>
    <definedName name="qtrrev">#REF!</definedName>
    <definedName name="quar10">#REF!</definedName>
    <definedName name="quar11">#REF!</definedName>
    <definedName name="quar12">#REF!</definedName>
    <definedName name="quar13">#REF!</definedName>
    <definedName name="quar14">#REF!</definedName>
    <definedName name="quar15">#REF!</definedName>
    <definedName name="quar6">#REF!</definedName>
    <definedName name="quar7">#REF!</definedName>
    <definedName name="quar8">#REF!</definedName>
    <definedName name="quar9">#REF!</definedName>
    <definedName name="QUARTERLY_CABLE">#REF!</definedName>
    <definedName name="QUARTERLY_FILM">#REF!</definedName>
    <definedName name="QUARTERLY_INCOME_STATEMENT">#REF!</definedName>
    <definedName name="QUARTERLY_NETWORK">#REF!</definedName>
    <definedName name="QUARTERLY_STATIONS">#REF!</definedName>
    <definedName name="r_">#REF!</definedName>
    <definedName name="Range1">#REF!</definedName>
    <definedName name="Range1Top">#REF!</definedName>
    <definedName name="Range2">#REF!</definedName>
    <definedName name="Range2Top">#REF!</definedName>
    <definedName name="Range3">#REF!</definedName>
    <definedName name="Range3Top">#REF!</definedName>
    <definedName name="rCSPresetsPPt">#REF!</definedName>
    <definedName name="REALOVHD">#REF!</definedName>
    <definedName name="redux">1</definedName>
    <definedName name="REENGINEERING">#REF!</definedName>
    <definedName name="refresh_tick">#REF!</definedName>
    <definedName name="region">#REF!</definedName>
    <definedName name="regions">#REF!</definedName>
    <definedName name="RENTALS">#REF!</definedName>
    <definedName name="RepairedName0021" hidden="1">"iQShowAnnual"</definedName>
    <definedName name="RETURN">#REF!</definedName>
    <definedName name="Returns">#REF!</definedName>
    <definedName name="Revenue_Breakdown">#REF!</definedName>
    <definedName name="revenues">#REF!</definedName>
    <definedName name="RevenuesCellularEquipment">0</definedName>
    <definedName name="RevenuesCellularOther">0</definedName>
    <definedName name="RevenuesCellularService">0</definedName>
    <definedName name="RevenuesCellularTotal">0</definedName>
    <definedName name="RevenuesPagingEquipment">0</definedName>
    <definedName name="RevenuesPagingOther">0</definedName>
    <definedName name="RevenuesPagingService">0</definedName>
    <definedName name="RevenuesPagingTotal">0</definedName>
    <definedName name="RevenuesWirelessEquipment">0</definedName>
    <definedName name="RevenuesWirelessOther">0</definedName>
    <definedName name="RevenuesWirelessService">0</definedName>
    <definedName name="revs">#REF!</definedName>
    <definedName name="rfrate">#REF!</definedName>
    <definedName name="rFSPresets">#REF!</definedName>
    <definedName name="rng10s">#REF!</definedName>
    <definedName name="rng11s">#REF!</definedName>
    <definedName name="rng12s">#REF!</definedName>
    <definedName name="rng13s">#REF!</definedName>
    <definedName name="rng14s">#REF!</definedName>
    <definedName name="rng15s">#REF!</definedName>
    <definedName name="rng16s">#REF!</definedName>
    <definedName name="rng17s">#REF!</definedName>
    <definedName name="rng18s">#REF!</definedName>
    <definedName name="rng19s">#REF!</definedName>
    <definedName name="rng1s">#REF!</definedName>
    <definedName name="rng20s">#REF!</definedName>
    <definedName name="rng21s">#REF!</definedName>
    <definedName name="rng22s">#REF!</definedName>
    <definedName name="rng23s">#REF!</definedName>
    <definedName name="rng24s">#REF!</definedName>
    <definedName name="rng25s">#REF!</definedName>
    <definedName name="rng26s">#REF!</definedName>
    <definedName name="rng27s">#REF!</definedName>
    <definedName name="rng28s">#REF!</definedName>
    <definedName name="rng29s">#REF!</definedName>
    <definedName name="rng2s">#REF!</definedName>
    <definedName name="rng30s">#REF!</definedName>
    <definedName name="rng31s">#REF!</definedName>
    <definedName name="rng32s">#REF!</definedName>
    <definedName name="rng33s">#REF!</definedName>
    <definedName name="rng34s">#REF!</definedName>
    <definedName name="rng35s">#REF!</definedName>
    <definedName name="rng36s">#REF!</definedName>
    <definedName name="rng37s">#REF!</definedName>
    <definedName name="rng38s">#REF!</definedName>
    <definedName name="rng39s">#REF!</definedName>
    <definedName name="rng3s">#REF!</definedName>
    <definedName name="rng40s">#REF!</definedName>
    <definedName name="rng41s">#REF!</definedName>
    <definedName name="rng42s">#REF!</definedName>
    <definedName name="rng43s">#REF!</definedName>
    <definedName name="rng44s">#REF!</definedName>
    <definedName name="rng45s">#REF!</definedName>
    <definedName name="rng46s">#REF!</definedName>
    <definedName name="rng47s">#REF!</definedName>
    <definedName name="rng48s">#REF!</definedName>
    <definedName name="rng49s">#REF!</definedName>
    <definedName name="rng51s">#REF!</definedName>
    <definedName name="rng53f">#REF!</definedName>
    <definedName name="rng53s">#REF!</definedName>
    <definedName name="rng54f">#REF!</definedName>
    <definedName name="rng54s">#REF!</definedName>
    <definedName name="rng55f">#REF!</definedName>
    <definedName name="rng55s">#REF!</definedName>
    <definedName name="rng56f">#REF!</definedName>
    <definedName name="rng56s">#REF!</definedName>
    <definedName name="rng57f">#REF!</definedName>
    <definedName name="rng57s">#REF!</definedName>
    <definedName name="rng58f">#REF!</definedName>
    <definedName name="rng58s">#REF!</definedName>
    <definedName name="rng59f">#REF!</definedName>
    <definedName name="rng59s">#REF!</definedName>
    <definedName name="rng5s">#REF!</definedName>
    <definedName name="rng60f">#REF!</definedName>
    <definedName name="rng60s">#REF!</definedName>
    <definedName name="rng61f">#REF!</definedName>
    <definedName name="rng61s">#REF!</definedName>
    <definedName name="rng62f">#REF!</definedName>
    <definedName name="rng63f">#REF!</definedName>
    <definedName name="rng64f">#REF!</definedName>
    <definedName name="rng6s">#REF!</definedName>
    <definedName name="rng7s">#REF!</definedName>
    <definedName name="rng8s">#REF!</definedName>
    <definedName name="rng9s">#REF!</definedName>
    <definedName name="ROADproforma">#N/A</definedName>
    <definedName name="ROIC">#REF!</definedName>
    <definedName name="s">#REF!</definedName>
    <definedName name="S_Equity">#REF!</definedName>
    <definedName name="s1_">#REF!</definedName>
    <definedName name="s2_">#REF!</definedName>
    <definedName name="sad">#N/A</definedName>
    <definedName name="sbjct">#REF!</definedName>
    <definedName name="SCEN">#REF!</definedName>
    <definedName name="SCORECARD">#REF!</definedName>
    <definedName name="SearchStorage">#REF!</definedName>
    <definedName name="seattle">#REF!</definedName>
    <definedName name="segment">#REF!</definedName>
    <definedName name="SEK_EUR">#REF!</definedName>
    <definedName name="sencount" hidden="1">1</definedName>
    <definedName name="Senior_Credit">#REF!</definedName>
    <definedName name="Senior_Hold_Credit">#REF!</definedName>
    <definedName name="seniorRate">"SrRate"</definedName>
    <definedName name="SENS">#REF!</definedName>
    <definedName name="Sensitivity_Output">#REF!</definedName>
    <definedName name="shareholding">#REF!</definedName>
    <definedName name="shares">#REF!</definedName>
    <definedName name="SharesConvertibleSecurities">0</definedName>
    <definedName name="SharesFullyDiluted">0</definedName>
    <definedName name="SharesOptions">0</definedName>
    <definedName name="SharesOutstandingOther">0</definedName>
    <definedName name="SharesOutstandingSenior">0</definedName>
    <definedName name="SharesOutstandingSubordinate">0</definedName>
    <definedName name="SharesPrimary">0</definedName>
    <definedName name="SharesWarrants">0</definedName>
    <definedName name="SHIPSUMMARY">#REF!</definedName>
    <definedName name="sigma">#REF!</definedName>
    <definedName name="slvg">#REF!</definedName>
    <definedName name="sName">#N/A</definedName>
    <definedName name="sName1">#N/A</definedName>
    <definedName name="sources.uses">#REF!</definedName>
    <definedName name="spcurr_date">#REF!</definedName>
    <definedName name="Spectrum">#REF!</definedName>
    <definedName name="spln">#REF!</definedName>
    <definedName name="Spread">#REF!</definedName>
    <definedName name="Sprint_Corporation_Annual_Earnings_Model">#REF!</definedName>
    <definedName name="Sprint_Corporation_Annual_Margin_Analysis">#REF!</definedName>
    <definedName name="Sprint_Corporation_Annual_Revenues_Model">#REF!</definedName>
    <definedName name="Sprint_PCS_Valuation">#REF!</definedName>
    <definedName name="SprintCom">#REF!</definedName>
    <definedName name="SrRate">"SrRating"</definedName>
    <definedName name="start">#REF!</definedName>
    <definedName name="Start100">#REF!</definedName>
    <definedName name="Start101">#REF!</definedName>
    <definedName name="Start102">#REF!</definedName>
    <definedName name="Start103">#REF!</definedName>
    <definedName name="Start104">#REF!</definedName>
    <definedName name="Start105">#REF!</definedName>
    <definedName name="Start106">#REF!</definedName>
    <definedName name="Start107">#REF!</definedName>
    <definedName name="Start108">#REF!</definedName>
    <definedName name="Start109">#REF!</definedName>
    <definedName name="Start110">#REF!</definedName>
    <definedName name="Start111">#REF!</definedName>
    <definedName name="Start112">#REF!</definedName>
    <definedName name="Start113">#REF!</definedName>
    <definedName name="Start114">#REF!</definedName>
    <definedName name="Start115">#REF!</definedName>
    <definedName name="Start116">#REF!</definedName>
    <definedName name="Start117">#REF!</definedName>
    <definedName name="Start118">#REF!</definedName>
    <definedName name="Start119">#REF!</definedName>
    <definedName name="Start12">#REF!</definedName>
    <definedName name="Start13">#REF!</definedName>
    <definedName name="Start14">#REF!</definedName>
    <definedName name="Start15">#REF!</definedName>
    <definedName name="Start16">#REF!</definedName>
    <definedName name="Start17">#REF!</definedName>
    <definedName name="Start18">#REF!</definedName>
    <definedName name="Start19">#REF!</definedName>
    <definedName name="Start2">#REF!</definedName>
    <definedName name="Start20">#REF!</definedName>
    <definedName name="Start21">#REF!</definedName>
    <definedName name="Start22">#REF!</definedName>
    <definedName name="Start23">#REF!</definedName>
    <definedName name="Start24">#REF!</definedName>
    <definedName name="Start25">#REF!</definedName>
    <definedName name="Start26">#REF!</definedName>
    <definedName name="Start27">#REF!</definedName>
    <definedName name="Start28">#REF!</definedName>
    <definedName name="Start29">#REF!</definedName>
    <definedName name="Start30">#REF!</definedName>
    <definedName name="Start31">#REF!</definedName>
    <definedName name="Start32">#REF!</definedName>
    <definedName name="Start33">#REF!</definedName>
    <definedName name="Start34">#REF!</definedName>
    <definedName name="Start35">#REF!</definedName>
    <definedName name="Start36">#REF!</definedName>
    <definedName name="Start37">#REF!</definedName>
    <definedName name="Start38">#REF!</definedName>
    <definedName name="Start39">#REF!</definedName>
    <definedName name="Start40">#REF!</definedName>
    <definedName name="Start41">#REF!</definedName>
    <definedName name="Start42">#REF!</definedName>
    <definedName name="Start43">#REF!</definedName>
    <definedName name="Start44">#REF!</definedName>
    <definedName name="Start45">#REF!</definedName>
    <definedName name="Start46">#REF!</definedName>
    <definedName name="Start47">#REF!</definedName>
    <definedName name="Start48">#REF!</definedName>
    <definedName name="Start49">#REF!</definedName>
    <definedName name="Start50">#REF!</definedName>
    <definedName name="Start51">#REF!</definedName>
    <definedName name="Start52">#REF!</definedName>
    <definedName name="Start53">#REF!</definedName>
    <definedName name="Start54">#REF!</definedName>
    <definedName name="Start55">#REF!</definedName>
    <definedName name="Start56">#REF!</definedName>
    <definedName name="Start57">#REF!</definedName>
    <definedName name="Start58">#REF!</definedName>
    <definedName name="Start59">#REF!</definedName>
    <definedName name="Start60">#REF!</definedName>
    <definedName name="Start61">#REF!</definedName>
    <definedName name="Start62">#REF!</definedName>
    <definedName name="Start63">#REF!</definedName>
    <definedName name="Start64">#REF!</definedName>
    <definedName name="Start65">#REF!</definedName>
    <definedName name="Start66">#REF!</definedName>
    <definedName name="Start67">#REF!</definedName>
    <definedName name="Start68">#REF!</definedName>
    <definedName name="Start69">#REF!</definedName>
    <definedName name="Start70">#REF!</definedName>
    <definedName name="Start71">#REF!</definedName>
    <definedName name="Start72">#REF!</definedName>
    <definedName name="Start73">#REF!</definedName>
    <definedName name="Start74">#REF!</definedName>
    <definedName name="Start75">#REF!</definedName>
    <definedName name="Start76">#REF!</definedName>
    <definedName name="Start77">#REF!</definedName>
    <definedName name="Start78">#REF!</definedName>
    <definedName name="Start79">#REF!</definedName>
    <definedName name="Start80">#REF!</definedName>
    <definedName name="Start81">#REF!</definedName>
    <definedName name="Start82">#REF!</definedName>
    <definedName name="Start83">#REF!</definedName>
    <definedName name="Start84">#REF!</definedName>
    <definedName name="Start85">#REF!</definedName>
    <definedName name="Start86">#REF!</definedName>
    <definedName name="Start87">#REF!</definedName>
    <definedName name="Start88">#REF!</definedName>
    <definedName name="Start89">#REF!</definedName>
    <definedName name="Start90">#REF!</definedName>
    <definedName name="Start91">#REF!</definedName>
    <definedName name="Start92">#REF!</definedName>
    <definedName name="Start93">#REF!</definedName>
    <definedName name="Start94">#REF!</definedName>
    <definedName name="Start95">#REF!</definedName>
    <definedName name="Start96">#REF!</definedName>
    <definedName name="Start97">#REF!</definedName>
    <definedName name="Start98">#REF!</definedName>
    <definedName name="Start99">#REF!</definedName>
    <definedName name="Statement_of_CF">#REF!</definedName>
    <definedName name="StatsAccessLinesDomesticInternationalTotalAverage">0</definedName>
    <definedName name="StatsAccessLinesTotalAverage">0</definedName>
    <definedName name="StatsAverageMonthlyRevenue">0</definedName>
    <definedName name="StatsEmployeesConsolidatedInternational">0</definedName>
    <definedName name="StatsEmployeesTelephoneInternational">0</definedName>
    <definedName name="StatsPagingAverageMonthlyRevenue">0</definedName>
    <definedName name="StatsPagingSubscribers">0</definedName>
    <definedName name="StatsPenetration">0</definedName>
    <definedName name="StatsPOPS">0</definedName>
    <definedName name="StatsProportionatePenetration">0</definedName>
    <definedName name="StatsProportionatePOPS">0</definedName>
    <definedName name="StatsProportionateSubscribersAverage">0</definedName>
    <definedName name="StatsProportionateSubscribersBeginning">0</definedName>
    <definedName name="StatsProportionateSubscribersEnding">0</definedName>
    <definedName name="StatsProportionateSubscribersNetAdds">0</definedName>
    <definedName name="StatsSubscribersAverage">0</definedName>
    <definedName name="StatsSubscribersBeginning">0</definedName>
    <definedName name="StatsSubscribersEnding">0</definedName>
    <definedName name="StatsSubscribersNetAdds">0</definedName>
    <definedName name="stock">#REF!</definedName>
    <definedName name="stock_prices">#REF!</definedName>
    <definedName name="stock1day">#REF!</definedName>
    <definedName name="stock1week">#REF!</definedName>
    <definedName name="stock2">#REF!</definedName>
    <definedName name="stock4week">#REF!</definedName>
    <definedName name="stockcount">#REF!</definedName>
    <definedName name="strikec1">#REF!</definedName>
    <definedName name="strikec2">#REF!</definedName>
    <definedName name="strikec3">#REF!</definedName>
    <definedName name="strikep1">#REF!</definedName>
    <definedName name="strikep2">#REF!</definedName>
    <definedName name="strikep3">#REF!</definedName>
    <definedName name="Sub_Credit">#REF!</definedName>
    <definedName name="subs.stats">#REF!</definedName>
    <definedName name="sum">#REF!</definedName>
    <definedName name="sumdata">#REF!</definedName>
    <definedName name="SUMMARY">#REF!</definedName>
    <definedName name="SuspendRefUpd" hidden="1">FALSE</definedName>
    <definedName name="syn">#REF!</definedName>
    <definedName name="SYNDICATION">#REF!</definedName>
    <definedName name="synergies">#REF!</definedName>
    <definedName name="synergies2">#REF!</definedName>
    <definedName name="Synergy">#REF!</definedName>
    <definedName name="Synergy2">#REF!</definedName>
    <definedName name="t">#REF!</definedName>
    <definedName name="targ_analystused">#REF!</definedName>
    <definedName name="targ_analystuseddate">#REF!</definedName>
    <definedName name="targ_balsheet_source">#REF!</definedName>
    <definedName name="targ_balsheet_sourcedate">#REF!</definedName>
    <definedName name="targ_bv">#REF!</definedName>
    <definedName name="targ_case1">#REF!</definedName>
    <definedName name="targ_case2">#REF!</definedName>
    <definedName name="targ_case3">#REF!</definedName>
    <definedName name="targ_case4">#REF!</definedName>
    <definedName name="targ_caseused">#REF!</definedName>
    <definedName name="targ_cash">#REF!</definedName>
    <definedName name="targ_cda_sourcedate">#REF!</definedName>
    <definedName name="targ_cy0ebit">#REF!</definedName>
    <definedName name="targ_cy0ebitda">#REF!</definedName>
    <definedName name="targ_cy0eps">#REF!</definedName>
    <definedName name="targ_cy0gp">#REF!</definedName>
    <definedName name="targ_cy0ni">#REF!</definedName>
    <definedName name="targ_cy0revs">#REF!</definedName>
    <definedName name="targ_cy1ebit">#REF!</definedName>
    <definedName name="targ_cy1ebitda">#REF!</definedName>
    <definedName name="targ_cy1eps">#REF!</definedName>
    <definedName name="targ_cy1gp">#REF!</definedName>
    <definedName name="targ_cy1ni">#REF!</definedName>
    <definedName name="targ_cy1revs">#REF!</definedName>
    <definedName name="targ_cy2ebit">#REF!</definedName>
    <definedName name="targ_cy2ebitda">#REF!</definedName>
    <definedName name="targ_cy2eps">#REF!</definedName>
    <definedName name="targ_cy2gp">#REF!</definedName>
    <definedName name="targ_cy2ni">#REF!</definedName>
    <definedName name="targ_cy2revs">#REF!</definedName>
    <definedName name="targ_cy3ebit">#REF!</definedName>
    <definedName name="targ_cy3ebitda">#REF!</definedName>
    <definedName name="targ_cy3eps">#REF!</definedName>
    <definedName name="targ_cy3gp">#REF!</definedName>
    <definedName name="targ_cy3ni">#REF!</definedName>
    <definedName name="targ_cy3revs">#REF!</definedName>
    <definedName name="targ_debt">#REF!</definedName>
    <definedName name="targ_emp_ga">#REF!</definedName>
    <definedName name="targ_emp_manu">#REF!</definedName>
    <definedName name="targ_emp_rd">#REF!</definedName>
    <definedName name="targ_emp_sales">#REF!</definedName>
    <definedName name="targ_emp_source">#REF!</definedName>
    <definedName name="targ_emp_sourcedate">#REF!</definedName>
    <definedName name="targ_emp_total">#REF!</definedName>
    <definedName name="targ_fc">#REF!</definedName>
    <definedName name="targ_fc_cy0eps">#REF!</definedName>
    <definedName name="targ_fc_cy0fdshares">#REF!</definedName>
    <definedName name="targ_fc_cy1eps">#REF!</definedName>
    <definedName name="targ_fc_cy1fdshares">#REF!</definedName>
    <definedName name="targ_fc_cy2eps">#REF!</definedName>
    <definedName name="targ_fc_cy2fdshares">#REF!</definedName>
    <definedName name="targ_fc_cy3eps">#REF!</definedName>
    <definedName name="targ_fc_cy3fdshares">#REF!</definedName>
    <definedName name="targ_fc_ltgr">#REF!</definedName>
    <definedName name="targ_fcshares">#REF!</definedName>
    <definedName name="targ_fcswitch">#REF!</definedName>
    <definedName name="targ_fdamv">#REF!</definedName>
    <definedName name="targ_fdemv">#REF!</definedName>
    <definedName name="targ_fdemv_test">#REF!</definedName>
    <definedName name="targ_fdshares">#REF!</definedName>
    <definedName name="targ_fye">#REF!</definedName>
    <definedName name="targ_inc">#REF!</definedName>
    <definedName name="targ_itm_optionsout">#REF!</definedName>
    <definedName name="targ_lqe">#REF!</definedName>
    <definedName name="targ_ltest">#REF!</definedName>
    <definedName name="targ_ltgr">#REF!</definedName>
    <definedName name="targ_ltmebit">#REF!</definedName>
    <definedName name="targ_ltmebitda">#REF!</definedName>
    <definedName name="targ_ltmeps">#REF!</definedName>
    <definedName name="targ_ltmgp">#REF!</definedName>
    <definedName name="targ_ltmni">#REF!</definedName>
    <definedName name="targ_ltmrevs">#REF!</definedName>
    <definedName name="targ_ltrevgr">#REF!</definedName>
    <definedName name="targ_ltsharecreep">#REF!</definedName>
    <definedName name="targ_name">#REF!</definedName>
    <definedName name="targ_ntmeps">#REF!</definedName>
    <definedName name="targ_number">#REF!</definedName>
    <definedName name="targ_optionep">#REF!</definedName>
    <definedName name="targ_optionproceeds">#REF!</definedName>
    <definedName name="targ_options">#REF!</definedName>
    <definedName name="targ_optionsout">#REF!</definedName>
    <definedName name="targ_optionsout_source">#REF!</definedName>
    <definedName name="targ_optionsout_sourcedate">#REF!</definedName>
    <definedName name="targ_primshares">#REF!</definedName>
    <definedName name="targ_primshares_source">#REF!</definedName>
    <definedName name="targ_primshares_sourcedate">#REF!</definedName>
    <definedName name="targ_proxydate">#REF!</definedName>
    <definedName name="targ_sp30">#REF!</definedName>
    <definedName name="targ_spcurr">#REF!</definedName>
    <definedName name="targ_splast10">#REF!</definedName>
    <definedName name="targ_splast180">#REF!</definedName>
    <definedName name="targ_splast30">#REF!</definedName>
    <definedName name="targ_splast60">#REF!</definedName>
    <definedName name="targ_splast90">#REF!</definedName>
    <definedName name="targ_spltmavg">#REF!</definedName>
    <definedName name="targ_spltmhigh">#REF!</definedName>
    <definedName name="targ_spltmhighdate">#REF!</definedName>
    <definedName name="targ_spltmlow">#REF!</definedName>
    <definedName name="targ_spltmlowdate">#REF!</definedName>
    <definedName name="targ_spperavg">#REF!</definedName>
    <definedName name="targ_tangbv">#REF!</definedName>
    <definedName name="targ_tick">#REF!</definedName>
    <definedName name="Target">#REF!</definedName>
    <definedName name="target_call_price">#REF!</definedName>
    <definedName name="Target_Net_Debt">"targ_netdebt"</definedName>
    <definedName name="target2">#REF!</definedName>
    <definedName name="TarName">#REF!</definedName>
    <definedName name="tax">#REF!</definedName>
    <definedName name="tax_rate">38%</definedName>
    <definedName name="taxrate">#REF!</definedName>
    <definedName name="tcgi">#REF!</definedName>
    <definedName name="TCGI97">#REF!</definedName>
    <definedName name="tciva">#REF!</definedName>
    <definedName name="tcoma">#REF!</definedName>
    <definedName name="tcomb">#REF!</definedName>
    <definedName name="tech1day">#REF!</definedName>
    <definedName name="tech1week">#REF!</definedName>
    <definedName name="tech4week">#REF!</definedName>
    <definedName name="techcash1day">#REF!</definedName>
    <definedName name="techcash1week">#REF!</definedName>
    <definedName name="techcash4week">#REF!</definedName>
    <definedName name="techcashcount">#REF!</definedName>
    <definedName name="techcount">#REF!</definedName>
    <definedName name="TechExpenses">#REF!</definedName>
    <definedName name="TELEPHONY_CAPEX">#REF!</definedName>
    <definedName name="TELEPHONY_PENETRATION">#REF!</definedName>
    <definedName name="TELEPHONY_PRICING">#REF!</definedName>
    <definedName name="TELEPHONY_SUBSCRIBER_FORECAST">#REF!</definedName>
    <definedName name="Template.WIRE.DBAccess.CalcMode">"Async"</definedName>
    <definedName name="TERMS">#REF!</definedName>
    <definedName name="test" hidden="1">#REF!</definedName>
    <definedName name="This_Year">"1998E"</definedName>
    <definedName name="tinta">#REF!</definedName>
    <definedName name="title">#REF!</definedName>
    <definedName name="Total_Fair_Market_Value_Per_Share">"dcfval03"</definedName>
    <definedName name="TotalMonthlyExpenses">SUM(#REF!)</definedName>
    <definedName name="TotalMonthlyIncome">SUM(#REF!)</definedName>
    <definedName name="TotalOtherExp">#REF!</definedName>
    <definedName name="transfer2">#REF!</definedName>
    <definedName name="transfer3">#REF!</definedName>
    <definedName name="transfer4">#REF!</definedName>
    <definedName name="TRANSFEROVHD">#REF!</definedName>
    <definedName name="transtech">#REF!</definedName>
    <definedName name="u1_">#REF!</definedName>
    <definedName name="u2_">#REF!</definedName>
    <definedName name="uid">#REF!</definedName>
    <definedName name="Unsorting_Table">#REF!</definedName>
    <definedName name="ups">#REF!</definedName>
    <definedName name="USD_EUR">#REF!</definedName>
    <definedName name="USSCONTRACTA">#REF!</definedName>
    <definedName name="USSTOTALCOST">#REF!</definedName>
    <definedName name="uvsga">#REF!</definedName>
    <definedName name="v1_">#REF!</definedName>
    <definedName name="v2_">#REF!</definedName>
    <definedName name="VALUATION">#REF!</definedName>
    <definedName name="Valuation_Metrics">#REF!</definedName>
    <definedName name="ValuationAdjustmentsOther">0</definedName>
    <definedName name="ValuationAdjustmentsValue">0</definedName>
    <definedName name="valuationArea">#REF!</definedName>
    <definedName name="ValuationCellularValue">0</definedName>
    <definedName name="ValuationDate">#REF!</definedName>
    <definedName name="ValuationDebtAdjustment">0</definedName>
    <definedName name="ValuationDebtNet">0</definedName>
    <definedName name="ValuationDebtTotal">0</definedName>
    <definedName name="ValuationFirmValue">0</definedName>
    <definedName name="ValuationInvestments">0</definedName>
    <definedName name="ValuationMarketCapitalization">0</definedName>
    <definedName name="ValuationOtherValue">0</definedName>
    <definedName name="ValuationPagingValue">0</definedName>
    <definedName name="ValuationTelephoneValue">0</definedName>
    <definedName name="ValuationWirelessValue">0</definedName>
    <definedName name="ValuationYear">#REF!</definedName>
    <definedName name="value1">#REF!</definedName>
    <definedName name="Valueomc">#REF!</definedName>
    <definedName name="VIDEO_ARPU_FORECAST">#REF!</definedName>
    <definedName name="VIDEO_CAPEX">#REF!</definedName>
    <definedName name="VIDEO_EBITDA">#REF!</definedName>
    <definedName name="VIDEO_GROSS_PROFIT">#REF!</definedName>
    <definedName name="VIDEO_SAC_EXPENSES">#REF!</definedName>
    <definedName name="VIDEOA_REVENUE">#REF!</definedName>
    <definedName name="VOL_MIX">#REF!</definedName>
    <definedName name="w">#REF!</definedName>
    <definedName name="Wacc1">#REF!</definedName>
    <definedName name="wacc2">#REF!</definedName>
    <definedName name="wiop">#N/A</definedName>
    <definedName name="WIRELESS">#REF!</definedName>
    <definedName name="WordMatrix">#REF!</definedName>
    <definedName name="wqwqwwq">#N/A</definedName>
    <definedName name="wrn.Accounts." hidden="1">{"turnover",#N/A,FALSE;"profits",#N/A,FALSE;"cash",#N/A,FALSE}</definedName>
    <definedName name="wrn.adj95." hidden="1">{"adj95mult",#N/A,FALSE,"COMPCO";"adj95est",#N/A,FALSE,"COMPCO"}</definedName>
    <definedName name="wrn.Aging._.and._.Trend._.Analysis." hidden="1">{#N/A,#N/A,FALSE,"Aging Summary";#N/A,#N/A,FALSE,"Ratio Analysis";#N/A,#N/A,FALSE,"Test 120 Day Accts";#N/A,#N/A,FALSE,"Tickmarks"}</definedName>
    <definedName name="wrn.All." hidden="1">{"Matrix",#N/A,FALSE,"ACQMTRX";"Fees",#N/A,FALSE,"ACQMTRX"}</definedName>
    <definedName name="wrn.COMPCO." hidden="1">{"Page1",#N/A,FALSE,"CompCo";"Page2",#N/A,FALSE,"CompCo"}</definedName>
    <definedName name="wrn.DCF." hidden="1">{"DCF1",#N/A,FALSE,"SIERRA DCF";"MATRIX1",#N/A,FALSE,"SIERRA DCF"}</definedName>
    <definedName name="wrn.djall." hidden="1">{"djcash",#N/A,FALSE,"DJann";"djinc",#N/A,FALSE,"DJann";"djtaxes",#N/A,FALSE,"DJann";"djbuspub",#N/A,FALSE,"DJann";"djwall",#N/A,FALSE,"DJann";"djcompprs",#N/A,FALSE,"DJann";"djteler",#N/A,FALSE,"DJann"}</definedName>
    <definedName name="wrn.Economic._.Value._.Added._.Analysis." hidden="1">{"EVA",#N/A,FALSE,"EVA";"WACC",#N/A,FALSE,"WACC"}</definedName>
    <definedName name="wrn.ecpall." hidden="1">{"ecpcash",#N/A,FALSE,"ECPann";"ecpinc",#N/A,FALSE,"ECPann";"ecpindia",#N/A,FALSE,"ECPann";"ecpmun",#N/A,FALSE,"ECPann";"ecpphoenix",#N/A,FALSE,"ECPann";"ecpothe",#N/A,FALSE,"ECPann";"ecpbalsht",#N/A,FALSE,"ECPann"}</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GCIall." hidden="1">{"gcicash",#N/A,FALSE,"GCIINC";"gciinc",#N/A,FALSE,"GCIINC";"gciexclusa",#N/A,FALSE,"GCIINC";"usatdy",#N/A,FALSE,"GCIINC"}</definedName>
    <definedName name="wrn.K3._.Annual." hidden="1">{"K3Cash",#N/A,FALSE,"Ann";"K3Income",#N/A,FALSE,"Ann";"K3Educ",#N/A,FALSE,"Ann";"K3media",#N/A,FALSE,"Ann";"K3Info",#N/A,FALSE,"Ann";"K3Valuation",#N/A,FALSE,"Ann"}</definedName>
    <definedName name="wrn.K3._.Quarterly." hidden="1">{"K3 first",#N/A,FALSE,"Qtr.";"K3 second",#N/A,FALSE,"Qtr.";"K3 Third",#N/A,FALSE,"Qtr.";"K3 Fourth",#N/A,FALSE,"Qtr.";"K3 Full",#N/A,FALSE,"Qtr."}</definedName>
    <definedName name="wrn.kriall." hidden="1">{"kricash",#N/A,FALSE,"INC";"kriinc",#N/A,FALSE,"INC";"krimiami",#N/A,FALSE,"INC";"kriother",#N/A,FALSE,"INC";"kripapers",#N/A,FALSE,"INC"}</definedName>
    <definedName name="wrn.Leases.xls." hidden="1">{#N/A,#N/A,FALSE,"Initial Year";#N/A,#N/A,FALSE,"Historical";#N/A,#N/A,FALSE,"balsheet";#N/A,#N/A,FALSE,"incstate";#N/A,#N/A,FALSE,"Fleet"}</definedName>
    <definedName name="wrn.mhpall." hidden="1">{"mhpcash",#N/A,FALSE,"MHPNEWX";"mhpinc",#N/A,FALSE,"MHPNEWX";"mhptax",#N/A,FALSE,"MHPNEWX";"mhpbroad",#N/A,FALSE,"MHPNEWX";"mhpeduc",#N/A,FALSE,"MHPNEWX";"mhpfin",#N/A,FALSE,"MHPNEWX";"mhpinfo",#N/A,FALSE,"MHPNEWX"}</definedName>
    <definedName name="wrn.nytaann." hidden="1">{"nytacash",#N/A,FALSE,"GLOBEINC";"nytainc",#N/A,FALSE,"GLOBEINC";"nytanyt",#N/A,FALSE,"GLOBEINC";"nytareg",#N/A,FALSE,"GLOBEINC";"nytaglobe",#N/A,FALSE,"GLOBEINC";"nytapprttl",#N/A,FALSE,"GLOBEINC"}</definedName>
    <definedName name="wrn.OUTPUT." hidden="1">{"DCF","UPSIDE CASE",FALSE,"Sheet1";"DCF","BASE CASE",FALSE,"Sheet1";"DCF","DOWNSIDE CASE",FALSE,"Sheet1"}</definedName>
    <definedName name="wrn.printqtr." hidden="1">{"nytasecond",#N/A,FALSE,"NYTQTRS";"nytafirst",#N/A,FALSE,"NYTQTRS";"nytathird",#N/A,FALSE,"NYTQTRS";"nytafourth",#N/A,FALSE,"NYTQTRS";"nytafull",#N/A,FALSE,"NYTQTRS"}</definedName>
    <definedName name="wrn.sales." hidden="1">{"sales",#N/A,FALSE,"Sales";"sales existing",#N/A,FALSE,"Sales";"sales rd1",#N/A,FALSE,"Sales";"sales rd2",#N/A,FALSE,"Sales"}</definedName>
    <definedName name="wrn.sspall." hidden="1">{"sspcash",#N/A,FALSE,"EWSINCX";"sspinc",#N/A,FALSE,"EWSINCX";"ssptax",#N/A,FALSE,"EWSINCX";"ssppub",#N/A,FALSE,"EWSINCX";"sspperchgetc",#N/A,FALSE,"EWSINCX";"sspevan",#N/A,FALSE,"EWSINCX";"sspbroad",#N/A,FALSE,"EWSINCX";"sspbroadcont",#N/A,FALSE,"EWSINCX";"sspcable",#N/A,FALSE,"EWSINCX";"sspent",#N/A,FALSE,"EWSINCX"}</definedName>
    <definedName name="wrn.TMCALL." hidden="1">{"tmccash",#N/A,FALSE,"INCX";"tmcinc",#N/A,FALSE,"INCX";"tmcpretx",#N/A,FALSE,"INCX";"tmcadrev",#N/A,FALSE,"INCX";"tmcbooks",#N/A,FALSE,"INCX"}</definedName>
    <definedName name="wrn.trball." hidden="1">{"trbcash",#N/A,FALSE,"INCPF";"trbinc",#N/A,FALSE,"INCPF";"trbchic",#N/A,FALSE,"INCPF";"trbadrev",#N/A,FALSE,"INCPF";"trbstns",#N/A,FALSE,"INCPF";"trbtvstns",#N/A,FALSE,"INCPF"}</definedName>
    <definedName name="wrn.Trended._.BS." hidden="1">{"TrendLiab",#N/A,FALSE,"Balance Sheet";"TrendAssets",#N/A,FALSE,"Balance Sheet"}</definedName>
    <definedName name="wrn.twxmodel." hidden="1">{"twx1",#N/A,FALSE,"twltm.xls";"twx2",#N/A,FALSE,"twltm.xls";"twx3",#N/A,FALSE,"twltm.xls"}</definedName>
    <definedName name="wrn.wpoall." hidden="1">{"wpocash",#N/A,FALSE,"WPOALLT";"wpoinc",#N/A,FALSE,"WPOALLT";"wpoexcl",#N/A,FALSE,"WPOALLT";"wpocable",#N/A,FALSE,"WPOALLT";"wpobroad",#N/A,FALSE,"WPOALLT";"wpopost",#N/A,FALSE,"WPOALLT";"wponwsweek",#N/A,FALSE,"WPOALLT"}</definedName>
    <definedName name="wvu.cash." hidden="1">{TRUE,TRUE,-1.25,-15.5,456.75,279.75,FALSE,FALSE,TRUE,TRUE,0,1,18,1,199,6,3,4,TRUE,TRUE,3,TRUE,1,TRUE,100,"Swvu.cash.","ACwvu.cash.",1,FALSE,FALSE,0.511811023622047,0.511811023622047,0.511811023622047,0.511811023622047,1,"","",FALSE,FALSE,FALSE,FALSE,1,#N/A,1,1,#DIV/0!,FALSE,"Rwvu.cash.",#N/A,FALSE,FALSE}</definedName>
    <definedName name="wvu.profits." hidden="1">{TRUE,TRUE,-1.25,-15.5,456.75,279.75,FALSE,FALSE,TRUE,TRUE,0,1,21,1,127,6,3,4,TRUE,TRUE,3,TRUE,1,TRUE,100,"Swvu.profits.","ACwvu.profits.",1,FALSE,FALSE,0.511811023622047,0.511811023622047,0.511811023622047,0.511811023622047,1,"","",FALSE,FALSE,FALSE,FALSE,1,#N/A,1,1,#DIV/0!,FALSE,"Rwvu.profits.",#N/A,FALSE,FALSE}</definedName>
    <definedName name="wvu.turnover." hidden="1">{TRUE,TRUE,-1.25,-15.5,456.75,279.75,FALSE,FALSE,TRUE,TRUE,0,1,8,1,4,6,3,4,TRUE,TRUE,3,TRUE,1,TRUE,100,"Swvu.turnover.","ACwvu.turnover.",1,FALSE,FALSE,0.511811023622047,0.511811023622047,0.511811023622047,0.511811023622047,1,"","",FALSE,FALSE,FALSE,FALSE,1,#N/A,1,1,#DIV/0!,FALSE,"Rwvu.turnover.",#N/A,FALSE,FALSE}</definedName>
    <definedName name="x">#REF!</definedName>
    <definedName name="x1_">#REF!</definedName>
    <definedName name="x2_">#REF!</definedName>
    <definedName name="xrate">#REF!</definedName>
    <definedName name="xysz" hidden="1">{TRUE,TRUE,-1.25,-15.5,456.75,279.75,FALSE,FALSE,TRUE,TRUE,0,1,21,1,127,6,3,4,TRUE,TRUE,3,TRUE,1,TRUE,100,"Swvu.profits.","ACwvu.profits.",1,FALSE,FALSE,0.511811023622047,0.511811023622047,0.511811023622047,0.511811023622047,1,"","",FALSE,FALSE,FALSE,FALSE,1,#N/A,1,1,#DIV/0!,FALSE,"Rwvu.profits.",#N/A,FALSE,FALSE}</definedName>
    <definedName name="y">#REF!</definedName>
    <definedName name="Year_End">1988</definedName>
    <definedName name="year1">#REF!</definedName>
    <definedName name="year2">#REF!</definedName>
    <definedName name="yioyio" hidden="1">{"Page1",#N/A,FALSE,"CompCo";"Page2",#N/A,FALSE,"CompCo"}</definedName>
    <definedName name="YrEnd_FFr_USD">0.1767</definedName>
    <definedName name="yrs">#REF!</definedName>
    <definedName name="yy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4" l="1" a="1"/>
  <c r="I5" i="4" s="1"/>
  <c r="J4" i="4"/>
  <c r="I4" i="4"/>
  <c r="J5" i="4" s="1" a="1"/>
  <c r="J5" i="4" s="1"/>
  <c r="G65" i="3"/>
  <c r="F65" i="3"/>
  <c r="E65" i="3"/>
  <c r="H45" i="3"/>
  <c r="F45" i="3"/>
  <c r="F49" i="3" s="1"/>
  <c r="E45" i="3"/>
  <c r="E49" i="3" s="1"/>
  <c r="D40" i="3"/>
  <c r="M39" i="3"/>
  <c r="L39" i="3"/>
  <c r="G39" i="3"/>
  <c r="F39" i="3"/>
  <c r="F40" i="3" s="1"/>
  <c r="E39" i="3"/>
  <c r="N38" i="3"/>
  <c r="N39" i="3" s="1"/>
  <c r="F38" i="3"/>
  <c r="E38" i="3"/>
  <c r="G38" i="3" s="1"/>
  <c r="N37" i="3"/>
  <c r="F37" i="3"/>
  <c r="E37" i="3"/>
  <c r="G37" i="3" s="1"/>
  <c r="F36" i="3"/>
  <c r="E26" i="3"/>
  <c r="F19" i="3"/>
  <c r="E19" i="3"/>
  <c r="H18" i="3"/>
  <c r="G18" i="3"/>
  <c r="F18" i="3"/>
  <c r="E18" i="3"/>
  <c r="H17" i="3"/>
  <c r="H19" i="3" s="1"/>
  <c r="G17" i="3"/>
  <c r="F17" i="3"/>
  <c r="E17" i="3"/>
  <c r="F13" i="3"/>
  <c r="E13" i="3"/>
  <c r="H8" i="3"/>
  <c r="G8" i="3"/>
  <c r="G45" i="3" s="1"/>
  <c r="F8" i="3"/>
  <c r="E8" i="3"/>
  <c r="G7" i="3"/>
  <c r="AK682" i="1"/>
  <c r="CX676" i="1" a="1"/>
  <c r="CX676" i="1" s="1"/>
  <c r="CW676" i="1" a="1"/>
  <c r="CW676" i="1" s="1"/>
  <c r="CV676" i="1" a="1"/>
  <c r="CV676" i="1" s="1"/>
  <c r="CU676" i="1" a="1"/>
  <c r="CU676" i="1" s="1"/>
  <c r="CT676" i="1" a="1"/>
  <c r="CT676" i="1" s="1"/>
  <c r="CS676" i="1" a="1"/>
  <c r="CS676" i="1" s="1"/>
  <c r="CR676" i="1" a="1"/>
  <c r="CR676" i="1" s="1"/>
  <c r="CQ676" i="1" a="1"/>
  <c r="CQ676" i="1" s="1"/>
  <c r="CP676" i="1" a="1"/>
  <c r="CP676" i="1" s="1"/>
  <c r="CO676" i="1" a="1"/>
  <c r="CO676" i="1" s="1"/>
  <c r="CN676" i="1" a="1"/>
  <c r="CN676" i="1" s="1"/>
  <c r="CM676" i="1" a="1"/>
  <c r="CM676" i="1" s="1"/>
  <c r="CL676" i="1" a="1"/>
  <c r="CL676" i="1" s="1"/>
  <c r="CK676" i="1" a="1"/>
  <c r="CK676" i="1" s="1"/>
  <c r="CJ676" i="1" a="1"/>
  <c r="CJ676" i="1" s="1"/>
  <c r="CI676" i="1" a="1"/>
  <c r="CI676" i="1" s="1"/>
  <c r="CH676" i="1" a="1"/>
  <c r="CH676" i="1" s="1"/>
  <c r="CG676" i="1" a="1"/>
  <c r="CG676" i="1" s="1"/>
  <c r="CF676" i="1" a="1"/>
  <c r="CF676" i="1" s="1"/>
  <c r="CD676" i="1" a="1"/>
  <c r="CD676" i="1" s="1"/>
  <c r="CC676" i="1" a="1"/>
  <c r="CC676" i="1" s="1"/>
  <c r="CB676" i="1" a="1"/>
  <c r="CB676" i="1" s="1"/>
  <c r="CA676" i="1" a="1"/>
  <c r="CA676" i="1" s="1"/>
  <c r="BZ676" i="1" a="1"/>
  <c r="BZ676" i="1" s="1"/>
  <c r="BY676" i="1" a="1"/>
  <c r="BY676" i="1" s="1"/>
  <c r="BX676" i="1" a="1"/>
  <c r="BX676" i="1" s="1"/>
  <c r="BW676" i="1" a="1"/>
  <c r="BW676" i="1" s="1"/>
  <c r="BV676" i="1" a="1"/>
  <c r="BV676" i="1" s="1"/>
  <c r="BU676" i="1" a="1"/>
  <c r="BU676" i="1" s="1"/>
  <c r="BT676" i="1" a="1"/>
  <c r="BT676" i="1" s="1"/>
  <c r="BS676" i="1"/>
  <c r="BS676" i="1" a="1"/>
  <c r="BR676" i="1" a="1"/>
  <c r="BR676" i="1" s="1"/>
  <c r="BQ676" i="1" a="1"/>
  <c r="BQ676" i="1" s="1"/>
  <c r="BP676" i="1" a="1"/>
  <c r="BP676" i="1" s="1"/>
  <c r="BO676" i="1" a="1"/>
  <c r="BO676" i="1" s="1"/>
  <c r="BN676" i="1" a="1"/>
  <c r="BN676" i="1" s="1"/>
  <c r="BM676" i="1" a="1"/>
  <c r="BM676" i="1" s="1"/>
  <c r="BL676" i="1" a="1"/>
  <c r="BL676" i="1" s="1"/>
  <c r="BK676" i="1" a="1"/>
  <c r="BK676" i="1" s="1"/>
  <c r="BJ676" i="1" a="1"/>
  <c r="BJ676" i="1" s="1"/>
  <c r="BI676" i="1" a="1"/>
  <c r="BI676" i="1" s="1"/>
  <c r="BH676" i="1" a="1"/>
  <c r="BH676" i="1" s="1"/>
  <c r="BG676" i="1" a="1"/>
  <c r="BG676" i="1" s="1"/>
  <c r="BF676" i="1" a="1"/>
  <c r="BF676" i="1" s="1"/>
  <c r="BE676" i="1" a="1"/>
  <c r="BE676" i="1" s="1"/>
  <c r="BD676" i="1" a="1"/>
  <c r="BD676" i="1" s="1"/>
  <c r="BC676" i="1" a="1"/>
  <c r="BC676" i="1" s="1"/>
  <c r="BB676" i="1" a="1"/>
  <c r="BB676" i="1" s="1"/>
  <c r="BA676" i="1" a="1"/>
  <c r="BA676" i="1" s="1"/>
  <c r="AZ676" i="1" a="1"/>
  <c r="AZ676" i="1" s="1"/>
  <c r="AY676" i="1" a="1"/>
  <c r="AY676" i="1" s="1"/>
  <c r="AX676" i="1" a="1"/>
  <c r="AX676" i="1" s="1"/>
  <c r="AW676" i="1" a="1"/>
  <c r="AW676" i="1" s="1"/>
  <c r="AV676" i="1" a="1"/>
  <c r="AV676" i="1" s="1"/>
  <c r="AU676" i="1" a="1"/>
  <c r="AU676" i="1" s="1"/>
  <c r="AT676" i="1" a="1"/>
  <c r="AT676" i="1" s="1"/>
  <c r="AS676" i="1" a="1"/>
  <c r="AS676" i="1" s="1"/>
  <c r="AR676" i="1" a="1"/>
  <c r="AR676" i="1" s="1"/>
  <c r="AQ676" i="1" a="1"/>
  <c r="AQ676" i="1" s="1"/>
  <c r="AP676" i="1" a="1"/>
  <c r="AP676" i="1" s="1"/>
  <c r="AO676" i="1" a="1"/>
  <c r="AO676" i="1" s="1"/>
  <c r="AN676" i="1" a="1"/>
  <c r="AN676" i="1" s="1"/>
  <c r="AM676" i="1" a="1"/>
  <c r="AM676" i="1" s="1"/>
  <c r="AL676" i="1" a="1"/>
  <c r="AL676" i="1" s="1"/>
  <c r="AK676" i="1" a="1"/>
  <c r="AK676" i="1" s="1"/>
  <c r="AJ676" i="1" a="1"/>
  <c r="AJ676" i="1" s="1"/>
  <c r="AI676" i="1" a="1"/>
  <c r="AI676" i="1" s="1"/>
  <c r="AH676" i="1" a="1"/>
  <c r="AH676" i="1" s="1"/>
  <c r="AG676" i="1" a="1"/>
  <c r="AG676" i="1" s="1"/>
  <c r="AF676" i="1" a="1"/>
  <c r="AF676" i="1" s="1"/>
  <c r="AE676" i="1" a="1"/>
  <c r="AE676" i="1" s="1"/>
  <c r="AD676" i="1" a="1"/>
  <c r="AD676" i="1" s="1"/>
  <c r="AC676" i="1" a="1"/>
  <c r="AC676" i="1" s="1"/>
  <c r="AB676" i="1" a="1"/>
  <c r="AB676" i="1" s="1"/>
  <c r="AA676" i="1" a="1"/>
  <c r="AA676" i="1" s="1"/>
  <c r="Z676" i="1" a="1"/>
  <c r="Z676" i="1" s="1"/>
  <c r="Y676" i="1" a="1"/>
  <c r="Y676" i="1" s="1"/>
  <c r="X676" i="1" a="1"/>
  <c r="X676" i="1" s="1"/>
  <c r="W676" i="1" a="1"/>
  <c r="W676" i="1" s="1"/>
  <c r="V676" i="1" a="1"/>
  <c r="V676" i="1" s="1"/>
  <c r="U676" i="1" a="1"/>
  <c r="U676" i="1" s="1"/>
  <c r="T676" i="1" a="1"/>
  <c r="T676" i="1" s="1"/>
  <c r="S676" i="1" a="1"/>
  <c r="S676" i="1" s="1"/>
  <c r="CX673" i="1" a="1"/>
  <c r="CX673" i="1" s="1"/>
  <c r="CX674" i="1" s="1"/>
  <c r="CW673" i="1" a="1"/>
  <c r="CW673" i="1" s="1"/>
  <c r="CW674" i="1" s="1"/>
  <c r="CV673" i="1" a="1"/>
  <c r="CV673" i="1" s="1"/>
  <c r="CV674" i="1" s="1"/>
  <c r="CU673" i="1" a="1"/>
  <c r="CU673" i="1" s="1"/>
  <c r="CU674" i="1" s="1"/>
  <c r="CT673" i="1" a="1"/>
  <c r="CT673" i="1" s="1"/>
  <c r="CT674" i="1" s="1"/>
  <c r="CS673" i="1" a="1"/>
  <c r="CS673" i="1" s="1"/>
  <c r="CS674" i="1" s="1"/>
  <c r="CR673" i="1" a="1"/>
  <c r="CR673" i="1" s="1"/>
  <c r="CR674" i="1" s="1"/>
  <c r="CQ673" i="1" a="1"/>
  <c r="CQ673" i="1" s="1"/>
  <c r="CQ674" i="1" s="1"/>
  <c r="CP673" i="1" a="1"/>
  <c r="CP673" i="1" s="1"/>
  <c r="CP674" i="1" s="1"/>
  <c r="CO673" i="1" a="1"/>
  <c r="CO673" i="1" s="1"/>
  <c r="CO674" i="1" s="1"/>
  <c r="CN673" i="1" a="1"/>
  <c r="CN673" i="1" s="1"/>
  <c r="CM673" i="1" a="1"/>
  <c r="CM673" i="1" s="1"/>
  <c r="CL673" i="1" a="1"/>
  <c r="CL673" i="1" s="1"/>
  <c r="CK673" i="1" a="1"/>
  <c r="CK673" i="1" s="1"/>
  <c r="CJ673" i="1" a="1"/>
  <c r="CJ673" i="1" s="1"/>
  <c r="CI673" i="1" a="1"/>
  <c r="CI673" i="1" s="1"/>
  <c r="CH673" i="1" a="1"/>
  <c r="CH673" i="1" s="1"/>
  <c r="CG673" i="1" a="1"/>
  <c r="CG673" i="1" s="1"/>
  <c r="CF673" i="1" a="1"/>
  <c r="CF673" i="1" s="1"/>
  <c r="CD673" i="1" a="1"/>
  <c r="CD673" i="1" s="1"/>
  <c r="CC673" i="1" a="1"/>
  <c r="CC673" i="1" s="1"/>
  <c r="CB673" i="1" a="1"/>
  <c r="CB673" i="1" s="1"/>
  <c r="CA673" i="1" a="1"/>
  <c r="CA673" i="1" s="1"/>
  <c r="BZ673" i="1" a="1"/>
  <c r="BZ673" i="1" s="1"/>
  <c r="BZ674" i="1" s="1"/>
  <c r="BY673" i="1" a="1"/>
  <c r="BY673" i="1" s="1"/>
  <c r="BY674" i="1" s="1"/>
  <c r="BX673" i="1" a="1"/>
  <c r="BX673" i="1" s="1"/>
  <c r="BX674" i="1" s="1"/>
  <c r="BW673" i="1" a="1"/>
  <c r="BW673" i="1" s="1"/>
  <c r="BW674" i="1" s="1"/>
  <c r="BV673" i="1" a="1"/>
  <c r="BV673" i="1" s="1"/>
  <c r="BV674" i="1" s="1"/>
  <c r="BU673" i="1" a="1"/>
  <c r="BU673" i="1" s="1"/>
  <c r="BU674" i="1" s="1"/>
  <c r="BT673" i="1" a="1"/>
  <c r="BT673" i="1" s="1"/>
  <c r="BT674" i="1" s="1"/>
  <c r="BS673" i="1" a="1"/>
  <c r="BS673" i="1" s="1"/>
  <c r="BS674" i="1" s="1"/>
  <c r="BR673" i="1" a="1"/>
  <c r="BR673" i="1" s="1"/>
  <c r="BR674" i="1" s="1"/>
  <c r="BQ673" i="1" a="1"/>
  <c r="BQ673" i="1" s="1"/>
  <c r="BQ674" i="1" s="1"/>
  <c r="BP673" i="1" a="1"/>
  <c r="BP673" i="1" s="1"/>
  <c r="BP674" i="1" s="1"/>
  <c r="BO673" i="1" a="1"/>
  <c r="BO673" i="1" s="1"/>
  <c r="BO674" i="1" s="1"/>
  <c r="BN673" i="1" a="1"/>
  <c r="BN673" i="1" s="1"/>
  <c r="BN674" i="1" s="1"/>
  <c r="BM673" i="1" a="1"/>
  <c r="BM673" i="1" s="1"/>
  <c r="BM674" i="1" s="1"/>
  <c r="BL673" i="1" a="1"/>
  <c r="BL673" i="1" s="1"/>
  <c r="BL674" i="1" s="1"/>
  <c r="BK673" i="1" a="1"/>
  <c r="BK673" i="1" s="1"/>
  <c r="BK674" i="1" s="1"/>
  <c r="BJ673" i="1" a="1"/>
  <c r="BJ673" i="1" s="1"/>
  <c r="BJ674" i="1" s="1"/>
  <c r="BI673" i="1" a="1"/>
  <c r="BI673" i="1" s="1"/>
  <c r="BI674" i="1" s="1"/>
  <c r="BH673" i="1" a="1"/>
  <c r="BH673" i="1" s="1"/>
  <c r="BH674" i="1" s="1"/>
  <c r="BG673" i="1" a="1"/>
  <c r="BG673" i="1" s="1"/>
  <c r="BG674" i="1" s="1"/>
  <c r="BF673" i="1" a="1"/>
  <c r="BF673" i="1" s="1"/>
  <c r="BF674" i="1" s="1"/>
  <c r="BE673" i="1" a="1"/>
  <c r="BE673" i="1" s="1"/>
  <c r="BE674" i="1" s="1"/>
  <c r="BD673" i="1" a="1"/>
  <c r="BD673" i="1" s="1"/>
  <c r="BD674" i="1" s="1"/>
  <c r="BC673" i="1" a="1"/>
  <c r="BC673" i="1" s="1"/>
  <c r="BC674" i="1" s="1"/>
  <c r="BB673" i="1" a="1"/>
  <c r="BB673" i="1" s="1"/>
  <c r="BB674" i="1" s="1"/>
  <c r="BA673" i="1" a="1"/>
  <c r="BA673" i="1" s="1"/>
  <c r="BA674" i="1" s="1"/>
  <c r="AZ673" i="1" a="1"/>
  <c r="AZ673" i="1" s="1"/>
  <c r="AZ674" i="1" s="1"/>
  <c r="AY673" i="1" a="1"/>
  <c r="AY673" i="1" s="1"/>
  <c r="AY674" i="1" s="1"/>
  <c r="AX673" i="1" a="1"/>
  <c r="AX673" i="1" s="1"/>
  <c r="AX674" i="1" s="1"/>
  <c r="AW673" i="1" a="1"/>
  <c r="AW673" i="1" s="1"/>
  <c r="AW674" i="1" s="1"/>
  <c r="AV673" i="1" a="1"/>
  <c r="AV673" i="1" s="1"/>
  <c r="AV674" i="1" s="1"/>
  <c r="AU673" i="1" a="1"/>
  <c r="AU673" i="1" s="1"/>
  <c r="AU674" i="1" s="1"/>
  <c r="AT673" i="1" a="1"/>
  <c r="AT673" i="1" s="1"/>
  <c r="AT674" i="1" s="1"/>
  <c r="AS673" i="1" a="1"/>
  <c r="AS673" i="1" s="1"/>
  <c r="AS674" i="1" s="1"/>
  <c r="AR673" i="1" a="1"/>
  <c r="AR673" i="1" s="1"/>
  <c r="AR674" i="1" s="1"/>
  <c r="AQ673" i="1" a="1"/>
  <c r="AQ673" i="1" s="1"/>
  <c r="AQ674" i="1" s="1"/>
  <c r="AP673" i="1" a="1"/>
  <c r="AP673" i="1" s="1"/>
  <c r="AP674" i="1" s="1"/>
  <c r="AO673" i="1" a="1"/>
  <c r="AO673" i="1" s="1"/>
  <c r="AO674" i="1" s="1"/>
  <c r="AN673" i="1" a="1"/>
  <c r="AN673" i="1" s="1"/>
  <c r="AN674" i="1" s="1"/>
  <c r="AM673" i="1" a="1"/>
  <c r="AM673" i="1" s="1"/>
  <c r="AM674" i="1" s="1"/>
  <c r="AL673" i="1" a="1"/>
  <c r="AL673" i="1" s="1"/>
  <c r="AL674" i="1" s="1"/>
  <c r="AK673" i="1" a="1"/>
  <c r="AK673" i="1" s="1"/>
  <c r="AK674" i="1" s="1"/>
  <c r="AJ673" i="1" a="1"/>
  <c r="AJ673" i="1" s="1"/>
  <c r="AJ674" i="1" s="1"/>
  <c r="AI673" i="1" a="1"/>
  <c r="AI673" i="1" s="1"/>
  <c r="AI674" i="1" s="1"/>
  <c r="AH673" i="1" a="1"/>
  <c r="AH673" i="1" s="1"/>
  <c r="AH674" i="1" s="1"/>
  <c r="AG673" i="1" a="1"/>
  <c r="AG673" i="1" s="1"/>
  <c r="AG674" i="1" s="1"/>
  <c r="AF673" i="1" a="1"/>
  <c r="AF673" i="1" s="1"/>
  <c r="AF674" i="1" s="1"/>
  <c r="AE673" i="1" a="1"/>
  <c r="AE673" i="1" s="1"/>
  <c r="AE674" i="1" s="1"/>
  <c r="AD673" i="1" a="1"/>
  <c r="AD673" i="1" s="1"/>
  <c r="AD674" i="1" s="1"/>
  <c r="AC673" i="1" a="1"/>
  <c r="AC673" i="1" s="1"/>
  <c r="AC674" i="1" s="1"/>
  <c r="AB673" i="1" a="1"/>
  <c r="AB673" i="1" s="1"/>
  <c r="AB674" i="1" s="1"/>
  <c r="AA673" i="1" a="1"/>
  <c r="AA673" i="1" s="1"/>
  <c r="AA674" i="1" s="1"/>
  <c r="Z673" i="1" a="1"/>
  <c r="Z673" i="1" s="1"/>
  <c r="Z674" i="1" s="1"/>
  <c r="Y673" i="1" a="1"/>
  <c r="Y673" i="1" s="1"/>
  <c r="Y674" i="1" s="1"/>
  <c r="X673" i="1" a="1"/>
  <c r="X673" i="1" s="1"/>
  <c r="X674" i="1" s="1"/>
  <c r="W673" i="1" a="1"/>
  <c r="W673" i="1" s="1"/>
  <c r="W674" i="1" s="1"/>
  <c r="V673" i="1" a="1"/>
  <c r="V673" i="1" s="1"/>
  <c r="V674" i="1" s="1"/>
  <c r="U673" i="1" a="1"/>
  <c r="U673" i="1" s="1"/>
  <c r="U674" i="1" s="1"/>
  <c r="T673" i="1" a="1"/>
  <c r="T673" i="1" s="1"/>
  <c r="T674" i="1" s="1"/>
  <c r="S673" i="1" a="1"/>
  <c r="S673" i="1" s="1"/>
  <c r="S674" i="1" s="1"/>
  <c r="S672" i="1"/>
  <c r="B672" i="1"/>
  <c r="CI671" i="1"/>
  <c r="CB671" i="1"/>
  <c r="CX668" i="1" a="1"/>
  <c r="CX668" i="1" s="1"/>
  <c r="CW668" i="1" a="1"/>
  <c r="CW668" i="1" s="1"/>
  <c r="CV668" i="1" a="1"/>
  <c r="CV668" i="1" s="1"/>
  <c r="CU668" i="1" a="1"/>
  <c r="CU668" i="1" s="1"/>
  <c r="CT668" i="1" a="1"/>
  <c r="CT668" i="1" s="1"/>
  <c r="CS668" i="1" a="1"/>
  <c r="CS668" i="1" s="1"/>
  <c r="CR668" i="1" a="1"/>
  <c r="CR668" i="1" s="1"/>
  <c r="CQ668" i="1" a="1"/>
  <c r="CQ668" i="1" s="1"/>
  <c r="CP668" i="1" a="1"/>
  <c r="CP668" i="1" s="1"/>
  <c r="CO668" i="1" a="1"/>
  <c r="CO668" i="1" s="1"/>
  <c r="CN668" i="1" a="1"/>
  <c r="CN668" i="1" s="1"/>
  <c r="CM668" i="1" a="1"/>
  <c r="CM668" i="1" s="1"/>
  <c r="CL668" i="1" a="1"/>
  <c r="CL668" i="1" s="1"/>
  <c r="CK668" i="1" a="1"/>
  <c r="CK668" i="1" s="1"/>
  <c r="CJ668" i="1" a="1"/>
  <c r="CJ668" i="1" s="1"/>
  <c r="CI668" i="1" a="1"/>
  <c r="CI668" i="1" s="1"/>
  <c r="CH668" i="1" a="1"/>
  <c r="CH668" i="1" s="1"/>
  <c r="CG668" i="1" a="1"/>
  <c r="CG668" i="1" s="1"/>
  <c r="CF668" i="1" a="1"/>
  <c r="CF668" i="1" s="1"/>
  <c r="CD668" i="1" a="1"/>
  <c r="CD668" i="1" s="1"/>
  <c r="CC668" i="1"/>
  <c r="CC668" i="1" a="1"/>
  <c r="CB668" i="1" a="1"/>
  <c r="CB668" i="1" s="1"/>
  <c r="CA668" i="1" a="1"/>
  <c r="CA668" i="1" s="1"/>
  <c r="BZ668" i="1" a="1"/>
  <c r="BZ668" i="1" s="1"/>
  <c r="BY668" i="1" a="1"/>
  <c r="BY668" i="1" s="1"/>
  <c r="BX668" i="1" a="1"/>
  <c r="BX668" i="1" s="1"/>
  <c r="BW668" i="1" a="1"/>
  <c r="BW668" i="1" s="1"/>
  <c r="BV668" i="1" a="1"/>
  <c r="BV668" i="1" s="1"/>
  <c r="BU668" i="1" a="1"/>
  <c r="BU668" i="1" s="1"/>
  <c r="BT668" i="1" a="1"/>
  <c r="BT668" i="1" s="1"/>
  <c r="BS668" i="1" a="1"/>
  <c r="BS668" i="1" s="1"/>
  <c r="BR668" i="1" a="1"/>
  <c r="BR668" i="1" s="1"/>
  <c r="BQ668" i="1" a="1"/>
  <c r="BQ668" i="1" s="1"/>
  <c r="BP668" i="1" a="1"/>
  <c r="BP668" i="1" s="1"/>
  <c r="BO668" i="1" a="1"/>
  <c r="BO668" i="1" s="1"/>
  <c r="BN668" i="1" a="1"/>
  <c r="BN668" i="1" s="1"/>
  <c r="BM668" i="1" a="1"/>
  <c r="BM668" i="1" s="1"/>
  <c r="BL668" i="1" a="1"/>
  <c r="BL668" i="1" s="1"/>
  <c r="BK668" i="1" a="1"/>
  <c r="BK668" i="1" s="1"/>
  <c r="BJ668" i="1" a="1"/>
  <c r="BJ668" i="1" s="1"/>
  <c r="BI668" i="1" a="1"/>
  <c r="BI668" i="1" s="1"/>
  <c r="BH668" i="1" a="1"/>
  <c r="BH668" i="1" s="1"/>
  <c r="BG668" i="1" a="1"/>
  <c r="BG668" i="1" s="1"/>
  <c r="BF668" i="1" a="1"/>
  <c r="BF668" i="1" s="1"/>
  <c r="BE668" i="1" a="1"/>
  <c r="BE668" i="1" s="1"/>
  <c r="BD668" i="1" a="1"/>
  <c r="BD668" i="1" s="1"/>
  <c r="BC668" i="1" a="1"/>
  <c r="BC668" i="1" s="1"/>
  <c r="BB668" i="1" a="1"/>
  <c r="BB668" i="1" s="1"/>
  <c r="BA668" i="1" a="1"/>
  <c r="BA668" i="1" s="1"/>
  <c r="AZ668" i="1" a="1"/>
  <c r="AZ668" i="1" s="1"/>
  <c r="AY668" i="1" a="1"/>
  <c r="AY668" i="1" s="1"/>
  <c r="AX668" i="1" a="1"/>
  <c r="AX668" i="1" s="1"/>
  <c r="AW668" i="1" a="1"/>
  <c r="AW668" i="1" s="1"/>
  <c r="AV668" i="1" a="1"/>
  <c r="AV668" i="1" s="1"/>
  <c r="AU668" i="1" a="1"/>
  <c r="AU668" i="1" s="1"/>
  <c r="AT668" i="1" a="1"/>
  <c r="AT668" i="1" s="1"/>
  <c r="AS668" i="1" a="1"/>
  <c r="AS668" i="1" s="1"/>
  <c r="AR668" i="1" a="1"/>
  <c r="AR668" i="1" s="1"/>
  <c r="AQ668" i="1" a="1"/>
  <c r="AQ668" i="1" s="1"/>
  <c r="AP668" i="1" a="1"/>
  <c r="AP668" i="1" s="1"/>
  <c r="AO668" i="1" a="1"/>
  <c r="AO668" i="1" s="1"/>
  <c r="AN668" i="1" a="1"/>
  <c r="AN668" i="1" s="1"/>
  <c r="AM668" i="1" a="1"/>
  <c r="AM668" i="1" s="1"/>
  <c r="AL668" i="1" a="1"/>
  <c r="AL668" i="1" s="1"/>
  <c r="AK668" i="1" a="1"/>
  <c r="AK668" i="1" s="1"/>
  <c r="AJ668" i="1" a="1"/>
  <c r="AJ668" i="1" s="1"/>
  <c r="AI668" i="1" a="1"/>
  <c r="AI668" i="1" s="1"/>
  <c r="AH668" i="1" a="1"/>
  <c r="AH668" i="1" s="1"/>
  <c r="AG668" i="1" a="1"/>
  <c r="AG668" i="1" s="1"/>
  <c r="AF668" i="1" a="1"/>
  <c r="AF668" i="1" s="1"/>
  <c r="AE668" i="1" a="1"/>
  <c r="AE668" i="1" s="1"/>
  <c r="AD668" i="1" a="1"/>
  <c r="AD668" i="1" s="1"/>
  <c r="AC668" i="1" a="1"/>
  <c r="AC668" i="1" s="1"/>
  <c r="AB668" i="1" a="1"/>
  <c r="AB668" i="1" s="1"/>
  <c r="AA668" i="1" a="1"/>
  <c r="AA668" i="1" s="1"/>
  <c r="Z668" i="1" a="1"/>
  <c r="Z668" i="1" s="1"/>
  <c r="Y668" i="1" a="1"/>
  <c r="Y668" i="1" s="1"/>
  <c r="X668" i="1" a="1"/>
  <c r="X668" i="1" s="1"/>
  <c r="W668" i="1" a="1"/>
  <c r="W668" i="1" s="1"/>
  <c r="V668" i="1" a="1"/>
  <c r="V668" i="1" s="1"/>
  <c r="U668" i="1" a="1"/>
  <c r="U668" i="1" s="1"/>
  <c r="T668" i="1" a="1"/>
  <c r="T668" i="1" s="1"/>
  <c r="S668" i="1" a="1"/>
  <c r="S668" i="1" s="1"/>
  <c r="CX666" i="1" a="1"/>
  <c r="CX666" i="1" s="1"/>
  <c r="CW666" i="1" a="1"/>
  <c r="CW666" i="1" s="1"/>
  <c r="CV666" i="1" a="1"/>
  <c r="CV666" i="1" s="1"/>
  <c r="CU666" i="1"/>
  <c r="CU666" i="1" a="1"/>
  <c r="CT666" i="1" a="1"/>
  <c r="CT666" i="1" s="1"/>
  <c r="CS666" i="1" a="1"/>
  <c r="CS666" i="1" s="1"/>
  <c r="CR666" i="1" a="1"/>
  <c r="CR666" i="1" s="1"/>
  <c r="CQ666" i="1" a="1"/>
  <c r="CQ666" i="1" s="1"/>
  <c r="CP666" i="1" a="1"/>
  <c r="CP666" i="1" s="1"/>
  <c r="CO666" i="1" a="1"/>
  <c r="CO666" i="1" s="1"/>
  <c r="CN666" i="1" a="1"/>
  <c r="CN666" i="1" s="1"/>
  <c r="CM666" i="1" a="1"/>
  <c r="CM666" i="1" s="1"/>
  <c r="CL666" i="1" a="1"/>
  <c r="CL666" i="1" s="1"/>
  <c r="CK666" i="1" a="1"/>
  <c r="CK666" i="1" s="1"/>
  <c r="CJ666" i="1" a="1"/>
  <c r="CJ666" i="1" s="1"/>
  <c r="CI666" i="1" a="1"/>
  <c r="CI666" i="1" s="1"/>
  <c r="CH666" i="1" a="1"/>
  <c r="CH666" i="1" s="1"/>
  <c r="CG666" i="1" a="1"/>
  <c r="CG666" i="1" s="1"/>
  <c r="CF666" i="1" a="1"/>
  <c r="CF666" i="1" s="1"/>
  <c r="CD666" i="1" a="1"/>
  <c r="CD666" i="1" s="1"/>
  <c r="CC666" i="1" a="1"/>
  <c r="CC666" i="1" s="1"/>
  <c r="CB666" i="1" a="1"/>
  <c r="CB666" i="1" s="1"/>
  <c r="CA666" i="1" a="1"/>
  <c r="CA666" i="1" s="1"/>
  <c r="BZ666" i="1" a="1"/>
  <c r="BZ666" i="1" s="1"/>
  <c r="BY666" i="1" a="1"/>
  <c r="BY666" i="1" s="1"/>
  <c r="BX666" i="1" a="1"/>
  <c r="BX666" i="1" s="1"/>
  <c r="BW666" i="1" a="1"/>
  <c r="BW666" i="1" s="1"/>
  <c r="BV666" i="1" a="1"/>
  <c r="BV666" i="1" s="1"/>
  <c r="BU666" i="1" a="1"/>
  <c r="BU666" i="1" s="1"/>
  <c r="BT666" i="1" a="1"/>
  <c r="BT666" i="1" s="1"/>
  <c r="BS666" i="1" a="1"/>
  <c r="BS666" i="1" s="1"/>
  <c r="BR666" i="1" a="1"/>
  <c r="BR666" i="1" s="1"/>
  <c r="BQ666" i="1" a="1"/>
  <c r="BQ666" i="1" s="1"/>
  <c r="BP666" i="1" a="1"/>
  <c r="BP666" i="1" s="1"/>
  <c r="BO666" i="1" a="1"/>
  <c r="BO666" i="1" s="1"/>
  <c r="BN666" i="1" a="1"/>
  <c r="BN666" i="1" s="1"/>
  <c r="BM666" i="1" a="1"/>
  <c r="BM666" i="1" s="1"/>
  <c r="BL666" i="1" a="1"/>
  <c r="BL666" i="1" s="1"/>
  <c r="BK666" i="1" a="1"/>
  <c r="BK666" i="1" s="1"/>
  <c r="BJ666" i="1" a="1"/>
  <c r="BJ666" i="1" s="1"/>
  <c r="BI666" i="1" a="1"/>
  <c r="BI666" i="1" s="1"/>
  <c r="BH666" i="1" a="1"/>
  <c r="BH666" i="1" s="1"/>
  <c r="BG666" i="1" a="1"/>
  <c r="BG666" i="1" s="1"/>
  <c r="BF666" i="1" a="1"/>
  <c r="BF666" i="1" s="1"/>
  <c r="BE666" i="1" a="1"/>
  <c r="BE666" i="1" s="1"/>
  <c r="BD666" i="1" a="1"/>
  <c r="BD666" i="1" s="1"/>
  <c r="BC666" i="1" a="1"/>
  <c r="BC666" i="1" s="1"/>
  <c r="BB666" i="1" a="1"/>
  <c r="BB666" i="1" s="1"/>
  <c r="BA666" i="1" a="1"/>
  <c r="BA666" i="1" s="1"/>
  <c r="AZ666" i="1" a="1"/>
  <c r="AZ666" i="1" s="1"/>
  <c r="AY666" i="1" a="1"/>
  <c r="AY666" i="1" s="1"/>
  <c r="AX666" i="1" a="1"/>
  <c r="AX666" i="1" s="1"/>
  <c r="AW666" i="1" a="1"/>
  <c r="AW666" i="1" s="1"/>
  <c r="AV666" i="1" a="1"/>
  <c r="AV666" i="1" s="1"/>
  <c r="AU666" i="1" a="1"/>
  <c r="AU666" i="1" s="1"/>
  <c r="AT666" i="1" a="1"/>
  <c r="AT666" i="1" s="1"/>
  <c r="AS666" i="1" a="1"/>
  <c r="AS666" i="1" s="1"/>
  <c r="AR666" i="1"/>
  <c r="AR666" i="1" a="1"/>
  <c r="AQ666" i="1" a="1"/>
  <c r="AQ666" i="1" s="1"/>
  <c r="AP666" i="1" a="1"/>
  <c r="AP666" i="1" s="1"/>
  <c r="AO666" i="1" a="1"/>
  <c r="AO666" i="1" s="1"/>
  <c r="AN666" i="1" a="1"/>
  <c r="AN666" i="1" s="1"/>
  <c r="AM666" i="1" a="1"/>
  <c r="AM666" i="1" s="1"/>
  <c r="AL666" i="1" a="1"/>
  <c r="AL666" i="1" s="1"/>
  <c r="AK666" i="1" a="1"/>
  <c r="AK666" i="1" s="1"/>
  <c r="AJ666" i="1" a="1"/>
  <c r="AJ666" i="1" s="1"/>
  <c r="AI666" i="1" a="1"/>
  <c r="AI666" i="1" s="1"/>
  <c r="AH666" i="1" a="1"/>
  <c r="AH666" i="1" s="1"/>
  <c r="AG666" i="1"/>
  <c r="AG666" i="1" a="1"/>
  <c r="AF666" i="1" a="1"/>
  <c r="AF666" i="1" s="1"/>
  <c r="AE666" i="1" a="1"/>
  <c r="AE666" i="1" s="1"/>
  <c r="AD666" i="1" a="1"/>
  <c r="AD666" i="1" s="1"/>
  <c r="AC666" i="1" a="1"/>
  <c r="AC666" i="1" s="1"/>
  <c r="AB666" i="1" a="1"/>
  <c r="AB666" i="1" s="1"/>
  <c r="AA666" i="1" a="1"/>
  <c r="AA666" i="1" s="1"/>
  <c r="Z666" i="1" a="1"/>
  <c r="Z666" i="1" s="1"/>
  <c r="Y666" i="1" a="1"/>
  <c r="Y666" i="1" s="1"/>
  <c r="X666" i="1" a="1"/>
  <c r="X666" i="1" s="1"/>
  <c r="W666" i="1" a="1"/>
  <c r="W666" i="1" s="1"/>
  <c r="V666" i="1" a="1"/>
  <c r="V666" i="1" s="1"/>
  <c r="U666" i="1" a="1"/>
  <c r="U666" i="1" s="1"/>
  <c r="T666" i="1" a="1"/>
  <c r="T666" i="1" s="1"/>
  <c r="S666" i="1" a="1"/>
  <c r="S666" i="1" s="1"/>
  <c r="CX665" i="1" a="1"/>
  <c r="CX665" i="1" s="1"/>
  <c r="CW665" i="1" a="1"/>
  <c r="CW665" i="1" s="1"/>
  <c r="CV665" i="1" a="1"/>
  <c r="CV665" i="1" s="1"/>
  <c r="CU665" i="1" a="1"/>
  <c r="CU665" i="1" s="1"/>
  <c r="CT665" i="1" a="1"/>
  <c r="CT665" i="1" s="1"/>
  <c r="CS665" i="1" a="1"/>
  <c r="CS665" i="1" s="1"/>
  <c r="CR665" i="1" a="1"/>
  <c r="CR665" i="1" s="1"/>
  <c r="CQ665" i="1" a="1"/>
  <c r="CQ665" i="1" s="1"/>
  <c r="CP665" i="1" a="1"/>
  <c r="CP665" i="1" s="1"/>
  <c r="CO665" i="1" a="1"/>
  <c r="CO665" i="1" s="1"/>
  <c r="CN665" i="1" a="1"/>
  <c r="CN665" i="1" s="1"/>
  <c r="CM665" i="1" a="1"/>
  <c r="CM665" i="1" s="1"/>
  <c r="CL665" i="1" a="1"/>
  <c r="CL665" i="1" s="1"/>
  <c r="CK665" i="1" a="1"/>
  <c r="CK665" i="1" s="1"/>
  <c r="CJ665" i="1" a="1"/>
  <c r="CJ665" i="1" s="1"/>
  <c r="CI665" i="1" a="1"/>
  <c r="CI665" i="1" s="1"/>
  <c r="CH665" i="1" a="1"/>
  <c r="CH665" i="1" s="1"/>
  <c r="CG665" i="1" a="1"/>
  <c r="CG665" i="1" s="1"/>
  <c r="CF665" i="1" a="1"/>
  <c r="CF665" i="1" s="1"/>
  <c r="CD665" i="1" a="1"/>
  <c r="CD665" i="1" s="1"/>
  <c r="CC665" i="1" a="1"/>
  <c r="CC665" i="1" s="1"/>
  <c r="CB665" i="1" a="1"/>
  <c r="CB665" i="1" s="1"/>
  <c r="CA665" i="1" a="1"/>
  <c r="CA665" i="1" s="1"/>
  <c r="BZ665" i="1" a="1"/>
  <c r="BZ665" i="1" s="1"/>
  <c r="BY665" i="1" a="1"/>
  <c r="BY665" i="1" s="1"/>
  <c r="BX665" i="1" a="1"/>
  <c r="BX665" i="1" s="1"/>
  <c r="BW665" i="1" a="1"/>
  <c r="BW665" i="1" s="1"/>
  <c r="BV665" i="1" a="1"/>
  <c r="BV665" i="1" s="1"/>
  <c r="BU665" i="1" a="1"/>
  <c r="BU665" i="1" s="1"/>
  <c r="BT665" i="1" a="1"/>
  <c r="BT665" i="1" s="1"/>
  <c r="BS665" i="1" a="1"/>
  <c r="BS665" i="1" s="1"/>
  <c r="BR665" i="1" a="1"/>
  <c r="BR665" i="1" s="1"/>
  <c r="BQ665" i="1" a="1"/>
  <c r="BQ665" i="1" s="1"/>
  <c r="BP665" i="1" a="1"/>
  <c r="BP665" i="1" s="1"/>
  <c r="BO665" i="1" a="1"/>
  <c r="BO665" i="1" s="1"/>
  <c r="BN665" i="1" a="1"/>
  <c r="BN665" i="1" s="1"/>
  <c r="BM665" i="1" a="1"/>
  <c r="BM665" i="1" s="1"/>
  <c r="BL665" i="1" a="1"/>
  <c r="BL665" i="1" s="1"/>
  <c r="BK665" i="1" a="1"/>
  <c r="BK665" i="1" s="1"/>
  <c r="BJ665" i="1" a="1"/>
  <c r="BJ665" i="1" s="1"/>
  <c r="BI665" i="1" a="1"/>
  <c r="BI665" i="1" s="1"/>
  <c r="BH665" i="1" a="1"/>
  <c r="BH665" i="1" s="1"/>
  <c r="BG665" i="1" a="1"/>
  <c r="BG665" i="1" s="1"/>
  <c r="BF665" i="1" a="1"/>
  <c r="BF665" i="1" s="1"/>
  <c r="BE665" i="1" a="1"/>
  <c r="BE665" i="1" s="1"/>
  <c r="BD665" i="1" a="1"/>
  <c r="BD665" i="1" s="1"/>
  <c r="BC665" i="1" a="1"/>
  <c r="BC665" i="1" s="1"/>
  <c r="BB665" i="1" a="1"/>
  <c r="BB665" i="1" s="1"/>
  <c r="BA665" i="1" a="1"/>
  <c r="BA665" i="1" s="1"/>
  <c r="AZ665" i="1" a="1"/>
  <c r="AZ665" i="1" s="1"/>
  <c r="AY665" i="1" a="1"/>
  <c r="AY665" i="1" s="1"/>
  <c r="AX665" i="1" a="1"/>
  <c r="AX665" i="1" s="1"/>
  <c r="AW665" i="1" a="1"/>
  <c r="AW665" i="1" s="1"/>
  <c r="AV665" i="1" a="1"/>
  <c r="AV665" i="1" s="1"/>
  <c r="AU665" i="1" a="1"/>
  <c r="AU665" i="1" s="1"/>
  <c r="AT665" i="1" a="1"/>
  <c r="AT665" i="1" s="1"/>
  <c r="AS665" i="1" a="1"/>
  <c r="AS665" i="1" s="1"/>
  <c r="AR665" i="1" a="1"/>
  <c r="AR665" i="1" s="1"/>
  <c r="AQ665" i="1" a="1"/>
  <c r="AQ665" i="1" s="1"/>
  <c r="AP665" i="1" a="1"/>
  <c r="AP665" i="1" s="1"/>
  <c r="AO665" i="1" a="1"/>
  <c r="AO665" i="1" s="1"/>
  <c r="AN665" i="1" a="1"/>
  <c r="AN665" i="1" s="1"/>
  <c r="AM665" i="1" a="1"/>
  <c r="AM665" i="1" s="1"/>
  <c r="AL665" i="1" a="1"/>
  <c r="AL665" i="1" s="1"/>
  <c r="AK665" i="1" a="1"/>
  <c r="AK665" i="1" s="1"/>
  <c r="AJ665" i="1" a="1"/>
  <c r="AJ665" i="1" s="1"/>
  <c r="AI665" i="1" a="1"/>
  <c r="AI665" i="1" s="1"/>
  <c r="AH665" i="1" a="1"/>
  <c r="AH665" i="1" s="1"/>
  <c r="AG665" i="1" a="1"/>
  <c r="AG665" i="1" s="1"/>
  <c r="AF665" i="1" a="1"/>
  <c r="AF665" i="1" s="1"/>
  <c r="AE665" i="1" a="1"/>
  <c r="AE665" i="1" s="1"/>
  <c r="AD665" i="1" a="1"/>
  <c r="AD665" i="1" s="1"/>
  <c r="AC665" i="1" a="1"/>
  <c r="AC665" i="1" s="1"/>
  <c r="AB665" i="1" a="1"/>
  <c r="AB665" i="1" s="1"/>
  <c r="AA665" i="1" a="1"/>
  <c r="AA665" i="1" s="1"/>
  <c r="Z665" i="1" a="1"/>
  <c r="Z665" i="1" s="1"/>
  <c r="Y665" i="1" a="1"/>
  <c r="Y665" i="1" s="1"/>
  <c r="X665" i="1" a="1"/>
  <c r="X665" i="1" s="1"/>
  <c r="W665" i="1" a="1"/>
  <c r="W665" i="1" s="1"/>
  <c r="V665" i="1" a="1"/>
  <c r="V665" i="1" s="1"/>
  <c r="U665" i="1" a="1"/>
  <c r="U665" i="1" s="1"/>
  <c r="T665" i="1" a="1"/>
  <c r="T665" i="1" s="1"/>
  <c r="S665" i="1" a="1"/>
  <c r="S665" i="1" s="1"/>
  <c r="CX664" i="1" a="1"/>
  <c r="CX664" i="1" s="1"/>
  <c r="CW664" i="1" a="1"/>
  <c r="CW664" i="1" s="1"/>
  <c r="CV664" i="1"/>
  <c r="CV664" i="1" a="1"/>
  <c r="CU664" i="1" a="1"/>
  <c r="CU664" i="1" s="1"/>
  <c r="CT664" i="1" a="1"/>
  <c r="CT664" i="1" s="1"/>
  <c r="CS664" i="1" a="1"/>
  <c r="CS664" i="1" s="1"/>
  <c r="CR664" i="1" a="1"/>
  <c r="CR664" i="1" s="1"/>
  <c r="CQ664" i="1" a="1"/>
  <c r="CQ664" i="1" s="1"/>
  <c r="CP664" i="1" a="1"/>
  <c r="CP664" i="1" s="1"/>
  <c r="CO664" i="1" a="1"/>
  <c r="CO664" i="1" s="1"/>
  <c r="CN664" i="1" a="1"/>
  <c r="CN664" i="1" s="1"/>
  <c r="CM664" i="1" a="1"/>
  <c r="CM664" i="1" s="1"/>
  <c r="CL664" i="1" a="1"/>
  <c r="CL664" i="1" s="1"/>
  <c r="CK664" i="1" a="1"/>
  <c r="CK664" i="1" s="1"/>
  <c r="CJ664" i="1" a="1"/>
  <c r="CJ664" i="1" s="1"/>
  <c r="CI664" i="1" a="1"/>
  <c r="CI664" i="1" s="1"/>
  <c r="CH664" i="1" a="1"/>
  <c r="CH664" i="1" s="1"/>
  <c r="CG664" i="1" a="1"/>
  <c r="CG664" i="1" s="1"/>
  <c r="CF664" i="1" a="1"/>
  <c r="CF664" i="1" s="1"/>
  <c r="CD664" i="1" a="1"/>
  <c r="CD664" i="1" s="1"/>
  <c r="CC664" i="1" a="1"/>
  <c r="CC664" i="1" s="1"/>
  <c r="CB664" i="1" a="1"/>
  <c r="CB664" i="1" s="1"/>
  <c r="CA664" i="1" a="1"/>
  <c r="CA664" i="1" s="1"/>
  <c r="BZ664" i="1" a="1"/>
  <c r="BZ664" i="1" s="1"/>
  <c r="BY664" i="1" a="1"/>
  <c r="BY664" i="1" s="1"/>
  <c r="BX664" i="1" a="1"/>
  <c r="BX664" i="1" s="1"/>
  <c r="BW664" i="1" a="1"/>
  <c r="BW664" i="1" s="1"/>
  <c r="BV664" i="1" a="1"/>
  <c r="BV664" i="1" s="1"/>
  <c r="BU664" i="1" a="1"/>
  <c r="BU664" i="1" s="1"/>
  <c r="BT664" i="1" a="1"/>
  <c r="BT664" i="1" s="1"/>
  <c r="BS664" i="1" a="1"/>
  <c r="BS664" i="1" s="1"/>
  <c r="BR664" i="1" a="1"/>
  <c r="BR664" i="1" s="1"/>
  <c r="BQ664" i="1" a="1"/>
  <c r="BQ664" i="1" s="1"/>
  <c r="BP664" i="1" a="1"/>
  <c r="BP664" i="1" s="1"/>
  <c r="BO664" i="1" a="1"/>
  <c r="BO664" i="1" s="1"/>
  <c r="BN664" i="1" a="1"/>
  <c r="BN664" i="1" s="1"/>
  <c r="BM664" i="1" a="1"/>
  <c r="BM664" i="1" s="1"/>
  <c r="BL664" i="1"/>
  <c r="BL664" i="1" a="1"/>
  <c r="BK664" i="1" a="1"/>
  <c r="BK664" i="1" s="1"/>
  <c r="BJ664" i="1" a="1"/>
  <c r="BJ664" i="1" s="1"/>
  <c r="BI664" i="1" a="1"/>
  <c r="BI664" i="1" s="1"/>
  <c r="BH664" i="1" a="1"/>
  <c r="BH664" i="1" s="1"/>
  <c r="BG664" i="1" a="1"/>
  <c r="BG664" i="1" s="1"/>
  <c r="BF664" i="1" a="1"/>
  <c r="BF664" i="1" s="1"/>
  <c r="BE664" i="1" a="1"/>
  <c r="BE664" i="1" s="1"/>
  <c r="BD664" i="1" a="1"/>
  <c r="BD664" i="1" s="1"/>
  <c r="BC664" i="1" a="1"/>
  <c r="BC664" i="1" s="1"/>
  <c r="BB664" i="1" a="1"/>
  <c r="BB664" i="1" s="1"/>
  <c r="BA664" i="1" a="1"/>
  <c r="BA664" i="1" s="1"/>
  <c r="AZ664" i="1" a="1"/>
  <c r="AZ664" i="1" s="1"/>
  <c r="AY664" i="1" a="1"/>
  <c r="AY664" i="1" s="1"/>
  <c r="AX664" i="1" a="1"/>
  <c r="AX664" i="1" s="1"/>
  <c r="AW664" i="1" a="1"/>
  <c r="AW664" i="1" s="1"/>
  <c r="AV664" i="1" a="1"/>
  <c r="AV664" i="1" s="1"/>
  <c r="AU664" i="1" a="1"/>
  <c r="AU664" i="1" s="1"/>
  <c r="AT664" i="1" a="1"/>
  <c r="AT664" i="1" s="1"/>
  <c r="AS664" i="1" a="1"/>
  <c r="AS664" i="1" s="1"/>
  <c r="AR664" i="1" a="1"/>
  <c r="AR664" i="1" s="1"/>
  <c r="AQ664" i="1" a="1"/>
  <c r="AQ664" i="1" s="1"/>
  <c r="AP664" i="1" a="1"/>
  <c r="AP664" i="1" s="1"/>
  <c r="AO664" i="1" a="1"/>
  <c r="AO664" i="1" s="1"/>
  <c r="AN664" i="1" a="1"/>
  <c r="AN664" i="1" s="1"/>
  <c r="AM664" i="1" a="1"/>
  <c r="AM664" i="1" s="1"/>
  <c r="AL664" i="1" a="1"/>
  <c r="AL664" i="1" s="1"/>
  <c r="AK664" i="1" a="1"/>
  <c r="AK664" i="1" s="1"/>
  <c r="AJ664" i="1" a="1"/>
  <c r="AJ664" i="1" s="1"/>
  <c r="AI664" i="1" a="1"/>
  <c r="AI664" i="1" s="1"/>
  <c r="AH664" i="1" a="1"/>
  <c r="AH664" i="1" s="1"/>
  <c r="AG664" i="1" a="1"/>
  <c r="AG664" i="1" s="1"/>
  <c r="AF664" i="1" a="1"/>
  <c r="AF664" i="1" s="1"/>
  <c r="AE664" i="1" a="1"/>
  <c r="AE664" i="1" s="1"/>
  <c r="AD664" i="1" a="1"/>
  <c r="AD664" i="1" s="1"/>
  <c r="AC664" i="1" a="1"/>
  <c r="AC664" i="1" s="1"/>
  <c r="AB664" i="1" a="1"/>
  <c r="AB664" i="1" s="1"/>
  <c r="AA664" i="1" a="1"/>
  <c r="AA664" i="1" s="1"/>
  <c r="Z664" i="1" a="1"/>
  <c r="Z664" i="1" s="1"/>
  <c r="Y664" i="1" a="1"/>
  <c r="Y664" i="1" s="1"/>
  <c r="X664" i="1" a="1"/>
  <c r="X664" i="1" s="1"/>
  <c r="W664" i="1" a="1"/>
  <c r="W664" i="1" s="1"/>
  <c r="V664" i="1" a="1"/>
  <c r="V664" i="1" s="1"/>
  <c r="U664" i="1" a="1"/>
  <c r="U664" i="1" s="1"/>
  <c r="T664" i="1" a="1"/>
  <c r="T664" i="1" s="1"/>
  <c r="S664" i="1" a="1"/>
  <c r="S664" i="1" s="1"/>
  <c r="CX663" i="1" a="1"/>
  <c r="CX663" i="1" s="1"/>
  <c r="CW663" i="1" a="1"/>
  <c r="CW663" i="1" s="1"/>
  <c r="CV663" i="1" a="1"/>
  <c r="CV663" i="1" s="1"/>
  <c r="CU663" i="1" a="1"/>
  <c r="CU663" i="1" s="1"/>
  <c r="CT663" i="1" a="1"/>
  <c r="CT663" i="1" s="1"/>
  <c r="CS663" i="1" a="1"/>
  <c r="CS663" i="1" s="1"/>
  <c r="CR663" i="1" a="1"/>
  <c r="CR663" i="1" s="1"/>
  <c r="CQ663" i="1" a="1"/>
  <c r="CQ663" i="1" s="1"/>
  <c r="CP663" i="1" a="1"/>
  <c r="CP663" i="1" s="1"/>
  <c r="CO663" i="1" a="1"/>
  <c r="CO663" i="1" s="1"/>
  <c r="CN663" i="1" a="1"/>
  <c r="CN663" i="1" s="1"/>
  <c r="CM663" i="1" a="1"/>
  <c r="CM663" i="1" s="1"/>
  <c r="CL663" i="1" a="1"/>
  <c r="CL663" i="1" s="1"/>
  <c r="CK663" i="1" a="1"/>
  <c r="CK663" i="1" s="1"/>
  <c r="CJ663" i="1" a="1"/>
  <c r="CJ663" i="1" s="1"/>
  <c r="CI663" i="1" a="1"/>
  <c r="CI663" i="1" s="1"/>
  <c r="CH663" i="1" a="1"/>
  <c r="CH663" i="1" s="1"/>
  <c r="CG663" i="1" a="1"/>
  <c r="CG663" i="1" s="1"/>
  <c r="CF663" i="1" a="1"/>
  <c r="CF663" i="1" s="1"/>
  <c r="CD663" i="1" a="1"/>
  <c r="CD663" i="1" s="1"/>
  <c r="CC663" i="1" a="1"/>
  <c r="CC663" i="1" s="1"/>
  <c r="CB663" i="1" a="1"/>
  <c r="CB663" i="1" s="1"/>
  <c r="CA663" i="1" a="1"/>
  <c r="CA663" i="1" s="1"/>
  <c r="BZ663" i="1" a="1"/>
  <c r="BZ663" i="1" s="1"/>
  <c r="BY663" i="1" a="1"/>
  <c r="BY663" i="1" s="1"/>
  <c r="BX663" i="1" a="1"/>
  <c r="BX663" i="1" s="1"/>
  <c r="BW663" i="1" a="1"/>
  <c r="BW663" i="1" s="1"/>
  <c r="BV663" i="1" a="1"/>
  <c r="BV663" i="1" s="1"/>
  <c r="BU663" i="1" a="1"/>
  <c r="BU663" i="1" s="1"/>
  <c r="BT663" i="1" a="1"/>
  <c r="BT663" i="1" s="1"/>
  <c r="BS663" i="1" a="1"/>
  <c r="BS663" i="1" s="1"/>
  <c r="BR663" i="1" a="1"/>
  <c r="BR663" i="1" s="1"/>
  <c r="BQ663" i="1" a="1"/>
  <c r="BQ663" i="1" s="1"/>
  <c r="BP663" i="1" a="1"/>
  <c r="BP663" i="1" s="1"/>
  <c r="BO663" i="1" a="1"/>
  <c r="BO663" i="1" s="1"/>
  <c r="BN663" i="1" a="1"/>
  <c r="BN663" i="1" s="1"/>
  <c r="BM663" i="1" a="1"/>
  <c r="BM663" i="1" s="1"/>
  <c r="BL663" i="1" a="1"/>
  <c r="BL663" i="1" s="1"/>
  <c r="BK663" i="1" a="1"/>
  <c r="BK663" i="1" s="1"/>
  <c r="BJ663" i="1" a="1"/>
  <c r="BJ663" i="1" s="1"/>
  <c r="BI663" i="1" a="1"/>
  <c r="BI663" i="1" s="1"/>
  <c r="BH663" i="1" a="1"/>
  <c r="BH663" i="1" s="1"/>
  <c r="BG663" i="1" a="1"/>
  <c r="BG663" i="1" s="1"/>
  <c r="BF663" i="1" a="1"/>
  <c r="BF663" i="1" s="1"/>
  <c r="BE663" i="1" a="1"/>
  <c r="BE663" i="1" s="1"/>
  <c r="BD663" i="1" a="1"/>
  <c r="BD663" i="1" s="1"/>
  <c r="BC663" i="1" a="1"/>
  <c r="BC663" i="1" s="1"/>
  <c r="BB663" i="1" a="1"/>
  <c r="BB663" i="1" s="1"/>
  <c r="BA663" i="1" a="1"/>
  <c r="BA663" i="1" s="1"/>
  <c r="AZ663" i="1" a="1"/>
  <c r="AZ663" i="1" s="1"/>
  <c r="AY663" i="1" a="1"/>
  <c r="AY663" i="1" s="1"/>
  <c r="AX663" i="1" a="1"/>
  <c r="AX663" i="1" s="1"/>
  <c r="AW663" i="1" a="1"/>
  <c r="AW663" i="1" s="1"/>
  <c r="AV663" i="1" a="1"/>
  <c r="AV663" i="1" s="1"/>
  <c r="AU663" i="1" a="1"/>
  <c r="AU663" i="1" s="1"/>
  <c r="AT663" i="1" a="1"/>
  <c r="AT663" i="1" s="1"/>
  <c r="AS663" i="1" a="1"/>
  <c r="AS663" i="1" s="1"/>
  <c r="AR663" i="1" a="1"/>
  <c r="AR663" i="1" s="1"/>
  <c r="AQ663" i="1" a="1"/>
  <c r="AQ663" i="1" s="1"/>
  <c r="AP663" i="1" a="1"/>
  <c r="AP663" i="1" s="1"/>
  <c r="AO663" i="1" a="1"/>
  <c r="AO663" i="1" s="1"/>
  <c r="AN663" i="1" a="1"/>
  <c r="AN663" i="1" s="1"/>
  <c r="AM663" i="1" a="1"/>
  <c r="AM663" i="1" s="1"/>
  <c r="AL663" i="1" a="1"/>
  <c r="AL663" i="1" s="1"/>
  <c r="AK663" i="1" a="1"/>
  <c r="AK663" i="1" s="1"/>
  <c r="AJ663" i="1" a="1"/>
  <c r="AJ663" i="1" s="1"/>
  <c r="AI663" i="1" a="1"/>
  <c r="AI663" i="1" s="1"/>
  <c r="AH663" i="1" a="1"/>
  <c r="AH663" i="1" s="1"/>
  <c r="AG663" i="1" a="1"/>
  <c r="AG663" i="1" s="1"/>
  <c r="AF663" i="1" a="1"/>
  <c r="AF663" i="1" s="1"/>
  <c r="AE663" i="1" a="1"/>
  <c r="AE663" i="1" s="1"/>
  <c r="AD663" i="1" a="1"/>
  <c r="AD663" i="1" s="1"/>
  <c r="AC663" i="1" a="1"/>
  <c r="AC663" i="1" s="1"/>
  <c r="AB663" i="1" a="1"/>
  <c r="AB663" i="1" s="1"/>
  <c r="AA663" i="1" a="1"/>
  <c r="AA663" i="1" s="1"/>
  <c r="Z663" i="1" a="1"/>
  <c r="Z663" i="1" s="1"/>
  <c r="Y663" i="1" a="1"/>
  <c r="Y663" i="1" s="1"/>
  <c r="X663" i="1" a="1"/>
  <c r="X663" i="1" s="1"/>
  <c r="W663" i="1" a="1"/>
  <c r="W663" i="1" s="1"/>
  <c r="V663" i="1" a="1"/>
  <c r="V663" i="1" s="1"/>
  <c r="U663" i="1" a="1"/>
  <c r="U663" i="1" s="1"/>
  <c r="T663" i="1" a="1"/>
  <c r="T663" i="1" s="1"/>
  <c r="S663" i="1" a="1"/>
  <c r="S663" i="1" s="1"/>
  <c r="CX662" i="1" a="1"/>
  <c r="CX662" i="1" s="1"/>
  <c r="CW662" i="1" a="1"/>
  <c r="CW662" i="1" s="1"/>
  <c r="CV662" i="1" a="1"/>
  <c r="CV662" i="1" s="1"/>
  <c r="CU662" i="1" a="1"/>
  <c r="CU662" i="1" s="1"/>
  <c r="CT662" i="1" a="1"/>
  <c r="CT662" i="1" s="1"/>
  <c r="CS662" i="1" a="1"/>
  <c r="CS662" i="1" s="1"/>
  <c r="CR662" i="1" a="1"/>
  <c r="CR662" i="1" s="1"/>
  <c r="CQ662" i="1" a="1"/>
  <c r="CQ662" i="1" s="1"/>
  <c r="CP662" i="1" a="1"/>
  <c r="CP662" i="1" s="1"/>
  <c r="CO662" i="1" a="1"/>
  <c r="CO662" i="1" s="1"/>
  <c r="CN662" i="1" a="1"/>
  <c r="CN662" i="1" s="1"/>
  <c r="CM662" i="1" a="1"/>
  <c r="CM662" i="1" s="1"/>
  <c r="CL662" i="1" a="1"/>
  <c r="CL662" i="1" s="1"/>
  <c r="CK662" i="1" a="1"/>
  <c r="CK662" i="1" s="1"/>
  <c r="CJ662" i="1"/>
  <c r="CJ662" i="1" a="1"/>
  <c r="CI662" i="1" a="1"/>
  <c r="CI662" i="1" s="1"/>
  <c r="CH662" i="1" a="1"/>
  <c r="CH662" i="1" s="1"/>
  <c r="CG662" i="1" a="1"/>
  <c r="CG662" i="1" s="1"/>
  <c r="CF662" i="1" a="1"/>
  <c r="CF662" i="1" s="1"/>
  <c r="CD662" i="1" a="1"/>
  <c r="CD662" i="1" s="1"/>
  <c r="CC662" i="1" a="1"/>
  <c r="CC662" i="1" s="1"/>
  <c r="CB662" i="1" a="1"/>
  <c r="CB662" i="1" s="1"/>
  <c r="CA662" i="1" a="1"/>
  <c r="CA662" i="1" s="1"/>
  <c r="BZ662" i="1" a="1"/>
  <c r="BZ662" i="1" s="1"/>
  <c r="BY662" i="1" a="1"/>
  <c r="BY662" i="1" s="1"/>
  <c r="BX662" i="1" a="1"/>
  <c r="BX662" i="1" s="1"/>
  <c r="BW662" i="1" a="1"/>
  <c r="BW662" i="1" s="1"/>
  <c r="BV662" i="1" a="1"/>
  <c r="BV662" i="1" s="1"/>
  <c r="BU662" i="1" a="1"/>
  <c r="BU662" i="1" s="1"/>
  <c r="BT662" i="1" a="1"/>
  <c r="BT662" i="1" s="1"/>
  <c r="BS662" i="1" a="1"/>
  <c r="BS662" i="1" s="1"/>
  <c r="BR662" i="1" a="1"/>
  <c r="BR662" i="1" s="1"/>
  <c r="BQ662" i="1" a="1"/>
  <c r="BQ662" i="1" s="1"/>
  <c r="BP662" i="1" a="1"/>
  <c r="BP662" i="1" s="1"/>
  <c r="BO662" i="1" a="1"/>
  <c r="BO662" i="1" s="1"/>
  <c r="BN662" i="1" a="1"/>
  <c r="BN662" i="1" s="1"/>
  <c r="BM662" i="1" a="1"/>
  <c r="BM662" i="1" s="1"/>
  <c r="BL662" i="1" a="1"/>
  <c r="BL662" i="1" s="1"/>
  <c r="BK662" i="1" a="1"/>
  <c r="BK662" i="1" s="1"/>
  <c r="BJ662" i="1" a="1"/>
  <c r="BJ662" i="1" s="1"/>
  <c r="BI662" i="1" a="1"/>
  <c r="BI662" i="1" s="1"/>
  <c r="BH662" i="1" a="1"/>
  <c r="BH662" i="1" s="1"/>
  <c r="BG662" i="1" a="1"/>
  <c r="BG662" i="1" s="1"/>
  <c r="BF662" i="1" a="1"/>
  <c r="BF662" i="1" s="1"/>
  <c r="BE662" i="1" a="1"/>
  <c r="BE662" i="1" s="1"/>
  <c r="BD662" i="1" a="1"/>
  <c r="BD662" i="1" s="1"/>
  <c r="BC662" i="1" a="1"/>
  <c r="BC662" i="1" s="1"/>
  <c r="BB662" i="1" a="1"/>
  <c r="BB662" i="1" s="1"/>
  <c r="BA662" i="1" a="1"/>
  <c r="BA662" i="1" s="1"/>
  <c r="AZ662" i="1" a="1"/>
  <c r="AZ662" i="1" s="1"/>
  <c r="AY662" i="1" a="1"/>
  <c r="AY662" i="1" s="1"/>
  <c r="AX662" i="1" a="1"/>
  <c r="AX662" i="1" s="1"/>
  <c r="AW662" i="1" a="1"/>
  <c r="AW662" i="1" s="1"/>
  <c r="AV662" i="1" a="1"/>
  <c r="AV662" i="1" s="1"/>
  <c r="AU662" i="1" a="1"/>
  <c r="AU662" i="1" s="1"/>
  <c r="AT662" i="1" a="1"/>
  <c r="AT662" i="1" s="1"/>
  <c r="AS662" i="1" a="1"/>
  <c r="AS662" i="1" s="1"/>
  <c r="AR662" i="1" a="1"/>
  <c r="AR662" i="1" s="1"/>
  <c r="AQ662" i="1" a="1"/>
  <c r="AQ662" i="1" s="1"/>
  <c r="AP662" i="1" a="1"/>
  <c r="AP662" i="1" s="1"/>
  <c r="AO662" i="1" a="1"/>
  <c r="AO662" i="1" s="1"/>
  <c r="AN662" i="1" a="1"/>
  <c r="AN662" i="1" s="1"/>
  <c r="AM662" i="1" a="1"/>
  <c r="AM662" i="1" s="1"/>
  <c r="AL662" i="1" a="1"/>
  <c r="AL662" i="1" s="1"/>
  <c r="AK662" i="1" a="1"/>
  <c r="AK662" i="1" s="1"/>
  <c r="AJ662" i="1" a="1"/>
  <c r="AJ662" i="1" s="1"/>
  <c r="AI662" i="1" a="1"/>
  <c r="AI662" i="1" s="1"/>
  <c r="AH662" i="1" a="1"/>
  <c r="AH662" i="1" s="1"/>
  <c r="AG662" i="1" a="1"/>
  <c r="AG662" i="1" s="1"/>
  <c r="AF662" i="1" a="1"/>
  <c r="AF662" i="1" s="1"/>
  <c r="AE662" i="1" a="1"/>
  <c r="AE662" i="1" s="1"/>
  <c r="AD662" i="1" a="1"/>
  <c r="AD662" i="1" s="1"/>
  <c r="AC662" i="1" a="1"/>
  <c r="AC662" i="1" s="1"/>
  <c r="AB662" i="1" a="1"/>
  <c r="AB662" i="1" s="1"/>
  <c r="AA662" i="1" a="1"/>
  <c r="AA662" i="1" s="1"/>
  <c r="Z662" i="1" a="1"/>
  <c r="Z662" i="1" s="1"/>
  <c r="Y662" i="1" a="1"/>
  <c r="Y662" i="1" s="1"/>
  <c r="X662" i="1" a="1"/>
  <c r="X662" i="1" s="1"/>
  <c r="W662" i="1" a="1"/>
  <c r="W662" i="1" s="1"/>
  <c r="V662" i="1" a="1"/>
  <c r="V662" i="1" s="1"/>
  <c r="CC20" i="1" s="1"/>
  <c r="U662" i="1" a="1"/>
  <c r="U662" i="1" s="1"/>
  <c r="T662" i="1" a="1"/>
  <c r="T662" i="1" s="1"/>
  <c r="S662" i="1" a="1"/>
  <c r="S662" i="1" s="1"/>
  <c r="CX659" i="1" a="1"/>
  <c r="CX659" i="1" s="1"/>
  <c r="CX660" i="1" s="1"/>
  <c r="CW659" i="1" a="1"/>
  <c r="CW659" i="1" s="1"/>
  <c r="CW660" i="1" s="1"/>
  <c r="CV659" i="1" a="1"/>
  <c r="CV659" i="1" s="1"/>
  <c r="CV660" i="1" s="1"/>
  <c r="CU659" i="1" a="1"/>
  <c r="CU659" i="1" s="1"/>
  <c r="CU660" i="1" s="1"/>
  <c r="CT659" i="1" a="1"/>
  <c r="CT659" i="1" s="1"/>
  <c r="CT660" i="1" s="1"/>
  <c r="CS659" i="1" a="1"/>
  <c r="CS659" i="1" s="1"/>
  <c r="CS660" i="1" s="1"/>
  <c r="CR659" i="1" a="1"/>
  <c r="CR659" i="1" s="1"/>
  <c r="CR660" i="1" s="1"/>
  <c r="CQ659" i="1" a="1"/>
  <c r="CQ659" i="1" s="1"/>
  <c r="CQ660" i="1" s="1"/>
  <c r="CP659" i="1" a="1"/>
  <c r="CP659" i="1" s="1"/>
  <c r="CP660" i="1" s="1"/>
  <c r="CO659" i="1" a="1"/>
  <c r="CO659" i="1" s="1"/>
  <c r="CO660" i="1" s="1"/>
  <c r="CN659" i="1" a="1"/>
  <c r="CN659" i="1" s="1"/>
  <c r="CM659" i="1" a="1"/>
  <c r="CM659" i="1" s="1"/>
  <c r="CL659" i="1" a="1"/>
  <c r="CL659" i="1" s="1"/>
  <c r="CK659" i="1" a="1"/>
  <c r="CK659" i="1" s="1"/>
  <c r="CJ659" i="1" a="1"/>
  <c r="CJ659" i="1" s="1"/>
  <c r="CI659" i="1" a="1"/>
  <c r="CI659" i="1" s="1"/>
  <c r="CH659" i="1" a="1"/>
  <c r="CH659" i="1" s="1"/>
  <c r="CG659" i="1" a="1"/>
  <c r="CG659" i="1" s="1"/>
  <c r="CF659" i="1" a="1"/>
  <c r="CF659" i="1" s="1"/>
  <c r="CD659" i="1" a="1"/>
  <c r="CD659" i="1" s="1"/>
  <c r="CC659" i="1" a="1"/>
  <c r="CC659" i="1" s="1"/>
  <c r="CB659" i="1" a="1"/>
  <c r="CB659" i="1" s="1"/>
  <c r="CA659" i="1" a="1"/>
  <c r="CA659" i="1" s="1"/>
  <c r="BZ659" i="1" a="1"/>
  <c r="BZ659" i="1" s="1"/>
  <c r="BZ660" i="1" s="1"/>
  <c r="BY659" i="1" a="1"/>
  <c r="BY659" i="1" s="1"/>
  <c r="BY660" i="1" s="1"/>
  <c r="BX659" i="1"/>
  <c r="BX660" i="1" s="1"/>
  <c r="BX659" i="1" a="1"/>
  <c r="BW659" i="1" a="1"/>
  <c r="BW659" i="1" s="1"/>
  <c r="BW660" i="1" s="1"/>
  <c r="BV659" i="1" a="1"/>
  <c r="BV659" i="1" s="1"/>
  <c r="BV660" i="1" s="1"/>
  <c r="BU659" i="1" a="1"/>
  <c r="BU659" i="1" s="1"/>
  <c r="BU660" i="1" s="1"/>
  <c r="BT659" i="1" a="1"/>
  <c r="BT659" i="1" s="1"/>
  <c r="BT660" i="1" s="1"/>
  <c r="BS659" i="1" a="1"/>
  <c r="BS659" i="1" s="1"/>
  <c r="BS660" i="1" s="1"/>
  <c r="BR659" i="1" a="1"/>
  <c r="BR659" i="1" s="1"/>
  <c r="BR660" i="1" s="1"/>
  <c r="BQ659" i="1" a="1"/>
  <c r="BQ659" i="1" s="1"/>
  <c r="BQ660" i="1" s="1"/>
  <c r="BP659" i="1" a="1"/>
  <c r="BP659" i="1" s="1"/>
  <c r="BP660" i="1" s="1"/>
  <c r="BO659" i="1" a="1"/>
  <c r="BO659" i="1" s="1"/>
  <c r="BO660" i="1" s="1"/>
  <c r="BN659" i="1" a="1"/>
  <c r="BN659" i="1" s="1"/>
  <c r="BN660" i="1" s="1"/>
  <c r="BM659" i="1" a="1"/>
  <c r="BM659" i="1" s="1"/>
  <c r="BM660" i="1" s="1"/>
  <c r="BL659" i="1" a="1"/>
  <c r="BL659" i="1" s="1"/>
  <c r="BL660" i="1" s="1"/>
  <c r="BK659" i="1" a="1"/>
  <c r="BK659" i="1" s="1"/>
  <c r="BK660" i="1" s="1"/>
  <c r="BJ659" i="1" a="1"/>
  <c r="BJ659" i="1" s="1"/>
  <c r="BJ660" i="1" s="1"/>
  <c r="BI659" i="1" a="1"/>
  <c r="BI659" i="1" s="1"/>
  <c r="BI660" i="1" s="1"/>
  <c r="BH659" i="1" a="1"/>
  <c r="BH659" i="1" s="1"/>
  <c r="BH660" i="1" s="1"/>
  <c r="BG659" i="1" a="1"/>
  <c r="BG659" i="1" s="1"/>
  <c r="BG660" i="1" s="1"/>
  <c r="BF659" i="1" a="1"/>
  <c r="BF659" i="1" s="1"/>
  <c r="BF660" i="1" s="1"/>
  <c r="BE659" i="1" a="1"/>
  <c r="BE659" i="1" s="1"/>
  <c r="BE660" i="1" s="1"/>
  <c r="BD659" i="1" a="1"/>
  <c r="BD659" i="1" s="1"/>
  <c r="BD660" i="1" s="1"/>
  <c r="BC659" i="1" a="1"/>
  <c r="BC659" i="1" s="1"/>
  <c r="BC660" i="1" s="1"/>
  <c r="BB659" i="1" a="1"/>
  <c r="BB659" i="1" s="1"/>
  <c r="BB660" i="1" s="1"/>
  <c r="BA659" i="1" a="1"/>
  <c r="BA659" i="1" s="1"/>
  <c r="BA660" i="1" s="1"/>
  <c r="AZ659" i="1" a="1"/>
  <c r="AZ659" i="1" s="1"/>
  <c r="AZ660" i="1" s="1"/>
  <c r="AY659" i="1" a="1"/>
  <c r="AY659" i="1" s="1"/>
  <c r="AY660" i="1" s="1"/>
  <c r="AX659" i="1" a="1"/>
  <c r="AX659" i="1" s="1"/>
  <c r="AX660" i="1" s="1"/>
  <c r="AW659" i="1" a="1"/>
  <c r="AW659" i="1" s="1"/>
  <c r="AW660" i="1" s="1"/>
  <c r="AV659" i="1" a="1"/>
  <c r="AV659" i="1" s="1"/>
  <c r="AV660" i="1" s="1"/>
  <c r="AU659" i="1" a="1"/>
  <c r="AU659" i="1" s="1"/>
  <c r="AU660" i="1" s="1"/>
  <c r="AT659" i="1" a="1"/>
  <c r="AT659" i="1" s="1"/>
  <c r="AT660" i="1" s="1"/>
  <c r="AS659" i="1" a="1"/>
  <c r="AS659" i="1" s="1"/>
  <c r="AS660" i="1" s="1"/>
  <c r="AR659" i="1" a="1"/>
  <c r="AR659" i="1" s="1"/>
  <c r="AR660" i="1" s="1"/>
  <c r="AQ659" i="1" a="1"/>
  <c r="AQ659" i="1" s="1"/>
  <c r="AQ660" i="1" s="1"/>
  <c r="AP659" i="1" a="1"/>
  <c r="AP659" i="1" s="1"/>
  <c r="AP660" i="1" s="1"/>
  <c r="AO659" i="1" a="1"/>
  <c r="AO659" i="1" s="1"/>
  <c r="AO660" i="1" s="1"/>
  <c r="AN659" i="1" a="1"/>
  <c r="AN659" i="1" s="1"/>
  <c r="AN660" i="1" s="1"/>
  <c r="AM659" i="1" a="1"/>
  <c r="AM659" i="1" s="1"/>
  <c r="AM660" i="1" s="1"/>
  <c r="AL659" i="1" a="1"/>
  <c r="AL659" i="1" s="1"/>
  <c r="AL660" i="1" s="1"/>
  <c r="AK659" i="1" a="1"/>
  <c r="AK659" i="1" s="1"/>
  <c r="AK660" i="1" s="1"/>
  <c r="AJ659" i="1" a="1"/>
  <c r="AJ659" i="1" s="1"/>
  <c r="AJ660" i="1" s="1"/>
  <c r="AI659" i="1" a="1"/>
  <c r="AI659" i="1" s="1"/>
  <c r="AI660" i="1" s="1"/>
  <c r="AH659" i="1" a="1"/>
  <c r="AH659" i="1" s="1"/>
  <c r="AH660" i="1" s="1"/>
  <c r="AG659" i="1" a="1"/>
  <c r="AG659" i="1" s="1"/>
  <c r="AG660" i="1" s="1"/>
  <c r="AF659" i="1" a="1"/>
  <c r="AF659" i="1" s="1"/>
  <c r="AF660" i="1" s="1"/>
  <c r="AE659" i="1" a="1"/>
  <c r="AE659" i="1" s="1"/>
  <c r="AE660" i="1" s="1"/>
  <c r="AD659" i="1" a="1"/>
  <c r="AD659" i="1" s="1"/>
  <c r="AD660" i="1" s="1"/>
  <c r="AC659" i="1" a="1"/>
  <c r="AC659" i="1" s="1"/>
  <c r="AC660" i="1" s="1"/>
  <c r="AB659" i="1" a="1"/>
  <c r="AB659" i="1" s="1"/>
  <c r="AB660" i="1" s="1"/>
  <c r="AA659" i="1" a="1"/>
  <c r="AA659" i="1" s="1"/>
  <c r="AA660" i="1" s="1"/>
  <c r="Z659" i="1" a="1"/>
  <c r="Z659" i="1" s="1"/>
  <c r="Z660" i="1" s="1"/>
  <c r="Y659" i="1" a="1"/>
  <c r="Y659" i="1" s="1"/>
  <c r="Y660" i="1" s="1"/>
  <c r="X659" i="1" a="1"/>
  <c r="X659" i="1" s="1"/>
  <c r="X660" i="1" s="1"/>
  <c r="W659" i="1" a="1"/>
  <c r="W659" i="1" s="1"/>
  <c r="W660" i="1" s="1"/>
  <c r="V659" i="1" a="1"/>
  <c r="V659" i="1" s="1"/>
  <c r="V660" i="1" s="1"/>
  <c r="U659" i="1" a="1"/>
  <c r="U659" i="1" s="1"/>
  <c r="U660" i="1" s="1"/>
  <c r="T659" i="1" a="1"/>
  <c r="T659" i="1" s="1"/>
  <c r="T660" i="1" s="1"/>
  <c r="S659" i="1" a="1"/>
  <c r="S659" i="1" s="1"/>
  <c r="S660" i="1" s="1"/>
  <c r="S658" i="1"/>
  <c r="B658" i="1"/>
  <c r="CI657" i="1"/>
  <c r="CB657" i="1"/>
  <c r="CX655" i="1" a="1"/>
  <c r="CX655" i="1" s="1"/>
  <c r="CW655" i="1" a="1"/>
  <c r="CW655" i="1" s="1"/>
  <c r="CV655" i="1" a="1"/>
  <c r="CV655" i="1" s="1"/>
  <c r="CU655" i="1" a="1"/>
  <c r="CU655" i="1" s="1"/>
  <c r="CT655" i="1" a="1"/>
  <c r="CT655" i="1" s="1"/>
  <c r="CS655" i="1" a="1"/>
  <c r="CS655" i="1" s="1"/>
  <c r="CR655" i="1" a="1"/>
  <c r="CR655" i="1" s="1"/>
  <c r="CQ655" i="1" a="1"/>
  <c r="CQ655" i="1" s="1"/>
  <c r="CP655" i="1" a="1"/>
  <c r="CP655" i="1" s="1"/>
  <c r="CO655" i="1" a="1"/>
  <c r="CO655" i="1" s="1"/>
  <c r="CN655" i="1" a="1"/>
  <c r="CN655" i="1" s="1"/>
  <c r="CM655" i="1" a="1"/>
  <c r="CM655" i="1" s="1"/>
  <c r="CL655" i="1" a="1"/>
  <c r="CL655" i="1" s="1"/>
  <c r="CK655" i="1" a="1"/>
  <c r="CK655" i="1" s="1"/>
  <c r="CJ655" i="1" a="1"/>
  <c r="CJ655" i="1" s="1"/>
  <c r="CI655" i="1" a="1"/>
  <c r="CI655" i="1" s="1"/>
  <c r="CH655" i="1" a="1"/>
  <c r="CH655" i="1" s="1"/>
  <c r="CG655" i="1" a="1"/>
  <c r="CG655" i="1" s="1"/>
  <c r="CF655" i="1" a="1"/>
  <c r="CF655" i="1" s="1"/>
  <c r="CD655" i="1" a="1"/>
  <c r="CD655" i="1" s="1"/>
  <c r="CC655" i="1" a="1"/>
  <c r="CC655" i="1" s="1"/>
  <c r="CB655" i="1" a="1"/>
  <c r="CB655" i="1" s="1"/>
  <c r="CA655" i="1" a="1"/>
  <c r="CA655" i="1" s="1"/>
  <c r="BZ655" i="1" a="1"/>
  <c r="BZ655" i="1" s="1"/>
  <c r="BY655" i="1" a="1"/>
  <c r="BY655" i="1" s="1"/>
  <c r="BX655" i="1" a="1"/>
  <c r="BX655" i="1" s="1"/>
  <c r="BW655" i="1" a="1"/>
  <c r="BW655" i="1" s="1"/>
  <c r="BV655" i="1" a="1"/>
  <c r="BV655" i="1" s="1"/>
  <c r="BU655" i="1" a="1"/>
  <c r="BU655" i="1" s="1"/>
  <c r="BT655" i="1" a="1"/>
  <c r="BT655" i="1" s="1"/>
  <c r="BS655" i="1" a="1"/>
  <c r="BS655" i="1" s="1"/>
  <c r="BR655" i="1" a="1"/>
  <c r="BR655" i="1" s="1"/>
  <c r="BQ655" i="1" a="1"/>
  <c r="BQ655" i="1" s="1"/>
  <c r="BP655" i="1" a="1"/>
  <c r="BP655" i="1" s="1"/>
  <c r="BO655" i="1" a="1"/>
  <c r="BO655" i="1" s="1"/>
  <c r="BN655" i="1" a="1"/>
  <c r="BN655" i="1" s="1"/>
  <c r="BM655" i="1" a="1"/>
  <c r="BM655" i="1" s="1"/>
  <c r="BL655" i="1" a="1"/>
  <c r="BL655" i="1" s="1"/>
  <c r="BK655" i="1" a="1"/>
  <c r="BK655" i="1" s="1"/>
  <c r="BJ655" i="1" a="1"/>
  <c r="BJ655" i="1" s="1"/>
  <c r="BI655" i="1" a="1"/>
  <c r="BI655" i="1" s="1"/>
  <c r="BH655" i="1" a="1"/>
  <c r="BH655" i="1" s="1"/>
  <c r="BG655" i="1" a="1"/>
  <c r="BG655" i="1" s="1"/>
  <c r="BF655" i="1" a="1"/>
  <c r="BF655" i="1" s="1"/>
  <c r="CX653" i="1" a="1"/>
  <c r="CX653" i="1" s="1"/>
  <c r="CW653" i="1" a="1"/>
  <c r="CW653" i="1" s="1"/>
  <c r="CV653" i="1" a="1"/>
  <c r="CV653" i="1" s="1"/>
  <c r="CU653" i="1" a="1"/>
  <c r="CU653" i="1" s="1"/>
  <c r="CT653" i="1" a="1"/>
  <c r="CT653" i="1" s="1"/>
  <c r="CS653" i="1" a="1"/>
  <c r="CS653" i="1" s="1"/>
  <c r="CR653" i="1" a="1"/>
  <c r="CR653" i="1" s="1"/>
  <c r="CQ653" i="1" a="1"/>
  <c r="CQ653" i="1" s="1"/>
  <c r="CP653" i="1" a="1"/>
  <c r="CP653" i="1" s="1"/>
  <c r="CO653" i="1" a="1"/>
  <c r="CO653" i="1" s="1"/>
  <c r="CN653" i="1" a="1"/>
  <c r="CN653" i="1" s="1"/>
  <c r="CM653" i="1" a="1"/>
  <c r="CM653" i="1" s="1"/>
  <c r="CL653" i="1" a="1"/>
  <c r="CL653" i="1" s="1"/>
  <c r="CK653" i="1" a="1"/>
  <c r="CK653" i="1" s="1"/>
  <c r="CJ653" i="1" a="1"/>
  <c r="CJ653" i="1" s="1"/>
  <c r="CI653" i="1" a="1"/>
  <c r="CI653" i="1" s="1"/>
  <c r="CH653" i="1" a="1"/>
  <c r="CH653" i="1" s="1"/>
  <c r="CG653" i="1" a="1"/>
  <c r="CG653" i="1" s="1"/>
  <c r="CF653" i="1" a="1"/>
  <c r="CF653" i="1" s="1"/>
  <c r="CD653" i="1" a="1"/>
  <c r="CD653" i="1" s="1"/>
  <c r="CC653" i="1" a="1"/>
  <c r="CC653" i="1" s="1"/>
  <c r="CB653" i="1" a="1"/>
  <c r="CB653" i="1" s="1"/>
  <c r="CA653" i="1" a="1"/>
  <c r="CA653" i="1" s="1"/>
  <c r="BZ653" i="1" a="1"/>
  <c r="BZ653" i="1" s="1"/>
  <c r="BY653" i="1" a="1"/>
  <c r="BY653" i="1" s="1"/>
  <c r="BX653" i="1" a="1"/>
  <c r="BX653" i="1" s="1"/>
  <c r="BW653" i="1" a="1"/>
  <c r="BW653" i="1" s="1"/>
  <c r="BV653" i="1" a="1"/>
  <c r="BV653" i="1" s="1"/>
  <c r="BU653" i="1" a="1"/>
  <c r="BU653" i="1" s="1"/>
  <c r="BT653" i="1" a="1"/>
  <c r="BT653" i="1" s="1"/>
  <c r="BS653" i="1" a="1"/>
  <c r="BS653" i="1" s="1"/>
  <c r="BR653" i="1" a="1"/>
  <c r="BR653" i="1" s="1"/>
  <c r="BQ653" i="1" a="1"/>
  <c r="BQ653" i="1" s="1"/>
  <c r="BP653" i="1" a="1"/>
  <c r="BP653" i="1" s="1"/>
  <c r="BO653" i="1" a="1"/>
  <c r="BO653" i="1" s="1"/>
  <c r="BN653" i="1" a="1"/>
  <c r="BN653" i="1" s="1"/>
  <c r="BM653" i="1" a="1"/>
  <c r="BM653" i="1" s="1"/>
  <c r="BL653" i="1" a="1"/>
  <c r="BL653" i="1" s="1"/>
  <c r="BK653" i="1" a="1"/>
  <c r="BK653" i="1" s="1"/>
  <c r="BJ653" i="1" a="1"/>
  <c r="BJ653" i="1" s="1"/>
  <c r="BI653" i="1" a="1"/>
  <c r="BI653" i="1" s="1"/>
  <c r="BH653" i="1" a="1"/>
  <c r="BH653" i="1" s="1"/>
  <c r="BG653" i="1" a="1"/>
  <c r="BG653" i="1" s="1"/>
  <c r="BF653" i="1" a="1"/>
  <c r="BF653" i="1" s="1"/>
  <c r="CX652" i="1" a="1"/>
  <c r="CX652" i="1" s="1"/>
  <c r="CW652" i="1" a="1"/>
  <c r="CW652" i="1" s="1"/>
  <c r="CV652" i="1" a="1"/>
  <c r="CV652" i="1" s="1"/>
  <c r="CU652" i="1" a="1"/>
  <c r="CU652" i="1" s="1"/>
  <c r="CT652" i="1" a="1"/>
  <c r="CT652" i="1" s="1"/>
  <c r="CS652" i="1" a="1"/>
  <c r="CS652" i="1" s="1"/>
  <c r="CR652" i="1" a="1"/>
  <c r="CR652" i="1" s="1"/>
  <c r="CQ652" i="1" a="1"/>
  <c r="CQ652" i="1" s="1"/>
  <c r="CP652" i="1" a="1"/>
  <c r="CP652" i="1" s="1"/>
  <c r="CO652" i="1" a="1"/>
  <c r="CO652" i="1" s="1"/>
  <c r="CN652" i="1" a="1"/>
  <c r="CN652" i="1" s="1"/>
  <c r="CM652" i="1" a="1"/>
  <c r="CM652" i="1" s="1"/>
  <c r="CL652" i="1" a="1"/>
  <c r="CL652" i="1" s="1"/>
  <c r="CK652" i="1" a="1"/>
  <c r="CK652" i="1" s="1"/>
  <c r="CJ652" i="1" a="1"/>
  <c r="CJ652" i="1" s="1"/>
  <c r="CI652" i="1" a="1"/>
  <c r="CI652" i="1" s="1"/>
  <c r="CH652" i="1" a="1"/>
  <c r="CH652" i="1" s="1"/>
  <c r="CG652" i="1" a="1"/>
  <c r="CG652" i="1" s="1"/>
  <c r="CF652" i="1" a="1"/>
  <c r="CF652" i="1" s="1"/>
  <c r="CD652" i="1" a="1"/>
  <c r="CD652" i="1" s="1"/>
  <c r="CC652" i="1" a="1"/>
  <c r="CC652" i="1" s="1"/>
  <c r="CB652" i="1" a="1"/>
  <c r="CB652" i="1" s="1"/>
  <c r="CA652" i="1" a="1"/>
  <c r="CA652" i="1" s="1"/>
  <c r="BZ652" i="1" a="1"/>
  <c r="BZ652" i="1" s="1"/>
  <c r="BY652" i="1" a="1"/>
  <c r="BY652" i="1" s="1"/>
  <c r="BX652" i="1" a="1"/>
  <c r="BX652" i="1" s="1"/>
  <c r="BW652" i="1" a="1"/>
  <c r="BW652" i="1" s="1"/>
  <c r="BV652" i="1" a="1"/>
  <c r="BV652" i="1" s="1"/>
  <c r="BU652" i="1" a="1"/>
  <c r="BU652" i="1" s="1"/>
  <c r="BT652" i="1" a="1"/>
  <c r="BT652" i="1" s="1"/>
  <c r="BS652" i="1" a="1"/>
  <c r="BS652" i="1" s="1"/>
  <c r="BR652" i="1" a="1"/>
  <c r="BR652" i="1" s="1"/>
  <c r="BQ652" i="1" a="1"/>
  <c r="BQ652" i="1" s="1"/>
  <c r="BP652" i="1" a="1"/>
  <c r="BP652" i="1" s="1"/>
  <c r="BO652" i="1" a="1"/>
  <c r="BO652" i="1" s="1"/>
  <c r="BN652" i="1" a="1"/>
  <c r="BN652" i="1" s="1"/>
  <c r="BM652" i="1" a="1"/>
  <c r="BM652" i="1" s="1"/>
  <c r="BL652" i="1" a="1"/>
  <c r="BL652" i="1" s="1"/>
  <c r="BK652" i="1" a="1"/>
  <c r="BK652" i="1" s="1"/>
  <c r="BJ652" i="1" a="1"/>
  <c r="BJ652" i="1" s="1"/>
  <c r="BI652" i="1" a="1"/>
  <c r="BI652" i="1" s="1"/>
  <c r="BH652" i="1" a="1"/>
  <c r="BH652" i="1" s="1"/>
  <c r="BG652" i="1" a="1"/>
  <c r="BG652" i="1" s="1"/>
  <c r="BF652" i="1" a="1"/>
  <c r="BF652" i="1" s="1"/>
  <c r="CX651" i="1" a="1"/>
  <c r="CX651" i="1" s="1"/>
  <c r="CW651" i="1" a="1"/>
  <c r="CW651" i="1" s="1"/>
  <c r="CV651" i="1" a="1"/>
  <c r="CV651" i="1" s="1"/>
  <c r="CU651" i="1" a="1"/>
  <c r="CU651" i="1" s="1"/>
  <c r="CT651" i="1" a="1"/>
  <c r="CT651" i="1" s="1"/>
  <c r="CS651" i="1" a="1"/>
  <c r="CS651" i="1" s="1"/>
  <c r="CR651" i="1" a="1"/>
  <c r="CR651" i="1" s="1"/>
  <c r="CQ651" i="1" a="1"/>
  <c r="CQ651" i="1" s="1"/>
  <c r="CP651" i="1" a="1"/>
  <c r="CP651" i="1" s="1"/>
  <c r="CO651" i="1" a="1"/>
  <c r="CO651" i="1" s="1"/>
  <c r="CN651" i="1" a="1"/>
  <c r="CN651" i="1" s="1"/>
  <c r="CM651" i="1" a="1"/>
  <c r="CM651" i="1" s="1"/>
  <c r="CL651" i="1" a="1"/>
  <c r="CL651" i="1" s="1"/>
  <c r="CK651" i="1" a="1"/>
  <c r="CK651" i="1" s="1"/>
  <c r="CJ651" i="1" a="1"/>
  <c r="CJ651" i="1" s="1"/>
  <c r="CI651" i="1" a="1"/>
  <c r="CI651" i="1" s="1"/>
  <c r="CH651" i="1" a="1"/>
  <c r="CH651" i="1" s="1"/>
  <c r="CG651" i="1" a="1"/>
  <c r="CG651" i="1" s="1"/>
  <c r="CF651" i="1" a="1"/>
  <c r="CF651" i="1" s="1"/>
  <c r="CD651" i="1" a="1"/>
  <c r="CD651" i="1" s="1"/>
  <c r="CC651" i="1" a="1"/>
  <c r="CC651" i="1" s="1"/>
  <c r="CB651" i="1" a="1"/>
  <c r="CB651" i="1" s="1"/>
  <c r="CA651" i="1" a="1"/>
  <c r="CA651" i="1" s="1"/>
  <c r="BZ651" i="1" a="1"/>
  <c r="BZ651" i="1" s="1"/>
  <c r="BY651" i="1" a="1"/>
  <c r="BY651" i="1" s="1"/>
  <c r="BX651" i="1" a="1"/>
  <c r="BX651" i="1" s="1"/>
  <c r="BW651" i="1" a="1"/>
  <c r="BW651" i="1" s="1"/>
  <c r="BV651" i="1" a="1"/>
  <c r="BV651" i="1" s="1"/>
  <c r="BU651" i="1" a="1"/>
  <c r="BU651" i="1" s="1"/>
  <c r="BT651" i="1" a="1"/>
  <c r="BT651" i="1" s="1"/>
  <c r="BS651" i="1" a="1"/>
  <c r="BS651" i="1" s="1"/>
  <c r="BR651" i="1" a="1"/>
  <c r="BR651" i="1" s="1"/>
  <c r="BQ651" i="1" a="1"/>
  <c r="BQ651" i="1" s="1"/>
  <c r="BP651" i="1" a="1"/>
  <c r="BP651" i="1" s="1"/>
  <c r="BO651" i="1" a="1"/>
  <c r="BO651" i="1" s="1"/>
  <c r="BN651" i="1" a="1"/>
  <c r="BN651" i="1" s="1"/>
  <c r="BM651" i="1" a="1"/>
  <c r="BM651" i="1" s="1"/>
  <c r="BL651" i="1" a="1"/>
  <c r="BL651" i="1" s="1"/>
  <c r="BK651" i="1" a="1"/>
  <c r="BK651" i="1" s="1"/>
  <c r="BJ651" i="1" a="1"/>
  <c r="BJ651" i="1" s="1"/>
  <c r="BI651" i="1" a="1"/>
  <c r="BI651" i="1" s="1"/>
  <c r="BH651" i="1" a="1"/>
  <c r="BH651" i="1" s="1"/>
  <c r="BG651" i="1" a="1"/>
  <c r="BG651" i="1" s="1"/>
  <c r="BF651" i="1" a="1"/>
  <c r="BF651" i="1" s="1"/>
  <c r="CX650" i="1" a="1"/>
  <c r="CX650" i="1" s="1"/>
  <c r="CW650" i="1" a="1"/>
  <c r="CW650" i="1" s="1"/>
  <c r="CV650" i="1" a="1"/>
  <c r="CV650" i="1" s="1"/>
  <c r="CU650" i="1" a="1"/>
  <c r="CU650" i="1" s="1"/>
  <c r="CT650" i="1" a="1"/>
  <c r="CT650" i="1" s="1"/>
  <c r="CS650" i="1"/>
  <c r="CS650" i="1" a="1"/>
  <c r="CR650" i="1" a="1"/>
  <c r="CR650" i="1" s="1"/>
  <c r="CQ650" i="1" a="1"/>
  <c r="CQ650" i="1" s="1"/>
  <c r="CP650" i="1" a="1"/>
  <c r="CP650" i="1" s="1"/>
  <c r="CO650" i="1" a="1"/>
  <c r="CO650" i="1" s="1"/>
  <c r="CN650" i="1" a="1"/>
  <c r="CN650" i="1" s="1"/>
  <c r="CM650" i="1" a="1"/>
  <c r="CM650" i="1" s="1"/>
  <c r="CL650" i="1" a="1"/>
  <c r="CL650" i="1" s="1"/>
  <c r="CK650" i="1" a="1"/>
  <c r="CK650" i="1" s="1"/>
  <c r="CJ650" i="1" a="1"/>
  <c r="CJ650" i="1" s="1"/>
  <c r="CI650" i="1" a="1"/>
  <c r="CI650" i="1" s="1"/>
  <c r="CH650" i="1" a="1"/>
  <c r="CH650" i="1" s="1"/>
  <c r="CG650" i="1" a="1"/>
  <c r="CG650" i="1" s="1"/>
  <c r="CF650" i="1" a="1"/>
  <c r="CF650" i="1" s="1"/>
  <c r="CD650" i="1" a="1"/>
  <c r="CD650" i="1" s="1"/>
  <c r="CC650" i="1" a="1"/>
  <c r="CC650" i="1" s="1"/>
  <c r="CB650" i="1" a="1"/>
  <c r="CB650" i="1" s="1"/>
  <c r="CA650" i="1" a="1"/>
  <c r="CA650" i="1" s="1"/>
  <c r="BZ650" i="1" a="1"/>
  <c r="BZ650" i="1" s="1"/>
  <c r="BY650" i="1" a="1"/>
  <c r="BY650" i="1" s="1"/>
  <c r="BX650" i="1" a="1"/>
  <c r="BX650" i="1" s="1"/>
  <c r="BW650" i="1" a="1"/>
  <c r="BW650" i="1" s="1"/>
  <c r="BV650" i="1" a="1"/>
  <c r="BV650" i="1" s="1"/>
  <c r="BU650" i="1" a="1"/>
  <c r="BU650" i="1" s="1"/>
  <c r="BT650" i="1" a="1"/>
  <c r="BT650" i="1" s="1"/>
  <c r="BS650" i="1" a="1"/>
  <c r="BS650" i="1" s="1"/>
  <c r="BR650" i="1" a="1"/>
  <c r="BR650" i="1" s="1"/>
  <c r="BQ650" i="1" a="1"/>
  <c r="BQ650" i="1" s="1"/>
  <c r="BP650" i="1" a="1"/>
  <c r="BP650" i="1" s="1"/>
  <c r="BO650" i="1" a="1"/>
  <c r="BO650" i="1" s="1"/>
  <c r="BN650" i="1" a="1"/>
  <c r="BN650" i="1" s="1"/>
  <c r="BM650" i="1" a="1"/>
  <c r="BM650" i="1" s="1"/>
  <c r="BL650" i="1" a="1"/>
  <c r="BL650" i="1" s="1"/>
  <c r="BK650" i="1" a="1"/>
  <c r="BK650" i="1" s="1"/>
  <c r="BJ650" i="1" a="1"/>
  <c r="BJ650" i="1" s="1"/>
  <c r="BI650" i="1" a="1"/>
  <c r="BI650" i="1" s="1"/>
  <c r="BH650" i="1" a="1"/>
  <c r="BH650" i="1" s="1"/>
  <c r="BG650" i="1" a="1"/>
  <c r="BG650" i="1" s="1"/>
  <c r="BF650" i="1" a="1"/>
  <c r="BF650" i="1" s="1"/>
  <c r="CX649" i="1" a="1"/>
  <c r="CX649" i="1" s="1"/>
  <c r="CW649" i="1" a="1"/>
  <c r="CW649" i="1" s="1"/>
  <c r="CV649" i="1" a="1"/>
  <c r="CV649" i="1" s="1"/>
  <c r="CU649" i="1" a="1"/>
  <c r="CU649" i="1" s="1"/>
  <c r="CT649" i="1" a="1"/>
  <c r="CT649" i="1" s="1"/>
  <c r="CS649" i="1" a="1"/>
  <c r="CS649" i="1" s="1"/>
  <c r="CR649" i="1" a="1"/>
  <c r="CR649" i="1" s="1"/>
  <c r="CQ649" i="1" a="1"/>
  <c r="CQ649" i="1" s="1"/>
  <c r="CP649" i="1" a="1"/>
  <c r="CP649" i="1" s="1"/>
  <c r="CO649" i="1" a="1"/>
  <c r="CO649" i="1" s="1"/>
  <c r="CN649" i="1" a="1"/>
  <c r="CN649" i="1" s="1"/>
  <c r="CM649" i="1" a="1"/>
  <c r="CM649" i="1" s="1"/>
  <c r="CL649" i="1" a="1"/>
  <c r="CL649" i="1" s="1"/>
  <c r="CK649" i="1" a="1"/>
  <c r="CK649" i="1" s="1"/>
  <c r="CJ649" i="1" a="1"/>
  <c r="CJ649" i="1" s="1"/>
  <c r="CI649" i="1" a="1"/>
  <c r="CI649" i="1" s="1"/>
  <c r="CH649" i="1" a="1"/>
  <c r="CH649" i="1" s="1"/>
  <c r="CG649" i="1" a="1"/>
  <c r="CG649" i="1" s="1"/>
  <c r="CF649" i="1" a="1"/>
  <c r="CF649" i="1" s="1"/>
  <c r="CD649" i="1" a="1"/>
  <c r="CD649" i="1" s="1"/>
  <c r="CC649" i="1" a="1"/>
  <c r="CC649" i="1" s="1"/>
  <c r="CB649" i="1" a="1"/>
  <c r="CB649" i="1" s="1"/>
  <c r="CA649" i="1" a="1"/>
  <c r="CA649" i="1" s="1"/>
  <c r="BZ649" i="1" a="1"/>
  <c r="BZ649" i="1" s="1"/>
  <c r="BY649" i="1" a="1"/>
  <c r="BY649" i="1" s="1"/>
  <c r="BX649" i="1" a="1"/>
  <c r="BX649" i="1" s="1"/>
  <c r="BW649" i="1" a="1"/>
  <c r="BW649" i="1" s="1"/>
  <c r="BV649" i="1" a="1"/>
  <c r="BV649" i="1" s="1"/>
  <c r="BU649" i="1" a="1"/>
  <c r="BU649" i="1" s="1"/>
  <c r="BT649" i="1" a="1"/>
  <c r="BT649" i="1" s="1"/>
  <c r="BS649" i="1" a="1"/>
  <c r="BS649" i="1" s="1"/>
  <c r="BR649" i="1" a="1"/>
  <c r="BR649" i="1" s="1"/>
  <c r="BQ649" i="1" a="1"/>
  <c r="BQ649" i="1" s="1"/>
  <c r="BP649" i="1" a="1"/>
  <c r="BP649" i="1" s="1"/>
  <c r="BO649" i="1" a="1"/>
  <c r="BO649" i="1" s="1"/>
  <c r="BN649" i="1" a="1"/>
  <c r="BN649" i="1" s="1"/>
  <c r="BM649" i="1" a="1"/>
  <c r="BM649" i="1" s="1"/>
  <c r="BL649" i="1" a="1"/>
  <c r="BL649" i="1" s="1"/>
  <c r="BK649" i="1" a="1"/>
  <c r="BK649" i="1" s="1"/>
  <c r="BJ649" i="1" a="1"/>
  <c r="BJ649" i="1" s="1"/>
  <c r="BI649" i="1" a="1"/>
  <c r="BI649" i="1" s="1"/>
  <c r="BH649" i="1" a="1"/>
  <c r="BH649" i="1" s="1"/>
  <c r="BG649" i="1" a="1"/>
  <c r="BG649" i="1" s="1"/>
  <c r="BF649" i="1" a="1"/>
  <c r="BF649" i="1" s="1"/>
  <c r="CX647" i="1" a="1"/>
  <c r="CX647" i="1" s="1"/>
  <c r="CW647" i="1" a="1"/>
  <c r="CW647" i="1" s="1"/>
  <c r="CV647" i="1" a="1"/>
  <c r="CV647" i="1" s="1"/>
  <c r="CU647" i="1" a="1"/>
  <c r="CU647" i="1" s="1"/>
  <c r="CT647" i="1" a="1"/>
  <c r="CT647" i="1" s="1"/>
  <c r="CS647" i="1" a="1"/>
  <c r="CS647" i="1" s="1"/>
  <c r="CR647" i="1" a="1"/>
  <c r="CR647" i="1" s="1"/>
  <c r="CQ647" i="1" a="1"/>
  <c r="CQ647" i="1" s="1"/>
  <c r="CP647" i="1" a="1"/>
  <c r="CP647" i="1" s="1"/>
  <c r="CO647" i="1" a="1"/>
  <c r="CO647" i="1" s="1"/>
  <c r="CN647" i="1" a="1"/>
  <c r="CN647" i="1" s="1"/>
  <c r="CM647" i="1" a="1"/>
  <c r="CM647" i="1" s="1"/>
  <c r="CL647" i="1" a="1"/>
  <c r="CL647" i="1" s="1"/>
  <c r="CK647" i="1" a="1"/>
  <c r="CK647" i="1" s="1"/>
  <c r="CJ647" i="1" a="1"/>
  <c r="CJ647" i="1" s="1"/>
  <c r="CI647" i="1" a="1"/>
  <c r="CI647" i="1" s="1"/>
  <c r="CH647" i="1" a="1"/>
  <c r="CH647" i="1" s="1"/>
  <c r="CG647" i="1" a="1"/>
  <c r="CG647" i="1" s="1"/>
  <c r="CF647" i="1" a="1"/>
  <c r="CF647" i="1" s="1"/>
  <c r="CD647" i="1" a="1"/>
  <c r="CD647" i="1" s="1"/>
  <c r="CC647" i="1" a="1"/>
  <c r="CC647" i="1" s="1"/>
  <c r="CB647" i="1" a="1"/>
  <c r="CB647" i="1" s="1"/>
  <c r="CA647" i="1" a="1"/>
  <c r="CA647" i="1" s="1"/>
  <c r="BZ647" i="1" a="1"/>
  <c r="BZ647" i="1" s="1"/>
  <c r="BY647" i="1" a="1"/>
  <c r="BY647" i="1" s="1"/>
  <c r="BX647" i="1" a="1"/>
  <c r="BX647" i="1" s="1"/>
  <c r="BW647" i="1" a="1"/>
  <c r="BW647" i="1" s="1"/>
  <c r="BV647" i="1" a="1"/>
  <c r="BV647" i="1" s="1"/>
  <c r="BU647" i="1" a="1"/>
  <c r="BU647" i="1" s="1"/>
  <c r="BT647" i="1" a="1"/>
  <c r="BT647" i="1" s="1"/>
  <c r="BS647" i="1" a="1"/>
  <c r="BS647" i="1" s="1"/>
  <c r="BR647" i="1" a="1"/>
  <c r="BR647" i="1" s="1"/>
  <c r="BQ647" i="1" a="1"/>
  <c r="BQ647" i="1" s="1"/>
  <c r="BP647" i="1" a="1"/>
  <c r="BP647" i="1" s="1"/>
  <c r="BO647" i="1" a="1"/>
  <c r="BO647" i="1" s="1"/>
  <c r="BN647" i="1" a="1"/>
  <c r="BN647" i="1" s="1"/>
  <c r="BM647" i="1" a="1"/>
  <c r="BM647" i="1" s="1"/>
  <c r="BL647" i="1" a="1"/>
  <c r="BL647" i="1" s="1"/>
  <c r="BK647" i="1" a="1"/>
  <c r="BK647" i="1" s="1"/>
  <c r="BJ647" i="1" a="1"/>
  <c r="BJ647" i="1" s="1"/>
  <c r="BI647" i="1" a="1"/>
  <c r="BI647" i="1" s="1"/>
  <c r="BH647" i="1" a="1"/>
  <c r="BH647" i="1" s="1"/>
  <c r="BG647" i="1" a="1"/>
  <c r="BG647" i="1" s="1"/>
  <c r="BF647" i="1" a="1"/>
  <c r="BF647" i="1" s="1"/>
  <c r="CX646" i="1" a="1"/>
  <c r="CX646" i="1" s="1"/>
  <c r="CW646" i="1" a="1"/>
  <c r="CW646" i="1" s="1"/>
  <c r="CV646" i="1" a="1"/>
  <c r="CV646" i="1" s="1"/>
  <c r="CU646" i="1" a="1"/>
  <c r="CU646" i="1" s="1"/>
  <c r="CT646" i="1" a="1"/>
  <c r="CT646" i="1" s="1"/>
  <c r="CS646" i="1" a="1"/>
  <c r="CS646" i="1" s="1"/>
  <c r="CR646" i="1" a="1"/>
  <c r="CR646" i="1" s="1"/>
  <c r="CQ646" i="1" a="1"/>
  <c r="CQ646" i="1" s="1"/>
  <c r="CP646" i="1" a="1"/>
  <c r="CP646" i="1" s="1"/>
  <c r="CO646" i="1" a="1"/>
  <c r="CO646" i="1" s="1"/>
  <c r="CN646" i="1" a="1"/>
  <c r="CN646" i="1" s="1"/>
  <c r="CM646" i="1" a="1"/>
  <c r="CM646" i="1" s="1"/>
  <c r="CL646" i="1" a="1"/>
  <c r="CL646" i="1" s="1"/>
  <c r="CK646" i="1" a="1"/>
  <c r="CK646" i="1" s="1"/>
  <c r="CJ646" i="1" a="1"/>
  <c r="CJ646" i="1" s="1"/>
  <c r="CI646" i="1" a="1"/>
  <c r="CI646" i="1" s="1"/>
  <c r="CH646" i="1" a="1"/>
  <c r="CH646" i="1" s="1"/>
  <c r="CG646" i="1" a="1"/>
  <c r="CG646" i="1" s="1"/>
  <c r="CF646" i="1" a="1"/>
  <c r="CF646" i="1" s="1"/>
  <c r="CD646" i="1" a="1"/>
  <c r="CD646" i="1" s="1"/>
  <c r="CC646" i="1" a="1"/>
  <c r="CC646" i="1" s="1"/>
  <c r="CB646" i="1" a="1"/>
  <c r="CB646" i="1" s="1"/>
  <c r="CA646" i="1" a="1"/>
  <c r="CA646" i="1" s="1"/>
  <c r="BZ646" i="1" a="1"/>
  <c r="BZ646" i="1" s="1"/>
  <c r="BY646" i="1" a="1"/>
  <c r="BY646" i="1" s="1"/>
  <c r="BX646" i="1" a="1"/>
  <c r="BX646" i="1" s="1"/>
  <c r="BW646" i="1" a="1"/>
  <c r="BW646" i="1" s="1"/>
  <c r="BV646" i="1" a="1"/>
  <c r="BV646" i="1" s="1"/>
  <c r="BU646" i="1" a="1"/>
  <c r="BU646" i="1" s="1"/>
  <c r="BT646" i="1" a="1"/>
  <c r="BT646" i="1" s="1"/>
  <c r="BS646" i="1" a="1"/>
  <c r="BS646" i="1" s="1"/>
  <c r="BR646" i="1" a="1"/>
  <c r="BR646" i="1" s="1"/>
  <c r="BQ646" i="1" a="1"/>
  <c r="BQ646" i="1" s="1"/>
  <c r="BP646" i="1" a="1"/>
  <c r="BP646" i="1" s="1"/>
  <c r="BO646" i="1" a="1"/>
  <c r="BO646" i="1" s="1"/>
  <c r="BN646" i="1" a="1"/>
  <c r="BN646" i="1" s="1"/>
  <c r="BM646" i="1" a="1"/>
  <c r="BM646" i="1" s="1"/>
  <c r="BL646" i="1" a="1"/>
  <c r="BL646" i="1" s="1"/>
  <c r="BK646" i="1" a="1"/>
  <c r="BK646" i="1" s="1"/>
  <c r="BJ646" i="1" a="1"/>
  <c r="BJ646" i="1" s="1"/>
  <c r="BI646" i="1" a="1"/>
  <c r="BI646" i="1" s="1"/>
  <c r="BH646" i="1" a="1"/>
  <c r="BH646" i="1" s="1"/>
  <c r="BG646" i="1" a="1"/>
  <c r="BG646" i="1" s="1"/>
  <c r="BF646" i="1" a="1"/>
  <c r="BF646" i="1" s="1"/>
  <c r="CX645" i="1" a="1"/>
  <c r="CX645" i="1" s="1"/>
  <c r="CW645" i="1" a="1"/>
  <c r="CW645" i="1" s="1"/>
  <c r="CV645" i="1" a="1"/>
  <c r="CV645" i="1" s="1"/>
  <c r="CU645" i="1" a="1"/>
  <c r="CU645" i="1" s="1"/>
  <c r="CT645" i="1" a="1"/>
  <c r="CT645" i="1" s="1"/>
  <c r="CS645" i="1" a="1"/>
  <c r="CS645" i="1" s="1"/>
  <c r="CR645" i="1" a="1"/>
  <c r="CR645" i="1" s="1"/>
  <c r="CQ645" i="1" a="1"/>
  <c r="CQ645" i="1" s="1"/>
  <c r="CP645" i="1" a="1"/>
  <c r="CP645" i="1" s="1"/>
  <c r="CO645" i="1" a="1"/>
  <c r="CO645" i="1" s="1"/>
  <c r="CN645" i="1" a="1"/>
  <c r="CN645" i="1" s="1"/>
  <c r="CM645" i="1" a="1"/>
  <c r="CM645" i="1" s="1"/>
  <c r="CL645" i="1" a="1"/>
  <c r="CL645" i="1" s="1"/>
  <c r="CK645" i="1" a="1"/>
  <c r="CK645" i="1" s="1"/>
  <c r="CJ645" i="1" a="1"/>
  <c r="CJ645" i="1" s="1"/>
  <c r="CI645" i="1" a="1"/>
  <c r="CI645" i="1" s="1"/>
  <c r="CH645" i="1" a="1"/>
  <c r="CH645" i="1" s="1"/>
  <c r="CG645" i="1" a="1"/>
  <c r="CG645" i="1" s="1"/>
  <c r="CF645" i="1" a="1"/>
  <c r="CF645" i="1" s="1"/>
  <c r="CD645" i="1" a="1"/>
  <c r="CD645" i="1" s="1"/>
  <c r="CC645" i="1" a="1"/>
  <c r="CC645" i="1" s="1"/>
  <c r="CB645" i="1" a="1"/>
  <c r="CB645" i="1" s="1"/>
  <c r="CA645" i="1" a="1"/>
  <c r="CA645" i="1" s="1"/>
  <c r="BZ645" i="1" a="1"/>
  <c r="BZ645" i="1" s="1"/>
  <c r="BY645" i="1" a="1"/>
  <c r="BY645" i="1" s="1"/>
  <c r="BX645" i="1" a="1"/>
  <c r="BX645" i="1" s="1"/>
  <c r="BW645" i="1" a="1"/>
  <c r="BW645" i="1" s="1"/>
  <c r="BV645" i="1" a="1"/>
  <c r="BV645" i="1" s="1"/>
  <c r="BU645" i="1" a="1"/>
  <c r="BU645" i="1" s="1"/>
  <c r="BT645" i="1" a="1"/>
  <c r="BT645" i="1" s="1"/>
  <c r="BS645" i="1" a="1"/>
  <c r="BS645" i="1" s="1"/>
  <c r="BR645" i="1" a="1"/>
  <c r="BR645" i="1" s="1"/>
  <c r="BQ645" i="1" a="1"/>
  <c r="BQ645" i="1" s="1"/>
  <c r="BP645" i="1" a="1"/>
  <c r="BP645" i="1" s="1"/>
  <c r="BO645" i="1" a="1"/>
  <c r="BO645" i="1" s="1"/>
  <c r="BN645" i="1" a="1"/>
  <c r="BN645" i="1" s="1"/>
  <c r="BM645" i="1" a="1"/>
  <c r="BM645" i="1" s="1"/>
  <c r="BL645" i="1" a="1"/>
  <c r="BL645" i="1" s="1"/>
  <c r="BK645" i="1" a="1"/>
  <c r="BK645" i="1" s="1"/>
  <c r="BJ645" i="1" a="1"/>
  <c r="BJ645" i="1" s="1"/>
  <c r="BI645" i="1" a="1"/>
  <c r="BI645" i="1" s="1"/>
  <c r="BH645" i="1" a="1"/>
  <c r="BH645" i="1" s="1"/>
  <c r="BG645" i="1" a="1"/>
  <c r="BG645" i="1" s="1"/>
  <c r="BF645" i="1" a="1"/>
  <c r="BF645" i="1" s="1"/>
  <c r="CX643" i="1" a="1"/>
  <c r="CX643" i="1" s="1"/>
  <c r="CW643" i="1" a="1"/>
  <c r="CW643" i="1" s="1"/>
  <c r="CV643" i="1" a="1"/>
  <c r="CV643" i="1" s="1"/>
  <c r="CU643" i="1" a="1"/>
  <c r="CU643" i="1" s="1"/>
  <c r="CT643" i="1" a="1"/>
  <c r="CT643" i="1" s="1"/>
  <c r="CS643" i="1" a="1"/>
  <c r="CS643" i="1" s="1"/>
  <c r="CR643" i="1" a="1"/>
  <c r="CR643" i="1" s="1"/>
  <c r="CQ643" i="1" a="1"/>
  <c r="CQ643" i="1" s="1"/>
  <c r="CP643" i="1" a="1"/>
  <c r="CP643" i="1" s="1"/>
  <c r="CO643" i="1" a="1"/>
  <c r="CO643" i="1" s="1"/>
  <c r="CN643" i="1" a="1"/>
  <c r="CN643" i="1" s="1"/>
  <c r="CM643" i="1" a="1"/>
  <c r="CM643" i="1" s="1"/>
  <c r="CL643" i="1" a="1"/>
  <c r="CL643" i="1" s="1"/>
  <c r="CK643" i="1" a="1"/>
  <c r="CK643" i="1" s="1"/>
  <c r="CJ643" i="1" a="1"/>
  <c r="CJ643" i="1" s="1"/>
  <c r="CI643" i="1" a="1"/>
  <c r="CI643" i="1" s="1"/>
  <c r="CH643" i="1" a="1"/>
  <c r="CH643" i="1" s="1"/>
  <c r="CG643" i="1" a="1"/>
  <c r="CG643" i="1" s="1"/>
  <c r="CF643" i="1" a="1"/>
  <c r="CF643" i="1" s="1"/>
  <c r="CD643" i="1" a="1"/>
  <c r="CD643" i="1" s="1"/>
  <c r="CC643" i="1" a="1"/>
  <c r="CC643" i="1" s="1"/>
  <c r="CB643" i="1" a="1"/>
  <c r="CB643" i="1" s="1"/>
  <c r="CA643" i="1" a="1"/>
  <c r="CA643" i="1" s="1"/>
  <c r="BZ643" i="1" a="1"/>
  <c r="BZ643" i="1" s="1"/>
  <c r="BY643" i="1" a="1"/>
  <c r="BY643" i="1" s="1"/>
  <c r="BX643" i="1" a="1"/>
  <c r="BX643" i="1" s="1"/>
  <c r="BW643" i="1" a="1"/>
  <c r="BW643" i="1" s="1"/>
  <c r="BV643" i="1" a="1"/>
  <c r="BV643" i="1" s="1"/>
  <c r="BU643" i="1" a="1"/>
  <c r="BU643" i="1" s="1"/>
  <c r="BT643" i="1" a="1"/>
  <c r="BT643" i="1" s="1"/>
  <c r="BS643" i="1" a="1"/>
  <c r="BS643" i="1" s="1"/>
  <c r="BR643" i="1" a="1"/>
  <c r="BR643" i="1" s="1"/>
  <c r="BQ643" i="1" a="1"/>
  <c r="BQ643" i="1" s="1"/>
  <c r="BP643" i="1" a="1"/>
  <c r="BP643" i="1" s="1"/>
  <c r="BO643" i="1" a="1"/>
  <c r="BO643" i="1" s="1"/>
  <c r="BN643" i="1" a="1"/>
  <c r="BN643" i="1" s="1"/>
  <c r="BM643" i="1" a="1"/>
  <c r="BM643" i="1" s="1"/>
  <c r="BL643" i="1" a="1"/>
  <c r="BL643" i="1" s="1"/>
  <c r="BK643" i="1" a="1"/>
  <c r="BK643" i="1" s="1"/>
  <c r="BJ643" i="1" a="1"/>
  <c r="BJ643" i="1" s="1"/>
  <c r="BI643" i="1" a="1"/>
  <c r="BI643" i="1" s="1"/>
  <c r="BH643" i="1" a="1"/>
  <c r="BH643" i="1" s="1"/>
  <c r="BG643" i="1" a="1"/>
  <c r="BG643" i="1" s="1"/>
  <c r="BF643" i="1" a="1"/>
  <c r="BF643" i="1" s="1"/>
  <c r="BZ14" i="1" s="1"/>
  <c r="CX642" i="1" a="1"/>
  <c r="CX642" i="1" s="1"/>
  <c r="CW642" i="1" a="1"/>
  <c r="CW642" i="1" s="1"/>
  <c r="CV642" i="1" a="1"/>
  <c r="CV642" i="1" s="1"/>
  <c r="CU642" i="1" a="1"/>
  <c r="CU642" i="1" s="1"/>
  <c r="CT642" i="1" a="1"/>
  <c r="CT642" i="1" s="1"/>
  <c r="CS642" i="1" a="1"/>
  <c r="CS642" i="1" s="1"/>
  <c r="CR642" i="1" a="1"/>
  <c r="CR642" i="1" s="1"/>
  <c r="CQ642" i="1" a="1"/>
  <c r="CQ642" i="1" s="1"/>
  <c r="CP642" i="1" a="1"/>
  <c r="CP642" i="1" s="1"/>
  <c r="CO642" i="1" a="1"/>
  <c r="CO642" i="1" s="1"/>
  <c r="CN642" i="1" a="1"/>
  <c r="CN642" i="1" s="1"/>
  <c r="CM642" i="1" a="1"/>
  <c r="CM642" i="1" s="1"/>
  <c r="CL642" i="1" a="1"/>
  <c r="CL642" i="1" s="1"/>
  <c r="CK642" i="1" a="1"/>
  <c r="CK642" i="1" s="1"/>
  <c r="CJ642" i="1" a="1"/>
  <c r="CJ642" i="1" s="1"/>
  <c r="CI642" i="1" a="1"/>
  <c r="CI642" i="1" s="1"/>
  <c r="CH642" i="1" a="1"/>
  <c r="CH642" i="1" s="1"/>
  <c r="CG642" i="1" a="1"/>
  <c r="CG642" i="1" s="1"/>
  <c r="CF642" i="1" a="1"/>
  <c r="CF642" i="1" s="1"/>
  <c r="CD642" i="1" a="1"/>
  <c r="CD642" i="1" s="1"/>
  <c r="CC642" i="1" a="1"/>
  <c r="CC642" i="1" s="1"/>
  <c r="CB642" i="1" a="1"/>
  <c r="CB642" i="1" s="1"/>
  <c r="CA642" i="1" a="1"/>
  <c r="CA642" i="1" s="1"/>
  <c r="BZ642" i="1" a="1"/>
  <c r="BZ642" i="1" s="1"/>
  <c r="BY642" i="1" a="1"/>
  <c r="BY642" i="1" s="1"/>
  <c r="BX642" i="1" a="1"/>
  <c r="BX642" i="1" s="1"/>
  <c r="BW642" i="1" a="1"/>
  <c r="BW642" i="1" s="1"/>
  <c r="BV642" i="1" a="1"/>
  <c r="BV642" i="1" s="1"/>
  <c r="BU642" i="1" a="1"/>
  <c r="BU642" i="1" s="1"/>
  <c r="BT642" i="1" a="1"/>
  <c r="BT642" i="1" s="1"/>
  <c r="BS642" i="1" a="1"/>
  <c r="BS642" i="1" s="1"/>
  <c r="BR642" i="1" a="1"/>
  <c r="BR642" i="1" s="1"/>
  <c r="BQ642" i="1" a="1"/>
  <c r="BQ642" i="1" s="1"/>
  <c r="BP642" i="1" a="1"/>
  <c r="BP642" i="1" s="1"/>
  <c r="BO642" i="1" a="1"/>
  <c r="BO642" i="1" s="1"/>
  <c r="BN642" i="1" a="1"/>
  <c r="BN642" i="1" s="1"/>
  <c r="BM642" i="1" a="1"/>
  <c r="BM642" i="1" s="1"/>
  <c r="BL642" i="1" a="1"/>
  <c r="BL642" i="1" s="1"/>
  <c r="BK642" i="1" a="1"/>
  <c r="BK642" i="1" s="1"/>
  <c r="BJ642" i="1" a="1"/>
  <c r="BJ642" i="1" s="1"/>
  <c r="BI642" i="1" a="1"/>
  <c r="BI642" i="1" s="1"/>
  <c r="BH642" i="1" a="1"/>
  <c r="BH642" i="1" s="1"/>
  <c r="BG642" i="1" a="1"/>
  <c r="BG642" i="1" s="1"/>
  <c r="BF642" i="1" a="1"/>
  <c r="BF642" i="1" s="1"/>
  <c r="V642" i="1"/>
  <c r="CX641" i="1" a="1"/>
  <c r="CX641" i="1" s="1"/>
  <c r="CW641" i="1" a="1"/>
  <c r="CW641" i="1" s="1"/>
  <c r="CV641" i="1" a="1"/>
  <c r="CV641" i="1" s="1"/>
  <c r="CU641" i="1" a="1"/>
  <c r="CU641" i="1" s="1"/>
  <c r="CT641" i="1" a="1"/>
  <c r="CT641" i="1" s="1"/>
  <c r="CS641" i="1" a="1"/>
  <c r="CS641" i="1" s="1"/>
  <c r="CR641" i="1" a="1"/>
  <c r="CR641" i="1" s="1"/>
  <c r="CQ641" i="1" a="1"/>
  <c r="CQ641" i="1" s="1"/>
  <c r="CP641" i="1" a="1"/>
  <c r="CP641" i="1" s="1"/>
  <c r="CO641" i="1" a="1"/>
  <c r="CO641" i="1" s="1"/>
  <c r="CN641" i="1" a="1"/>
  <c r="CN641" i="1" s="1"/>
  <c r="CM641" i="1" a="1"/>
  <c r="CM641" i="1" s="1"/>
  <c r="CL641" i="1" a="1"/>
  <c r="CL641" i="1" s="1"/>
  <c r="CK641" i="1" a="1"/>
  <c r="CK641" i="1" s="1"/>
  <c r="CJ641" i="1" a="1"/>
  <c r="CJ641" i="1" s="1"/>
  <c r="CI641" i="1" a="1"/>
  <c r="CI641" i="1" s="1"/>
  <c r="CH641" i="1" a="1"/>
  <c r="CH641" i="1" s="1"/>
  <c r="CG641" i="1" a="1"/>
  <c r="CG641" i="1" s="1"/>
  <c r="CF641" i="1" a="1"/>
  <c r="CF641" i="1" s="1"/>
  <c r="CD641" i="1" a="1"/>
  <c r="CD641" i="1" s="1"/>
  <c r="CC641" i="1" a="1"/>
  <c r="CC641" i="1" s="1"/>
  <c r="CB641" i="1" a="1"/>
  <c r="CB641" i="1" s="1"/>
  <c r="CA641" i="1" a="1"/>
  <c r="CA641" i="1" s="1"/>
  <c r="BZ641" i="1" a="1"/>
  <c r="BZ641" i="1" s="1"/>
  <c r="BY641" i="1" a="1"/>
  <c r="BY641" i="1" s="1"/>
  <c r="BX641" i="1" a="1"/>
  <c r="BX641" i="1" s="1"/>
  <c r="BW641" i="1" a="1"/>
  <c r="BW641" i="1" s="1"/>
  <c r="BV641" i="1" a="1"/>
  <c r="BV641" i="1" s="1"/>
  <c r="BU641" i="1" a="1"/>
  <c r="BU641" i="1" s="1"/>
  <c r="BT641" i="1" a="1"/>
  <c r="BT641" i="1" s="1"/>
  <c r="BS641" i="1" a="1"/>
  <c r="BS641" i="1" s="1"/>
  <c r="BR641" i="1" a="1"/>
  <c r="BR641" i="1" s="1"/>
  <c r="BQ641" i="1"/>
  <c r="BQ641" i="1" a="1"/>
  <c r="BP641" i="1" a="1"/>
  <c r="BP641" i="1" s="1"/>
  <c r="BO641" i="1" a="1"/>
  <c r="BO641" i="1" s="1"/>
  <c r="BN641" i="1" a="1"/>
  <c r="BN641" i="1" s="1"/>
  <c r="BM641" i="1" a="1"/>
  <c r="BM641" i="1" s="1"/>
  <c r="BL641" i="1" a="1"/>
  <c r="BL641" i="1" s="1"/>
  <c r="BK641" i="1" a="1"/>
  <c r="BK641" i="1" s="1"/>
  <c r="BJ641" i="1" a="1"/>
  <c r="BJ641" i="1" s="1"/>
  <c r="BI641" i="1" a="1"/>
  <c r="BI641" i="1" s="1"/>
  <c r="BH641" i="1" a="1"/>
  <c r="BH641" i="1" s="1"/>
  <c r="BG641" i="1" a="1"/>
  <c r="BG641" i="1" s="1"/>
  <c r="BF641" i="1" a="1"/>
  <c r="BF641" i="1" s="1"/>
  <c r="CX640" i="1" a="1"/>
  <c r="CX640" i="1" s="1"/>
  <c r="CW640" i="1" a="1"/>
  <c r="CW640" i="1" s="1"/>
  <c r="CV640" i="1" a="1"/>
  <c r="CV640" i="1" s="1"/>
  <c r="CU640" i="1" a="1"/>
  <c r="CU640" i="1" s="1"/>
  <c r="CT640" i="1" a="1"/>
  <c r="CT640" i="1" s="1"/>
  <c r="CS640" i="1" a="1"/>
  <c r="CS640" i="1" s="1"/>
  <c r="CR640" i="1" a="1"/>
  <c r="CR640" i="1" s="1"/>
  <c r="CQ640" i="1" a="1"/>
  <c r="CQ640" i="1" s="1"/>
  <c r="CP640" i="1" a="1"/>
  <c r="CP640" i="1" s="1"/>
  <c r="CO640" i="1" a="1"/>
  <c r="CO640" i="1" s="1"/>
  <c r="CN640" i="1" a="1"/>
  <c r="CN640" i="1" s="1"/>
  <c r="CM640" i="1" a="1"/>
  <c r="CM640" i="1" s="1"/>
  <c r="CL640" i="1" a="1"/>
  <c r="CL640" i="1" s="1"/>
  <c r="CK640" i="1" a="1"/>
  <c r="CK640" i="1" s="1"/>
  <c r="CJ640" i="1" a="1"/>
  <c r="CJ640" i="1" s="1"/>
  <c r="CI640" i="1" a="1"/>
  <c r="CI640" i="1" s="1"/>
  <c r="CH640" i="1" a="1"/>
  <c r="CH640" i="1" s="1"/>
  <c r="CG640" i="1" a="1"/>
  <c r="CG640" i="1" s="1"/>
  <c r="CF640" i="1" a="1"/>
  <c r="CF640" i="1" s="1"/>
  <c r="CD640" i="1" a="1"/>
  <c r="CD640" i="1" s="1"/>
  <c r="CC640" i="1" a="1"/>
  <c r="CC640" i="1" s="1"/>
  <c r="CB640" i="1" a="1"/>
  <c r="CB640" i="1" s="1"/>
  <c r="CA640" i="1" a="1"/>
  <c r="CA640" i="1" s="1"/>
  <c r="BZ640" i="1" a="1"/>
  <c r="BZ640" i="1" s="1"/>
  <c r="BY640" i="1" a="1"/>
  <c r="BY640" i="1" s="1"/>
  <c r="BX640" i="1" a="1"/>
  <c r="BX640" i="1" s="1"/>
  <c r="BW640" i="1" a="1"/>
  <c r="BW640" i="1" s="1"/>
  <c r="BV640" i="1" a="1"/>
  <c r="BV640" i="1" s="1"/>
  <c r="BU640" i="1" a="1"/>
  <c r="BU640" i="1" s="1"/>
  <c r="BT640" i="1" a="1"/>
  <c r="BT640" i="1" s="1"/>
  <c r="BS640" i="1" a="1"/>
  <c r="BS640" i="1" s="1"/>
  <c r="BR640" i="1" a="1"/>
  <c r="BR640" i="1" s="1"/>
  <c r="BQ640" i="1" a="1"/>
  <c r="BQ640" i="1" s="1"/>
  <c r="BP640" i="1" a="1"/>
  <c r="BP640" i="1" s="1"/>
  <c r="BO640" i="1" a="1"/>
  <c r="BO640" i="1" s="1"/>
  <c r="BN640" i="1" a="1"/>
  <c r="BN640" i="1" s="1"/>
  <c r="BM640" i="1" a="1"/>
  <c r="BM640" i="1" s="1"/>
  <c r="BL640" i="1" a="1"/>
  <c r="BL640" i="1" s="1"/>
  <c r="BK640" i="1" a="1"/>
  <c r="BK640" i="1" s="1"/>
  <c r="BJ640" i="1" a="1"/>
  <c r="BJ640" i="1" s="1"/>
  <c r="BI640" i="1" a="1"/>
  <c r="BI640" i="1" s="1"/>
  <c r="BH640" i="1" a="1"/>
  <c r="BH640" i="1" s="1"/>
  <c r="BG640" i="1" a="1"/>
  <c r="BG640" i="1" s="1"/>
  <c r="BF640" i="1" a="1"/>
  <c r="BF640" i="1" s="1"/>
  <c r="CX639" i="1" a="1"/>
  <c r="CX639" i="1" s="1"/>
  <c r="CW639" i="1" a="1"/>
  <c r="CW639" i="1" s="1"/>
  <c r="CV639" i="1" a="1"/>
  <c r="CV639" i="1" s="1"/>
  <c r="CU639" i="1" a="1"/>
  <c r="CU639" i="1" s="1"/>
  <c r="CT639" i="1" a="1"/>
  <c r="CT639" i="1" s="1"/>
  <c r="CS639" i="1" a="1"/>
  <c r="CS639" i="1" s="1"/>
  <c r="CR639" i="1" a="1"/>
  <c r="CR639" i="1" s="1"/>
  <c r="CQ639" i="1" a="1"/>
  <c r="CQ639" i="1" s="1"/>
  <c r="CP639" i="1" a="1"/>
  <c r="CP639" i="1" s="1"/>
  <c r="CO639" i="1" a="1"/>
  <c r="CO639" i="1" s="1"/>
  <c r="CN639" i="1" a="1"/>
  <c r="CN639" i="1" s="1"/>
  <c r="CM639" i="1" a="1"/>
  <c r="CM639" i="1" s="1"/>
  <c r="CL639" i="1" a="1"/>
  <c r="CL639" i="1" s="1"/>
  <c r="CK639" i="1" a="1"/>
  <c r="CK639" i="1" s="1"/>
  <c r="CJ639" i="1" a="1"/>
  <c r="CJ639" i="1" s="1"/>
  <c r="CI639" i="1" a="1"/>
  <c r="CI639" i="1" s="1"/>
  <c r="CH639" i="1" a="1"/>
  <c r="CH639" i="1" s="1"/>
  <c r="CG639" i="1" a="1"/>
  <c r="CG639" i="1" s="1"/>
  <c r="CF639" i="1" a="1"/>
  <c r="CF639" i="1" s="1"/>
  <c r="CD639" i="1" a="1"/>
  <c r="CD639" i="1" s="1"/>
  <c r="CC639" i="1" a="1"/>
  <c r="CC639" i="1" s="1"/>
  <c r="CB639" i="1" a="1"/>
  <c r="CB639" i="1" s="1"/>
  <c r="CA639" i="1" a="1"/>
  <c r="CA639" i="1" s="1"/>
  <c r="BZ639" i="1" a="1"/>
  <c r="BZ639" i="1" s="1"/>
  <c r="BY639" i="1" a="1"/>
  <c r="BY639" i="1" s="1"/>
  <c r="BX639" i="1" a="1"/>
  <c r="BX639" i="1" s="1"/>
  <c r="BW639" i="1" a="1"/>
  <c r="BW639" i="1" s="1"/>
  <c r="BV639" i="1" a="1"/>
  <c r="BV639" i="1" s="1"/>
  <c r="BU639" i="1" a="1"/>
  <c r="BU639" i="1" s="1"/>
  <c r="BT639" i="1" a="1"/>
  <c r="BT639" i="1" s="1"/>
  <c r="BS639" i="1" a="1"/>
  <c r="BS639" i="1" s="1"/>
  <c r="BR639" i="1" a="1"/>
  <c r="BR639" i="1" s="1"/>
  <c r="BQ639" i="1" a="1"/>
  <c r="BQ639" i="1" s="1"/>
  <c r="BP639" i="1" a="1"/>
  <c r="BP639" i="1" s="1"/>
  <c r="BO639" i="1" a="1"/>
  <c r="BO639" i="1" s="1"/>
  <c r="BN639" i="1" a="1"/>
  <c r="BN639" i="1" s="1"/>
  <c r="BM639" i="1" a="1"/>
  <c r="BM639" i="1" s="1"/>
  <c r="BL639" i="1" a="1"/>
  <c r="BL639" i="1" s="1"/>
  <c r="BK639" i="1" a="1"/>
  <c r="BK639" i="1" s="1"/>
  <c r="BJ639" i="1" a="1"/>
  <c r="BJ639" i="1" s="1"/>
  <c r="BI639" i="1" a="1"/>
  <c r="BI639" i="1" s="1"/>
  <c r="BH639" i="1" a="1"/>
  <c r="BH639" i="1" s="1"/>
  <c r="BG639" i="1" a="1"/>
  <c r="BG639" i="1" s="1"/>
  <c r="BF639" i="1" a="1"/>
  <c r="BF639" i="1" s="1"/>
  <c r="CX636" i="1" a="1"/>
  <c r="CX636" i="1" s="1"/>
  <c r="CX637" i="1" s="1"/>
  <c r="CW636" i="1" a="1"/>
  <c r="CW636" i="1" s="1"/>
  <c r="CW637" i="1" s="1"/>
  <c r="CV636" i="1" a="1"/>
  <c r="CV636" i="1" s="1"/>
  <c r="CV637" i="1" s="1"/>
  <c r="CU636" i="1" a="1"/>
  <c r="CU636" i="1" s="1"/>
  <c r="CU637" i="1" s="1"/>
  <c r="CT636" i="1" a="1"/>
  <c r="CT636" i="1" s="1"/>
  <c r="CT637" i="1" s="1"/>
  <c r="CS636" i="1" a="1"/>
  <c r="CS636" i="1" s="1"/>
  <c r="CS637" i="1" s="1"/>
  <c r="CR636" i="1" a="1"/>
  <c r="CR636" i="1" s="1"/>
  <c r="CR637" i="1" s="1"/>
  <c r="CQ636" i="1" a="1"/>
  <c r="CQ636" i="1" s="1"/>
  <c r="CQ637" i="1" s="1"/>
  <c r="CP636" i="1" a="1"/>
  <c r="CP636" i="1" s="1"/>
  <c r="CP637" i="1" s="1"/>
  <c r="CO636" i="1" a="1"/>
  <c r="CO636" i="1" s="1"/>
  <c r="CO637" i="1" s="1"/>
  <c r="CN636" i="1" a="1"/>
  <c r="CN636" i="1" s="1"/>
  <c r="CM636" i="1" a="1"/>
  <c r="CM636" i="1" s="1"/>
  <c r="CL636" i="1" a="1"/>
  <c r="CL636" i="1" s="1"/>
  <c r="CK636" i="1" a="1"/>
  <c r="CK636" i="1" s="1"/>
  <c r="CJ636" i="1" a="1"/>
  <c r="CJ636" i="1" s="1"/>
  <c r="CI636" i="1" a="1"/>
  <c r="CI636" i="1" s="1"/>
  <c r="CH636" i="1" a="1"/>
  <c r="CH636" i="1" s="1"/>
  <c r="CG636" i="1" a="1"/>
  <c r="CG636" i="1" s="1"/>
  <c r="CF636" i="1" a="1"/>
  <c r="CF636" i="1" s="1"/>
  <c r="CD636" i="1" a="1"/>
  <c r="CD636" i="1" s="1"/>
  <c r="CC636" i="1" a="1"/>
  <c r="CC636" i="1" s="1"/>
  <c r="CB636" i="1" a="1"/>
  <c r="CB636" i="1" s="1"/>
  <c r="CA636" i="1" a="1"/>
  <c r="CA636" i="1" s="1"/>
  <c r="BZ636" i="1" a="1"/>
  <c r="BZ636" i="1" s="1"/>
  <c r="BZ637" i="1" s="1"/>
  <c r="BY636" i="1" a="1"/>
  <c r="BY636" i="1" s="1"/>
  <c r="BY637" i="1" s="1"/>
  <c r="BX636" i="1" a="1"/>
  <c r="BX636" i="1" s="1"/>
  <c r="BX637" i="1" s="1"/>
  <c r="BW636" i="1" a="1"/>
  <c r="BW636" i="1" s="1"/>
  <c r="BW637" i="1" s="1"/>
  <c r="BV636" i="1" a="1"/>
  <c r="BV636" i="1" s="1"/>
  <c r="BV637" i="1" s="1"/>
  <c r="BU636" i="1" a="1"/>
  <c r="BU636" i="1" s="1"/>
  <c r="BU637" i="1" s="1"/>
  <c r="BT636" i="1" a="1"/>
  <c r="BT636" i="1" s="1"/>
  <c r="BT637" i="1" s="1"/>
  <c r="BS636" i="1" a="1"/>
  <c r="BS636" i="1" s="1"/>
  <c r="BS637" i="1" s="1"/>
  <c r="BR636" i="1" a="1"/>
  <c r="BR636" i="1" s="1"/>
  <c r="BR637" i="1" s="1"/>
  <c r="BQ636" i="1" a="1"/>
  <c r="BQ636" i="1" s="1"/>
  <c r="BQ637" i="1" s="1"/>
  <c r="BP636" i="1" a="1"/>
  <c r="BP636" i="1" s="1"/>
  <c r="BP637" i="1" s="1"/>
  <c r="BO636" i="1" a="1"/>
  <c r="BO636" i="1" s="1"/>
  <c r="BO637" i="1" s="1"/>
  <c r="BN636" i="1" a="1"/>
  <c r="BN636" i="1" s="1"/>
  <c r="BN637" i="1" s="1"/>
  <c r="BM636" i="1" a="1"/>
  <c r="BM636" i="1" s="1"/>
  <c r="BM637" i="1" s="1"/>
  <c r="BL636" i="1" a="1"/>
  <c r="BL636" i="1" s="1"/>
  <c r="BL637" i="1" s="1"/>
  <c r="BK636" i="1" a="1"/>
  <c r="BK636" i="1" s="1"/>
  <c r="BK637" i="1" s="1"/>
  <c r="BJ636" i="1" a="1"/>
  <c r="BJ636" i="1" s="1"/>
  <c r="BJ637" i="1" s="1"/>
  <c r="BI636" i="1" a="1"/>
  <c r="BI636" i="1" s="1"/>
  <c r="BI637" i="1" s="1"/>
  <c r="BH636" i="1" a="1"/>
  <c r="BH636" i="1" s="1"/>
  <c r="BH637" i="1" s="1"/>
  <c r="BG636" i="1" a="1"/>
  <c r="BG636" i="1" s="1"/>
  <c r="BG637" i="1" s="1"/>
  <c r="BF636" i="1" a="1"/>
  <c r="BF636" i="1" s="1"/>
  <c r="BF637" i="1" s="1"/>
  <c r="BE636" i="1" a="1"/>
  <c r="BE636" i="1" s="1"/>
  <c r="BE637" i="1" s="1"/>
  <c r="BD636" i="1" a="1"/>
  <c r="BD636" i="1" s="1"/>
  <c r="BD637" i="1" s="1"/>
  <c r="BC636" i="1" a="1"/>
  <c r="BC636" i="1" s="1"/>
  <c r="BC637" i="1" s="1"/>
  <c r="BB636" i="1" a="1"/>
  <c r="BB636" i="1" s="1"/>
  <c r="BB637" i="1" s="1"/>
  <c r="BA636" i="1" a="1"/>
  <c r="BA636" i="1" s="1"/>
  <c r="BA637" i="1" s="1"/>
  <c r="AZ636" i="1" a="1"/>
  <c r="AZ636" i="1" s="1"/>
  <c r="AZ637" i="1" s="1"/>
  <c r="AY636" i="1" a="1"/>
  <c r="AY636" i="1" s="1"/>
  <c r="AY637" i="1" s="1"/>
  <c r="AX636" i="1" a="1"/>
  <c r="AX636" i="1" s="1"/>
  <c r="AX637" i="1" s="1"/>
  <c r="AW636" i="1" a="1"/>
  <c r="AW636" i="1" s="1"/>
  <c r="AW637" i="1" s="1"/>
  <c r="AV636" i="1" a="1"/>
  <c r="AV636" i="1" s="1"/>
  <c r="AV637" i="1" s="1"/>
  <c r="AU636" i="1" a="1"/>
  <c r="AU636" i="1" s="1"/>
  <c r="AU637" i="1" s="1"/>
  <c r="AT636" i="1" a="1"/>
  <c r="AT636" i="1" s="1"/>
  <c r="AT637" i="1" s="1"/>
  <c r="AS636" i="1" a="1"/>
  <c r="AS636" i="1" s="1"/>
  <c r="AS637" i="1" s="1"/>
  <c r="AR636" i="1" a="1"/>
  <c r="AR636" i="1" s="1"/>
  <c r="AR637" i="1" s="1"/>
  <c r="AQ636" i="1" a="1"/>
  <c r="AQ636" i="1" s="1"/>
  <c r="AQ637" i="1" s="1"/>
  <c r="AP636" i="1" a="1"/>
  <c r="AP636" i="1" s="1"/>
  <c r="AP637" i="1" s="1"/>
  <c r="AO636" i="1" a="1"/>
  <c r="AO636" i="1" s="1"/>
  <c r="AO637" i="1" s="1"/>
  <c r="AN636" i="1" a="1"/>
  <c r="AN636" i="1" s="1"/>
  <c r="AN637" i="1" s="1"/>
  <c r="AM636" i="1" a="1"/>
  <c r="AM636" i="1" s="1"/>
  <c r="AM637" i="1" s="1"/>
  <c r="AL636" i="1" a="1"/>
  <c r="AL636" i="1" s="1"/>
  <c r="AL637" i="1" s="1"/>
  <c r="AK636" i="1" a="1"/>
  <c r="AK636" i="1" s="1"/>
  <c r="AK637" i="1" s="1"/>
  <c r="AJ636" i="1" a="1"/>
  <c r="AJ636" i="1" s="1"/>
  <c r="AJ637" i="1" s="1"/>
  <c r="AI636" i="1" a="1"/>
  <c r="AI636" i="1" s="1"/>
  <c r="AI637" i="1" s="1"/>
  <c r="AH636" i="1" a="1"/>
  <c r="AH636" i="1" s="1"/>
  <c r="AH637" i="1" s="1"/>
  <c r="AG636" i="1" a="1"/>
  <c r="AG636" i="1" s="1"/>
  <c r="AG637" i="1" s="1"/>
  <c r="AF636" i="1" a="1"/>
  <c r="AF636" i="1" s="1"/>
  <c r="AF637" i="1" s="1"/>
  <c r="AE636" i="1" a="1"/>
  <c r="AE636" i="1" s="1"/>
  <c r="AE637" i="1" s="1"/>
  <c r="AD636" i="1" a="1"/>
  <c r="AD636" i="1" s="1"/>
  <c r="AD637" i="1" s="1"/>
  <c r="AC636" i="1" a="1"/>
  <c r="AC636" i="1" s="1"/>
  <c r="AC637" i="1" s="1"/>
  <c r="AB636" i="1" a="1"/>
  <c r="AB636" i="1" s="1"/>
  <c r="AB637" i="1" s="1"/>
  <c r="AA636" i="1" a="1"/>
  <c r="AA636" i="1" s="1"/>
  <c r="AA637" i="1" s="1"/>
  <c r="Z636" i="1" a="1"/>
  <c r="Z636" i="1" s="1"/>
  <c r="Z637" i="1" s="1"/>
  <c r="Y636" i="1" a="1"/>
  <c r="Y636" i="1" s="1"/>
  <c r="Y637" i="1" s="1"/>
  <c r="X636" i="1" a="1"/>
  <c r="X636" i="1" s="1"/>
  <c r="X637" i="1" s="1"/>
  <c r="W636" i="1" a="1"/>
  <c r="W636" i="1" s="1"/>
  <c r="W637" i="1" s="1"/>
  <c r="V636" i="1" a="1"/>
  <c r="V636" i="1" s="1"/>
  <c r="V637" i="1" s="1"/>
  <c r="U636" i="1" a="1"/>
  <c r="U636" i="1" s="1"/>
  <c r="U637" i="1" s="1"/>
  <c r="T636" i="1" a="1"/>
  <c r="T636" i="1" s="1"/>
  <c r="T637" i="1" s="1"/>
  <c r="S636" i="1" a="1"/>
  <c r="S636" i="1" s="1"/>
  <c r="S637" i="1" s="1"/>
  <c r="S635" i="1"/>
  <c r="B635" i="1"/>
  <c r="CI634" i="1"/>
  <c r="CB634" i="1"/>
  <c r="CS632" i="1"/>
  <c r="CR632" i="1"/>
  <c r="CQ632" i="1"/>
  <c r="CP632" i="1"/>
  <c r="CO632" i="1"/>
  <c r="CN632" i="1"/>
  <c r="CM632" i="1"/>
  <c r="CL632" i="1"/>
  <c r="CK632" i="1"/>
  <c r="CJ632" i="1"/>
  <c r="CI632" i="1"/>
  <c r="CH632" i="1"/>
  <c r="CG632" i="1"/>
  <c r="CF632" i="1"/>
  <c r="BF632" i="1"/>
  <c r="BE632" i="1"/>
  <c r="BD632" i="1"/>
  <c r="BC632" i="1"/>
  <c r="BB632" i="1"/>
  <c r="BA632" i="1"/>
  <c r="AZ632" i="1"/>
  <c r="AY632" i="1"/>
  <c r="AX632" i="1"/>
  <c r="AW632" i="1"/>
  <c r="AV632" i="1"/>
  <c r="AU632" i="1"/>
  <c r="AT632" i="1"/>
  <c r="AS632" i="1"/>
  <c r="AR632" i="1"/>
  <c r="AQ632" i="1"/>
  <c r="AP632" i="1"/>
  <c r="AO632" i="1"/>
  <c r="AN632" i="1"/>
  <c r="AM632" i="1"/>
  <c r="AL632" i="1"/>
  <c r="AK632" i="1"/>
  <c r="AJ632" i="1"/>
  <c r="AI632" i="1"/>
  <c r="AH632" i="1"/>
  <c r="AG632" i="1"/>
  <c r="AF632" i="1"/>
  <c r="AE632" i="1"/>
  <c r="AD632" i="1"/>
  <c r="AC632" i="1"/>
  <c r="AB632" i="1"/>
  <c r="AA632" i="1"/>
  <c r="Z632" i="1"/>
  <c r="Y632" i="1"/>
  <c r="X632" i="1"/>
  <c r="W632" i="1"/>
  <c r="V632" i="1"/>
  <c r="U632" i="1"/>
  <c r="T632" i="1"/>
  <c r="S632" i="1"/>
  <c r="CX632" i="1"/>
  <c r="CW632" i="1"/>
  <c r="CV632" i="1"/>
  <c r="CU632" i="1"/>
  <c r="CD632" i="1"/>
  <c r="CC632" i="1"/>
  <c r="CB632" i="1"/>
  <c r="CA632" i="1"/>
  <c r="BZ632" i="1"/>
  <c r="BY632" i="1"/>
  <c r="BX632" i="1"/>
  <c r="BW632" i="1"/>
  <c r="BV632" i="1"/>
  <c r="BU632" i="1"/>
  <c r="BT632" i="1"/>
  <c r="BS632" i="1"/>
  <c r="BR632" i="1"/>
  <c r="BQ632" i="1"/>
  <c r="BP632" i="1"/>
  <c r="BO632" i="1"/>
  <c r="BM632" i="1"/>
  <c r="BL632" i="1"/>
  <c r="BK632" i="1"/>
  <c r="BJ632" i="1"/>
  <c r="BI632" i="1"/>
  <c r="BH632" i="1"/>
  <c r="CB601" i="1"/>
  <c r="BX601" i="1"/>
  <c r="BW601" i="1"/>
  <c r="BU601" i="1"/>
  <c r="BJ601" i="1"/>
  <c r="BH601" i="1"/>
  <c r="CX601" i="1"/>
  <c r="CW601" i="1"/>
  <c r="CV601" i="1"/>
  <c r="CU601" i="1"/>
  <c r="CT601" i="1"/>
  <c r="CD601" i="1"/>
  <c r="CC601" i="1"/>
  <c r="CA601" i="1"/>
  <c r="BZ601" i="1"/>
  <c r="BY601" i="1"/>
  <c r="BV601" i="1"/>
  <c r="BT601" i="1"/>
  <c r="BS601" i="1"/>
  <c r="BR601" i="1"/>
  <c r="BQ601" i="1"/>
  <c r="BP601" i="1"/>
  <c r="BO601" i="1"/>
  <c r="BN601" i="1"/>
  <c r="BM601" i="1"/>
  <c r="BL601" i="1"/>
  <c r="BK601" i="1"/>
  <c r="BI601" i="1"/>
  <c r="CD576" i="1"/>
  <c r="CC576" i="1"/>
  <c r="CA576" i="1"/>
  <c r="BW576" i="1"/>
  <c r="BS576" i="1"/>
  <c r="BP576" i="1"/>
  <c r="CX576" i="1"/>
  <c r="BV576" i="1"/>
  <c r="BI576" i="1"/>
  <c r="CU576" i="1"/>
  <c r="BZ576" i="1"/>
  <c r="BX576" i="1"/>
  <c r="BT576" i="1"/>
  <c r="BL576" i="1"/>
  <c r="BK576" i="1"/>
  <c r="BR564" i="1"/>
  <c r="BQ564" i="1"/>
  <c r="CX564" i="1"/>
  <c r="CW564" i="1"/>
  <c r="CV564" i="1"/>
  <c r="CU564" i="1"/>
  <c r="CT564" i="1"/>
  <c r="CD564" i="1"/>
  <c r="CC564" i="1"/>
  <c r="CB564" i="1"/>
  <c r="CA564" i="1"/>
  <c r="BZ564" i="1"/>
  <c r="BY564" i="1"/>
  <c r="BX564" i="1"/>
  <c r="BW564" i="1"/>
  <c r="BV564" i="1"/>
  <c r="BU564" i="1"/>
  <c r="BT564" i="1"/>
  <c r="BS564" i="1"/>
  <c r="BP564" i="1"/>
  <c r="BO564" i="1"/>
  <c r="BN564" i="1"/>
  <c r="BM564" i="1"/>
  <c r="BL564" i="1"/>
  <c r="BK564" i="1"/>
  <c r="BJ564" i="1"/>
  <c r="BI564" i="1"/>
  <c r="BH564" i="1"/>
  <c r="CC550" i="1"/>
  <c r="CA550" i="1"/>
  <c r="BY550" i="1"/>
  <c r="BN550" i="1"/>
  <c r="CW550" i="1"/>
  <c r="CV550" i="1"/>
  <c r="CT550" i="1"/>
  <c r="CD550" i="1"/>
  <c r="CB550" i="1"/>
  <c r="BX550" i="1"/>
  <c r="BW550" i="1"/>
  <c r="BV550" i="1"/>
  <c r="BQ550" i="1"/>
  <c r="BP550" i="1"/>
  <c r="BO550" i="1"/>
  <c r="BL550" i="1"/>
  <c r="BJ550" i="1"/>
  <c r="BI550" i="1"/>
  <c r="BR550" i="1"/>
  <c r="BM550" i="1"/>
  <c r="BH550" i="1"/>
  <c r="CS537" i="1"/>
  <c r="CR537" i="1"/>
  <c r="CQ537" i="1"/>
  <c r="CP537" i="1"/>
  <c r="CO537" i="1"/>
  <c r="CN537" i="1"/>
  <c r="CM537" i="1"/>
  <c r="CL537" i="1"/>
  <c r="CK537" i="1"/>
  <c r="CJ537" i="1"/>
  <c r="CI537" i="1"/>
  <c r="CH537" i="1"/>
  <c r="CG537" i="1"/>
  <c r="CF537" i="1"/>
  <c r="CB537" i="1"/>
  <c r="BF537" i="1"/>
  <c r="BE537" i="1"/>
  <c r="BD537" i="1"/>
  <c r="BC537" i="1"/>
  <c r="BB537" i="1"/>
  <c r="BA537" i="1"/>
  <c r="AZ537" i="1"/>
  <c r="AY537" i="1"/>
  <c r="AX537" i="1"/>
  <c r="AW537" i="1"/>
  <c r="AV537" i="1"/>
  <c r="AU537" i="1"/>
  <c r="AT537" i="1"/>
  <c r="AS537" i="1"/>
  <c r="AR537" i="1"/>
  <c r="AQ537" i="1"/>
  <c r="AP537" i="1"/>
  <c r="AO537" i="1"/>
  <c r="AN537" i="1"/>
  <c r="AM537" i="1"/>
  <c r="AL537" i="1"/>
  <c r="AK537" i="1"/>
  <c r="AJ537" i="1"/>
  <c r="AI537" i="1"/>
  <c r="AH537" i="1"/>
  <c r="AG537" i="1"/>
  <c r="AF537" i="1"/>
  <c r="AE537" i="1"/>
  <c r="AD537" i="1"/>
  <c r="AC537" i="1"/>
  <c r="AB537" i="1"/>
  <c r="AA537" i="1"/>
  <c r="Z537" i="1"/>
  <c r="Y537" i="1"/>
  <c r="X537" i="1"/>
  <c r="W537" i="1"/>
  <c r="V537" i="1"/>
  <c r="U537" i="1"/>
  <c r="T537" i="1"/>
  <c r="S537" i="1"/>
  <c r="CX537" i="1"/>
  <c r="CV537" i="1"/>
  <c r="CD537" i="1"/>
  <c r="CA537" i="1"/>
  <c r="BZ537" i="1"/>
  <c r="BV537" i="1"/>
  <c r="BU537" i="1"/>
  <c r="BP537" i="1"/>
  <c r="CU537" i="1"/>
  <c r="BR537" i="1"/>
  <c r="BN537" i="1"/>
  <c r="BM537" i="1"/>
  <c r="BK537" i="1"/>
  <c r="BH537" i="1"/>
  <c r="CS529" i="1"/>
  <c r="CR529" i="1"/>
  <c r="CQ529" i="1"/>
  <c r="CP529" i="1"/>
  <c r="CO529" i="1"/>
  <c r="CN529" i="1"/>
  <c r="BL529" i="1"/>
  <c r="BF529" i="1"/>
  <c r="BE529" i="1"/>
  <c r="BD529" i="1"/>
  <c r="BC529" i="1"/>
  <c r="BB529" i="1"/>
  <c r="BA529" i="1"/>
  <c r="AZ529" i="1"/>
  <c r="AY529" i="1"/>
  <c r="AX529" i="1"/>
  <c r="AW529" i="1"/>
  <c r="AV529" i="1"/>
  <c r="AU529" i="1"/>
  <c r="CS528" i="1"/>
  <c r="CR528" i="1"/>
  <c r="CQ528" i="1"/>
  <c r="CP528" i="1"/>
  <c r="CO528" i="1"/>
  <c r="CN528" i="1"/>
  <c r="BP528" i="1"/>
  <c r="BF528" i="1"/>
  <c r="BE528" i="1"/>
  <c r="BD528" i="1"/>
  <c r="BC528" i="1"/>
  <c r="BB528" i="1"/>
  <c r="BA528" i="1"/>
  <c r="AZ528" i="1"/>
  <c r="AY528" i="1"/>
  <c r="AX528" i="1"/>
  <c r="AW528" i="1"/>
  <c r="AV528" i="1"/>
  <c r="AU528" i="1"/>
  <c r="CT527" i="1"/>
  <c r="CS527" i="1"/>
  <c r="CR527" i="1"/>
  <c r="CQ527" i="1"/>
  <c r="CP527" i="1"/>
  <c r="CO527" i="1"/>
  <c r="CN527" i="1"/>
  <c r="BF527" i="1"/>
  <c r="BE527" i="1"/>
  <c r="BD527" i="1"/>
  <c r="BC527" i="1"/>
  <c r="BB527" i="1"/>
  <c r="BA527" i="1"/>
  <c r="AZ527" i="1"/>
  <c r="AY527" i="1"/>
  <c r="AX527" i="1"/>
  <c r="AW527" i="1"/>
  <c r="AV527" i="1"/>
  <c r="AU527" i="1"/>
  <c r="CS526" i="1"/>
  <c r="CR526" i="1"/>
  <c r="CQ526" i="1"/>
  <c r="CP526" i="1"/>
  <c r="CO526" i="1"/>
  <c r="CN526" i="1"/>
  <c r="BM526" i="1"/>
  <c r="BF526" i="1"/>
  <c r="BE526" i="1"/>
  <c r="BD526" i="1"/>
  <c r="BC526" i="1"/>
  <c r="BB526" i="1"/>
  <c r="BA526" i="1"/>
  <c r="AZ526" i="1"/>
  <c r="AY526" i="1"/>
  <c r="AX526" i="1"/>
  <c r="AW526" i="1"/>
  <c r="AV526" i="1"/>
  <c r="AU526" i="1"/>
  <c r="CS525" i="1"/>
  <c r="CR525" i="1"/>
  <c r="CQ525" i="1"/>
  <c r="CP525" i="1"/>
  <c r="CO525" i="1"/>
  <c r="CN525" i="1"/>
  <c r="BG525" i="1"/>
  <c r="BF525" i="1"/>
  <c r="BE525" i="1"/>
  <c r="BD525" i="1"/>
  <c r="BC525" i="1"/>
  <c r="BB525" i="1"/>
  <c r="BA525" i="1"/>
  <c r="AZ525" i="1"/>
  <c r="AY525" i="1"/>
  <c r="AX525" i="1"/>
  <c r="AW525" i="1"/>
  <c r="AV525" i="1"/>
  <c r="AU525" i="1"/>
  <c r="CW529" i="1"/>
  <c r="CU529" i="1"/>
  <c r="CT529" i="1"/>
  <c r="BR529" i="1"/>
  <c r="BP529" i="1"/>
  <c r="BN529" i="1"/>
  <c r="BK529" i="1"/>
  <c r="BJ529" i="1"/>
  <c r="BI529" i="1"/>
  <c r="BH529" i="1"/>
  <c r="CX528" i="1"/>
  <c r="CU528" i="1"/>
  <c r="CT528" i="1"/>
  <c r="BR528" i="1"/>
  <c r="BQ528" i="1"/>
  <c r="BM528" i="1"/>
  <c r="BK528" i="1"/>
  <c r="BJ528" i="1"/>
  <c r="BI528" i="1"/>
  <c r="CX527" i="1"/>
  <c r="CW527" i="1"/>
  <c r="CV527" i="1"/>
  <c r="BR527" i="1"/>
  <c r="BQ527" i="1"/>
  <c r="BP527" i="1"/>
  <c r="BN527" i="1"/>
  <c r="BK527" i="1"/>
  <c r="BJ527" i="1"/>
  <c r="BI527" i="1"/>
  <c r="CX526" i="1"/>
  <c r="CW526" i="1"/>
  <c r="CV526" i="1"/>
  <c r="CT526" i="1"/>
  <c r="BR526" i="1"/>
  <c r="BP526" i="1"/>
  <c r="BO526" i="1"/>
  <c r="BK526" i="1"/>
  <c r="BJ526" i="1"/>
  <c r="BI526" i="1"/>
  <c r="CT525" i="1"/>
  <c r="BP525" i="1"/>
  <c r="BO525" i="1"/>
  <c r="BN525" i="1"/>
  <c r="BM525" i="1"/>
  <c r="BL525" i="1"/>
  <c r="BK525" i="1"/>
  <c r="BJ525" i="1"/>
  <c r="BI525" i="1"/>
  <c r="BH525" i="1"/>
  <c r="CV511" i="1"/>
  <c r="CU511" i="1"/>
  <c r="CT511" i="1"/>
  <c r="CS511" i="1"/>
  <c r="CQ511" i="1"/>
  <c r="CA511" i="1"/>
  <c r="BV511" i="1"/>
  <c r="BU511" i="1"/>
  <c r="BS511" i="1"/>
  <c r="BO511" i="1"/>
  <c r="BI511" i="1"/>
  <c r="BE511" i="1"/>
  <c r="BD511" i="1"/>
  <c r="BC511" i="1"/>
  <c r="AP511" i="1"/>
  <c r="AA511" i="1"/>
  <c r="Y511" i="1"/>
  <c r="T511" i="1"/>
  <c r="S511" i="1"/>
  <c r="CX511" i="1"/>
  <c r="CW511" i="1"/>
  <c r="CR511" i="1"/>
  <c r="CP511" i="1"/>
  <c r="CO511" i="1"/>
  <c r="CN511" i="1"/>
  <c r="CM511" i="1"/>
  <c r="CD511" i="1"/>
  <c r="CC511" i="1"/>
  <c r="CB511" i="1"/>
  <c r="BZ511" i="1"/>
  <c r="BY511" i="1"/>
  <c r="BX511" i="1"/>
  <c r="BW511" i="1"/>
  <c r="BT511" i="1"/>
  <c r="BR511" i="1"/>
  <c r="BQ511" i="1"/>
  <c r="BP511" i="1"/>
  <c r="BN511" i="1"/>
  <c r="BM511" i="1"/>
  <c r="BL511" i="1"/>
  <c r="BK511" i="1"/>
  <c r="BJ511" i="1"/>
  <c r="BH511" i="1"/>
  <c r="BG511" i="1"/>
  <c r="BF511" i="1"/>
  <c r="BB511" i="1"/>
  <c r="BA511" i="1"/>
  <c r="AZ511" i="1"/>
  <c r="AY511" i="1"/>
  <c r="AX511" i="1"/>
  <c r="AW511" i="1"/>
  <c r="AV511" i="1"/>
  <c r="AU511" i="1"/>
  <c r="AT511" i="1"/>
  <c r="AS511" i="1"/>
  <c r="AR511" i="1"/>
  <c r="AQ511" i="1"/>
  <c r="AO511" i="1"/>
  <c r="AN511" i="1"/>
  <c r="AM511" i="1"/>
  <c r="AL511" i="1"/>
  <c r="AK511" i="1"/>
  <c r="AJ511" i="1"/>
  <c r="AI511" i="1"/>
  <c r="AH511" i="1"/>
  <c r="AG511" i="1"/>
  <c r="AF511" i="1"/>
  <c r="AE511" i="1"/>
  <c r="AD511" i="1"/>
  <c r="AC511" i="1"/>
  <c r="AB511" i="1"/>
  <c r="Z511" i="1"/>
  <c r="X511" i="1"/>
  <c r="W511" i="1"/>
  <c r="V511" i="1"/>
  <c r="U511" i="1"/>
  <c r="S509" i="1"/>
  <c r="CM508" i="1"/>
  <c r="CF508" i="1"/>
  <c r="BG505" i="1"/>
  <c r="BF505" i="1"/>
  <c r="BE505" i="1"/>
  <c r="BD505" i="1"/>
  <c r="BC505" i="1"/>
  <c r="BB505" i="1"/>
  <c r="BB504" i="1" s="1"/>
  <c r="BA505" i="1"/>
  <c r="AZ505" i="1"/>
  <c r="AY505" i="1"/>
  <c r="AX505" i="1"/>
  <c r="AX504" i="1" s="1"/>
  <c r="AW505" i="1"/>
  <c r="AV505" i="1"/>
  <c r="AU505" i="1"/>
  <c r="AT505" i="1"/>
  <c r="AS505" i="1"/>
  <c r="AR505" i="1"/>
  <c r="AQ505" i="1"/>
  <c r="AP505" i="1"/>
  <c r="AO505" i="1"/>
  <c r="AN505" i="1"/>
  <c r="AM505" i="1"/>
  <c r="AL505" i="1"/>
  <c r="AL504" i="1" s="1"/>
  <c r="AK505" i="1"/>
  <c r="AJ505" i="1"/>
  <c r="AI505" i="1"/>
  <c r="AH505" i="1"/>
  <c r="AG505" i="1"/>
  <c r="AF505" i="1"/>
  <c r="AE505" i="1"/>
  <c r="AD505" i="1"/>
  <c r="AC505" i="1"/>
  <c r="AB505" i="1"/>
  <c r="AA505" i="1"/>
  <c r="Z505" i="1"/>
  <c r="Z504" i="1" s="1"/>
  <c r="Y505" i="1"/>
  <c r="X505" i="1"/>
  <c r="W505" i="1"/>
  <c r="V505" i="1"/>
  <c r="U505" i="1"/>
  <c r="T505" i="1"/>
  <c r="S505" i="1"/>
  <c r="AQ504" i="1"/>
  <c r="AO504" i="1"/>
  <c r="AI504" i="1"/>
  <c r="AA504" i="1"/>
  <c r="BG503" i="1"/>
  <c r="BF503" i="1"/>
  <c r="BE503" i="1"/>
  <c r="BD503" i="1"/>
  <c r="BC503" i="1"/>
  <c r="BB503" i="1"/>
  <c r="BA503" i="1"/>
  <c r="AZ503" i="1"/>
  <c r="AY503" i="1"/>
  <c r="AX503" i="1"/>
  <c r="AW503" i="1"/>
  <c r="AV503" i="1"/>
  <c r="AU503" i="1"/>
  <c r="AT503" i="1"/>
  <c r="AS503" i="1"/>
  <c r="AR503" i="1"/>
  <c r="AQ503" i="1"/>
  <c r="AP503" i="1"/>
  <c r="AO503" i="1"/>
  <c r="AN503" i="1"/>
  <c r="AM503" i="1"/>
  <c r="AL503" i="1"/>
  <c r="AK503" i="1"/>
  <c r="AJ503" i="1"/>
  <c r="AI503" i="1"/>
  <c r="AH503" i="1"/>
  <c r="AG503" i="1"/>
  <c r="AF503" i="1"/>
  <c r="AE503" i="1"/>
  <c r="AD503" i="1"/>
  <c r="AC503" i="1"/>
  <c r="AB503" i="1"/>
  <c r="AB504" i="1" s="1"/>
  <c r="AA503" i="1"/>
  <c r="Z503" i="1"/>
  <c r="Y503" i="1"/>
  <c r="Y504" i="1" s="1"/>
  <c r="X503" i="1"/>
  <c r="W503" i="1"/>
  <c r="V503" i="1"/>
  <c r="U503" i="1"/>
  <c r="T503" i="1"/>
  <c r="S503" i="1"/>
  <c r="B503" i="1"/>
  <c r="BG502" i="1"/>
  <c r="BF502" i="1"/>
  <c r="BE502" i="1"/>
  <c r="BD502" i="1"/>
  <c r="BC502" i="1"/>
  <c r="BB502" i="1"/>
  <c r="BA502" i="1"/>
  <c r="AZ502" i="1"/>
  <c r="AY502" i="1"/>
  <c r="AX502" i="1"/>
  <c r="AW502" i="1"/>
  <c r="AV502" i="1"/>
  <c r="AU502" i="1"/>
  <c r="AT502" i="1"/>
  <c r="AS502" i="1"/>
  <c r="AR502" i="1"/>
  <c r="AQ502" i="1"/>
  <c r="AP502" i="1"/>
  <c r="AO502" i="1"/>
  <c r="AN502" i="1"/>
  <c r="AM502" i="1"/>
  <c r="AL502" i="1"/>
  <c r="AK502" i="1"/>
  <c r="AJ502" i="1"/>
  <c r="AI502" i="1"/>
  <c r="AH502" i="1"/>
  <c r="AG502" i="1"/>
  <c r="AF502" i="1"/>
  <c r="AE502" i="1"/>
  <c r="AD502" i="1"/>
  <c r="AC502" i="1"/>
  <c r="AB502" i="1"/>
  <c r="AA502" i="1"/>
  <c r="Z502" i="1"/>
  <c r="Y502" i="1"/>
  <c r="X502" i="1"/>
  <c r="W502" i="1"/>
  <c r="V502" i="1"/>
  <c r="U502" i="1"/>
  <c r="T502" i="1"/>
  <c r="S502" i="1"/>
  <c r="B502" i="1"/>
  <c r="BG501" i="1"/>
  <c r="BF501" i="1"/>
  <c r="BE501" i="1"/>
  <c r="BE504" i="1" s="1"/>
  <c r="BD501" i="1"/>
  <c r="BC501" i="1"/>
  <c r="BB501" i="1"/>
  <c r="BA501" i="1"/>
  <c r="AZ501" i="1"/>
  <c r="AY501" i="1"/>
  <c r="AX501" i="1"/>
  <c r="AW501" i="1"/>
  <c r="AV501" i="1"/>
  <c r="AV504" i="1" s="1"/>
  <c r="AU501" i="1"/>
  <c r="AT501" i="1"/>
  <c r="AS501" i="1"/>
  <c r="AS504" i="1" s="1"/>
  <c r="AR501" i="1"/>
  <c r="AQ501" i="1"/>
  <c r="AP501" i="1"/>
  <c r="AO501" i="1"/>
  <c r="AN501" i="1"/>
  <c r="AM501" i="1"/>
  <c r="AL501" i="1"/>
  <c r="AK501" i="1"/>
  <c r="AK504" i="1" s="1"/>
  <c r="AJ501" i="1"/>
  <c r="AI501" i="1"/>
  <c r="AH501" i="1"/>
  <c r="AG501" i="1"/>
  <c r="AG504" i="1" s="1"/>
  <c r="AF501" i="1"/>
  <c r="AE501" i="1"/>
  <c r="AD501" i="1"/>
  <c r="AC501" i="1"/>
  <c r="AB501" i="1"/>
  <c r="AA501" i="1"/>
  <c r="Z501" i="1"/>
  <c r="Y501" i="1"/>
  <c r="X501" i="1"/>
  <c r="X504" i="1" s="1"/>
  <c r="W501" i="1"/>
  <c r="V501" i="1"/>
  <c r="U501" i="1"/>
  <c r="U504" i="1" s="1"/>
  <c r="T501" i="1"/>
  <c r="S501" i="1"/>
  <c r="B501" i="1"/>
  <c r="BG499" i="1"/>
  <c r="BG498" i="1" s="1"/>
  <c r="BF499" i="1"/>
  <c r="BF498" i="1" s="1"/>
  <c r="BE499" i="1"/>
  <c r="BD499" i="1"/>
  <c r="BD498" i="1" s="1"/>
  <c r="BC499" i="1"/>
  <c r="BB499" i="1"/>
  <c r="BA499" i="1"/>
  <c r="AZ499" i="1"/>
  <c r="AY499" i="1"/>
  <c r="AX499" i="1"/>
  <c r="AW499" i="1"/>
  <c r="AV499" i="1"/>
  <c r="AU499" i="1"/>
  <c r="AT499" i="1"/>
  <c r="AT498" i="1" s="1"/>
  <c r="AS499" i="1"/>
  <c r="AR499" i="1"/>
  <c r="AQ499" i="1"/>
  <c r="AP499" i="1"/>
  <c r="AO499" i="1"/>
  <c r="AN499" i="1"/>
  <c r="AM499" i="1"/>
  <c r="AL499" i="1"/>
  <c r="AK499" i="1"/>
  <c r="AJ499" i="1"/>
  <c r="AI499" i="1"/>
  <c r="AI498" i="1" s="1"/>
  <c r="AH499" i="1"/>
  <c r="AH498" i="1" s="1"/>
  <c r="AG499" i="1"/>
  <c r="AF499" i="1"/>
  <c r="AE499" i="1"/>
  <c r="AD499" i="1"/>
  <c r="AC499" i="1"/>
  <c r="AB499" i="1"/>
  <c r="AA499" i="1"/>
  <c r="Z499" i="1"/>
  <c r="Y499" i="1"/>
  <c r="X499" i="1"/>
  <c r="W499" i="1"/>
  <c r="V499" i="1"/>
  <c r="V498" i="1" s="1"/>
  <c r="U499" i="1"/>
  <c r="T499" i="1"/>
  <c r="S499" i="1"/>
  <c r="BB498" i="1"/>
  <c r="AX498" i="1"/>
  <c r="AQ498" i="1"/>
  <c r="AC498" i="1"/>
  <c r="BG497" i="1"/>
  <c r="BF497" i="1"/>
  <c r="BE497" i="1"/>
  <c r="BD497" i="1"/>
  <c r="BC497" i="1"/>
  <c r="BB497" i="1"/>
  <c r="BA497" i="1"/>
  <c r="AZ497" i="1"/>
  <c r="AY497" i="1"/>
  <c r="AX497" i="1"/>
  <c r="AW497" i="1"/>
  <c r="AV497" i="1"/>
  <c r="AU497" i="1"/>
  <c r="AT497" i="1"/>
  <c r="AS497" i="1"/>
  <c r="AR497" i="1"/>
  <c r="AR498" i="1" s="1"/>
  <c r="AQ497" i="1"/>
  <c r="AP497" i="1"/>
  <c r="AO497" i="1"/>
  <c r="AN497" i="1"/>
  <c r="AM497" i="1"/>
  <c r="AM498" i="1" s="1"/>
  <c r="AL497" i="1"/>
  <c r="AK497" i="1"/>
  <c r="AJ497" i="1"/>
  <c r="AI497" i="1"/>
  <c r="AH497" i="1"/>
  <c r="AG497" i="1"/>
  <c r="AF497" i="1"/>
  <c r="AE497" i="1"/>
  <c r="AE498" i="1" s="1"/>
  <c r="AD497" i="1"/>
  <c r="AC497" i="1"/>
  <c r="AB497" i="1"/>
  <c r="AA497" i="1"/>
  <c r="AA498" i="1" s="1"/>
  <c r="Z497" i="1"/>
  <c r="Y497" i="1"/>
  <c r="X497" i="1"/>
  <c r="W497" i="1"/>
  <c r="V497" i="1"/>
  <c r="U497" i="1"/>
  <c r="T497" i="1"/>
  <c r="S497" i="1"/>
  <c r="B497" i="1"/>
  <c r="BG496" i="1"/>
  <c r="BF496" i="1"/>
  <c r="BE496" i="1"/>
  <c r="BD496" i="1"/>
  <c r="BC496" i="1"/>
  <c r="BC498" i="1" s="1"/>
  <c r="BB496" i="1"/>
  <c r="BA496" i="1"/>
  <c r="AZ496" i="1"/>
  <c r="AY496" i="1"/>
  <c r="AY498" i="1" s="1"/>
  <c r="AX496" i="1"/>
  <c r="AW496" i="1"/>
  <c r="AV496" i="1"/>
  <c r="AU496" i="1"/>
  <c r="AT496" i="1"/>
  <c r="AS496" i="1"/>
  <c r="AR496" i="1"/>
  <c r="AQ496" i="1"/>
  <c r="AP496" i="1"/>
  <c r="AP498" i="1" s="1"/>
  <c r="AO496" i="1"/>
  <c r="AN496" i="1"/>
  <c r="AM496" i="1"/>
  <c r="AL496" i="1"/>
  <c r="AK496" i="1"/>
  <c r="AJ496" i="1"/>
  <c r="AI496" i="1"/>
  <c r="AH496" i="1"/>
  <c r="AG496" i="1"/>
  <c r="AF496" i="1"/>
  <c r="AE496" i="1"/>
  <c r="AD496" i="1"/>
  <c r="AD498" i="1" s="1"/>
  <c r="AC496" i="1"/>
  <c r="AB496" i="1"/>
  <c r="AA496" i="1"/>
  <c r="Z496" i="1"/>
  <c r="Y496" i="1"/>
  <c r="X496" i="1"/>
  <c r="W496" i="1"/>
  <c r="V496" i="1"/>
  <c r="U496" i="1"/>
  <c r="T496" i="1"/>
  <c r="S496" i="1"/>
  <c r="B496" i="1"/>
  <c r="BG495" i="1"/>
  <c r="BF495" i="1"/>
  <c r="BE495" i="1"/>
  <c r="BD495" i="1"/>
  <c r="BC495" i="1"/>
  <c r="BB495" i="1"/>
  <c r="BA495" i="1"/>
  <c r="AZ495" i="1"/>
  <c r="AY495" i="1"/>
  <c r="AX495" i="1"/>
  <c r="AW495" i="1"/>
  <c r="AW455" i="1" s="1"/>
  <c r="AV495" i="1"/>
  <c r="AU495" i="1"/>
  <c r="AT495" i="1"/>
  <c r="AS495" i="1"/>
  <c r="AR495" i="1"/>
  <c r="AQ495" i="1"/>
  <c r="AQ455" i="1" s="1"/>
  <c r="AP495" i="1"/>
  <c r="AO495" i="1"/>
  <c r="AN495" i="1"/>
  <c r="AM495" i="1"/>
  <c r="AL495" i="1"/>
  <c r="AK495" i="1"/>
  <c r="AK455" i="1" s="1"/>
  <c r="AJ495" i="1"/>
  <c r="AJ455" i="1" s="1"/>
  <c r="AI495" i="1"/>
  <c r="AH495" i="1"/>
  <c r="AG495" i="1"/>
  <c r="AF495" i="1"/>
  <c r="AE495" i="1"/>
  <c r="AD495" i="1"/>
  <c r="AC495" i="1"/>
  <c r="AB495" i="1"/>
  <c r="AA495" i="1"/>
  <c r="Z495" i="1"/>
  <c r="Z498" i="1" s="1"/>
  <c r="Y495" i="1"/>
  <c r="Y455" i="1" s="1"/>
  <c r="X495" i="1"/>
  <c r="W495" i="1"/>
  <c r="V495" i="1"/>
  <c r="U495" i="1"/>
  <c r="T495" i="1"/>
  <c r="S495" i="1"/>
  <c r="B495" i="1"/>
  <c r="BG493" i="1"/>
  <c r="BF493" i="1"/>
  <c r="BE493" i="1"/>
  <c r="BE492" i="1" s="1"/>
  <c r="BD493" i="1"/>
  <c r="BC493" i="1"/>
  <c r="BB493" i="1"/>
  <c r="BA493" i="1"/>
  <c r="BA492" i="1" s="1"/>
  <c r="AZ493" i="1"/>
  <c r="AZ492" i="1" s="1"/>
  <c r="AY493" i="1"/>
  <c r="AY492" i="1" s="1"/>
  <c r="AX493" i="1"/>
  <c r="AW493" i="1"/>
  <c r="AV493" i="1"/>
  <c r="AU493" i="1"/>
  <c r="AT493" i="1"/>
  <c r="AS493" i="1"/>
  <c r="AS492" i="1" s="1"/>
  <c r="AR493" i="1"/>
  <c r="AQ493" i="1"/>
  <c r="AP493" i="1"/>
  <c r="AO493" i="1"/>
  <c r="AO492" i="1" s="1"/>
  <c r="AN493" i="1"/>
  <c r="AM493" i="1"/>
  <c r="AM492" i="1" s="1"/>
  <c r="AL493" i="1"/>
  <c r="AK493" i="1"/>
  <c r="AJ493" i="1"/>
  <c r="AI493" i="1"/>
  <c r="AH493" i="1"/>
  <c r="AG493" i="1"/>
  <c r="AF493" i="1"/>
  <c r="AE493" i="1"/>
  <c r="AD493" i="1"/>
  <c r="AC493" i="1"/>
  <c r="AC492" i="1" s="1"/>
  <c r="AB493" i="1"/>
  <c r="AA493" i="1"/>
  <c r="Z493" i="1"/>
  <c r="Y493" i="1"/>
  <c r="X493" i="1"/>
  <c r="W493" i="1"/>
  <c r="V493" i="1"/>
  <c r="U493" i="1"/>
  <c r="U492" i="1" s="1"/>
  <c r="T493" i="1"/>
  <c r="S493" i="1"/>
  <c r="BB492" i="1"/>
  <c r="AP492" i="1"/>
  <c r="AD492" i="1"/>
  <c r="AA492" i="1"/>
  <c r="Z492" i="1"/>
  <c r="Y492" i="1"/>
  <c r="BG491" i="1"/>
  <c r="BF491" i="1"/>
  <c r="BE491" i="1"/>
  <c r="BD491" i="1"/>
  <c r="BC491" i="1"/>
  <c r="BB491" i="1"/>
  <c r="BA491" i="1"/>
  <c r="AZ491" i="1"/>
  <c r="AY491" i="1"/>
  <c r="AX491" i="1"/>
  <c r="AW491" i="1"/>
  <c r="AV491" i="1"/>
  <c r="AU491" i="1"/>
  <c r="AT491" i="1"/>
  <c r="AS491" i="1"/>
  <c r="AR491" i="1"/>
  <c r="AQ491" i="1"/>
  <c r="AP491" i="1"/>
  <c r="AO491" i="1"/>
  <c r="AN491" i="1"/>
  <c r="AM491" i="1"/>
  <c r="AL491" i="1"/>
  <c r="AK491" i="1"/>
  <c r="AJ491" i="1"/>
  <c r="AI491" i="1"/>
  <c r="AH491" i="1"/>
  <c r="AG491" i="1"/>
  <c r="AF491" i="1"/>
  <c r="AE491" i="1"/>
  <c r="AD491" i="1"/>
  <c r="AC491" i="1"/>
  <c r="AB491" i="1"/>
  <c r="AA491" i="1"/>
  <c r="Z491" i="1"/>
  <c r="Y491" i="1"/>
  <c r="X491" i="1"/>
  <c r="W491" i="1"/>
  <c r="V491" i="1"/>
  <c r="U491" i="1"/>
  <c r="T491" i="1"/>
  <c r="S491" i="1"/>
  <c r="B491" i="1"/>
  <c r="BG490" i="1"/>
  <c r="BF490" i="1"/>
  <c r="BE490" i="1"/>
  <c r="BD490" i="1"/>
  <c r="BC490" i="1"/>
  <c r="BB490" i="1"/>
  <c r="BA490" i="1"/>
  <c r="AZ490" i="1"/>
  <c r="AY490" i="1"/>
  <c r="AX490" i="1"/>
  <c r="AW490" i="1"/>
  <c r="AV490" i="1"/>
  <c r="AU490" i="1"/>
  <c r="AT490" i="1"/>
  <c r="AS490" i="1"/>
  <c r="AR490" i="1"/>
  <c r="AQ490" i="1"/>
  <c r="AP490" i="1"/>
  <c r="AO490" i="1"/>
  <c r="AN490" i="1"/>
  <c r="AM490" i="1"/>
  <c r="AL490" i="1"/>
  <c r="AK490" i="1"/>
  <c r="AJ490" i="1"/>
  <c r="AI490" i="1"/>
  <c r="AH490" i="1"/>
  <c r="AG490" i="1"/>
  <c r="AF490" i="1"/>
  <c r="AE490" i="1"/>
  <c r="AD490" i="1"/>
  <c r="AC490" i="1"/>
  <c r="AB490" i="1"/>
  <c r="AA490" i="1"/>
  <c r="Z490" i="1"/>
  <c r="Y490" i="1"/>
  <c r="X490" i="1"/>
  <c r="W490" i="1"/>
  <c r="V490" i="1"/>
  <c r="U490" i="1"/>
  <c r="T490" i="1"/>
  <c r="S490" i="1"/>
  <c r="B490" i="1"/>
  <c r="BG489" i="1"/>
  <c r="BF489" i="1"/>
  <c r="BE489" i="1"/>
  <c r="BD489" i="1"/>
  <c r="BC489" i="1"/>
  <c r="BC492" i="1" s="1"/>
  <c r="BB489" i="1"/>
  <c r="BA489" i="1"/>
  <c r="AZ489" i="1"/>
  <c r="AY489" i="1"/>
  <c r="AX489" i="1"/>
  <c r="AW489" i="1"/>
  <c r="AV489" i="1"/>
  <c r="AU489" i="1"/>
  <c r="AT489" i="1"/>
  <c r="AS489" i="1"/>
  <c r="AR489" i="1"/>
  <c r="AR492" i="1" s="1"/>
  <c r="AQ489" i="1"/>
  <c r="AQ492" i="1" s="1"/>
  <c r="AP489" i="1"/>
  <c r="AO489" i="1"/>
  <c r="AN489" i="1"/>
  <c r="AM489" i="1"/>
  <c r="AL489" i="1"/>
  <c r="AK489" i="1"/>
  <c r="AK492" i="1" s="1"/>
  <c r="AJ489" i="1"/>
  <c r="AI489" i="1"/>
  <c r="AH489" i="1"/>
  <c r="AG489" i="1"/>
  <c r="AF489" i="1"/>
  <c r="AE489" i="1"/>
  <c r="AE492" i="1" s="1"/>
  <c r="AD489" i="1"/>
  <c r="AC489" i="1"/>
  <c r="AB489" i="1"/>
  <c r="AA489" i="1"/>
  <c r="Z489" i="1"/>
  <c r="Y489" i="1"/>
  <c r="X489" i="1"/>
  <c r="W489" i="1"/>
  <c r="V489" i="1"/>
  <c r="U489" i="1"/>
  <c r="T489" i="1"/>
  <c r="S489" i="1"/>
  <c r="B489" i="1"/>
  <c r="BG488" i="1"/>
  <c r="BG492" i="1" s="1"/>
  <c r="BF488" i="1"/>
  <c r="BF492" i="1" s="1"/>
  <c r="BE488" i="1"/>
  <c r="BD488" i="1"/>
  <c r="BC488" i="1"/>
  <c r="BB488" i="1"/>
  <c r="BA488" i="1"/>
  <c r="AZ488" i="1"/>
  <c r="AY488" i="1"/>
  <c r="AX488" i="1"/>
  <c r="AW488" i="1"/>
  <c r="AV488" i="1"/>
  <c r="AU488" i="1"/>
  <c r="AT488" i="1"/>
  <c r="AS488" i="1"/>
  <c r="AR488" i="1"/>
  <c r="AR455" i="1" s="1"/>
  <c r="AQ488" i="1"/>
  <c r="AP488" i="1"/>
  <c r="AO488" i="1"/>
  <c r="AN488" i="1"/>
  <c r="AM488" i="1"/>
  <c r="AL488" i="1"/>
  <c r="AK488" i="1"/>
  <c r="AJ488" i="1"/>
  <c r="AI488" i="1"/>
  <c r="AH488" i="1"/>
  <c r="AG488" i="1"/>
  <c r="AG455" i="1" s="1"/>
  <c r="AF488" i="1"/>
  <c r="AE488" i="1"/>
  <c r="AD488" i="1"/>
  <c r="AD455" i="1" s="1"/>
  <c r="AC488" i="1"/>
  <c r="AB488" i="1"/>
  <c r="AA488" i="1"/>
  <c r="Z488" i="1"/>
  <c r="Y488" i="1"/>
  <c r="X488" i="1"/>
  <c r="W488" i="1"/>
  <c r="V488" i="1"/>
  <c r="U488" i="1"/>
  <c r="U455" i="1" s="1"/>
  <c r="T488" i="1"/>
  <c r="S488" i="1"/>
  <c r="B488" i="1"/>
  <c r="BG486" i="1"/>
  <c r="BF486" i="1"/>
  <c r="BE486" i="1"/>
  <c r="BD486" i="1"/>
  <c r="BC486" i="1"/>
  <c r="BB486" i="1"/>
  <c r="BA486" i="1"/>
  <c r="AZ486" i="1"/>
  <c r="AY486" i="1"/>
  <c r="AX486" i="1"/>
  <c r="AW486" i="1"/>
  <c r="AV486" i="1"/>
  <c r="AU486" i="1"/>
  <c r="AT486" i="1"/>
  <c r="AS486" i="1"/>
  <c r="AR486" i="1"/>
  <c r="AQ486" i="1"/>
  <c r="AP486" i="1"/>
  <c r="AO486" i="1"/>
  <c r="AN486" i="1"/>
  <c r="AM486" i="1"/>
  <c r="AM485" i="1" s="1"/>
  <c r="AL486" i="1"/>
  <c r="AK486" i="1"/>
  <c r="AJ486" i="1"/>
  <c r="AI486" i="1"/>
  <c r="AH486" i="1"/>
  <c r="AG486" i="1"/>
  <c r="AF486" i="1"/>
  <c r="AE486" i="1"/>
  <c r="AD486" i="1"/>
  <c r="AC486" i="1"/>
  <c r="AB486" i="1"/>
  <c r="AA486" i="1"/>
  <c r="Z486" i="1"/>
  <c r="Y486" i="1"/>
  <c r="X486" i="1"/>
  <c r="W486" i="1"/>
  <c r="V486" i="1"/>
  <c r="U486" i="1"/>
  <c r="T486" i="1"/>
  <c r="S486" i="1"/>
  <c r="BC485" i="1"/>
  <c r="BB485" i="1"/>
  <c r="AU485" i="1"/>
  <c r="AO485" i="1"/>
  <c r="AL485" i="1"/>
  <c r="Z485" i="1"/>
  <c r="W485" i="1"/>
  <c r="V485" i="1"/>
  <c r="U485" i="1"/>
  <c r="BG484" i="1"/>
  <c r="BF484" i="1"/>
  <c r="BE484" i="1"/>
  <c r="BE485" i="1" s="1"/>
  <c r="BD484" i="1"/>
  <c r="BC484" i="1"/>
  <c r="BB484" i="1"/>
  <c r="BA484" i="1"/>
  <c r="AZ484" i="1"/>
  <c r="AY484" i="1"/>
  <c r="AX484" i="1"/>
  <c r="AW484" i="1"/>
  <c r="AV484" i="1"/>
  <c r="AU484" i="1"/>
  <c r="AT484" i="1"/>
  <c r="AS484" i="1"/>
  <c r="AR484" i="1"/>
  <c r="AQ484" i="1"/>
  <c r="AP484" i="1"/>
  <c r="AO484" i="1"/>
  <c r="AN484" i="1"/>
  <c r="AM484" i="1"/>
  <c r="AL484" i="1"/>
  <c r="AK484" i="1"/>
  <c r="AJ484" i="1"/>
  <c r="AI484" i="1"/>
  <c r="AH484" i="1"/>
  <c r="AG484" i="1"/>
  <c r="AF484" i="1"/>
  <c r="AE484" i="1"/>
  <c r="AD484" i="1"/>
  <c r="AC484" i="1"/>
  <c r="AB484" i="1"/>
  <c r="AA484" i="1"/>
  <c r="Z484" i="1"/>
  <c r="Y484" i="1"/>
  <c r="X484" i="1"/>
  <c r="W484" i="1"/>
  <c r="V484" i="1"/>
  <c r="U484" i="1"/>
  <c r="T484" i="1"/>
  <c r="S484" i="1"/>
  <c r="B484" i="1"/>
  <c r="BG483" i="1"/>
  <c r="BF483" i="1"/>
  <c r="BE483" i="1"/>
  <c r="BD483" i="1"/>
  <c r="BC483" i="1"/>
  <c r="BB483" i="1"/>
  <c r="BA483" i="1"/>
  <c r="AZ483" i="1"/>
  <c r="AY483" i="1"/>
  <c r="AX483" i="1"/>
  <c r="AW483" i="1"/>
  <c r="AV483" i="1"/>
  <c r="AU483" i="1"/>
  <c r="AT483" i="1"/>
  <c r="AS483" i="1"/>
  <c r="AR483" i="1"/>
  <c r="AQ483" i="1"/>
  <c r="AP483" i="1"/>
  <c r="AO483" i="1"/>
  <c r="AN483" i="1"/>
  <c r="AM483" i="1"/>
  <c r="AL483" i="1"/>
  <c r="AK483" i="1"/>
  <c r="AJ483" i="1"/>
  <c r="AI483" i="1"/>
  <c r="AH483" i="1"/>
  <c r="AG483" i="1"/>
  <c r="AF483" i="1"/>
  <c r="AE483" i="1"/>
  <c r="AD483" i="1"/>
  <c r="AC483" i="1"/>
  <c r="AB483" i="1"/>
  <c r="AA483" i="1"/>
  <c r="Z483" i="1"/>
  <c r="Y483" i="1"/>
  <c r="X483" i="1"/>
  <c r="W483" i="1"/>
  <c r="V483" i="1"/>
  <c r="U483" i="1"/>
  <c r="T483" i="1"/>
  <c r="S483" i="1"/>
  <c r="B483" i="1"/>
  <c r="BG482" i="1"/>
  <c r="BF482" i="1"/>
  <c r="BE482" i="1"/>
  <c r="BD482" i="1"/>
  <c r="BC482" i="1"/>
  <c r="BB482" i="1"/>
  <c r="BA482" i="1"/>
  <c r="AZ482" i="1"/>
  <c r="AY482" i="1"/>
  <c r="AX482" i="1"/>
  <c r="AW482" i="1"/>
  <c r="AV482" i="1"/>
  <c r="AU482" i="1"/>
  <c r="AT482" i="1"/>
  <c r="AS482" i="1"/>
  <c r="AR482" i="1"/>
  <c r="AQ482" i="1"/>
  <c r="AP482" i="1"/>
  <c r="AO482" i="1"/>
  <c r="AN482" i="1"/>
  <c r="AM482" i="1"/>
  <c r="AL482" i="1"/>
  <c r="AK482" i="1"/>
  <c r="AJ482" i="1"/>
  <c r="AI482" i="1"/>
  <c r="AH482" i="1"/>
  <c r="AG482" i="1"/>
  <c r="AF482" i="1"/>
  <c r="AE482" i="1"/>
  <c r="AD482" i="1"/>
  <c r="AC482" i="1"/>
  <c r="AB482" i="1"/>
  <c r="AA482" i="1"/>
  <c r="Z482" i="1"/>
  <c r="Y482" i="1"/>
  <c r="X482" i="1"/>
  <c r="W482" i="1"/>
  <c r="V482" i="1"/>
  <c r="U482" i="1"/>
  <c r="T482" i="1"/>
  <c r="S482" i="1"/>
  <c r="B482" i="1"/>
  <c r="BG481" i="1"/>
  <c r="BF481" i="1"/>
  <c r="BE481" i="1"/>
  <c r="BD481" i="1"/>
  <c r="BC481" i="1"/>
  <c r="BB481" i="1"/>
  <c r="BA481" i="1"/>
  <c r="AZ481" i="1"/>
  <c r="AY481" i="1"/>
  <c r="AX481" i="1"/>
  <c r="AW481" i="1"/>
  <c r="AV481" i="1"/>
  <c r="AU481" i="1"/>
  <c r="AT481" i="1"/>
  <c r="AS481" i="1"/>
  <c r="AR481" i="1"/>
  <c r="AQ481" i="1"/>
  <c r="AP481" i="1"/>
  <c r="AO481" i="1"/>
  <c r="AN481" i="1"/>
  <c r="AM481" i="1"/>
  <c r="AL481" i="1"/>
  <c r="AK481" i="1"/>
  <c r="AK485" i="1" s="1"/>
  <c r="AJ481" i="1"/>
  <c r="AI481" i="1"/>
  <c r="AH481" i="1"/>
  <c r="AG481" i="1"/>
  <c r="AF481" i="1"/>
  <c r="AE481" i="1"/>
  <c r="AD481" i="1"/>
  <c r="AC481" i="1"/>
  <c r="AB481" i="1"/>
  <c r="AA481" i="1"/>
  <c r="Z481" i="1"/>
  <c r="Y481" i="1"/>
  <c r="Y485" i="1" s="1"/>
  <c r="X481" i="1"/>
  <c r="W481" i="1"/>
  <c r="V481" i="1"/>
  <c r="U481" i="1"/>
  <c r="T481" i="1"/>
  <c r="S481" i="1"/>
  <c r="B481" i="1"/>
  <c r="BG480" i="1"/>
  <c r="BF480" i="1"/>
  <c r="BE480" i="1"/>
  <c r="BD480" i="1"/>
  <c r="BC480" i="1"/>
  <c r="BB480" i="1"/>
  <c r="BA480" i="1"/>
  <c r="BA485" i="1" s="1"/>
  <c r="AZ480" i="1"/>
  <c r="AY480" i="1"/>
  <c r="AX480" i="1"/>
  <c r="AW480" i="1"/>
  <c r="AV480" i="1"/>
  <c r="AV485" i="1" s="1"/>
  <c r="AU480" i="1"/>
  <c r="AT480" i="1"/>
  <c r="AS480" i="1"/>
  <c r="AR480" i="1"/>
  <c r="AQ480" i="1"/>
  <c r="AP480" i="1"/>
  <c r="AO480" i="1"/>
  <c r="AN480" i="1"/>
  <c r="AM480" i="1"/>
  <c r="AL480" i="1"/>
  <c r="AK480" i="1"/>
  <c r="AJ480" i="1"/>
  <c r="AJ485" i="1" s="1"/>
  <c r="AI480" i="1"/>
  <c r="AH480" i="1"/>
  <c r="AG480" i="1"/>
  <c r="AF480" i="1"/>
  <c r="AE480" i="1"/>
  <c r="AD480" i="1"/>
  <c r="AC480" i="1"/>
  <c r="AC485" i="1" s="1"/>
  <c r="AB480" i="1"/>
  <c r="AA480" i="1"/>
  <c r="Z480" i="1"/>
  <c r="Y480" i="1"/>
  <c r="X480" i="1"/>
  <c r="X485" i="1" s="1"/>
  <c r="W480" i="1"/>
  <c r="V480" i="1"/>
  <c r="U480" i="1"/>
  <c r="T480" i="1"/>
  <c r="S480" i="1"/>
  <c r="B480" i="1"/>
  <c r="BG478" i="1"/>
  <c r="BF478" i="1"/>
  <c r="BE478" i="1"/>
  <c r="BD478" i="1"/>
  <c r="BC478" i="1"/>
  <c r="BB478" i="1"/>
  <c r="BB477" i="1" s="1"/>
  <c r="BA478" i="1"/>
  <c r="AZ478" i="1"/>
  <c r="AZ477" i="1" s="1"/>
  <c r="AY478" i="1"/>
  <c r="AY477" i="1" s="1"/>
  <c r="AX478" i="1"/>
  <c r="AW478" i="1"/>
  <c r="AV478" i="1"/>
  <c r="AV477" i="1" s="1"/>
  <c r="AU478" i="1"/>
  <c r="AT478" i="1"/>
  <c r="AS478" i="1"/>
  <c r="AR478" i="1"/>
  <c r="AQ478" i="1"/>
  <c r="AQ477" i="1" s="1"/>
  <c r="AP478" i="1"/>
  <c r="AP477" i="1" s="1"/>
  <c r="AO478" i="1"/>
  <c r="AN478" i="1"/>
  <c r="AN477" i="1" s="1"/>
  <c r="AM478" i="1"/>
  <c r="AL478" i="1"/>
  <c r="AK478" i="1"/>
  <c r="AJ478" i="1"/>
  <c r="AI478" i="1"/>
  <c r="AH478" i="1"/>
  <c r="AG478" i="1"/>
  <c r="AF478" i="1"/>
  <c r="AE478" i="1"/>
  <c r="AE477" i="1" s="1"/>
  <c r="AD478" i="1"/>
  <c r="AD477" i="1" s="1"/>
  <c r="AC478" i="1"/>
  <c r="AB478" i="1"/>
  <c r="AB477" i="1" s="1"/>
  <c r="AA478" i="1"/>
  <c r="AA477" i="1" s="1"/>
  <c r="Z478" i="1"/>
  <c r="Y478" i="1"/>
  <c r="X478" i="1"/>
  <c r="W478" i="1"/>
  <c r="V478" i="1"/>
  <c r="U478" i="1"/>
  <c r="T478" i="1"/>
  <c r="T485" i="1" s="1"/>
  <c r="S478" i="1"/>
  <c r="BC477" i="1"/>
  <c r="BA477" i="1"/>
  <c r="AX477" i="1"/>
  <c r="AO477" i="1"/>
  <c r="AM477" i="1"/>
  <c r="AI477" i="1"/>
  <c r="BG476" i="1"/>
  <c r="BF476" i="1"/>
  <c r="BE476" i="1"/>
  <c r="BD476" i="1"/>
  <c r="BC476" i="1"/>
  <c r="BB476" i="1"/>
  <c r="BA476" i="1"/>
  <c r="AZ476" i="1"/>
  <c r="AY476" i="1"/>
  <c r="AX476" i="1"/>
  <c r="AW476" i="1"/>
  <c r="AV476" i="1"/>
  <c r="AU476" i="1"/>
  <c r="AT476" i="1"/>
  <c r="AS476" i="1"/>
  <c r="AR476" i="1"/>
  <c r="AQ476" i="1"/>
  <c r="AP476" i="1"/>
  <c r="AO476" i="1"/>
  <c r="AN476" i="1"/>
  <c r="AM476" i="1"/>
  <c r="AL476" i="1"/>
  <c r="AK476" i="1"/>
  <c r="AJ476" i="1"/>
  <c r="AI476" i="1"/>
  <c r="AH476" i="1"/>
  <c r="AG476" i="1"/>
  <c r="AF476" i="1"/>
  <c r="AE476" i="1"/>
  <c r="AD476" i="1"/>
  <c r="AC476" i="1"/>
  <c r="AB476" i="1"/>
  <c r="AA476" i="1"/>
  <c r="Z476" i="1"/>
  <c r="Y476" i="1"/>
  <c r="X476" i="1"/>
  <c r="W476" i="1"/>
  <c r="V476" i="1"/>
  <c r="U476" i="1"/>
  <c r="T476" i="1"/>
  <c r="S476" i="1"/>
  <c r="B476" i="1"/>
  <c r="BG475" i="1"/>
  <c r="BF475" i="1"/>
  <c r="BE475" i="1"/>
  <c r="BE477" i="1" s="1"/>
  <c r="BD475" i="1"/>
  <c r="BC475" i="1"/>
  <c r="BB475" i="1"/>
  <c r="BA475" i="1"/>
  <c r="AZ475" i="1"/>
  <c r="AY475" i="1"/>
  <c r="AX475" i="1"/>
  <c r="AW475" i="1"/>
  <c r="AV475" i="1"/>
  <c r="AU475" i="1"/>
  <c r="AT475" i="1"/>
  <c r="AS475" i="1"/>
  <c r="AR475" i="1"/>
  <c r="AQ475" i="1"/>
  <c r="AP475" i="1"/>
  <c r="AO475" i="1"/>
  <c r="AN475" i="1"/>
  <c r="AM475" i="1"/>
  <c r="AL475" i="1"/>
  <c r="AL477" i="1" s="1"/>
  <c r="AK475" i="1"/>
  <c r="AJ475" i="1"/>
  <c r="AI475" i="1"/>
  <c r="AH475" i="1"/>
  <c r="AG475" i="1"/>
  <c r="AF475" i="1"/>
  <c r="AE475" i="1"/>
  <c r="AD475" i="1"/>
  <c r="AC475" i="1"/>
  <c r="AB475" i="1"/>
  <c r="AA475" i="1"/>
  <c r="Z475" i="1"/>
  <c r="Z477" i="1" s="1"/>
  <c r="Y475" i="1"/>
  <c r="X475" i="1"/>
  <c r="W475" i="1"/>
  <c r="V475" i="1"/>
  <c r="U475" i="1"/>
  <c r="U477" i="1" s="1"/>
  <c r="T475" i="1"/>
  <c r="T477" i="1" s="1"/>
  <c r="S475" i="1"/>
  <c r="B475" i="1"/>
  <c r="BG474" i="1"/>
  <c r="BF474" i="1"/>
  <c r="BF456" i="1" s="1"/>
  <c r="BG469" i="1" s="1"/>
  <c r="BG471" i="1" s="1"/>
  <c r="BE474" i="1"/>
  <c r="BE456" i="1" s="1"/>
  <c r="BD474" i="1"/>
  <c r="BD456" i="1" s="1"/>
  <c r="BC474" i="1"/>
  <c r="BB474" i="1"/>
  <c r="BA474" i="1"/>
  <c r="BA456" i="1" s="1"/>
  <c r="AZ474" i="1"/>
  <c r="AY474" i="1"/>
  <c r="AX474" i="1"/>
  <c r="AW474" i="1"/>
  <c r="AW456" i="1" s="1"/>
  <c r="AV474" i="1"/>
  <c r="AV456" i="1" s="1"/>
  <c r="AU474" i="1"/>
  <c r="AT474" i="1"/>
  <c r="AS474" i="1"/>
  <c r="AR474" i="1"/>
  <c r="AQ474" i="1"/>
  <c r="AQ456" i="1" s="1"/>
  <c r="AP474" i="1"/>
  <c r="AO474" i="1"/>
  <c r="AN474" i="1"/>
  <c r="AM474" i="1"/>
  <c r="AL474" i="1"/>
  <c r="AK474" i="1"/>
  <c r="AK456" i="1" s="1"/>
  <c r="AJ474" i="1"/>
  <c r="AJ456" i="1" s="1"/>
  <c r="AI474" i="1"/>
  <c r="AI456" i="1" s="1"/>
  <c r="AH474" i="1"/>
  <c r="AG474" i="1"/>
  <c r="AF474" i="1"/>
  <c r="AF456" i="1" s="1"/>
  <c r="AE474" i="1"/>
  <c r="AD474" i="1"/>
  <c r="AD456" i="1" s="1"/>
  <c r="AD457" i="1" s="1"/>
  <c r="AC474" i="1"/>
  <c r="AC477" i="1" s="1"/>
  <c r="AB474" i="1"/>
  <c r="AA474" i="1"/>
  <c r="Z474" i="1"/>
  <c r="Y474" i="1"/>
  <c r="Y456" i="1" s="1"/>
  <c r="X474" i="1"/>
  <c r="X456" i="1" s="1"/>
  <c r="W474" i="1"/>
  <c r="W456" i="1" s="1"/>
  <c r="V474" i="1"/>
  <c r="U474" i="1"/>
  <c r="T474" i="1"/>
  <c r="T456" i="1" s="1"/>
  <c r="S474" i="1"/>
  <c r="B474" i="1"/>
  <c r="AX471" i="1"/>
  <c r="AW471" i="1"/>
  <c r="BA469" i="1"/>
  <c r="BA471" i="1" s="1"/>
  <c r="AZ469" i="1"/>
  <c r="AZ471" i="1" s="1"/>
  <c r="AX469" i="1"/>
  <c r="AW469" i="1"/>
  <c r="BI467" i="1"/>
  <c r="BG467" i="1"/>
  <c r="BI465" i="1"/>
  <c r="BG465" i="1"/>
  <c r="BB465" i="1"/>
  <c r="BB467" i="1" s="1"/>
  <c r="AQ457" i="1"/>
  <c r="AI457" i="1"/>
  <c r="S457" i="1"/>
  <c r="BH456" i="1"/>
  <c r="BH457" i="1" s="1"/>
  <c r="BG456" i="1"/>
  <c r="BH469" i="1" s="1"/>
  <c r="BH471" i="1" s="1"/>
  <c r="BC456" i="1"/>
  <c r="BD469" i="1" s="1"/>
  <c r="BD471" i="1" s="1"/>
  <c r="BB456" i="1"/>
  <c r="BC469" i="1" s="1"/>
  <c r="BC471" i="1" s="1"/>
  <c r="AZ456" i="1"/>
  <c r="AY456" i="1"/>
  <c r="AX456" i="1"/>
  <c r="AY469" i="1" s="1"/>
  <c r="AY471" i="1" s="1"/>
  <c r="AU456" i="1"/>
  <c r="AS456" i="1"/>
  <c r="AR456" i="1"/>
  <c r="AP456" i="1"/>
  <c r="AO456" i="1"/>
  <c r="AN456" i="1"/>
  <c r="AM456" i="1"/>
  <c r="AL456" i="1"/>
  <c r="AE456" i="1"/>
  <c r="AC456" i="1"/>
  <c r="AB456" i="1"/>
  <c r="AA456" i="1"/>
  <c r="Z456" i="1"/>
  <c r="U456" i="1"/>
  <c r="S456" i="1"/>
  <c r="BI455" i="1"/>
  <c r="BJ465" i="1" s="1"/>
  <c r="BJ467" i="1" s="1"/>
  <c r="BG455" i="1"/>
  <c r="BF455" i="1"/>
  <c r="BC455" i="1"/>
  <c r="BB455" i="1"/>
  <c r="BA455" i="1"/>
  <c r="BA457" i="1" s="1"/>
  <c r="AZ455" i="1"/>
  <c r="AY455" i="1"/>
  <c r="AY457" i="1" s="1"/>
  <c r="AV455" i="1"/>
  <c r="AS455" i="1"/>
  <c r="AS457" i="1" s="1"/>
  <c r="AP455" i="1"/>
  <c r="AP457" i="1" s="1"/>
  <c r="AO455" i="1"/>
  <c r="AN455" i="1"/>
  <c r="AM455" i="1"/>
  <c r="AL455" i="1"/>
  <c r="AL457" i="1" s="1"/>
  <c r="AI455" i="1"/>
  <c r="AE455" i="1"/>
  <c r="AC455" i="1"/>
  <c r="AC457" i="1" s="1"/>
  <c r="AB455" i="1"/>
  <c r="AB457" i="1" s="1"/>
  <c r="AA455" i="1"/>
  <c r="Z455" i="1"/>
  <c r="X455" i="1"/>
  <c r="W455" i="1"/>
  <c r="S455" i="1"/>
  <c r="CO454" i="1"/>
  <c r="BH452" i="1"/>
  <c r="BH450" i="1"/>
  <c r="BI447" i="1" s="1"/>
  <c r="BG450" i="1"/>
  <c r="BH447" i="1" s="1"/>
  <c r="BF450" i="1"/>
  <c r="BD450" i="1"/>
  <c r="BH449" i="1"/>
  <c r="CI447" i="1"/>
  <c r="BG447" i="1"/>
  <c r="BG452" i="1" s="1"/>
  <c r="BJ445" i="1"/>
  <c r="BJ448" i="1" s="1"/>
  <c r="BF445" i="1"/>
  <c r="BE445" i="1"/>
  <c r="BB445" i="1"/>
  <c r="AV445" i="1"/>
  <c r="BI444" i="1"/>
  <c r="BI449" i="1" s="1"/>
  <c r="BH444" i="1"/>
  <c r="BG444" i="1"/>
  <c r="BG449" i="1" s="1"/>
  <c r="BJ443" i="1"/>
  <c r="BK443" i="1" s="1"/>
  <c r="BK444" i="1" s="1"/>
  <c r="BK449" i="1" s="1"/>
  <c r="BH443" i="1"/>
  <c r="BI443" i="1" s="1"/>
  <c r="BM442" i="1"/>
  <c r="BL442" i="1"/>
  <c r="CO441" i="1"/>
  <c r="AK434" i="1"/>
  <c r="AE434" i="1"/>
  <c r="S434" i="1"/>
  <c r="AZ430" i="1"/>
  <c r="AH426" i="1"/>
  <c r="AB426" i="1"/>
  <c r="T426" i="1"/>
  <c r="BB415" i="1"/>
  <c r="BA415" i="1"/>
  <c r="AX415" i="1"/>
  <c r="AW415" i="1"/>
  <c r="AP415" i="1"/>
  <c r="AO415" i="1"/>
  <c r="AM415" i="1"/>
  <c r="AL415" i="1"/>
  <c r="AK415" i="1"/>
  <c r="AH415" i="1"/>
  <c r="Z415" i="1"/>
  <c r="Y415" i="1"/>
  <c r="W415" i="1"/>
  <c r="BN414" i="1"/>
  <c r="BM414" i="1"/>
  <c r="BJ414" i="1"/>
  <c r="BI414" i="1"/>
  <c r="BI445" i="1" s="1"/>
  <c r="BI448" i="1" s="1"/>
  <c r="BG414" i="1"/>
  <c r="BF414" i="1"/>
  <c r="BE414" i="1"/>
  <c r="BE415" i="1" s="1"/>
  <c r="BD414" i="1"/>
  <c r="BC414" i="1"/>
  <c r="BB414" i="1"/>
  <c r="BA414" i="1"/>
  <c r="AZ414" i="1"/>
  <c r="AY414" i="1"/>
  <c r="AY445" i="1" s="1"/>
  <c r="AX414" i="1"/>
  <c r="AX445" i="1" s="1"/>
  <c r="AW414" i="1"/>
  <c r="AW445" i="1" s="1"/>
  <c r="AV414" i="1"/>
  <c r="AU414" i="1"/>
  <c r="AT414" i="1"/>
  <c r="AS414" i="1"/>
  <c r="AS415" i="1" s="1"/>
  <c r="AR414" i="1"/>
  <c r="AQ414" i="1"/>
  <c r="AP414" i="1"/>
  <c r="AT415" i="1" s="1"/>
  <c r="AO414" i="1"/>
  <c r="AN414" i="1"/>
  <c r="AM414" i="1"/>
  <c r="AL414" i="1"/>
  <c r="AK414" i="1"/>
  <c r="AJ414" i="1"/>
  <c r="AI414" i="1"/>
  <c r="AH414" i="1"/>
  <c r="AG414" i="1"/>
  <c r="AF414" i="1"/>
  <c r="AE414" i="1"/>
  <c r="AD414" i="1"/>
  <c r="AD415" i="1" s="1"/>
  <c r="AC414" i="1"/>
  <c r="AB414" i="1"/>
  <c r="AB415" i="1" s="1"/>
  <c r="AA414" i="1"/>
  <c r="Z414" i="1"/>
  <c r="Y414" i="1"/>
  <c r="X414" i="1"/>
  <c r="W414" i="1"/>
  <c r="AA415" i="1" s="1"/>
  <c r="V414" i="1"/>
  <c r="U414" i="1"/>
  <c r="T414" i="1"/>
  <c r="S414" i="1"/>
  <c r="BH411" i="1"/>
  <c r="BH410" i="1" s="1"/>
  <c r="BG411" i="1"/>
  <c r="BG410" i="1" s="1"/>
  <c r="BF411" i="1"/>
  <c r="BE411" i="1"/>
  <c r="BD411" i="1"/>
  <c r="BC411" i="1"/>
  <c r="BC410" i="1" s="1"/>
  <c r="BB411" i="1"/>
  <c r="BA411" i="1"/>
  <c r="AZ411" i="1"/>
  <c r="AY411" i="1"/>
  <c r="AX411" i="1"/>
  <c r="AW411" i="1"/>
  <c r="AV411" i="1"/>
  <c r="AU411" i="1"/>
  <c r="AU410" i="1" s="1"/>
  <c r="AT411" i="1"/>
  <c r="AS411" i="1"/>
  <c r="AR411" i="1"/>
  <c r="AQ411" i="1"/>
  <c r="AQ410" i="1" s="1"/>
  <c r="AP411" i="1"/>
  <c r="AP410" i="1" s="1"/>
  <c r="AO411" i="1"/>
  <c r="AN411" i="1"/>
  <c r="AM411" i="1"/>
  <c r="AL411" i="1"/>
  <c r="AK411" i="1"/>
  <c r="AJ411" i="1"/>
  <c r="AI411" i="1"/>
  <c r="AI410" i="1" s="1"/>
  <c r="AH411" i="1"/>
  <c r="AG411" i="1"/>
  <c r="AG410" i="1" s="1"/>
  <c r="AF411" i="1"/>
  <c r="AE411" i="1"/>
  <c r="AD411" i="1"/>
  <c r="AC411" i="1"/>
  <c r="AB411" i="1"/>
  <c r="AA411" i="1"/>
  <c r="Z411" i="1"/>
  <c r="Y411" i="1"/>
  <c r="X411" i="1"/>
  <c r="W411" i="1"/>
  <c r="W410" i="1" s="1"/>
  <c r="V411" i="1"/>
  <c r="U411" i="1"/>
  <c r="T411" i="1"/>
  <c r="S411" i="1"/>
  <c r="BB410" i="1"/>
  <c r="AM410" i="1"/>
  <c r="AE410" i="1"/>
  <c r="AD410" i="1"/>
  <c r="U410" i="1"/>
  <c r="S410" i="1"/>
  <c r="BM409" i="1"/>
  <c r="BM411" i="1" s="1"/>
  <c r="BL409" i="1"/>
  <c r="BL411" i="1" s="1"/>
  <c r="BK409" i="1"/>
  <c r="BK411" i="1" s="1"/>
  <c r="BJ409" i="1"/>
  <c r="BJ411" i="1" s="1"/>
  <c r="BI409" i="1"/>
  <c r="BI411" i="1" s="1"/>
  <c r="BH409" i="1"/>
  <c r="BG409" i="1"/>
  <c r="BF409" i="1"/>
  <c r="BE409" i="1"/>
  <c r="BD409" i="1"/>
  <c r="BC409" i="1"/>
  <c r="BB409" i="1"/>
  <c r="BA409" i="1"/>
  <c r="BA410" i="1" s="1"/>
  <c r="AZ409" i="1"/>
  <c r="AZ410" i="1" s="1"/>
  <c r="AY409" i="1"/>
  <c r="AX409" i="1"/>
  <c r="AW409" i="1"/>
  <c r="AV409" i="1"/>
  <c r="AU409" i="1"/>
  <c r="AT409" i="1"/>
  <c r="AS409" i="1"/>
  <c r="AR409" i="1"/>
  <c r="AQ409" i="1"/>
  <c r="AP409" i="1"/>
  <c r="AO409" i="1"/>
  <c r="AO410" i="1" s="1"/>
  <c r="AN409" i="1"/>
  <c r="AN410" i="1" s="1"/>
  <c r="AM409" i="1"/>
  <c r="AL409" i="1"/>
  <c r="AK409" i="1"/>
  <c r="AJ409" i="1"/>
  <c r="AI409" i="1"/>
  <c r="AH409" i="1"/>
  <c r="AG409" i="1"/>
  <c r="AF409" i="1"/>
  <c r="AE409" i="1"/>
  <c r="AD409" i="1"/>
  <c r="AC409" i="1"/>
  <c r="AC410" i="1" s="1"/>
  <c r="AB409" i="1"/>
  <c r="AB410" i="1" s="1"/>
  <c r="AA409" i="1"/>
  <c r="Z409" i="1"/>
  <c r="Y409" i="1"/>
  <c r="X409" i="1"/>
  <c r="W409" i="1"/>
  <c r="V409" i="1"/>
  <c r="U409" i="1"/>
  <c r="T409" i="1"/>
  <c r="S409" i="1"/>
  <c r="BH408" i="1"/>
  <c r="BG408" i="1"/>
  <c r="BF408" i="1"/>
  <c r="BE408" i="1"/>
  <c r="BD408" i="1"/>
  <c r="BC408" i="1"/>
  <c r="BB408" i="1"/>
  <c r="BA408" i="1"/>
  <c r="AZ408" i="1"/>
  <c r="AY408" i="1"/>
  <c r="AX408" i="1"/>
  <c r="AW408" i="1"/>
  <c r="AW410" i="1" s="1"/>
  <c r="AV408" i="1"/>
  <c r="AU408" i="1"/>
  <c r="AT408" i="1"/>
  <c r="AS408" i="1"/>
  <c r="AR408" i="1"/>
  <c r="AQ408" i="1"/>
  <c r="AP408" i="1"/>
  <c r="AO408" i="1"/>
  <c r="AN408" i="1"/>
  <c r="AM408" i="1"/>
  <c r="AL408" i="1"/>
  <c r="AK408" i="1"/>
  <c r="AJ408" i="1"/>
  <c r="AJ410" i="1" s="1"/>
  <c r="AI408" i="1"/>
  <c r="AH408" i="1"/>
  <c r="AH410" i="1" s="1"/>
  <c r="AG408" i="1"/>
  <c r="AF408" i="1"/>
  <c r="AE408" i="1"/>
  <c r="AD408" i="1"/>
  <c r="AC408" i="1"/>
  <c r="AB408" i="1"/>
  <c r="AA408" i="1"/>
  <c r="AA410" i="1" s="1"/>
  <c r="Z408" i="1"/>
  <c r="Z410" i="1" s="1"/>
  <c r="Y408" i="1"/>
  <c r="X408" i="1"/>
  <c r="W408" i="1"/>
  <c r="V408" i="1"/>
  <c r="U408" i="1"/>
  <c r="T408" i="1"/>
  <c r="S408" i="1"/>
  <c r="CD406" i="1"/>
  <c r="CC406" i="1"/>
  <c r="CB406" i="1"/>
  <c r="CA406" i="1"/>
  <c r="BZ406" i="1"/>
  <c r="BY406" i="1"/>
  <c r="BX406" i="1"/>
  <c r="BW406" i="1"/>
  <c r="BV406" i="1"/>
  <c r="BU406" i="1"/>
  <c r="BT406" i="1"/>
  <c r="BS406" i="1"/>
  <c r="BR406" i="1"/>
  <c r="BQ406" i="1"/>
  <c r="BP406" i="1"/>
  <c r="BO406" i="1"/>
  <c r="BN406" i="1"/>
  <c r="BM406" i="1"/>
  <c r="BL406" i="1"/>
  <c r="BK406" i="1"/>
  <c r="BJ406" i="1"/>
  <c r="BI406" i="1"/>
  <c r="BH406" i="1"/>
  <c r="BG406" i="1"/>
  <c r="BF406" i="1"/>
  <c r="BE406" i="1"/>
  <c r="BE405" i="1" s="1"/>
  <c r="BD406" i="1"/>
  <c r="BC406" i="1"/>
  <c r="BC405" i="1" s="1"/>
  <c r="BB406" i="1"/>
  <c r="BA406" i="1"/>
  <c r="BA405" i="1" s="1"/>
  <c r="AZ406" i="1"/>
  <c r="AY406" i="1"/>
  <c r="AX406" i="1"/>
  <c r="AW406" i="1"/>
  <c r="AV406" i="1"/>
  <c r="AU406" i="1"/>
  <c r="AT406" i="1"/>
  <c r="AS406" i="1"/>
  <c r="AR406" i="1"/>
  <c r="AQ406" i="1"/>
  <c r="AP406" i="1"/>
  <c r="AO406" i="1"/>
  <c r="AO405" i="1" s="1"/>
  <c r="AN406" i="1"/>
  <c r="AM406" i="1"/>
  <c r="AL406" i="1"/>
  <c r="AL405" i="1" s="1"/>
  <c r="AK406" i="1"/>
  <c r="AJ406" i="1"/>
  <c r="AI406" i="1"/>
  <c r="AH406" i="1"/>
  <c r="AG406" i="1"/>
  <c r="AF406" i="1"/>
  <c r="AE406" i="1"/>
  <c r="AD406" i="1"/>
  <c r="AC406" i="1"/>
  <c r="AC405" i="1" s="1"/>
  <c r="AB406" i="1"/>
  <c r="AA406" i="1"/>
  <c r="Z406" i="1"/>
  <c r="Y406" i="1"/>
  <c r="X406" i="1"/>
  <c r="W406" i="1"/>
  <c r="V406" i="1"/>
  <c r="V405" i="1" s="1"/>
  <c r="U406" i="1"/>
  <c r="T406" i="1"/>
  <c r="S406" i="1"/>
  <c r="S405" i="1" s="1"/>
  <c r="BB405" i="1"/>
  <c r="AU405" i="1"/>
  <c r="AQ405" i="1"/>
  <c r="AP405" i="1"/>
  <c r="AH405" i="1"/>
  <c r="AE405" i="1"/>
  <c r="AD405" i="1"/>
  <c r="AA405" i="1"/>
  <c r="W405" i="1"/>
  <c r="BH404" i="1"/>
  <c r="BG404" i="1"/>
  <c r="BF404" i="1"/>
  <c r="BE404" i="1"/>
  <c r="BD404" i="1"/>
  <c r="BD405" i="1" s="1"/>
  <c r="BC404" i="1"/>
  <c r="BB404" i="1"/>
  <c r="BA404" i="1"/>
  <c r="AZ404" i="1"/>
  <c r="AY404" i="1"/>
  <c r="AX404" i="1"/>
  <c r="AX405" i="1" s="1"/>
  <c r="AW404" i="1"/>
  <c r="AW405" i="1" s="1"/>
  <c r="AV404" i="1"/>
  <c r="AU404" i="1"/>
  <c r="AT404" i="1"/>
  <c r="AS404" i="1"/>
  <c r="AR404" i="1"/>
  <c r="AQ404" i="1"/>
  <c r="AP404" i="1"/>
  <c r="AO404" i="1"/>
  <c r="AN404" i="1"/>
  <c r="AM404" i="1"/>
  <c r="AL404" i="1"/>
  <c r="AK404" i="1"/>
  <c r="AJ404" i="1"/>
  <c r="AI404" i="1"/>
  <c r="AH404" i="1"/>
  <c r="AG404" i="1"/>
  <c r="AF404" i="1"/>
  <c r="AE404" i="1"/>
  <c r="AD404" i="1"/>
  <c r="AC404" i="1"/>
  <c r="AB404" i="1"/>
  <c r="AA404" i="1"/>
  <c r="Z404" i="1"/>
  <c r="Z405" i="1" s="1"/>
  <c r="Y404" i="1"/>
  <c r="Y405" i="1" s="1"/>
  <c r="X404" i="1"/>
  <c r="W404" i="1"/>
  <c r="V404" i="1"/>
  <c r="U404" i="1"/>
  <c r="T404" i="1"/>
  <c r="S404" i="1"/>
  <c r="BH403" i="1"/>
  <c r="BG403" i="1"/>
  <c r="BF403" i="1"/>
  <c r="BE403" i="1"/>
  <c r="BD403" i="1"/>
  <c r="BC403" i="1"/>
  <c r="BB403" i="1"/>
  <c r="BA403" i="1"/>
  <c r="AZ403" i="1"/>
  <c r="AY403" i="1"/>
  <c r="AX403" i="1"/>
  <c r="AW403" i="1"/>
  <c r="AV403" i="1"/>
  <c r="AU403" i="1"/>
  <c r="AT403" i="1"/>
  <c r="AS403" i="1"/>
  <c r="AR403" i="1"/>
  <c r="AR426" i="1" s="1"/>
  <c r="AQ403" i="1"/>
  <c r="AP403" i="1"/>
  <c r="AO403" i="1"/>
  <c r="AN403" i="1"/>
  <c r="AN426" i="1" s="1"/>
  <c r="AM403" i="1"/>
  <c r="AL403" i="1"/>
  <c r="AK403" i="1"/>
  <c r="AJ403" i="1"/>
  <c r="AI403" i="1"/>
  <c r="AH403" i="1"/>
  <c r="AG403" i="1"/>
  <c r="AF403" i="1"/>
  <c r="AE403" i="1"/>
  <c r="AD403" i="1"/>
  <c r="AC403" i="1"/>
  <c r="AB403" i="1"/>
  <c r="AA403" i="1"/>
  <c r="Z403" i="1"/>
  <c r="Y403" i="1"/>
  <c r="X403" i="1"/>
  <c r="W403" i="1"/>
  <c r="V403" i="1"/>
  <c r="U403" i="1"/>
  <c r="T403" i="1"/>
  <c r="S403" i="1"/>
  <c r="BH401" i="1"/>
  <c r="BG401" i="1"/>
  <c r="BF401" i="1"/>
  <c r="BE401" i="1"/>
  <c r="BD401" i="1"/>
  <c r="BC401" i="1"/>
  <c r="BC426" i="1" s="1"/>
  <c r="BB401" i="1"/>
  <c r="BB426" i="1" s="1"/>
  <c r="BA401" i="1"/>
  <c r="AZ401" i="1"/>
  <c r="AZ426" i="1" s="1"/>
  <c r="AY401" i="1"/>
  <c r="AY426" i="1" s="1"/>
  <c r="AX401" i="1"/>
  <c r="AX426" i="1" s="1"/>
  <c r="AW401" i="1"/>
  <c r="AV401" i="1"/>
  <c r="AV426" i="1" s="1"/>
  <c r="AU401" i="1"/>
  <c r="AT401" i="1"/>
  <c r="AS401" i="1"/>
  <c r="AS426" i="1" s="1"/>
  <c r="AR401" i="1"/>
  <c r="AQ401" i="1"/>
  <c r="AQ426" i="1" s="1"/>
  <c r="AP401" i="1"/>
  <c r="AO401" i="1"/>
  <c r="AN401" i="1"/>
  <c r="AM401" i="1"/>
  <c r="AM426" i="1" s="1"/>
  <c r="AL401" i="1"/>
  <c r="AK401" i="1"/>
  <c r="AK426" i="1" s="1"/>
  <c r="AJ401" i="1"/>
  <c r="AI401" i="1"/>
  <c r="AH401" i="1"/>
  <c r="AG401" i="1"/>
  <c r="AF401" i="1"/>
  <c r="AE401" i="1"/>
  <c r="AE426" i="1" s="1"/>
  <c r="AD401" i="1"/>
  <c r="AD426" i="1" s="1"/>
  <c r="AC401" i="1"/>
  <c r="AB401" i="1"/>
  <c r="AA401" i="1"/>
  <c r="Z401" i="1"/>
  <c r="Y401" i="1"/>
  <c r="X401" i="1"/>
  <c r="W401" i="1"/>
  <c r="V401" i="1"/>
  <c r="U401" i="1"/>
  <c r="T401" i="1"/>
  <c r="S401" i="1"/>
  <c r="S426" i="1" s="1"/>
  <c r="AV400" i="1"/>
  <c r="AE400" i="1"/>
  <c r="BG399" i="1"/>
  <c r="BF399" i="1"/>
  <c r="BE399" i="1"/>
  <c r="BD399" i="1"/>
  <c r="BC399" i="1"/>
  <c r="BB399" i="1"/>
  <c r="BA399" i="1"/>
  <c r="AZ399" i="1"/>
  <c r="AY399" i="1"/>
  <c r="AX399" i="1"/>
  <c r="AW399" i="1"/>
  <c r="AV399" i="1"/>
  <c r="AU399" i="1"/>
  <c r="AT399" i="1"/>
  <c r="AS399" i="1"/>
  <c r="AR399" i="1"/>
  <c r="AQ399" i="1"/>
  <c r="AP399" i="1"/>
  <c r="AO399" i="1"/>
  <c r="AN399" i="1"/>
  <c r="AM399" i="1"/>
  <c r="AL399" i="1"/>
  <c r="AK399" i="1"/>
  <c r="AJ399" i="1"/>
  <c r="AI399" i="1"/>
  <c r="AH399" i="1"/>
  <c r="AG399" i="1"/>
  <c r="AF399" i="1"/>
  <c r="AE399" i="1"/>
  <c r="AD399" i="1"/>
  <c r="AC399" i="1"/>
  <c r="AB399" i="1"/>
  <c r="AA399" i="1"/>
  <c r="Z399" i="1"/>
  <c r="Y399" i="1"/>
  <c r="X399" i="1"/>
  <c r="W399" i="1"/>
  <c r="V399" i="1"/>
  <c r="U399" i="1"/>
  <c r="T399" i="1"/>
  <c r="S399" i="1"/>
  <c r="B399" i="1"/>
  <c r="BH398" i="1"/>
  <c r="BG398" i="1"/>
  <c r="BF398" i="1"/>
  <c r="BE398" i="1"/>
  <c r="BD398" i="1"/>
  <c r="BC398" i="1"/>
  <c r="BB398" i="1"/>
  <c r="BA398" i="1"/>
  <c r="AZ398" i="1"/>
  <c r="AY398" i="1"/>
  <c r="AX398" i="1"/>
  <c r="AW398" i="1"/>
  <c r="AV398" i="1"/>
  <c r="AU398" i="1"/>
  <c r="AT398" i="1"/>
  <c r="AS398" i="1"/>
  <c r="AS400" i="1" s="1"/>
  <c r="AR398" i="1"/>
  <c r="AQ398" i="1"/>
  <c r="AP398" i="1"/>
  <c r="AO398" i="1"/>
  <c r="AN398" i="1"/>
  <c r="AM398" i="1"/>
  <c r="AL398" i="1"/>
  <c r="AK398" i="1"/>
  <c r="AJ398" i="1"/>
  <c r="AI398" i="1"/>
  <c r="AH398" i="1"/>
  <c r="AH400" i="1" s="1"/>
  <c r="AG398" i="1"/>
  <c r="AF398" i="1"/>
  <c r="AE398" i="1"/>
  <c r="AD398" i="1"/>
  <c r="AC398" i="1"/>
  <c r="AB398" i="1"/>
  <c r="AA398" i="1"/>
  <c r="Z398" i="1"/>
  <c r="Y398" i="1"/>
  <c r="X398" i="1"/>
  <c r="W398" i="1"/>
  <c r="V398" i="1"/>
  <c r="U398" i="1"/>
  <c r="T398" i="1"/>
  <c r="S398" i="1"/>
  <c r="B398" i="1"/>
  <c r="BH397" i="1"/>
  <c r="BG397" i="1"/>
  <c r="BF397" i="1"/>
  <c r="BE397" i="1"/>
  <c r="BD397" i="1"/>
  <c r="BC397" i="1"/>
  <c r="BB397" i="1"/>
  <c r="BA397" i="1"/>
  <c r="AZ397" i="1"/>
  <c r="AY397" i="1"/>
  <c r="AX397" i="1"/>
  <c r="AW397" i="1"/>
  <c r="AV397" i="1"/>
  <c r="AU397" i="1"/>
  <c r="AT397" i="1"/>
  <c r="AS397" i="1"/>
  <c r="AR397" i="1"/>
  <c r="AQ397" i="1"/>
  <c r="AP397" i="1"/>
  <c r="AO397" i="1"/>
  <c r="AN397" i="1"/>
  <c r="AM397" i="1"/>
  <c r="AL397" i="1"/>
  <c r="AK397" i="1"/>
  <c r="AJ397" i="1"/>
  <c r="AI397" i="1"/>
  <c r="AH397" i="1"/>
  <c r="AG397" i="1"/>
  <c r="AF397" i="1"/>
  <c r="AE397" i="1"/>
  <c r="AD397" i="1"/>
  <c r="AC397" i="1"/>
  <c r="AB397" i="1"/>
  <c r="AA397" i="1"/>
  <c r="Z397" i="1"/>
  <c r="Y397" i="1"/>
  <c r="X397" i="1"/>
  <c r="W397" i="1"/>
  <c r="V397" i="1"/>
  <c r="U397" i="1"/>
  <c r="T397" i="1"/>
  <c r="S397" i="1"/>
  <c r="B397" i="1"/>
  <c r="BH396" i="1"/>
  <c r="BG396" i="1"/>
  <c r="BF396" i="1"/>
  <c r="BF400" i="1" s="1"/>
  <c r="BE396" i="1"/>
  <c r="BD396" i="1"/>
  <c r="BC396" i="1"/>
  <c r="BB396" i="1"/>
  <c r="BB400" i="1" s="1"/>
  <c r="BA396" i="1"/>
  <c r="AZ396" i="1"/>
  <c r="AY396" i="1"/>
  <c r="AX396" i="1"/>
  <c r="AW396" i="1"/>
  <c r="AV396" i="1"/>
  <c r="AU396" i="1"/>
  <c r="AT396" i="1"/>
  <c r="AS396" i="1"/>
  <c r="AR396" i="1"/>
  <c r="AQ396" i="1"/>
  <c r="AP396" i="1"/>
  <c r="AO396" i="1"/>
  <c r="AN396" i="1"/>
  <c r="AM396" i="1"/>
  <c r="AL396" i="1"/>
  <c r="AK396" i="1"/>
  <c r="AJ396" i="1"/>
  <c r="AI396" i="1"/>
  <c r="AH396" i="1"/>
  <c r="AG396" i="1"/>
  <c r="AF396" i="1"/>
  <c r="AE396" i="1"/>
  <c r="AD396" i="1"/>
  <c r="AD400" i="1" s="1"/>
  <c r="AC396" i="1"/>
  <c r="AB396" i="1"/>
  <c r="AA396" i="1"/>
  <c r="AA400" i="1" s="1"/>
  <c r="Z396" i="1"/>
  <c r="Y396" i="1"/>
  <c r="X396" i="1"/>
  <c r="W396" i="1"/>
  <c r="V396" i="1"/>
  <c r="V400" i="1" s="1"/>
  <c r="U396" i="1"/>
  <c r="T396" i="1"/>
  <c r="S396" i="1"/>
  <c r="B396" i="1"/>
  <c r="BH395" i="1"/>
  <c r="BG395" i="1"/>
  <c r="BF395" i="1"/>
  <c r="BE395" i="1"/>
  <c r="BD395" i="1"/>
  <c r="BC395" i="1"/>
  <c r="BB395" i="1"/>
  <c r="BA395" i="1"/>
  <c r="AZ395" i="1"/>
  <c r="AY395" i="1"/>
  <c r="AX395" i="1"/>
  <c r="AW395" i="1"/>
  <c r="AV395" i="1"/>
  <c r="AU395" i="1"/>
  <c r="AT395" i="1"/>
  <c r="AS395" i="1"/>
  <c r="AR395" i="1"/>
  <c r="AQ395" i="1"/>
  <c r="AP395" i="1"/>
  <c r="AP400" i="1" s="1"/>
  <c r="AO395" i="1"/>
  <c r="AN395" i="1"/>
  <c r="AM395" i="1"/>
  <c r="AL395" i="1"/>
  <c r="AK395" i="1"/>
  <c r="AJ395" i="1"/>
  <c r="AI395" i="1"/>
  <c r="AH395" i="1"/>
  <c r="AG395" i="1"/>
  <c r="AF395" i="1"/>
  <c r="AE395" i="1"/>
  <c r="AD395" i="1"/>
  <c r="AC395" i="1"/>
  <c r="AB395" i="1"/>
  <c r="AA395" i="1"/>
  <c r="Z395" i="1"/>
  <c r="Y395" i="1"/>
  <c r="X395" i="1"/>
  <c r="W395" i="1"/>
  <c r="V395" i="1"/>
  <c r="U395" i="1"/>
  <c r="T395" i="1"/>
  <c r="S395" i="1"/>
  <c r="B395" i="1"/>
  <c r="BH394" i="1"/>
  <c r="BG394" i="1"/>
  <c r="BF394" i="1"/>
  <c r="BE394" i="1"/>
  <c r="BD394" i="1"/>
  <c r="BC394" i="1"/>
  <c r="BB394" i="1"/>
  <c r="BA394" i="1"/>
  <c r="AZ394" i="1"/>
  <c r="AY394" i="1"/>
  <c r="AX394" i="1"/>
  <c r="AW394" i="1"/>
  <c r="AV394" i="1"/>
  <c r="AU394" i="1"/>
  <c r="AT394" i="1"/>
  <c r="AS394" i="1"/>
  <c r="AR394" i="1"/>
  <c r="AQ394" i="1"/>
  <c r="AP394" i="1"/>
  <c r="AO394" i="1"/>
  <c r="AN394" i="1"/>
  <c r="AM394" i="1"/>
  <c r="AL394" i="1"/>
  <c r="AK394" i="1"/>
  <c r="AJ394" i="1"/>
  <c r="AI394" i="1"/>
  <c r="AH394" i="1"/>
  <c r="AG394" i="1"/>
  <c r="AF394" i="1"/>
  <c r="AE394" i="1"/>
  <c r="AD394" i="1"/>
  <c r="AC394" i="1"/>
  <c r="AB394" i="1"/>
  <c r="AA394" i="1"/>
  <c r="Z394" i="1"/>
  <c r="Y394" i="1"/>
  <c r="X394" i="1"/>
  <c r="W394" i="1"/>
  <c r="V394" i="1"/>
  <c r="U394" i="1"/>
  <c r="T394" i="1"/>
  <c r="T400" i="1" s="1"/>
  <c r="S394" i="1"/>
  <c r="B394" i="1"/>
  <c r="BH393" i="1"/>
  <c r="BG393" i="1"/>
  <c r="BF393" i="1"/>
  <c r="BE393" i="1"/>
  <c r="BD393" i="1"/>
  <c r="BC393" i="1"/>
  <c r="BB393" i="1"/>
  <c r="BA393" i="1"/>
  <c r="AZ393" i="1"/>
  <c r="AY393" i="1"/>
  <c r="AX393" i="1"/>
  <c r="AW393" i="1"/>
  <c r="AV393" i="1"/>
  <c r="AU393" i="1"/>
  <c r="AT393" i="1"/>
  <c r="AS393" i="1"/>
  <c r="AR393" i="1"/>
  <c r="AQ393" i="1"/>
  <c r="AP393" i="1"/>
  <c r="AO393" i="1"/>
  <c r="AN393" i="1"/>
  <c r="AM393" i="1"/>
  <c r="AL393" i="1"/>
  <c r="AK393" i="1"/>
  <c r="AJ393" i="1"/>
  <c r="AJ400" i="1" s="1"/>
  <c r="AI393" i="1"/>
  <c r="AH393" i="1"/>
  <c r="AG393" i="1"/>
  <c r="AF393" i="1"/>
  <c r="AE393" i="1"/>
  <c r="AD393" i="1"/>
  <c r="AC393" i="1"/>
  <c r="AB393" i="1"/>
  <c r="AA393" i="1"/>
  <c r="Z393" i="1"/>
  <c r="Y393" i="1"/>
  <c r="X393" i="1"/>
  <c r="X400" i="1" s="1"/>
  <c r="W393" i="1"/>
  <c r="V393" i="1"/>
  <c r="U393" i="1"/>
  <c r="T393" i="1"/>
  <c r="S393" i="1"/>
  <c r="CD390" i="1"/>
  <c r="CC390" i="1"/>
  <c r="CB390" i="1"/>
  <c r="CA390" i="1"/>
  <c r="BZ390" i="1"/>
  <c r="BY390" i="1"/>
  <c r="BX390" i="1"/>
  <c r="BW390" i="1"/>
  <c r="BV390" i="1"/>
  <c r="BU390" i="1"/>
  <c r="BT390" i="1"/>
  <c r="BS390" i="1"/>
  <c r="BR390" i="1"/>
  <c r="BQ390" i="1"/>
  <c r="BP390" i="1"/>
  <c r="BO390" i="1"/>
  <c r="BN390" i="1"/>
  <c r="BM390" i="1"/>
  <c r="BL390" i="1"/>
  <c r="BK390" i="1"/>
  <c r="BJ390" i="1"/>
  <c r="BI390" i="1"/>
  <c r="BH390" i="1"/>
  <c r="BG390" i="1"/>
  <c r="BF390" i="1"/>
  <c r="BE390" i="1"/>
  <c r="BD390" i="1"/>
  <c r="BC390" i="1"/>
  <c r="BB390" i="1"/>
  <c r="BA390" i="1"/>
  <c r="AZ390" i="1"/>
  <c r="AY390" i="1"/>
  <c r="AX390" i="1"/>
  <c r="AW390" i="1"/>
  <c r="AV390" i="1"/>
  <c r="AU390" i="1"/>
  <c r="AT390" i="1"/>
  <c r="AS390" i="1"/>
  <c r="AR390" i="1"/>
  <c r="AQ390" i="1"/>
  <c r="AP390" i="1"/>
  <c r="AO390" i="1"/>
  <c r="AN390" i="1"/>
  <c r="AM390" i="1"/>
  <c r="AL390" i="1"/>
  <c r="AK390" i="1"/>
  <c r="AJ390" i="1"/>
  <c r="AI390" i="1"/>
  <c r="AH390" i="1"/>
  <c r="AG390" i="1"/>
  <c r="AF390" i="1"/>
  <c r="AE390" i="1"/>
  <c r="AD390" i="1"/>
  <c r="AC390" i="1"/>
  <c r="AB390" i="1"/>
  <c r="AA390" i="1"/>
  <c r="Z390" i="1"/>
  <c r="Y390" i="1"/>
  <c r="X390" i="1"/>
  <c r="W390" i="1"/>
  <c r="V390" i="1"/>
  <c r="U390" i="1"/>
  <c r="T390" i="1"/>
  <c r="S390" i="1"/>
  <c r="CM388" i="1"/>
  <c r="CF388" i="1"/>
  <c r="BH386" i="1"/>
  <c r="BG386" i="1"/>
  <c r="BC386" i="1"/>
  <c r="AV386" i="1"/>
  <c r="AU386" i="1"/>
  <c r="AT386" i="1"/>
  <c r="AH386" i="1"/>
  <c r="AG386" i="1"/>
  <c r="AF386" i="1"/>
  <c r="AE386" i="1"/>
  <c r="AC386" i="1"/>
  <c r="Z386" i="1"/>
  <c r="W386" i="1"/>
  <c r="BF385" i="1"/>
  <c r="BE385" i="1"/>
  <c r="BD385" i="1"/>
  <c r="BC385" i="1"/>
  <c r="BC450" i="1" s="1"/>
  <c r="BB385" i="1"/>
  <c r="BA385" i="1"/>
  <c r="BA386" i="1" s="1"/>
  <c r="AZ385" i="1"/>
  <c r="AZ386" i="1" s="1"/>
  <c r="AY385" i="1"/>
  <c r="AY386" i="1" s="1"/>
  <c r="AX385" i="1"/>
  <c r="AX386" i="1" s="1"/>
  <c r="AW385" i="1"/>
  <c r="AV385" i="1"/>
  <c r="AU385" i="1"/>
  <c r="AT385" i="1"/>
  <c r="AS385" i="1"/>
  <c r="AS386" i="1" s="1"/>
  <c r="AR385" i="1"/>
  <c r="AQ385" i="1"/>
  <c r="AP385" i="1"/>
  <c r="AP386" i="1" s="1"/>
  <c r="AO385" i="1"/>
  <c r="AO386" i="1" s="1"/>
  <c r="AN385" i="1"/>
  <c r="AM385" i="1"/>
  <c r="AL385" i="1"/>
  <c r="AL386" i="1" s="1"/>
  <c r="AK385" i="1"/>
  <c r="AJ385" i="1"/>
  <c r="AJ386" i="1" s="1"/>
  <c r="AI385" i="1"/>
  <c r="AI386" i="1" s="1"/>
  <c r="AH385" i="1"/>
  <c r="AG385" i="1"/>
  <c r="AK386" i="1" s="1"/>
  <c r="AF385" i="1"/>
  <c r="AE385" i="1"/>
  <c r="AD385" i="1"/>
  <c r="AD386" i="1" s="1"/>
  <c r="AC385" i="1"/>
  <c r="AB385" i="1"/>
  <c r="AB386" i="1" s="1"/>
  <c r="AA385" i="1"/>
  <c r="AA386" i="1" s="1"/>
  <c r="Z385" i="1"/>
  <c r="Y385" i="1"/>
  <c r="X385" i="1"/>
  <c r="X386" i="1" s="1"/>
  <c r="W385" i="1"/>
  <c r="V385" i="1"/>
  <c r="U385" i="1"/>
  <c r="Y386" i="1" s="1"/>
  <c r="T385" i="1"/>
  <c r="S385" i="1"/>
  <c r="AL383" i="1"/>
  <c r="AK383" i="1"/>
  <c r="AJ383" i="1"/>
  <c r="AI383" i="1"/>
  <c r="AH383" i="1"/>
  <c r="AG383" i="1"/>
  <c r="AF383" i="1"/>
  <c r="AE383" i="1"/>
  <c r="AD383" i="1"/>
  <c r="AC383" i="1"/>
  <c r="AB383" i="1"/>
  <c r="AA383" i="1"/>
  <c r="Z383" i="1"/>
  <c r="Y383" i="1"/>
  <c r="X383" i="1"/>
  <c r="W383" i="1"/>
  <c r="AL382" i="1"/>
  <c r="AK382" i="1"/>
  <c r="AJ382" i="1"/>
  <c r="AI382" i="1"/>
  <c r="AH382" i="1"/>
  <c r="AG382" i="1"/>
  <c r="AF382" i="1"/>
  <c r="AE382" i="1"/>
  <c r="AD382" i="1"/>
  <c r="AC382" i="1"/>
  <c r="AB382" i="1"/>
  <c r="AA382" i="1"/>
  <c r="Z382" i="1"/>
  <c r="Y382" i="1"/>
  <c r="X382" i="1"/>
  <c r="W382" i="1"/>
  <c r="CX381" i="1"/>
  <c r="CW381" i="1"/>
  <c r="CV381" i="1"/>
  <c r="CU381" i="1"/>
  <c r="CT381" i="1"/>
  <c r="CD381" i="1"/>
  <c r="CC381" i="1"/>
  <c r="CB381" i="1"/>
  <c r="CA381" i="1"/>
  <c r="BZ381" i="1"/>
  <c r="BY381" i="1"/>
  <c r="BX381" i="1"/>
  <c r="BW381" i="1"/>
  <c r="BV381" i="1"/>
  <c r="BU381" i="1"/>
  <c r="BT381" i="1"/>
  <c r="BS381" i="1"/>
  <c r="BR381" i="1"/>
  <c r="BQ381" i="1"/>
  <c r="BP381" i="1"/>
  <c r="BO381" i="1"/>
  <c r="BN381" i="1"/>
  <c r="BM381" i="1"/>
  <c r="BL381" i="1"/>
  <c r="BK381" i="1"/>
  <c r="BJ381" i="1"/>
  <c r="BI381" i="1"/>
  <c r="BH381" i="1"/>
  <c r="BG372" i="1"/>
  <c r="BF372" i="1"/>
  <c r="BE372" i="1"/>
  <c r="BD372" i="1"/>
  <c r="BC372" i="1"/>
  <c r="BB372" i="1"/>
  <c r="BA372" i="1"/>
  <c r="AZ372" i="1"/>
  <c r="AY372" i="1"/>
  <c r="AX372" i="1"/>
  <c r="AW372" i="1"/>
  <c r="AV372" i="1"/>
  <c r="AU372" i="1"/>
  <c r="AT372" i="1"/>
  <c r="AS372" i="1"/>
  <c r="AR372" i="1"/>
  <c r="AQ372" i="1"/>
  <c r="AP372" i="1"/>
  <c r="AO372" i="1"/>
  <c r="AN372" i="1"/>
  <c r="AM372" i="1"/>
  <c r="AL372" i="1"/>
  <c r="AK372" i="1"/>
  <c r="AJ372" i="1"/>
  <c r="AI372" i="1"/>
  <c r="AH372" i="1"/>
  <c r="AG372" i="1"/>
  <c r="AF372" i="1"/>
  <c r="AE372" i="1"/>
  <c r="AD372" i="1"/>
  <c r="AC372" i="1"/>
  <c r="AB372" i="1"/>
  <c r="AA372" i="1"/>
  <c r="Z372" i="1"/>
  <c r="Y372" i="1"/>
  <c r="X372" i="1"/>
  <c r="W372" i="1"/>
  <c r="V372" i="1"/>
  <c r="U372" i="1"/>
  <c r="T372" i="1"/>
  <c r="S372" i="1"/>
  <c r="BI369" i="1"/>
  <c r="BG369" i="1"/>
  <c r="BF369" i="1"/>
  <c r="BE369" i="1"/>
  <c r="BD369" i="1"/>
  <c r="BH369" i="1" s="1"/>
  <c r="BC369" i="1"/>
  <c r="BB369" i="1"/>
  <c r="BA369" i="1"/>
  <c r="AZ369" i="1"/>
  <c r="AY369" i="1"/>
  <c r="AX369" i="1"/>
  <c r="AW369" i="1"/>
  <c r="AV369" i="1"/>
  <c r="AU369" i="1"/>
  <c r="AT369" i="1"/>
  <c r="AS369" i="1"/>
  <c r="AR369" i="1"/>
  <c r="AQ369" i="1"/>
  <c r="AP369" i="1"/>
  <c r="AO369" i="1"/>
  <c r="AN369" i="1"/>
  <c r="AM369" i="1"/>
  <c r="AL369" i="1"/>
  <c r="AK369" i="1"/>
  <c r="AJ369" i="1"/>
  <c r="AI369" i="1"/>
  <c r="AH369" i="1"/>
  <c r="AG369" i="1"/>
  <c r="AF369" i="1"/>
  <c r="AE369" i="1"/>
  <c r="AD369" i="1"/>
  <c r="AC369" i="1"/>
  <c r="AB369" i="1"/>
  <c r="AA369" i="1"/>
  <c r="Z369" i="1"/>
  <c r="Y369" i="1"/>
  <c r="X369" i="1"/>
  <c r="W369" i="1"/>
  <c r="V369" i="1"/>
  <c r="U369" i="1"/>
  <c r="T369" i="1"/>
  <c r="S369" i="1"/>
  <c r="BG359" i="1"/>
  <c r="BF359" i="1"/>
  <c r="BE359" i="1"/>
  <c r="BD359" i="1"/>
  <c r="BC359" i="1"/>
  <c r="BB359" i="1"/>
  <c r="BA359" i="1"/>
  <c r="AZ359" i="1"/>
  <c r="AY359" i="1"/>
  <c r="AX359" i="1"/>
  <c r="AW359" i="1"/>
  <c r="AV359" i="1"/>
  <c r="AU359" i="1"/>
  <c r="AU360" i="1" s="1"/>
  <c r="AT359" i="1"/>
  <c r="AS359" i="1"/>
  <c r="AS360" i="1" s="1"/>
  <c r="AR359" i="1"/>
  <c r="AQ359" i="1"/>
  <c r="AP359" i="1"/>
  <c r="AO359" i="1"/>
  <c r="AN359" i="1"/>
  <c r="AM359" i="1"/>
  <c r="AL359" i="1"/>
  <c r="AK359" i="1"/>
  <c r="AJ359" i="1"/>
  <c r="AI359" i="1"/>
  <c r="AH359" i="1"/>
  <c r="AG359" i="1"/>
  <c r="AF359" i="1"/>
  <c r="AE359" i="1"/>
  <c r="AD359" i="1"/>
  <c r="AC359" i="1"/>
  <c r="AB359" i="1"/>
  <c r="AA359" i="1"/>
  <c r="Z359" i="1"/>
  <c r="Y359" i="1"/>
  <c r="X359" i="1"/>
  <c r="W359" i="1"/>
  <c r="V359" i="1"/>
  <c r="U359" i="1"/>
  <c r="T359" i="1"/>
  <c r="S359" i="1"/>
  <c r="CT354" i="1"/>
  <c r="CS354" i="1"/>
  <c r="CR354" i="1"/>
  <c r="CQ354" i="1"/>
  <c r="CP354" i="1"/>
  <c r="CO354" i="1"/>
  <c r="CN354" i="1"/>
  <c r="BI354" i="1"/>
  <c r="BH354" i="1"/>
  <c r="BG354" i="1"/>
  <c r="BF354" i="1"/>
  <c r="BE354" i="1"/>
  <c r="BD354" i="1"/>
  <c r="BC354" i="1"/>
  <c r="BB354" i="1"/>
  <c r="BA354" i="1"/>
  <c r="AZ354" i="1"/>
  <c r="AY354" i="1"/>
  <c r="AX354" i="1"/>
  <c r="AW354" i="1"/>
  <c r="AV354" i="1"/>
  <c r="AU354" i="1"/>
  <c r="AT354" i="1"/>
  <c r="AS354" i="1"/>
  <c r="AR354" i="1"/>
  <c r="AQ354" i="1"/>
  <c r="AP354" i="1"/>
  <c r="AO354" i="1"/>
  <c r="AN354" i="1"/>
  <c r="AM354" i="1"/>
  <c r="CT353" i="1"/>
  <c r="CS353" i="1"/>
  <c r="CR353" i="1"/>
  <c r="CQ353" i="1"/>
  <c r="CP353" i="1"/>
  <c r="CO353" i="1"/>
  <c r="CN353" i="1"/>
  <c r="BI353" i="1"/>
  <c r="BH353" i="1"/>
  <c r="BG353" i="1"/>
  <c r="BF353" i="1"/>
  <c r="BE353" i="1"/>
  <c r="BD353" i="1"/>
  <c r="BC353" i="1"/>
  <c r="BB353" i="1"/>
  <c r="BA353" i="1"/>
  <c r="AZ353" i="1"/>
  <c r="AY353" i="1"/>
  <c r="AX353" i="1"/>
  <c r="AW353" i="1"/>
  <c r="AV353" i="1"/>
  <c r="AU353" i="1"/>
  <c r="AT353" i="1"/>
  <c r="AS353" i="1"/>
  <c r="AR353" i="1"/>
  <c r="AQ353" i="1"/>
  <c r="AP353" i="1"/>
  <c r="AO353" i="1"/>
  <c r="AN353" i="1"/>
  <c r="AM353" i="1"/>
  <c r="AL350" i="1"/>
  <c r="AK350" i="1"/>
  <c r="AJ350" i="1"/>
  <c r="AI350" i="1"/>
  <c r="AH350" i="1"/>
  <c r="AG350" i="1"/>
  <c r="AF350" i="1"/>
  <c r="AE350" i="1"/>
  <c r="AD350" i="1"/>
  <c r="AC350" i="1"/>
  <c r="AB350" i="1"/>
  <c r="AA350" i="1"/>
  <c r="Z350" i="1"/>
  <c r="Y350" i="1"/>
  <c r="X350" i="1"/>
  <c r="W350" i="1"/>
  <c r="AL349" i="1"/>
  <c r="AK349" i="1"/>
  <c r="AJ349" i="1"/>
  <c r="AI349" i="1"/>
  <c r="AH349" i="1"/>
  <c r="AG349" i="1"/>
  <c r="AF349" i="1"/>
  <c r="AE349" i="1"/>
  <c r="AD349" i="1"/>
  <c r="AC349" i="1"/>
  <c r="AB349" i="1"/>
  <c r="AA349" i="1"/>
  <c r="Z349" i="1"/>
  <c r="Y349" i="1"/>
  <c r="X349" i="1"/>
  <c r="W349" i="1"/>
  <c r="CX348" i="1"/>
  <c r="CW348" i="1"/>
  <c r="CV348" i="1"/>
  <c r="CU348" i="1"/>
  <c r="CT348" i="1"/>
  <c r="CD348" i="1"/>
  <c r="CC348" i="1"/>
  <c r="CB348" i="1"/>
  <c r="CA348" i="1"/>
  <c r="BZ348" i="1"/>
  <c r="BY348" i="1"/>
  <c r="BX348" i="1"/>
  <c r="BW348" i="1"/>
  <c r="BV348" i="1"/>
  <c r="BU348" i="1"/>
  <c r="BT348" i="1"/>
  <c r="BS348" i="1"/>
  <c r="BR348" i="1"/>
  <c r="BQ348" i="1"/>
  <c r="BP348" i="1"/>
  <c r="BO348" i="1"/>
  <c r="BN348" i="1"/>
  <c r="BM348" i="1"/>
  <c r="BL348" i="1"/>
  <c r="BK348" i="1"/>
  <c r="BJ348" i="1"/>
  <c r="BI348" i="1"/>
  <c r="BH348" i="1"/>
  <c r="CT337" i="1"/>
  <c r="CS337" i="1"/>
  <c r="CR337" i="1"/>
  <c r="CQ337" i="1"/>
  <c r="CP337" i="1"/>
  <c r="CO337" i="1"/>
  <c r="CN337" i="1"/>
  <c r="BI337" i="1"/>
  <c r="BH337" i="1"/>
  <c r="BG337" i="1"/>
  <c r="BF337" i="1"/>
  <c r="BE337" i="1"/>
  <c r="BD337" i="1"/>
  <c r="BC337" i="1"/>
  <c r="BB337" i="1"/>
  <c r="BA337" i="1"/>
  <c r="AZ337" i="1"/>
  <c r="AY337" i="1"/>
  <c r="AX337" i="1"/>
  <c r="AW337" i="1"/>
  <c r="AV337" i="1"/>
  <c r="AU337" i="1"/>
  <c r="AT337" i="1"/>
  <c r="AS337" i="1"/>
  <c r="AR337" i="1"/>
  <c r="AQ337" i="1"/>
  <c r="AP337" i="1"/>
  <c r="AO337" i="1"/>
  <c r="AN337" i="1"/>
  <c r="AM337" i="1"/>
  <c r="CT336" i="1"/>
  <c r="CS336" i="1"/>
  <c r="CR336" i="1"/>
  <c r="CQ336" i="1"/>
  <c r="CP336" i="1"/>
  <c r="CO336" i="1"/>
  <c r="CN336" i="1"/>
  <c r="BI336" i="1"/>
  <c r="BH336" i="1"/>
  <c r="BG336" i="1"/>
  <c r="BF336" i="1"/>
  <c r="BE336" i="1"/>
  <c r="BD336" i="1"/>
  <c r="BC336" i="1"/>
  <c r="BB336" i="1"/>
  <c r="BA336" i="1"/>
  <c r="AZ336" i="1"/>
  <c r="AY336" i="1"/>
  <c r="AX336" i="1"/>
  <c r="AW336" i="1"/>
  <c r="AV336" i="1"/>
  <c r="AU336" i="1"/>
  <c r="AT336" i="1"/>
  <c r="AS336" i="1"/>
  <c r="AR336" i="1"/>
  <c r="AQ336" i="1"/>
  <c r="AP336" i="1"/>
  <c r="AO336" i="1"/>
  <c r="AN336" i="1"/>
  <c r="AM336" i="1"/>
  <c r="BF332" i="1"/>
  <c r="BF329" i="1"/>
  <c r="BB329" i="1"/>
  <c r="AE329" i="1"/>
  <c r="Z329" i="1"/>
  <c r="BE327" i="1"/>
  <c r="AX327" i="1"/>
  <c r="AL327" i="1"/>
  <c r="AE327" i="1"/>
  <c r="Z327" i="1"/>
  <c r="AY326" i="1"/>
  <c r="AN326" i="1"/>
  <c r="AK326" i="1"/>
  <c r="W326" i="1"/>
  <c r="BB325" i="1"/>
  <c r="AW325" i="1"/>
  <c r="AP325" i="1"/>
  <c r="AO325" i="1"/>
  <c r="AN325" i="1"/>
  <c r="AK325" i="1"/>
  <c r="AA325" i="1"/>
  <c r="U325" i="1"/>
  <c r="T325" i="1"/>
  <c r="AU324" i="1"/>
  <c r="AH324" i="1"/>
  <c r="X324" i="1"/>
  <c r="BH323" i="1"/>
  <c r="BG323" i="1"/>
  <c r="BF323" i="1"/>
  <c r="BE323" i="1"/>
  <c r="BD323" i="1"/>
  <c r="BD326" i="1" s="1"/>
  <c r="BC323" i="1"/>
  <c r="BC325" i="1" s="1"/>
  <c r="BB323" i="1"/>
  <c r="BB326" i="1" s="1"/>
  <c r="BA323" i="1"/>
  <c r="BA325" i="1" s="1"/>
  <c r="AZ323" i="1"/>
  <c r="AY323" i="1"/>
  <c r="AX323" i="1"/>
  <c r="AW323" i="1"/>
  <c r="AV323" i="1"/>
  <c r="AU323" i="1"/>
  <c r="AT323" i="1"/>
  <c r="AS323" i="1"/>
  <c r="AR323" i="1"/>
  <c r="AQ323" i="1"/>
  <c r="AQ325" i="1" s="1"/>
  <c r="AP323" i="1"/>
  <c r="AO323" i="1"/>
  <c r="AS325" i="1" s="1"/>
  <c r="AN323" i="1"/>
  <c r="AN329" i="1" s="1"/>
  <c r="AM323" i="1"/>
  <c r="AL323" i="1"/>
  <c r="AK323" i="1"/>
  <c r="AJ323" i="1"/>
  <c r="AI323" i="1"/>
  <c r="AH323" i="1"/>
  <c r="AG323" i="1"/>
  <c r="AF323" i="1"/>
  <c r="AG327" i="1" s="1"/>
  <c r="AE323" i="1"/>
  <c r="AD323" i="1"/>
  <c r="AC323" i="1"/>
  <c r="AC325" i="1" s="1"/>
  <c r="AB323" i="1"/>
  <c r="AA323" i="1"/>
  <c r="Z323" i="1"/>
  <c r="Y323" i="1"/>
  <c r="X323" i="1"/>
  <c r="W323" i="1"/>
  <c r="V323" i="1"/>
  <c r="U323" i="1"/>
  <c r="T323" i="1"/>
  <c r="X326" i="1" s="1"/>
  <c r="S323" i="1"/>
  <c r="S325" i="1" s="1"/>
  <c r="BD321" i="1"/>
  <c r="AZ321" i="1"/>
  <c r="AV321" i="1"/>
  <c r="AS321" i="1"/>
  <c r="AQ321" i="1"/>
  <c r="AF321" i="1"/>
  <c r="AE321" i="1"/>
  <c r="T321" i="1"/>
  <c r="BG320" i="1"/>
  <c r="BD320" i="1"/>
  <c r="BA320" i="1"/>
  <c r="AZ320" i="1"/>
  <c r="AW320" i="1"/>
  <c r="AO320" i="1"/>
  <c r="AI320" i="1"/>
  <c r="AG320" i="1"/>
  <c r="AF320" i="1"/>
  <c r="BG319" i="1"/>
  <c r="BD319" i="1"/>
  <c r="AY319" i="1"/>
  <c r="AU319" i="1"/>
  <c r="AR319" i="1"/>
  <c r="AQ319" i="1"/>
  <c r="AF319" i="1"/>
  <c r="AD319" i="1"/>
  <c r="Y319" i="1"/>
  <c r="V319" i="1"/>
  <c r="T319" i="1"/>
  <c r="S319" i="1"/>
  <c r="BB318" i="1"/>
  <c r="AT318" i="1"/>
  <c r="AR318" i="1"/>
  <c r="AP318" i="1"/>
  <c r="AD318" i="1"/>
  <c r="BK317" i="1"/>
  <c r="BH317" i="1"/>
  <c r="BG317" i="1"/>
  <c r="BF317" i="1"/>
  <c r="BE317" i="1"/>
  <c r="BD317" i="1"/>
  <c r="BC317" i="1"/>
  <c r="BB317" i="1"/>
  <c r="BC321" i="1" s="1"/>
  <c r="BA317" i="1"/>
  <c r="AZ317" i="1"/>
  <c r="AY317" i="1"/>
  <c r="BC320" i="1" s="1"/>
  <c r="AX317" i="1"/>
  <c r="AX318" i="1" s="1"/>
  <c r="AW317" i="1"/>
  <c r="AV317" i="1"/>
  <c r="AW321" i="1" s="1"/>
  <c r="AU317" i="1"/>
  <c r="AU318" i="1" s="1"/>
  <c r="AT317" i="1"/>
  <c r="AS317" i="1"/>
  <c r="AR317" i="1"/>
  <c r="AR321" i="1" s="1"/>
  <c r="AQ317" i="1"/>
  <c r="AP317" i="1"/>
  <c r="AO317" i="1"/>
  <c r="AN317" i="1"/>
  <c r="AM317" i="1"/>
  <c r="AM319" i="1" s="1"/>
  <c r="AL317" i="1"/>
  <c r="AK317" i="1"/>
  <c r="AJ317" i="1"/>
  <c r="AI317" i="1"/>
  <c r="AH317" i="1"/>
  <c r="AG317" i="1"/>
  <c r="AF317" i="1"/>
  <c r="AE317" i="1"/>
  <c r="AD317" i="1"/>
  <c r="AC317" i="1"/>
  <c r="AB317" i="1"/>
  <c r="AA317" i="1"/>
  <c r="AA320" i="1" s="1"/>
  <c r="Z317" i="1"/>
  <c r="Y317" i="1"/>
  <c r="X317" i="1"/>
  <c r="AB319" i="1" s="1"/>
  <c r="W317" i="1"/>
  <c r="V317" i="1"/>
  <c r="U317" i="1"/>
  <c r="U319" i="1" s="1"/>
  <c r="T317" i="1"/>
  <c r="S317" i="1"/>
  <c r="BI315" i="1"/>
  <c r="BH315" i="1"/>
  <c r="AW315" i="1"/>
  <c r="AT315" i="1"/>
  <c r="AN315" i="1"/>
  <c r="U315" i="1"/>
  <c r="T315" i="1"/>
  <c r="BK314" i="1"/>
  <c r="BI314" i="1"/>
  <c r="BE314" i="1"/>
  <c r="AY314" i="1"/>
  <c r="AS314" i="1"/>
  <c r="AQ314" i="1"/>
  <c r="AG314" i="1"/>
  <c r="X314" i="1"/>
  <c r="W314" i="1"/>
  <c r="BH313" i="1"/>
  <c r="BE313" i="1"/>
  <c r="AV313" i="1"/>
  <c r="AS313" i="1"/>
  <c r="AL313" i="1"/>
  <c r="AI313" i="1"/>
  <c r="AG313" i="1"/>
  <c r="AC313" i="1"/>
  <c r="BK311" i="1"/>
  <c r="BO311" i="1" s="1"/>
  <c r="BI311" i="1"/>
  <c r="BH311" i="1"/>
  <c r="BG311" i="1"/>
  <c r="BF311" i="1"/>
  <c r="BF312" i="1" s="1"/>
  <c r="BE311" i="1"/>
  <c r="BD311" i="1"/>
  <c r="BC311" i="1"/>
  <c r="BB311" i="1"/>
  <c r="BA311" i="1"/>
  <c r="AZ311" i="1"/>
  <c r="BA315" i="1" s="1"/>
  <c r="AY311" i="1"/>
  <c r="AX311" i="1"/>
  <c r="AX315" i="1" s="1"/>
  <c r="AW311" i="1"/>
  <c r="AV311" i="1"/>
  <c r="AU311" i="1"/>
  <c r="AU313" i="1" s="1"/>
  <c r="AT311" i="1"/>
  <c r="AX313" i="1" s="1"/>
  <c r="AS311" i="1"/>
  <c r="AR311" i="1"/>
  <c r="AQ311" i="1"/>
  <c r="AP311" i="1"/>
  <c r="AO311" i="1"/>
  <c r="AN311" i="1"/>
  <c r="AN313" i="1" s="1"/>
  <c r="AM311" i="1"/>
  <c r="AL311" i="1"/>
  <c r="AK311" i="1"/>
  <c r="AK313" i="1" s="1"/>
  <c r="AJ311" i="1"/>
  <c r="AI311" i="1"/>
  <c r="AI314" i="1" s="1"/>
  <c r="AH311" i="1"/>
  <c r="AH315" i="1" s="1"/>
  <c r="AG311" i="1"/>
  <c r="AF311" i="1"/>
  <c r="AF315" i="1" s="1"/>
  <c r="AE311" i="1"/>
  <c r="AD311" i="1"/>
  <c r="AC311" i="1"/>
  <c r="AB311" i="1"/>
  <c r="AB329" i="1" s="1"/>
  <c r="AA311" i="1"/>
  <c r="Z311" i="1"/>
  <c r="Z313" i="1" s="1"/>
  <c r="Y311" i="1"/>
  <c r="X311" i="1"/>
  <c r="W311" i="1"/>
  <c r="W313" i="1" s="1"/>
  <c r="V311" i="1"/>
  <c r="V315" i="1" s="1"/>
  <c r="U311" i="1"/>
  <c r="T311" i="1"/>
  <c r="S311" i="1"/>
  <c r="BJ308" i="1"/>
  <c r="BI308" i="1"/>
  <c r="CT307" i="1"/>
  <c r="CP307" i="1"/>
  <c r="BD307" i="1"/>
  <c r="BB307" i="1"/>
  <c r="AR307" i="1"/>
  <c r="CR306" i="1"/>
  <c r="CQ306" i="1"/>
  <c r="CP306" i="1"/>
  <c r="BF306" i="1"/>
  <c r="AZ306" i="1"/>
  <c r="AL303" i="1"/>
  <c r="AK303" i="1"/>
  <c r="AJ303" i="1"/>
  <c r="AI303" i="1"/>
  <c r="AH303" i="1"/>
  <c r="AG303" i="1"/>
  <c r="AF303" i="1"/>
  <c r="AE303" i="1"/>
  <c r="AD303" i="1"/>
  <c r="AC303" i="1"/>
  <c r="AB303" i="1"/>
  <c r="AA303" i="1"/>
  <c r="Z303" i="1"/>
  <c r="Y303" i="1"/>
  <c r="X303" i="1"/>
  <c r="W303" i="1"/>
  <c r="BN302" i="1"/>
  <c r="AL300" i="1"/>
  <c r="AK300" i="1"/>
  <c r="AJ300" i="1"/>
  <c r="AI300" i="1"/>
  <c r="AH300" i="1"/>
  <c r="AG300" i="1"/>
  <c r="AF300" i="1"/>
  <c r="AE300" i="1"/>
  <c r="AD300" i="1"/>
  <c r="AC300" i="1"/>
  <c r="AB300" i="1"/>
  <c r="AA300" i="1"/>
  <c r="Z300" i="1"/>
  <c r="Y300" i="1"/>
  <c r="X300" i="1"/>
  <c r="W300" i="1"/>
  <c r="AL299" i="1"/>
  <c r="AK299" i="1"/>
  <c r="AJ299" i="1"/>
  <c r="AI299" i="1"/>
  <c r="AH299" i="1"/>
  <c r="AG299" i="1"/>
  <c r="AF299" i="1"/>
  <c r="AE299" i="1"/>
  <c r="AD299" i="1"/>
  <c r="AC299" i="1"/>
  <c r="AB299" i="1"/>
  <c r="AA299" i="1"/>
  <c r="Z299" i="1"/>
  <c r="Y299" i="1"/>
  <c r="X299" i="1"/>
  <c r="W299" i="1"/>
  <c r="CX298" i="1"/>
  <c r="CW298" i="1"/>
  <c r="CV298" i="1"/>
  <c r="CU298" i="1"/>
  <c r="CU302" i="1" s="1"/>
  <c r="CT298" i="1"/>
  <c r="CT302" i="1" s="1"/>
  <c r="CD298" i="1"/>
  <c r="CD302" i="1" s="1"/>
  <c r="CC298" i="1"/>
  <c r="CB298" i="1"/>
  <c r="CA298" i="1"/>
  <c r="BZ298" i="1"/>
  <c r="BY298" i="1"/>
  <c r="BX298" i="1"/>
  <c r="BW298" i="1"/>
  <c r="BV298" i="1"/>
  <c r="BU298" i="1"/>
  <c r="BU302" i="1" s="1"/>
  <c r="BT298" i="1"/>
  <c r="BS298" i="1"/>
  <c r="BR298" i="1"/>
  <c r="BQ298" i="1"/>
  <c r="BP298" i="1"/>
  <c r="BO298" i="1"/>
  <c r="BO302" i="1" s="1"/>
  <c r="BN298" i="1"/>
  <c r="BM298" i="1"/>
  <c r="BL298" i="1"/>
  <c r="BK298" i="1"/>
  <c r="BJ298" i="1"/>
  <c r="BI298" i="1"/>
  <c r="BH298" i="1"/>
  <c r="AI291" i="1"/>
  <c r="AH291" i="1"/>
  <c r="BF290" i="1"/>
  <c r="BC290" i="1"/>
  <c r="AJ290" i="1"/>
  <c r="AI290" i="1"/>
  <c r="AH290" i="1"/>
  <c r="T290" i="1"/>
  <c r="AX288" i="1"/>
  <c r="AS288" i="1"/>
  <c r="AQ288" i="1"/>
  <c r="BD287" i="1"/>
  <c r="AS287" i="1"/>
  <c r="BH286" i="1"/>
  <c r="BE286" i="1"/>
  <c r="BD286" i="1"/>
  <c r="BD288" i="1" s="1"/>
  <c r="BC286" i="1"/>
  <c r="BC287" i="1" s="1"/>
  <c r="BA286" i="1"/>
  <c r="AV286" i="1"/>
  <c r="AV288" i="1" s="1"/>
  <c r="AT286" i="1"/>
  <c r="AT287" i="1" s="1"/>
  <c r="AS286" i="1"/>
  <c r="AR286" i="1"/>
  <c r="AQ286" i="1"/>
  <c r="AQ287" i="1" s="1"/>
  <c r="CT285" i="1"/>
  <c r="CS285" i="1"/>
  <c r="CS307" i="1" s="1"/>
  <c r="CR285" i="1"/>
  <c r="CR307" i="1" s="1"/>
  <c r="CQ285" i="1"/>
  <c r="CO285" i="1"/>
  <c r="CO307" i="1" s="1"/>
  <c r="CN285" i="1"/>
  <c r="BI285" i="1"/>
  <c r="BH285" i="1"/>
  <c r="BH307" i="1" s="1"/>
  <c r="BG285" i="1"/>
  <c r="BF285" i="1"/>
  <c r="BF307" i="1" s="1"/>
  <c r="BE285" i="1"/>
  <c r="BD285" i="1"/>
  <c r="BC285" i="1"/>
  <c r="BB285" i="1"/>
  <c r="BA285" i="1"/>
  <c r="AZ285" i="1"/>
  <c r="AY285" i="1"/>
  <c r="AY307" i="1" s="1"/>
  <c r="AX285" i="1"/>
  <c r="AX307" i="1" s="1"/>
  <c r="AW285" i="1"/>
  <c r="AW307" i="1" s="1"/>
  <c r="AV285" i="1"/>
  <c r="AV307" i="1" s="1"/>
  <c r="AU285" i="1"/>
  <c r="AP285" i="1"/>
  <c r="AP307" i="1" s="1"/>
  <c r="AO285" i="1"/>
  <c r="AN285" i="1"/>
  <c r="AM285" i="1"/>
  <c r="CT284" i="1"/>
  <c r="CT306" i="1" s="1"/>
  <c r="CS284" i="1"/>
  <c r="CS306" i="1" s="1"/>
  <c r="CR284" i="1"/>
  <c r="CQ284" i="1"/>
  <c r="CO284" i="1"/>
  <c r="CO306" i="1" s="1"/>
  <c r="CN284" i="1"/>
  <c r="CN306" i="1" s="1"/>
  <c r="BI284" i="1"/>
  <c r="BI306" i="1" s="1"/>
  <c r="BH284" i="1"/>
  <c r="BH306" i="1" s="1"/>
  <c r="BG284" i="1"/>
  <c r="BG306" i="1" s="1"/>
  <c r="BF284" i="1"/>
  <c r="BE284" i="1"/>
  <c r="BD284" i="1"/>
  <c r="BC284" i="1"/>
  <c r="BC306" i="1" s="1"/>
  <c r="BB284" i="1"/>
  <c r="BB306" i="1" s="1"/>
  <c r="BA284" i="1"/>
  <c r="AZ284" i="1"/>
  <c r="AY284" i="1"/>
  <c r="AY306" i="1" s="1"/>
  <c r="AX284" i="1"/>
  <c r="AW284" i="1"/>
  <c r="AV284" i="1"/>
  <c r="AV306" i="1" s="1"/>
  <c r="AU284" i="1"/>
  <c r="AU306" i="1" s="1"/>
  <c r="AP284" i="1"/>
  <c r="AO284" i="1"/>
  <c r="AO306" i="1" s="1"/>
  <c r="AN284" i="1"/>
  <c r="AM284" i="1"/>
  <c r="AM306" i="1" s="1"/>
  <c r="AH281" i="1"/>
  <c r="AG281" i="1"/>
  <c r="AF281" i="1"/>
  <c r="AE281" i="1"/>
  <c r="AD281" i="1"/>
  <c r="AC281" i="1"/>
  <c r="AB281" i="1"/>
  <c r="AA281" i="1"/>
  <c r="Z281" i="1"/>
  <c r="Y281" i="1"/>
  <c r="X281" i="1"/>
  <c r="W281" i="1"/>
  <c r="V281" i="1"/>
  <c r="U281" i="1"/>
  <c r="T281" i="1"/>
  <c r="CL280" i="1"/>
  <c r="CK280" i="1"/>
  <c r="CJ280" i="1"/>
  <c r="AH280" i="1"/>
  <c r="AG280" i="1"/>
  <c r="AF280" i="1"/>
  <c r="AE280" i="1"/>
  <c r="AD280" i="1"/>
  <c r="AC280" i="1"/>
  <c r="AB280" i="1"/>
  <c r="AA280" i="1"/>
  <c r="Z280" i="1"/>
  <c r="Y280" i="1"/>
  <c r="X280" i="1"/>
  <c r="W280" i="1"/>
  <c r="CL279" i="1"/>
  <c r="CK279" i="1"/>
  <c r="CJ279" i="1"/>
  <c r="AH279" i="1"/>
  <c r="AG279" i="1"/>
  <c r="AF279" i="1"/>
  <c r="AE279" i="1"/>
  <c r="AD279" i="1"/>
  <c r="AC279" i="1"/>
  <c r="AB279" i="1"/>
  <c r="AA279" i="1"/>
  <c r="Z279" i="1"/>
  <c r="Y279" i="1"/>
  <c r="X279" i="1"/>
  <c r="W279" i="1"/>
  <c r="AE278" i="1"/>
  <c r="AD278" i="1"/>
  <c r="AB278" i="1"/>
  <c r="X278" i="1"/>
  <c r="V278" i="1"/>
  <c r="S278" i="1"/>
  <c r="BH277" i="1"/>
  <c r="BG277" i="1"/>
  <c r="BE277" i="1"/>
  <c r="BH276" i="1"/>
  <c r="BG276" i="1"/>
  <c r="BG286" i="1" s="1"/>
  <c r="BF276" i="1"/>
  <c r="BE276" i="1"/>
  <c r="BD276" i="1"/>
  <c r="BC276" i="1"/>
  <c r="BB276" i="1"/>
  <c r="BA276" i="1"/>
  <c r="AZ276" i="1"/>
  <c r="AY276" i="1"/>
  <c r="AX276" i="1"/>
  <c r="AX286" i="1" s="1"/>
  <c r="AX287" i="1" s="1"/>
  <c r="AW276" i="1"/>
  <c r="AV276" i="1"/>
  <c r="AU276" i="1"/>
  <c r="AT276" i="1"/>
  <c r="AS276" i="1"/>
  <c r="AR276" i="1"/>
  <c r="AQ276" i="1"/>
  <c r="AP276" i="1"/>
  <c r="AO276" i="1"/>
  <c r="AO286" i="1" s="1"/>
  <c r="AO288" i="1" s="1"/>
  <c r="AN276" i="1"/>
  <c r="AN286" i="1" s="1"/>
  <c r="AN287" i="1" s="1"/>
  <c r="AM276" i="1"/>
  <c r="AL276" i="1"/>
  <c r="AK276" i="1"/>
  <c r="AJ276" i="1"/>
  <c r="AI276" i="1"/>
  <c r="AH276" i="1"/>
  <c r="AG276" i="1"/>
  <c r="AF276" i="1"/>
  <c r="AE276" i="1"/>
  <c r="AD276" i="1"/>
  <c r="AC276" i="1"/>
  <c r="AB276" i="1"/>
  <c r="AA276" i="1"/>
  <c r="Z276" i="1"/>
  <c r="Y276" i="1"/>
  <c r="X276" i="1"/>
  <c r="W276" i="1"/>
  <c r="V276" i="1"/>
  <c r="U276" i="1"/>
  <c r="T276" i="1"/>
  <c r="S276" i="1"/>
  <c r="AZ271" i="1"/>
  <c r="AZ272" i="1" s="1"/>
  <c r="AU271" i="1"/>
  <c r="AU273" i="1" s="1"/>
  <c r="AT271" i="1"/>
  <c r="AT273" i="1" s="1"/>
  <c r="AQ271" i="1"/>
  <c r="AP271" i="1"/>
  <c r="AP273" i="1" s="1"/>
  <c r="AN271" i="1"/>
  <c r="AN273" i="1" s="1"/>
  <c r="CQ270" i="1"/>
  <c r="CP270" i="1"/>
  <c r="CO270" i="1"/>
  <c r="CN270" i="1"/>
  <c r="CN307" i="1" s="1"/>
  <c r="BG270" i="1"/>
  <c r="BG307" i="1" s="1"/>
  <c r="BE270" i="1"/>
  <c r="BD270" i="1"/>
  <c r="BC270" i="1"/>
  <c r="BB270" i="1"/>
  <c r="BA270" i="1"/>
  <c r="AZ270" i="1"/>
  <c r="AZ307" i="1" s="1"/>
  <c r="AY270" i="1"/>
  <c r="AX270" i="1"/>
  <c r="AW270" i="1"/>
  <c r="AV270" i="1"/>
  <c r="AU270" i="1"/>
  <c r="AU307" i="1" s="1"/>
  <c r="AT270" i="1"/>
  <c r="AT307" i="1" s="1"/>
  <c r="AS270" i="1"/>
  <c r="AS307" i="1" s="1"/>
  <c r="AR270" i="1"/>
  <c r="AQ270" i="1"/>
  <c r="AQ307" i="1" s="1"/>
  <c r="AP270" i="1"/>
  <c r="AO270" i="1"/>
  <c r="AN270" i="1"/>
  <c r="AN307" i="1" s="1"/>
  <c r="AM270" i="1"/>
  <c r="CN269" i="1"/>
  <c r="BG269" i="1"/>
  <c r="BE269" i="1"/>
  <c r="BD269" i="1"/>
  <c r="BD306" i="1" s="1"/>
  <c r="BC269" i="1"/>
  <c r="BB269" i="1"/>
  <c r="BA269" i="1"/>
  <c r="AZ269" i="1"/>
  <c r="AY269" i="1"/>
  <c r="AX269" i="1"/>
  <c r="AW269" i="1"/>
  <c r="AW306" i="1" s="1"/>
  <c r="AV269" i="1"/>
  <c r="AU269" i="1"/>
  <c r="AT269" i="1"/>
  <c r="AT306" i="1" s="1"/>
  <c r="AS269" i="1"/>
  <c r="AS306" i="1" s="1"/>
  <c r="AR269" i="1"/>
  <c r="AR306" i="1" s="1"/>
  <c r="AQ269" i="1"/>
  <c r="AQ306" i="1" s="1"/>
  <c r="AP269" i="1"/>
  <c r="AP306" i="1" s="1"/>
  <c r="AO269" i="1"/>
  <c r="AN269" i="1"/>
  <c r="AN306" i="1" s="1"/>
  <c r="AM269" i="1"/>
  <c r="AL266" i="1"/>
  <c r="AK266" i="1"/>
  <c r="AJ266" i="1"/>
  <c r="AI266" i="1"/>
  <c r="AH266" i="1"/>
  <c r="AG266" i="1"/>
  <c r="AF266" i="1"/>
  <c r="AE266" i="1"/>
  <c r="AD266" i="1"/>
  <c r="AC266" i="1"/>
  <c r="AB266" i="1"/>
  <c r="AA266" i="1"/>
  <c r="Z266" i="1"/>
  <c r="Y266" i="1"/>
  <c r="X266" i="1"/>
  <c r="W266" i="1"/>
  <c r="CX264" i="1"/>
  <c r="CW264" i="1"/>
  <c r="CV264" i="1"/>
  <c r="CU264" i="1"/>
  <c r="CT264" i="1"/>
  <c r="CD264" i="1"/>
  <c r="CC264" i="1"/>
  <c r="CC302" i="1" s="1"/>
  <c r="CB264" i="1"/>
  <c r="CA264" i="1"/>
  <c r="BZ264" i="1"/>
  <c r="BZ302" i="1" s="1"/>
  <c r="BY264" i="1"/>
  <c r="BX264" i="1"/>
  <c r="BW264" i="1"/>
  <c r="BV264" i="1"/>
  <c r="BU264" i="1"/>
  <c r="BT264" i="1"/>
  <c r="BS264" i="1"/>
  <c r="BR264" i="1"/>
  <c r="BR302" i="1" s="1"/>
  <c r="BQ264" i="1"/>
  <c r="BP264" i="1"/>
  <c r="BO264" i="1"/>
  <c r="BN264" i="1"/>
  <c r="BM264" i="1"/>
  <c r="BL264" i="1"/>
  <c r="BK264" i="1"/>
  <c r="BJ264" i="1"/>
  <c r="BI264" i="1"/>
  <c r="BH264" i="1"/>
  <c r="AO262" i="1"/>
  <c r="AL262" i="1"/>
  <c r="AJ262" i="1"/>
  <c r="BF261" i="1"/>
  <c r="BD261" i="1"/>
  <c r="AU261" i="1"/>
  <c r="AN261" i="1"/>
  <c r="AM261" i="1"/>
  <c r="AB261" i="1"/>
  <c r="Y261" i="1"/>
  <c r="X261" i="1"/>
  <c r="W261" i="1"/>
  <c r="AZ260" i="1"/>
  <c r="AT260" i="1"/>
  <c r="AN260" i="1"/>
  <c r="AK260" i="1"/>
  <c r="AJ260" i="1"/>
  <c r="AI260" i="1"/>
  <c r="AH260" i="1"/>
  <c r="AB260" i="1"/>
  <c r="X260" i="1"/>
  <c r="W260" i="1"/>
  <c r="BF259" i="1"/>
  <c r="BE259" i="1"/>
  <c r="BE260" i="1" s="1"/>
  <c r="BD259" i="1"/>
  <c r="BD324" i="1" s="1"/>
  <c r="BC259" i="1"/>
  <c r="BB259" i="1"/>
  <c r="BB324" i="1" s="1"/>
  <c r="BA259" i="1"/>
  <c r="BA260" i="1" s="1"/>
  <c r="AZ259" i="1"/>
  <c r="AZ318" i="1" s="1"/>
  <c r="AY259" i="1"/>
  <c r="AY260" i="1" s="1"/>
  <c r="AX259" i="1"/>
  <c r="AW259" i="1"/>
  <c r="AW260" i="1" s="1"/>
  <c r="AV259" i="1"/>
  <c r="AV260" i="1" s="1"/>
  <c r="AU259" i="1"/>
  <c r="AT259" i="1"/>
  <c r="AS259" i="1"/>
  <c r="AS261" i="1" s="1"/>
  <c r="AR259" i="1"/>
  <c r="AR261" i="1" s="1"/>
  <c r="AQ259" i="1"/>
  <c r="AP259" i="1"/>
  <c r="AO259" i="1"/>
  <c r="AN259" i="1"/>
  <c r="AN428" i="1" s="1"/>
  <c r="AM259" i="1"/>
  <c r="AL259" i="1"/>
  <c r="AK259" i="1"/>
  <c r="AK261" i="1" s="1"/>
  <c r="AJ259" i="1"/>
  <c r="AJ261" i="1" s="1"/>
  <c r="AI259" i="1"/>
  <c r="AH259" i="1"/>
  <c r="AG259" i="1"/>
  <c r="AF259" i="1"/>
  <c r="AE259" i="1"/>
  <c r="AD259" i="1"/>
  <c r="AC259" i="1"/>
  <c r="AB259" i="1"/>
  <c r="AB318" i="1" s="1"/>
  <c r="AA259" i="1"/>
  <c r="Z259" i="1"/>
  <c r="Y259" i="1"/>
  <c r="Y262" i="1" s="1"/>
  <c r="X259" i="1"/>
  <c r="W259" i="1"/>
  <c r="V259" i="1"/>
  <c r="U259" i="1"/>
  <c r="V262" i="1" s="1"/>
  <c r="T259" i="1"/>
  <c r="T312" i="1" s="1"/>
  <c r="S259" i="1"/>
  <c r="BD257" i="1"/>
  <c r="AZ257" i="1"/>
  <c r="AY257" i="1"/>
  <c r="AX257" i="1"/>
  <c r="AV257" i="1"/>
  <c r="AN257" i="1"/>
  <c r="AL257" i="1"/>
  <c r="AJ257" i="1"/>
  <c r="AH257" i="1"/>
  <c r="AG257" i="1"/>
  <c r="AF257" i="1"/>
  <c r="AB257" i="1"/>
  <c r="AA257" i="1"/>
  <c r="BH256" i="1"/>
  <c r="BG256" i="1"/>
  <c r="BF256" i="1"/>
  <c r="BF257" i="1" s="1"/>
  <c r="BE256" i="1"/>
  <c r="BE254" i="1" s="1"/>
  <c r="BI254" i="1" s="1"/>
  <c r="BD256" i="1"/>
  <c r="BH257" i="1" s="1"/>
  <c r="BC256" i="1"/>
  <c r="BC257" i="1" s="1"/>
  <c r="BB256" i="1"/>
  <c r="BB257" i="1" s="1"/>
  <c r="BA256" i="1"/>
  <c r="AZ256" i="1"/>
  <c r="AY256" i="1"/>
  <c r="AX256" i="1"/>
  <c r="AW256" i="1"/>
  <c r="AV256" i="1"/>
  <c r="AU256" i="1"/>
  <c r="AT256" i="1"/>
  <c r="AT257" i="1" s="1"/>
  <c r="AS256" i="1"/>
  <c r="AS254" i="1" s="1"/>
  <c r="AR256" i="1"/>
  <c r="AR257" i="1" s="1"/>
  <c r="AQ256" i="1"/>
  <c r="AQ257" i="1" s="1"/>
  <c r="AP256" i="1"/>
  <c r="AP257" i="1" s="1"/>
  <c r="AO256" i="1"/>
  <c r="AO257" i="1" s="1"/>
  <c r="AN256" i="1"/>
  <c r="AM256" i="1"/>
  <c r="AM257" i="1" s="1"/>
  <c r="AL256" i="1"/>
  <c r="AK256" i="1"/>
  <c r="AJ256" i="1"/>
  <c r="AI256" i="1"/>
  <c r="AH256" i="1"/>
  <c r="AH254" i="1" s="1"/>
  <c r="AG256" i="1"/>
  <c r="AG254" i="1" s="1"/>
  <c r="AF256" i="1"/>
  <c r="AE256" i="1"/>
  <c r="AE257" i="1" s="1"/>
  <c r="AD256" i="1"/>
  <c r="AD257" i="1" s="1"/>
  <c r="AC256" i="1"/>
  <c r="AB256" i="1"/>
  <c r="AA256" i="1"/>
  <c r="Z256" i="1"/>
  <c r="Y256" i="1"/>
  <c r="X256" i="1"/>
  <c r="W256" i="1"/>
  <c r="V256" i="1"/>
  <c r="Z257" i="1" s="1"/>
  <c r="U256" i="1"/>
  <c r="U254" i="1" s="1"/>
  <c r="T256" i="1"/>
  <c r="X257" i="1" s="1"/>
  <c r="S256" i="1"/>
  <c r="S254" i="1" s="1"/>
  <c r="BM254" i="1"/>
  <c r="BQ254" i="1" s="1"/>
  <c r="BU254" i="1" s="1"/>
  <c r="BY254" i="1" s="1"/>
  <c r="CC254" i="1" s="1"/>
  <c r="BH254" i="1"/>
  <c r="BL254" i="1" s="1"/>
  <c r="BP254" i="1" s="1"/>
  <c r="BT254" i="1" s="1"/>
  <c r="BX254" i="1" s="1"/>
  <c r="CB254" i="1" s="1"/>
  <c r="BF254" i="1"/>
  <c r="BJ254" i="1" s="1"/>
  <c r="BN254" i="1" s="1"/>
  <c r="BR254" i="1" s="1"/>
  <c r="BV254" i="1" s="1"/>
  <c r="BZ254" i="1" s="1"/>
  <c r="CD254" i="1" s="1"/>
  <c r="BB254" i="1"/>
  <c r="AZ254" i="1"/>
  <c r="AY254" i="1"/>
  <c r="AL254" i="1"/>
  <c r="AK254" i="1"/>
  <c r="X254" i="1"/>
  <c r="V254" i="1"/>
  <c r="BH253" i="1"/>
  <c r="BG253" i="1"/>
  <c r="BF253" i="1"/>
  <c r="BE253" i="1"/>
  <c r="AU253" i="1"/>
  <c r="AT253" i="1"/>
  <c r="AS253" i="1"/>
  <c r="AR253" i="1"/>
  <c r="AJ253" i="1"/>
  <c r="AI253" i="1"/>
  <c r="AH253" i="1"/>
  <c r="AG253" i="1"/>
  <c r="AE253" i="1"/>
  <c r="AC253" i="1"/>
  <c r="W253" i="1"/>
  <c r="BH252" i="1"/>
  <c r="BG252" i="1"/>
  <c r="BF252" i="1"/>
  <c r="BE252" i="1"/>
  <c r="BD252" i="1"/>
  <c r="BD253" i="1" s="1"/>
  <c r="BC252" i="1"/>
  <c r="BB252" i="1"/>
  <c r="BA252" i="1"/>
  <c r="BA211" i="1" s="1"/>
  <c r="AZ252" i="1"/>
  <c r="AZ253" i="1" s="1"/>
  <c r="AY252" i="1"/>
  <c r="BC253" i="1" s="1"/>
  <c r="AX252" i="1"/>
  <c r="AW252" i="1"/>
  <c r="AV252" i="1"/>
  <c r="AV211" i="1" s="1"/>
  <c r="AU252" i="1"/>
  <c r="AU211" i="1" s="1"/>
  <c r="AU220" i="1" s="1"/>
  <c r="AT252" i="1"/>
  <c r="AT254" i="1" s="1"/>
  <c r="AS252" i="1"/>
  <c r="AR252" i="1"/>
  <c r="AR254" i="1" s="1"/>
  <c r="AQ252" i="1"/>
  <c r="AP252" i="1"/>
  <c r="AO252" i="1"/>
  <c r="AO211" i="1" s="1"/>
  <c r="AN252" i="1"/>
  <c r="AN253" i="1" s="1"/>
  <c r="AM252" i="1"/>
  <c r="AQ253" i="1" s="1"/>
  <c r="AL252" i="1"/>
  <c r="AL253" i="1" s="1"/>
  <c r="AK252" i="1"/>
  <c r="AK253" i="1" s="1"/>
  <c r="AJ252" i="1"/>
  <c r="AJ254" i="1" s="1"/>
  <c r="AI252" i="1"/>
  <c r="AH252" i="1"/>
  <c r="AG252" i="1"/>
  <c r="AF252" i="1"/>
  <c r="AF254" i="1" s="1"/>
  <c r="AE252" i="1"/>
  <c r="AD252" i="1"/>
  <c r="AC252" i="1"/>
  <c r="AC211" i="1" s="1"/>
  <c r="AB252" i="1"/>
  <c r="AB253" i="1" s="1"/>
  <c r="AA252" i="1"/>
  <c r="AA253" i="1" s="1"/>
  <c r="Z252" i="1"/>
  <c r="Y252" i="1"/>
  <c r="X252" i="1"/>
  <c r="X253" i="1" s="1"/>
  <c r="W252" i="1"/>
  <c r="V252" i="1"/>
  <c r="U252" i="1"/>
  <c r="T252" i="1"/>
  <c r="T254" i="1" s="1"/>
  <c r="S252" i="1"/>
  <c r="AL250" i="1"/>
  <c r="AK250" i="1"/>
  <c r="AJ250" i="1"/>
  <c r="AI250" i="1"/>
  <c r="AH250" i="1"/>
  <c r="AG250" i="1"/>
  <c r="AF250" i="1"/>
  <c r="AE250" i="1"/>
  <c r="AD250" i="1"/>
  <c r="AC250" i="1"/>
  <c r="AB250" i="1"/>
  <c r="AA250" i="1"/>
  <c r="Z250" i="1"/>
  <c r="Y250" i="1"/>
  <c r="X250" i="1"/>
  <c r="W250" i="1"/>
  <c r="CX248" i="1"/>
  <c r="CW248" i="1"/>
  <c r="CV248" i="1"/>
  <c r="CU248" i="1"/>
  <c r="CU240" i="1" s="1"/>
  <c r="CT248" i="1"/>
  <c r="CT240" i="1" s="1"/>
  <c r="CD248" i="1"/>
  <c r="CD240" i="1" s="1"/>
  <c r="CC248" i="1"/>
  <c r="CB248" i="1"/>
  <c r="CA248" i="1"/>
  <c r="CA240" i="1" s="1"/>
  <c r="CA242" i="1" s="1"/>
  <c r="BZ248" i="1"/>
  <c r="BY248" i="1"/>
  <c r="BX248" i="1"/>
  <c r="BW248" i="1"/>
  <c r="BV248" i="1"/>
  <c r="BU248" i="1"/>
  <c r="BT248" i="1"/>
  <c r="BS248" i="1"/>
  <c r="BS240" i="1" s="1"/>
  <c r="BS242" i="1" s="1"/>
  <c r="BR248" i="1"/>
  <c r="BR240" i="1" s="1"/>
  <c r="BQ248" i="1"/>
  <c r="BP248" i="1"/>
  <c r="BP240" i="1" s="1"/>
  <c r="BO248" i="1"/>
  <c r="BO240" i="1" s="1"/>
  <c r="BN248" i="1"/>
  <c r="BM248" i="1"/>
  <c r="BL248" i="1"/>
  <c r="BK248" i="1"/>
  <c r="BJ248" i="1"/>
  <c r="BI248" i="1"/>
  <c r="BH248" i="1"/>
  <c r="BH240" i="1" s="1"/>
  <c r="BG245" i="1"/>
  <c r="BF245" i="1"/>
  <c r="BD245" i="1"/>
  <c r="AW245" i="1"/>
  <c r="AV245" i="1"/>
  <c r="AT245" i="1"/>
  <c r="AR245" i="1"/>
  <c r="AP245" i="1"/>
  <c r="AO245" i="1"/>
  <c r="AN245" i="1"/>
  <c r="AJ245" i="1"/>
  <c r="AF245" i="1"/>
  <c r="AD245" i="1"/>
  <c r="AB245" i="1"/>
  <c r="BH244" i="1"/>
  <c r="BF244" i="1"/>
  <c r="BE244" i="1"/>
  <c r="BE237" i="1" s="1"/>
  <c r="BD244" i="1"/>
  <c r="BC244" i="1"/>
  <c r="BB244" i="1"/>
  <c r="BB245" i="1" s="1"/>
  <c r="BA244" i="1"/>
  <c r="BA245" i="1" s="1"/>
  <c r="AZ244" i="1"/>
  <c r="AY244" i="1"/>
  <c r="AX244" i="1"/>
  <c r="AW244" i="1"/>
  <c r="AV244" i="1"/>
  <c r="AU244" i="1"/>
  <c r="AT244" i="1"/>
  <c r="AS244" i="1"/>
  <c r="AS237" i="1" s="1"/>
  <c r="AR244" i="1"/>
  <c r="AR237" i="1" s="1"/>
  <c r="AQ244" i="1"/>
  <c r="AP244" i="1"/>
  <c r="AO244" i="1"/>
  <c r="AO237" i="1" s="1"/>
  <c r="AO180" i="1" s="1"/>
  <c r="AN244" i="1"/>
  <c r="AM244" i="1"/>
  <c r="AL244" i="1"/>
  <c r="AL245" i="1" s="1"/>
  <c r="AK244" i="1"/>
  <c r="AK245" i="1" s="1"/>
  <c r="AJ244" i="1"/>
  <c r="AI244" i="1"/>
  <c r="AH244" i="1"/>
  <c r="AG244" i="1"/>
  <c r="AF244" i="1"/>
  <c r="AE244" i="1"/>
  <c r="AD244" i="1"/>
  <c r="AH245" i="1" s="1"/>
  <c r="AC244" i="1"/>
  <c r="AC245" i="1" s="1"/>
  <c r="AB244" i="1"/>
  <c r="AA244" i="1"/>
  <c r="Z244" i="1"/>
  <c r="Y244" i="1"/>
  <c r="Y245" i="1" s="1"/>
  <c r="X244" i="1"/>
  <c r="W244" i="1"/>
  <c r="V244" i="1"/>
  <c r="U244" i="1"/>
  <c r="T244" i="1"/>
  <c r="X245" i="1" s="1"/>
  <c r="S244" i="1"/>
  <c r="AL242" i="1"/>
  <c r="AK242" i="1"/>
  <c r="AJ242" i="1"/>
  <c r="AI242" i="1"/>
  <c r="AH242" i="1"/>
  <c r="AG242" i="1"/>
  <c r="AF242" i="1"/>
  <c r="AE242" i="1"/>
  <c r="AD242" i="1"/>
  <c r="AC242" i="1"/>
  <c r="AB242" i="1"/>
  <c r="AA242" i="1"/>
  <c r="Z242" i="1"/>
  <c r="Y242" i="1"/>
  <c r="X242" i="1"/>
  <c r="W242" i="1"/>
  <c r="BT240" i="1"/>
  <c r="BT242" i="1" s="1"/>
  <c r="BG237" i="1"/>
  <c r="BD237" i="1"/>
  <c r="AW237" i="1"/>
  <c r="AV237" i="1"/>
  <c r="AP237" i="1"/>
  <c r="AH237" i="1"/>
  <c r="AG237" i="1"/>
  <c r="AG180" i="1" s="1"/>
  <c r="AC237" i="1"/>
  <c r="V237" i="1"/>
  <c r="U237" i="1"/>
  <c r="U180" i="1" s="1"/>
  <c r="T237" i="1"/>
  <c r="AL235" i="1"/>
  <c r="AK235" i="1"/>
  <c r="AJ235" i="1"/>
  <c r="AI235" i="1"/>
  <c r="AH235" i="1"/>
  <c r="AG235" i="1"/>
  <c r="AF235" i="1"/>
  <c r="AE235" i="1"/>
  <c r="AD235" i="1"/>
  <c r="AC235" i="1"/>
  <c r="AB235" i="1"/>
  <c r="AA235" i="1"/>
  <c r="Z235" i="1"/>
  <c r="Y235" i="1"/>
  <c r="X235" i="1"/>
  <c r="W235" i="1"/>
  <c r="CX233" i="1"/>
  <c r="CW233" i="1"/>
  <c r="CW240" i="1" s="1"/>
  <c r="CV233" i="1"/>
  <c r="CU233" i="1"/>
  <c r="CT233" i="1"/>
  <c r="CD233" i="1"/>
  <c r="CC233" i="1"/>
  <c r="CB233" i="1"/>
  <c r="CA233" i="1"/>
  <c r="BZ233" i="1"/>
  <c r="BZ240" i="1" s="1"/>
  <c r="BZ241" i="1" s="1"/>
  <c r="BY233" i="1"/>
  <c r="BX233" i="1"/>
  <c r="BX240" i="1" s="1"/>
  <c r="BW233" i="1"/>
  <c r="BW240" i="1" s="1"/>
  <c r="BV233" i="1"/>
  <c r="BU233" i="1"/>
  <c r="BT233" i="1"/>
  <c r="BS233" i="1"/>
  <c r="BR233" i="1"/>
  <c r="BQ233" i="1"/>
  <c r="BP233" i="1"/>
  <c r="BO233" i="1"/>
  <c r="BN233" i="1"/>
  <c r="BN240" i="1" s="1"/>
  <c r="BM233" i="1"/>
  <c r="BL233" i="1"/>
  <c r="BL240" i="1" s="1"/>
  <c r="BK233" i="1"/>
  <c r="BJ233" i="1"/>
  <c r="BJ240" i="1" s="1"/>
  <c r="BI233" i="1"/>
  <c r="BH233" i="1"/>
  <c r="BH235" i="1" s="1"/>
  <c r="BK231" i="1"/>
  <c r="BH231" i="1"/>
  <c r="BG231" i="1"/>
  <c r="AU231" i="1"/>
  <c r="AT231" i="1"/>
  <c r="AS231" i="1"/>
  <c r="AO231" i="1"/>
  <c r="AK231" i="1"/>
  <c r="AI231" i="1"/>
  <c r="AH231" i="1"/>
  <c r="AG231" i="1"/>
  <c r="AC231" i="1"/>
  <c r="W231" i="1"/>
  <c r="V231" i="1"/>
  <c r="U231" i="1"/>
  <c r="BH230" i="1"/>
  <c r="BB230" i="1"/>
  <c r="AZ230" i="1"/>
  <c r="AU230" i="1"/>
  <c r="AP230" i="1"/>
  <c r="AO230" i="1"/>
  <c r="AN230" i="1"/>
  <c r="AF230" i="1"/>
  <c r="AB230" i="1"/>
  <c r="BN229" i="1"/>
  <c r="BL229" i="1"/>
  <c r="BK229" i="1"/>
  <c r="BJ229" i="1"/>
  <c r="BF229" i="1"/>
  <c r="BF231" i="1" s="1"/>
  <c r="BE229" i="1"/>
  <c r="BD229" i="1"/>
  <c r="BD231" i="1" s="1"/>
  <c r="BC229" i="1"/>
  <c r="BC231" i="1" s="1"/>
  <c r="BB229" i="1"/>
  <c r="BF230" i="1" s="1"/>
  <c r="BA229" i="1"/>
  <c r="BA231" i="1" s="1"/>
  <c r="AZ229" i="1"/>
  <c r="AY229" i="1"/>
  <c r="AX229" i="1"/>
  <c r="AW229" i="1"/>
  <c r="AV229" i="1"/>
  <c r="AU229" i="1"/>
  <c r="AT229" i="1"/>
  <c r="AT237" i="1" s="1"/>
  <c r="AS229" i="1"/>
  <c r="AR229" i="1"/>
  <c r="AQ229" i="1"/>
  <c r="AP229" i="1"/>
  <c r="AP231" i="1" s="1"/>
  <c r="AO229" i="1"/>
  <c r="AN229" i="1"/>
  <c r="AM229" i="1"/>
  <c r="AL229" i="1"/>
  <c r="AK229" i="1"/>
  <c r="AJ229" i="1"/>
  <c r="AJ237" i="1" s="1"/>
  <c r="AI229" i="1"/>
  <c r="AH229" i="1"/>
  <c r="AG229" i="1"/>
  <c r="AF229" i="1"/>
  <c r="AF237" i="1" s="1"/>
  <c r="AE229" i="1"/>
  <c r="AD229" i="1"/>
  <c r="AC229" i="1"/>
  <c r="AB229" i="1"/>
  <c r="AA229" i="1"/>
  <c r="Z229" i="1"/>
  <c r="Y229" i="1"/>
  <c r="X229" i="1"/>
  <c r="W229" i="1"/>
  <c r="V229" i="1"/>
  <c r="U229" i="1"/>
  <c r="T229" i="1"/>
  <c r="S229" i="1"/>
  <c r="CM228" i="1"/>
  <c r="CF228" i="1"/>
  <c r="BE220" i="1"/>
  <c r="BC220" i="1"/>
  <c r="AQ220" i="1"/>
  <c r="AN220" i="1"/>
  <c r="AH220" i="1"/>
  <c r="AG220" i="1"/>
  <c r="AE220" i="1"/>
  <c r="AD220" i="1"/>
  <c r="BF211" i="1"/>
  <c r="BE211" i="1"/>
  <c r="BC211" i="1"/>
  <c r="BB211" i="1"/>
  <c r="BB220" i="1" s="1"/>
  <c r="AZ211" i="1"/>
  <c r="AZ220" i="1" s="1"/>
  <c r="AY211" i="1"/>
  <c r="AX211" i="1"/>
  <c r="AX220" i="1" s="1"/>
  <c r="AT211" i="1"/>
  <c r="AS211" i="1"/>
  <c r="AS220" i="1" s="1"/>
  <c r="AR211" i="1"/>
  <c r="AQ211" i="1"/>
  <c r="AP211" i="1"/>
  <c r="AT220" i="1" s="1"/>
  <c r="AN211" i="1"/>
  <c r="AM211" i="1"/>
  <c r="AM220" i="1" s="1"/>
  <c r="AK211" i="1"/>
  <c r="AK220" i="1" s="1"/>
  <c r="AJ211" i="1"/>
  <c r="AI211" i="1"/>
  <c r="AH211" i="1"/>
  <c r="AG211" i="1"/>
  <c r="AF211" i="1"/>
  <c r="AE211" i="1"/>
  <c r="AI220" i="1" s="1"/>
  <c r="AD211" i="1"/>
  <c r="AA211" i="1"/>
  <c r="AA220" i="1" s="1"/>
  <c r="Z211" i="1"/>
  <c r="Z220" i="1" s="1"/>
  <c r="Y211" i="1"/>
  <c r="Y220" i="1" s="1"/>
  <c r="X211" i="1"/>
  <c r="W211" i="1"/>
  <c r="W220" i="1" s="1"/>
  <c r="V211" i="1"/>
  <c r="U211" i="1"/>
  <c r="S211" i="1"/>
  <c r="AG194" i="1"/>
  <c r="BD192" i="1"/>
  <c r="BD200" i="1" s="1"/>
  <c r="AR192" i="1"/>
  <c r="AR200" i="1" s="1"/>
  <c r="AG192" i="1"/>
  <c r="AG191" i="1"/>
  <c r="BD190" i="1"/>
  <c r="AH190" i="1"/>
  <c r="AG189" i="1"/>
  <c r="BD180" i="1"/>
  <c r="BD193" i="1" s="1"/>
  <c r="AT180" i="1"/>
  <c r="AT189" i="1" s="1"/>
  <c r="AR180" i="1"/>
  <c r="AH180" i="1"/>
  <c r="V180" i="1"/>
  <c r="T180" i="1"/>
  <c r="CM179" i="1"/>
  <c r="CF179" i="1"/>
  <c r="BK177" i="1"/>
  <c r="BJ177" i="1"/>
  <c r="BI177" i="1"/>
  <c r="BH177" i="1"/>
  <c r="BS174" i="1"/>
  <c r="BW174" i="1" s="1"/>
  <c r="BO174" i="1"/>
  <c r="BO168" i="1" s="1"/>
  <c r="BO76" i="1" s="1"/>
  <c r="BN174" i="1"/>
  <c r="BM174" i="1"/>
  <c r="BQ174" i="1" s="1"/>
  <c r="BU174" i="1" s="1"/>
  <c r="BL174" i="1"/>
  <c r="CX172" i="1"/>
  <c r="CW172" i="1"/>
  <c r="CV172" i="1"/>
  <c r="CU172" i="1"/>
  <c r="CT172" i="1"/>
  <c r="CS172" i="1"/>
  <c r="CR172" i="1"/>
  <c r="CQ172" i="1"/>
  <c r="CP172" i="1"/>
  <c r="CO172" i="1"/>
  <c r="CN172" i="1"/>
  <c r="BS168" i="1"/>
  <c r="BQ168" i="1"/>
  <c r="BQ162" i="1" s="1"/>
  <c r="BQ163" i="1" s="1"/>
  <c r="BM168" i="1"/>
  <c r="BK168" i="1"/>
  <c r="BJ168" i="1"/>
  <c r="BI168" i="1"/>
  <c r="BH168" i="1"/>
  <c r="CL166" i="1"/>
  <c r="CK166" i="1"/>
  <c r="CJ166" i="1"/>
  <c r="CI166" i="1"/>
  <c r="BP166" i="1"/>
  <c r="BK166" i="1"/>
  <c r="BJ166" i="1"/>
  <c r="BI166" i="1"/>
  <c r="BH166" i="1"/>
  <c r="BG166" i="1"/>
  <c r="BF166" i="1"/>
  <c r="BE166" i="1"/>
  <c r="BD166" i="1"/>
  <c r="BC166" i="1"/>
  <c r="BB166" i="1"/>
  <c r="BA166" i="1"/>
  <c r="AZ166" i="1"/>
  <c r="AY166" i="1"/>
  <c r="AX166" i="1"/>
  <c r="AW166" i="1"/>
  <c r="AV166" i="1"/>
  <c r="AU166" i="1"/>
  <c r="AT166" i="1"/>
  <c r="AS166" i="1"/>
  <c r="AR166" i="1"/>
  <c r="AQ166" i="1"/>
  <c r="AP166" i="1"/>
  <c r="AO166" i="1"/>
  <c r="AN166" i="1"/>
  <c r="AM166" i="1"/>
  <c r="AL166" i="1"/>
  <c r="AK166" i="1"/>
  <c r="AJ166" i="1"/>
  <c r="AI166" i="1"/>
  <c r="AH166" i="1"/>
  <c r="AG166" i="1"/>
  <c r="AF166" i="1"/>
  <c r="AE166" i="1"/>
  <c r="AD166" i="1"/>
  <c r="AC166" i="1"/>
  <c r="AB166" i="1"/>
  <c r="AA166" i="1"/>
  <c r="Z166" i="1"/>
  <c r="Y166" i="1"/>
  <c r="X166" i="1"/>
  <c r="W166" i="1"/>
  <c r="BU165" i="1"/>
  <c r="BQ165" i="1"/>
  <c r="BQ166" i="1" s="1"/>
  <c r="BP165" i="1"/>
  <c r="BT165" i="1" s="1"/>
  <c r="BO165" i="1"/>
  <c r="BN165" i="1"/>
  <c r="BM165" i="1"/>
  <c r="BM166" i="1" s="1"/>
  <c r="BL165" i="1"/>
  <c r="BL166" i="1" s="1"/>
  <c r="CL163" i="1"/>
  <c r="CK163" i="1"/>
  <c r="CJ163" i="1"/>
  <c r="CI163" i="1"/>
  <c r="BG163" i="1"/>
  <c r="BF163" i="1"/>
  <c r="BE163" i="1"/>
  <c r="BD163" i="1"/>
  <c r="BC163" i="1"/>
  <c r="BB163" i="1"/>
  <c r="BA163" i="1"/>
  <c r="AZ163" i="1"/>
  <c r="AY163" i="1"/>
  <c r="AX163" i="1"/>
  <c r="AW163" i="1"/>
  <c r="AV163" i="1"/>
  <c r="AU163" i="1"/>
  <c r="AT163" i="1"/>
  <c r="AS163" i="1"/>
  <c r="AR163" i="1"/>
  <c r="AQ163" i="1"/>
  <c r="AP163" i="1"/>
  <c r="AO163" i="1"/>
  <c r="AN163" i="1"/>
  <c r="AM163" i="1"/>
  <c r="AL163" i="1"/>
  <c r="AK163" i="1"/>
  <c r="AJ163" i="1"/>
  <c r="AI163" i="1"/>
  <c r="AH163" i="1"/>
  <c r="AG163" i="1"/>
  <c r="AF163" i="1"/>
  <c r="AE163" i="1"/>
  <c r="AD163" i="1"/>
  <c r="AC163" i="1"/>
  <c r="AB163" i="1"/>
  <c r="AA163" i="1"/>
  <c r="Z163" i="1"/>
  <c r="Y163" i="1"/>
  <c r="X163" i="1"/>
  <c r="W163" i="1"/>
  <c r="BM162" i="1"/>
  <c r="BM163" i="1" s="1"/>
  <c r="BK162" i="1"/>
  <c r="BK163" i="1" s="1"/>
  <c r="BJ162" i="1"/>
  <c r="BJ163" i="1" s="1"/>
  <c r="BI162" i="1"/>
  <c r="BI163" i="1" s="1"/>
  <c r="BH162" i="1"/>
  <c r="BH163" i="1" s="1"/>
  <c r="AL159" i="1"/>
  <c r="AM159" i="1" s="1"/>
  <c r="AK159" i="1"/>
  <c r="AJ159" i="1"/>
  <c r="CL157" i="1"/>
  <c r="CK157" i="1"/>
  <c r="CJ157" i="1"/>
  <c r="CI157" i="1"/>
  <c r="AS157" i="1"/>
  <c r="AO157" i="1"/>
  <c r="AM157" i="1"/>
  <c r="AL157" i="1"/>
  <c r="AK157" i="1"/>
  <c r="AJ157" i="1"/>
  <c r="AI157" i="1"/>
  <c r="AH157" i="1"/>
  <c r="AG157" i="1"/>
  <c r="AF157" i="1"/>
  <c r="AE157" i="1"/>
  <c r="AD157" i="1"/>
  <c r="AC157" i="1"/>
  <c r="AB157" i="1"/>
  <c r="AA157" i="1"/>
  <c r="Z157" i="1"/>
  <c r="Y157" i="1"/>
  <c r="X157" i="1"/>
  <c r="W157" i="1"/>
  <c r="BY156" i="1"/>
  <c r="BX156" i="1"/>
  <c r="BR156" i="1"/>
  <c r="BQ156" i="1"/>
  <c r="BU156" i="1" s="1"/>
  <c r="BU157" i="1" s="1"/>
  <c r="BP156" i="1"/>
  <c r="BT156" i="1" s="1"/>
  <c r="AW156" i="1"/>
  <c r="AW157" i="1" s="1"/>
  <c r="AS156" i="1"/>
  <c r="AQ156" i="1"/>
  <c r="AP156" i="1"/>
  <c r="AN156" i="1"/>
  <c r="CL154" i="1"/>
  <c r="CK154" i="1"/>
  <c r="CJ154" i="1"/>
  <c r="CI154" i="1"/>
  <c r="BA154" i="1"/>
  <c r="AX154" i="1"/>
  <c r="AS154" i="1"/>
  <c r="AO154" i="1"/>
  <c r="AL154" i="1"/>
  <c r="AK154" i="1"/>
  <c r="AJ154" i="1"/>
  <c r="AI154" i="1"/>
  <c r="AH154" i="1"/>
  <c r="AG154" i="1"/>
  <c r="AF154" i="1"/>
  <c r="AE154" i="1"/>
  <c r="AD154" i="1"/>
  <c r="AC154" i="1"/>
  <c r="AB154" i="1"/>
  <c r="AA154" i="1"/>
  <c r="Z154" i="1"/>
  <c r="Y154" i="1"/>
  <c r="X154" i="1"/>
  <c r="W154" i="1"/>
  <c r="BF153" i="1"/>
  <c r="BE153" i="1"/>
  <c r="BE154" i="1" s="1"/>
  <c r="BD153" i="1"/>
  <c r="BC153" i="1"/>
  <c r="BB153" i="1"/>
  <c r="BA153" i="1"/>
  <c r="AZ153" i="1"/>
  <c r="AY153" i="1"/>
  <c r="AX153" i="1"/>
  <c r="AW153" i="1"/>
  <c r="AV153" i="1"/>
  <c r="AU153" i="1"/>
  <c r="AU154" i="1" s="1"/>
  <c r="AT153" i="1"/>
  <c r="AS153" i="1"/>
  <c r="AW154" i="1" s="1"/>
  <c r="AR153" i="1"/>
  <c r="AQ153" i="1"/>
  <c r="AP153" i="1"/>
  <c r="AP154" i="1" s="1"/>
  <c r="AO153" i="1"/>
  <c r="AN153" i="1"/>
  <c r="AM153" i="1"/>
  <c r="CL150" i="1"/>
  <c r="CK150" i="1"/>
  <c r="CJ150" i="1"/>
  <c r="CI150" i="1"/>
  <c r="AL150" i="1"/>
  <c r="AI150" i="1"/>
  <c r="AH150" i="1"/>
  <c r="AG150" i="1"/>
  <c r="AF150" i="1"/>
  <c r="AE150" i="1"/>
  <c r="AD150" i="1"/>
  <c r="AC150" i="1"/>
  <c r="AB150" i="1"/>
  <c r="AA150" i="1"/>
  <c r="Z150" i="1"/>
  <c r="Y150" i="1"/>
  <c r="X150" i="1"/>
  <c r="W150" i="1"/>
  <c r="AW149" i="1"/>
  <c r="AS149" i="1"/>
  <c r="AQ149" i="1"/>
  <c r="AO149" i="1"/>
  <c r="AO150" i="1" s="1"/>
  <c r="AL149" i="1"/>
  <c r="AK149" i="1"/>
  <c r="AK150" i="1" s="1"/>
  <c r="AJ149" i="1"/>
  <c r="AJ150" i="1" s="1"/>
  <c r="AI149" i="1"/>
  <c r="CL147" i="1"/>
  <c r="CK147" i="1"/>
  <c r="CJ147" i="1"/>
  <c r="CI147" i="1"/>
  <c r="CL144" i="1"/>
  <c r="CK144" i="1"/>
  <c r="CJ144" i="1"/>
  <c r="CI144" i="1"/>
  <c r="AJ139" i="1"/>
  <c r="CL137" i="1"/>
  <c r="CK137" i="1"/>
  <c r="CJ137" i="1"/>
  <c r="CI137" i="1"/>
  <c r="AS137" i="1"/>
  <c r="AO137" i="1"/>
  <c r="AK137" i="1"/>
  <c r="AJ137" i="1"/>
  <c r="AI137" i="1"/>
  <c r="AH137" i="1"/>
  <c r="AG137" i="1"/>
  <c r="AF137" i="1"/>
  <c r="AE137" i="1"/>
  <c r="AD137" i="1"/>
  <c r="AC137" i="1"/>
  <c r="AB137" i="1"/>
  <c r="AA137" i="1"/>
  <c r="Z137" i="1"/>
  <c r="Y137" i="1"/>
  <c r="X137" i="1"/>
  <c r="W137" i="1"/>
  <c r="BQ136" i="1"/>
  <c r="BJ136" i="1"/>
  <c r="BI136" i="1"/>
  <c r="BH136" i="1"/>
  <c r="AS136" i="1"/>
  <c r="AO136" i="1"/>
  <c r="AM136" i="1"/>
  <c r="AM137" i="1" s="1"/>
  <c r="AL136" i="1"/>
  <c r="AL137" i="1" s="1"/>
  <c r="AK136" i="1"/>
  <c r="AJ136" i="1"/>
  <c r="AI136" i="1"/>
  <c r="CL134" i="1"/>
  <c r="CK134" i="1"/>
  <c r="CJ134" i="1"/>
  <c r="CI134" i="1"/>
  <c r="AL134" i="1"/>
  <c r="AK134" i="1"/>
  <c r="AJ134" i="1"/>
  <c r="AI134" i="1"/>
  <c r="AH134" i="1"/>
  <c r="AG134" i="1"/>
  <c r="AF134" i="1"/>
  <c r="AE134" i="1"/>
  <c r="AD134" i="1"/>
  <c r="AC134" i="1"/>
  <c r="AB134" i="1"/>
  <c r="AA134" i="1"/>
  <c r="Z134" i="1"/>
  <c r="Y134" i="1"/>
  <c r="X134" i="1"/>
  <c r="W134" i="1"/>
  <c r="CL130" i="1"/>
  <c r="CK130" i="1"/>
  <c r="CJ130" i="1"/>
  <c r="CI130" i="1"/>
  <c r="AL130" i="1"/>
  <c r="AK130" i="1"/>
  <c r="AJ130" i="1"/>
  <c r="AI130" i="1"/>
  <c r="AH130" i="1"/>
  <c r="AG130" i="1"/>
  <c r="AF130" i="1"/>
  <c r="AE130" i="1"/>
  <c r="AD130" i="1"/>
  <c r="AC130" i="1"/>
  <c r="AB130" i="1"/>
  <c r="AA130" i="1"/>
  <c r="Z130" i="1"/>
  <c r="Y130" i="1"/>
  <c r="X130" i="1"/>
  <c r="W130" i="1"/>
  <c r="AW129" i="1"/>
  <c r="AO129" i="1"/>
  <c r="CL127" i="1"/>
  <c r="CK127" i="1"/>
  <c r="CJ127" i="1"/>
  <c r="CI127" i="1"/>
  <c r="AL127" i="1"/>
  <c r="AK127" i="1"/>
  <c r="AJ127" i="1"/>
  <c r="AI127" i="1"/>
  <c r="AH127" i="1"/>
  <c r="AG127" i="1"/>
  <c r="AF127" i="1"/>
  <c r="AE127" i="1"/>
  <c r="AD127" i="1"/>
  <c r="AC127" i="1"/>
  <c r="AB127" i="1"/>
  <c r="AA127" i="1"/>
  <c r="Z127" i="1"/>
  <c r="Y127" i="1"/>
  <c r="X127" i="1"/>
  <c r="W127" i="1"/>
  <c r="CL124" i="1"/>
  <c r="CK124" i="1"/>
  <c r="CJ124" i="1"/>
  <c r="CI124" i="1"/>
  <c r="AL124" i="1"/>
  <c r="AK124" i="1"/>
  <c r="AJ124" i="1"/>
  <c r="AI124" i="1"/>
  <c r="AH124" i="1"/>
  <c r="AG124" i="1"/>
  <c r="AF124" i="1"/>
  <c r="AE124" i="1"/>
  <c r="AD124" i="1"/>
  <c r="AC124" i="1"/>
  <c r="AB124" i="1"/>
  <c r="AA124" i="1"/>
  <c r="Z124" i="1"/>
  <c r="Y124" i="1"/>
  <c r="X124" i="1"/>
  <c r="W124" i="1"/>
  <c r="CL117" i="1"/>
  <c r="CK117" i="1"/>
  <c r="CJ117" i="1"/>
  <c r="CI117" i="1"/>
  <c r="AV117" i="1"/>
  <c r="AS117" i="1"/>
  <c r="AR117" i="1"/>
  <c r="AQ117" i="1"/>
  <c r="AP117" i="1"/>
  <c r="AM117" i="1"/>
  <c r="AK117" i="1"/>
  <c r="AJ117" i="1"/>
  <c r="AY116" i="1"/>
  <c r="AY57" i="1" s="1"/>
  <c r="AX116" i="1"/>
  <c r="BB116" i="1" s="1"/>
  <c r="BB117" i="1" s="1"/>
  <c r="AW116" i="1"/>
  <c r="BA116" i="1" s="1"/>
  <c r="BA117" i="1" s="1"/>
  <c r="AV116" i="1"/>
  <c r="AT116" i="1"/>
  <c r="AT117" i="1" s="1"/>
  <c r="AS116" i="1"/>
  <c r="AR116" i="1"/>
  <c r="AQ116" i="1"/>
  <c r="AU117" i="1" s="1"/>
  <c r="AL116" i="1"/>
  <c r="AK116" i="1"/>
  <c r="AO117" i="1" s="1"/>
  <c r="AJ116" i="1"/>
  <c r="AN117" i="1" s="1"/>
  <c r="AI116" i="1"/>
  <c r="AH116" i="1"/>
  <c r="AD116" i="1" s="1"/>
  <c r="AG116" i="1"/>
  <c r="AF116" i="1"/>
  <c r="AE116" i="1"/>
  <c r="AA116" i="1"/>
  <c r="Z116" i="1"/>
  <c r="V116" i="1" s="1"/>
  <c r="V57" i="1" s="1"/>
  <c r="BB111" i="1"/>
  <c r="CP110" i="1"/>
  <c r="AT110" i="1" s="1"/>
  <c r="AW110" i="1"/>
  <c r="AN110" i="1"/>
  <c r="AO110" i="1" s="1"/>
  <c r="AL110" i="1"/>
  <c r="AM110" i="1" s="1"/>
  <c r="BE109" i="1"/>
  <c r="BD109" i="1"/>
  <c r="BA109" i="1"/>
  <c r="AW109" i="1"/>
  <c r="AS109" i="1"/>
  <c r="AQ109" i="1"/>
  <c r="CP108" i="1"/>
  <c r="BU108" i="1"/>
  <c r="BQ108" i="1"/>
  <c r="BM108" i="1"/>
  <c r="BI108" i="1"/>
  <c r="BH108" i="1"/>
  <c r="BL108" i="1" s="1"/>
  <c r="BP108" i="1" s="1"/>
  <c r="BP60" i="1" s="1"/>
  <c r="BG108" i="1"/>
  <c r="AV108" i="1"/>
  <c r="AZ109" i="1" s="1"/>
  <c r="AT108" i="1"/>
  <c r="AT60" i="1" s="1"/>
  <c r="AR108" i="1"/>
  <c r="AL97" i="1"/>
  <c r="AM97" i="1" s="1"/>
  <c r="S97" i="1"/>
  <c r="AJ96" i="1"/>
  <c r="AK96" i="1" s="1"/>
  <c r="AL96" i="1" s="1"/>
  <c r="AM96" i="1" s="1"/>
  <c r="AN96" i="1" s="1"/>
  <c r="AO96" i="1" s="1"/>
  <c r="AP96" i="1" s="1"/>
  <c r="AQ96" i="1" s="1"/>
  <c r="AR96" i="1" s="1"/>
  <c r="AS96" i="1" s="1"/>
  <c r="AT96" i="1" s="1"/>
  <c r="CL94" i="1"/>
  <c r="CK94" i="1"/>
  <c r="CJ94" i="1"/>
  <c r="CI94" i="1"/>
  <c r="BS94" i="1"/>
  <c r="BK94" i="1"/>
  <c r="BJ94" i="1"/>
  <c r="BI94" i="1"/>
  <c r="BG94" i="1"/>
  <c r="BE94" i="1"/>
  <c r="BA94" i="1"/>
  <c r="AW94" i="1"/>
  <c r="AS94" i="1"/>
  <c r="AP94" i="1"/>
  <c r="AO94" i="1"/>
  <c r="AN94" i="1"/>
  <c r="AM94" i="1"/>
  <c r="AK94" i="1"/>
  <c r="AJ94" i="1"/>
  <c r="AI94" i="1"/>
  <c r="AH94" i="1"/>
  <c r="AG94" i="1"/>
  <c r="AF94" i="1"/>
  <c r="AE94" i="1"/>
  <c r="AD94" i="1"/>
  <c r="AC94" i="1"/>
  <c r="AB94" i="1"/>
  <c r="AA94" i="1"/>
  <c r="Z94" i="1"/>
  <c r="Y94" i="1"/>
  <c r="X94" i="1"/>
  <c r="W94" i="1"/>
  <c r="BS93" i="1"/>
  <c r="BW93" i="1" s="1"/>
  <c r="BQ93" i="1"/>
  <c r="BN93" i="1"/>
  <c r="BM93" i="1"/>
  <c r="BM87" i="1" s="1"/>
  <c r="BL93" i="1"/>
  <c r="BP93" i="1" s="1"/>
  <c r="BP94" i="1" s="1"/>
  <c r="BK93" i="1"/>
  <c r="BO93" i="1" s="1"/>
  <c r="BO94" i="1" s="1"/>
  <c r="BH93" i="1"/>
  <c r="BH94" i="1" s="1"/>
  <c r="AX93" i="1"/>
  <c r="AX94" i="1" s="1"/>
  <c r="AQ93" i="1"/>
  <c r="AP93" i="1"/>
  <c r="AT93" i="1" s="1"/>
  <c r="AT94" i="1" s="1"/>
  <c r="AN93" i="1"/>
  <c r="AR93" i="1" s="1"/>
  <c r="AM93" i="1"/>
  <c r="AL93" i="1"/>
  <c r="AL94" i="1" s="1"/>
  <c r="CM92" i="1"/>
  <c r="CL92" i="1"/>
  <c r="CK92" i="1"/>
  <c r="CJ92" i="1"/>
  <c r="CI92" i="1"/>
  <c r="BL92" i="1"/>
  <c r="BH92" i="1"/>
  <c r="BG92" i="1"/>
  <c r="AZ92" i="1"/>
  <c r="AY92" i="1"/>
  <c r="AX92" i="1"/>
  <c r="AQ92" i="1"/>
  <c r="AJ92" i="1"/>
  <c r="AI92" i="1"/>
  <c r="AH92" i="1"/>
  <c r="AG92" i="1"/>
  <c r="AF92" i="1"/>
  <c r="AE92" i="1"/>
  <c r="AD92" i="1"/>
  <c r="AC92" i="1"/>
  <c r="AB92" i="1"/>
  <c r="AA92" i="1"/>
  <c r="Z92" i="1"/>
  <c r="Y92" i="1"/>
  <c r="X92" i="1"/>
  <c r="W92" i="1"/>
  <c r="BR91" i="1"/>
  <c r="BQ91" i="1"/>
  <c r="BQ92" i="1" s="1"/>
  <c r="BP91" i="1"/>
  <c r="BO91" i="1"/>
  <c r="BO92" i="1" s="1"/>
  <c r="BN91" i="1"/>
  <c r="BN92" i="1" s="1"/>
  <c r="BM91" i="1"/>
  <c r="BL91" i="1"/>
  <c r="BK91" i="1"/>
  <c r="BK92" i="1" s="1"/>
  <c r="BJ91" i="1"/>
  <c r="BJ92" i="1" s="1"/>
  <c r="BI91" i="1"/>
  <c r="BM92" i="1" s="1"/>
  <c r="BH91" i="1"/>
  <c r="BG91" i="1"/>
  <c r="BF91" i="1"/>
  <c r="BE91" i="1"/>
  <c r="BE92" i="1" s="1"/>
  <c r="BD91" i="1"/>
  <c r="BC91" i="1"/>
  <c r="BC92" i="1" s="1"/>
  <c r="BB91" i="1"/>
  <c r="BA91" i="1"/>
  <c r="AZ91" i="1"/>
  <c r="BD92" i="1" s="1"/>
  <c r="AY91" i="1"/>
  <c r="AX91" i="1"/>
  <c r="AX87" i="1" s="1"/>
  <c r="AW91" i="1"/>
  <c r="AW92" i="1" s="1"/>
  <c r="AV91" i="1"/>
  <c r="AV92" i="1" s="1"/>
  <c r="AU91" i="1"/>
  <c r="AT91" i="1"/>
  <c r="AS91" i="1"/>
  <c r="AS92" i="1" s="1"/>
  <c r="AR91" i="1"/>
  <c r="AQ91" i="1"/>
  <c r="AU92" i="1" s="1"/>
  <c r="AP91" i="1"/>
  <c r="AP92" i="1" s="1"/>
  <c r="AO91" i="1"/>
  <c r="AN91" i="1"/>
  <c r="AM91" i="1"/>
  <c r="AM92" i="1" s="1"/>
  <c r="AL91" i="1"/>
  <c r="AL87" i="1" s="1"/>
  <c r="AK91" i="1"/>
  <c r="AK87" i="1" s="1"/>
  <c r="AK81" i="1" s="1"/>
  <c r="AK275" i="1" s="1"/>
  <c r="AJ91" i="1"/>
  <c r="AI91" i="1"/>
  <c r="BE88" i="1"/>
  <c r="BP87" i="1"/>
  <c r="BO87" i="1"/>
  <c r="BN87" i="1"/>
  <c r="BK87" i="1"/>
  <c r="BH87" i="1"/>
  <c r="BG87" i="1"/>
  <c r="BE87" i="1"/>
  <c r="BD87" i="1"/>
  <c r="BH88" i="1" s="1"/>
  <c r="BC87" i="1"/>
  <c r="BA87" i="1"/>
  <c r="AW87" i="1"/>
  <c r="AW81" i="1" s="1"/>
  <c r="AW275" i="1" s="1"/>
  <c r="AS87" i="1"/>
  <c r="AQ87" i="1"/>
  <c r="AQ88" i="1" s="1"/>
  <c r="AP87" i="1"/>
  <c r="AO87" i="1"/>
  <c r="AS88" i="1" s="1"/>
  <c r="AM87" i="1"/>
  <c r="AJ87" i="1"/>
  <c r="AJ81" i="1" s="1"/>
  <c r="AJ275" i="1" s="1"/>
  <c r="AI87" i="1"/>
  <c r="BB84" i="1"/>
  <c r="BF84" i="1" s="1"/>
  <c r="BF65" i="1" s="1"/>
  <c r="BA84" i="1"/>
  <c r="BA81" i="1" s="1"/>
  <c r="AL84" i="1"/>
  <c r="AL81" i="1" s="1"/>
  <c r="AL275" i="1" s="1"/>
  <c r="AL277" i="1" s="1"/>
  <c r="AI81" i="1"/>
  <c r="AI275" i="1" s="1"/>
  <c r="AI277" i="1" s="1"/>
  <c r="BY78" i="1"/>
  <c r="CC78" i="1" s="1"/>
  <c r="BW78" i="1"/>
  <c r="CA78" i="1" s="1"/>
  <c r="BV78" i="1"/>
  <c r="BZ78" i="1" s="1"/>
  <c r="CD78" i="1" s="1"/>
  <c r="BR78" i="1"/>
  <c r="BM78" i="1"/>
  <c r="BQ78" i="1" s="1"/>
  <c r="BU78" i="1" s="1"/>
  <c r="BL78" i="1"/>
  <c r="BP78" i="1" s="1"/>
  <c r="BT78" i="1" s="1"/>
  <c r="BX78" i="1" s="1"/>
  <c r="CB78" i="1" s="1"/>
  <c r="BK78" i="1"/>
  <c r="BO78" i="1" s="1"/>
  <c r="BS78" i="1" s="1"/>
  <c r="BJ78" i="1"/>
  <c r="BN78" i="1" s="1"/>
  <c r="BI78" i="1"/>
  <c r="BM77" i="1"/>
  <c r="AW77" i="1"/>
  <c r="BS76" i="1"/>
  <c r="BQ76" i="1"/>
  <c r="BM76" i="1"/>
  <c r="BK76" i="1"/>
  <c r="BJ76" i="1"/>
  <c r="BI76" i="1"/>
  <c r="BH76" i="1"/>
  <c r="AW75" i="1"/>
  <c r="AS75" i="1"/>
  <c r="AO75" i="1"/>
  <c r="BO74" i="1"/>
  <c r="BM74" i="1"/>
  <c r="BH74" i="1"/>
  <c r="BG74" i="1"/>
  <c r="BE74" i="1"/>
  <c r="BD74" i="1"/>
  <c r="BA74" i="1"/>
  <c r="AW74" i="1"/>
  <c r="AS74" i="1"/>
  <c r="AQ74" i="1"/>
  <c r="AO74" i="1"/>
  <c r="AO73" i="1" s="1"/>
  <c r="BW73" i="1"/>
  <c r="CA73" i="1" s="1"/>
  <c r="BS73" i="1"/>
  <c r="BH72" i="1"/>
  <c r="BG72" i="1"/>
  <c r="BF72" i="1"/>
  <c r="BE72" i="1"/>
  <c r="BD72" i="1"/>
  <c r="BC72" i="1"/>
  <c r="BB72" i="1"/>
  <c r="BA72" i="1"/>
  <c r="AZ72" i="1"/>
  <c r="AY72" i="1"/>
  <c r="AX72" i="1"/>
  <c r="AW72" i="1"/>
  <c r="AV72" i="1"/>
  <c r="AU72" i="1"/>
  <c r="AT72" i="1"/>
  <c r="AS72" i="1"/>
  <c r="AR72" i="1"/>
  <c r="AQ72" i="1"/>
  <c r="AP72" i="1"/>
  <c r="AO72" i="1"/>
  <c r="AN72" i="1"/>
  <c r="AM72" i="1"/>
  <c r="AL72" i="1"/>
  <c r="AK72" i="1"/>
  <c r="AJ72" i="1"/>
  <c r="AI72" i="1"/>
  <c r="AH72" i="1"/>
  <c r="AG72" i="1"/>
  <c r="AF72" i="1"/>
  <c r="AE72" i="1"/>
  <c r="AD72" i="1"/>
  <c r="AC72" i="1"/>
  <c r="AB72" i="1"/>
  <c r="AA72" i="1"/>
  <c r="Z72" i="1"/>
  <c r="Y72" i="1"/>
  <c r="X72" i="1"/>
  <c r="W72" i="1"/>
  <c r="V72" i="1"/>
  <c r="U72" i="1"/>
  <c r="T72" i="1"/>
  <c r="S72" i="1"/>
  <c r="BT69" i="1"/>
  <c r="BQ69" i="1"/>
  <c r="BP69" i="1"/>
  <c r="BP70" i="1" s="1"/>
  <c r="BO69" i="1"/>
  <c r="BO70" i="1" s="1"/>
  <c r="BN69" i="1"/>
  <c r="BN70" i="1" s="1"/>
  <c r="BM69" i="1"/>
  <c r="BL69" i="1"/>
  <c r="BL70" i="1" s="1"/>
  <c r="BK69" i="1"/>
  <c r="BJ69" i="1"/>
  <c r="BI69" i="1"/>
  <c r="BH69" i="1"/>
  <c r="AI67" i="1"/>
  <c r="AI146" i="1" s="1"/>
  <c r="BB65" i="1"/>
  <c r="AX65" i="1"/>
  <c r="AW65" i="1"/>
  <c r="AL65" i="1"/>
  <c r="AL67" i="1" s="1"/>
  <c r="AL146" i="1" s="1"/>
  <c r="AK65" i="1"/>
  <c r="AK67" i="1" s="1"/>
  <c r="AK146" i="1" s="1"/>
  <c r="AJ65" i="1"/>
  <c r="AJ67" i="1" s="1"/>
  <c r="AJ146" i="1" s="1"/>
  <c r="AI65" i="1"/>
  <c r="CP64" i="1"/>
  <c r="CO64" i="1"/>
  <c r="CN64" i="1"/>
  <c r="AL63" i="1"/>
  <c r="CQ61" i="1"/>
  <c r="BI61" i="1"/>
  <c r="BD61" i="1"/>
  <c r="AS61" i="1"/>
  <c r="CQ60" i="1"/>
  <c r="CP60" i="1"/>
  <c r="CN60" i="1"/>
  <c r="CM60" i="1"/>
  <c r="CL60" i="1"/>
  <c r="BQ60" i="1"/>
  <c r="BQ61" i="1" s="1"/>
  <c r="BM60" i="1"/>
  <c r="BI60" i="1"/>
  <c r="BH60" i="1"/>
  <c r="BE60" i="1"/>
  <c r="BD60" i="1"/>
  <c r="BC60" i="1"/>
  <c r="BA60" i="1"/>
  <c r="BA61" i="1" s="1"/>
  <c r="AZ60" i="1"/>
  <c r="AW60" i="1"/>
  <c r="AW61" i="1" s="1"/>
  <c r="AS60" i="1"/>
  <c r="AR60" i="1"/>
  <c r="AR61" i="1" s="1"/>
  <c r="AQ60" i="1"/>
  <c r="AO60" i="1"/>
  <c r="AN60" i="1"/>
  <c r="AM60" i="1"/>
  <c r="AQ61" i="1" s="1"/>
  <c r="AL60" i="1"/>
  <c r="AY58" i="1"/>
  <c r="AR58" i="1"/>
  <c r="AN58" i="1"/>
  <c r="AM58" i="1"/>
  <c r="CL57" i="1"/>
  <c r="BB57" i="1"/>
  <c r="BA57" i="1"/>
  <c r="BA58" i="1" s="1"/>
  <c r="AX57" i="1"/>
  <c r="AX58" i="1" s="1"/>
  <c r="AW57" i="1"/>
  <c r="AW58" i="1" s="1"/>
  <c r="AU57" i="1"/>
  <c r="AT57" i="1"/>
  <c r="AT58" i="1" s="1"/>
  <c r="AS57" i="1"/>
  <c r="AR57" i="1"/>
  <c r="AQ57" i="1"/>
  <c r="AP57" i="1"/>
  <c r="AO57" i="1"/>
  <c r="AN57" i="1"/>
  <c r="AM57" i="1"/>
  <c r="AL57" i="1"/>
  <c r="AK57" i="1"/>
  <c r="AJ57" i="1"/>
  <c r="AI57" i="1"/>
  <c r="AH57" i="1"/>
  <c r="AF57" i="1"/>
  <c r="AE57" i="1"/>
  <c r="AD57" i="1"/>
  <c r="Z57" i="1"/>
  <c r="BU55" i="1"/>
  <c r="BM55" i="1"/>
  <c r="BY54" i="1"/>
  <c r="BU54" i="1"/>
  <c r="BQ54" i="1"/>
  <c r="BQ55" i="1" s="1"/>
  <c r="BN54" i="1"/>
  <c r="BM54" i="1"/>
  <c r="AS52" i="1"/>
  <c r="CH51" i="1"/>
  <c r="CG51" i="1"/>
  <c r="CF51" i="1"/>
  <c r="BG51" i="1"/>
  <c r="BE51" i="1"/>
  <c r="BD51" i="1"/>
  <c r="AW51" i="1"/>
  <c r="AT51" i="1"/>
  <c r="AS51" i="1"/>
  <c r="AR51" i="1"/>
  <c r="AP51" i="1"/>
  <c r="AO51" i="1"/>
  <c r="AH51" i="1"/>
  <c r="AG51" i="1"/>
  <c r="AC51" i="1"/>
  <c r="V51" i="1"/>
  <c r="U51" i="1"/>
  <c r="T51" i="1"/>
  <c r="BR42" i="1"/>
  <c r="BQ42" i="1"/>
  <c r="BP42" i="1"/>
  <c r="BN42" i="1"/>
  <c r="BM42" i="1"/>
  <c r="BL42" i="1"/>
  <c r="BK42" i="1"/>
  <c r="BY35" i="1"/>
  <c r="CC35" i="1" s="1"/>
  <c r="BR35" i="1"/>
  <c r="BV35" i="1" s="1"/>
  <c r="BZ35" i="1" s="1"/>
  <c r="CD35" i="1" s="1"/>
  <c r="BN35" i="1"/>
  <c r="BM35" i="1"/>
  <c r="BQ35" i="1" s="1"/>
  <c r="BU35" i="1" s="1"/>
  <c r="BL35" i="1"/>
  <c r="BP35" i="1" s="1"/>
  <c r="BT35" i="1" s="1"/>
  <c r="BX35" i="1" s="1"/>
  <c r="CB35" i="1" s="1"/>
  <c r="BK35" i="1"/>
  <c r="BO35" i="1" s="1"/>
  <c r="BS35" i="1" s="1"/>
  <c r="BW35" i="1" s="1"/>
  <c r="CA35" i="1" s="1"/>
  <c r="BF27" i="1"/>
  <c r="BE27" i="1"/>
  <c r="BD27" i="1"/>
  <c r="BC27" i="1"/>
  <c r="BB27" i="1"/>
  <c r="BA27" i="1"/>
  <c r="AZ27" i="1"/>
  <c r="AY27" i="1"/>
  <c r="AX27" i="1"/>
  <c r="AW27" i="1"/>
  <c r="AV27" i="1"/>
  <c r="AU27" i="1"/>
  <c r="AT27" i="1"/>
  <c r="AS27" i="1"/>
  <c r="AR27" i="1"/>
  <c r="AQ27" i="1"/>
  <c r="AP27" i="1"/>
  <c r="AO27" i="1"/>
  <c r="AN27" i="1"/>
  <c r="AM27" i="1"/>
  <c r="AL27" i="1"/>
  <c r="AK27" i="1"/>
  <c r="AJ27" i="1"/>
  <c r="AI27" i="1"/>
  <c r="AH27" i="1"/>
  <c r="AG27" i="1"/>
  <c r="AF27" i="1"/>
  <c r="AE27" i="1"/>
  <c r="AD27" i="1"/>
  <c r="AC27" i="1"/>
  <c r="AB27" i="1"/>
  <c r="AA27" i="1"/>
  <c r="Z27" i="1"/>
  <c r="Y27" i="1"/>
  <c r="X27" i="1"/>
  <c r="W27" i="1"/>
  <c r="V27" i="1"/>
  <c r="U27" i="1"/>
  <c r="T27" i="1"/>
  <c r="S27" i="1"/>
  <c r="CL24" i="1"/>
  <c r="CK24" i="1"/>
  <c r="CJ24" i="1"/>
  <c r="CI24" i="1"/>
  <c r="AP24" i="1"/>
  <c r="AN24" i="1"/>
  <c r="AL24" i="1"/>
  <c r="AJ24" i="1"/>
  <c r="AH24" i="1"/>
  <c r="AD24" i="1"/>
  <c r="AC24" i="1"/>
  <c r="AB24" i="1"/>
  <c r="Y24" i="1"/>
  <c r="CL23" i="1"/>
  <c r="CK23" i="1"/>
  <c r="CJ23" i="1"/>
  <c r="CI23" i="1"/>
  <c r="BY20" i="1"/>
  <c r="BM20" i="1"/>
  <c r="BA20" i="1"/>
  <c r="AO20" i="1"/>
  <c r="AC20" i="1"/>
  <c r="CD17" i="1"/>
  <c r="CC17" i="1"/>
  <c r="CB17" i="1"/>
  <c r="CA17" i="1"/>
  <c r="BZ17" i="1"/>
  <c r="BY17" i="1"/>
  <c r="BX17" i="1"/>
  <c r="BW17" i="1"/>
  <c r="BV17" i="1"/>
  <c r="BU17" i="1"/>
  <c r="BT17" i="1"/>
  <c r="BS17" i="1"/>
  <c r="BR17" i="1"/>
  <c r="BQ17" i="1"/>
  <c r="BP17" i="1"/>
  <c r="BO17" i="1"/>
  <c r="BN17" i="1"/>
  <c r="BM17" i="1"/>
  <c r="BL17" i="1"/>
  <c r="BK17" i="1"/>
  <c r="BJ17" i="1"/>
  <c r="BI17" i="1"/>
  <c r="BH17" i="1"/>
  <c r="BG17" i="1"/>
  <c r="BF17" i="1"/>
  <c r="BE17" i="1"/>
  <c r="BD17" i="1"/>
  <c r="BC17" i="1"/>
  <c r="BB17" i="1"/>
  <c r="BA17" i="1"/>
  <c r="AZ17" i="1"/>
  <c r="AY17" i="1"/>
  <c r="AX17" i="1"/>
  <c r="AW17" i="1"/>
  <c r="AV17" i="1"/>
  <c r="AU17" i="1"/>
  <c r="AT17" i="1"/>
  <c r="AT24" i="1" s="1"/>
  <c r="AS17" i="1"/>
  <c r="AR17" i="1"/>
  <c r="AX15" i="1"/>
  <c r="AU15" i="1"/>
  <c r="AT15" i="1"/>
  <c r="AQ15" i="1"/>
  <c r="AH15" i="1"/>
  <c r="AD15" i="1"/>
  <c r="BW14" i="1"/>
  <c r="BW24" i="1" s="1"/>
  <c r="BV14" i="1"/>
  <c r="BK14" i="1"/>
  <c r="BJ14" i="1"/>
  <c r="BE14" i="1"/>
  <c r="BD14" i="1"/>
  <c r="BC14" i="1"/>
  <c r="BB14" i="1"/>
  <c r="BA14" i="1"/>
  <c r="AZ14" i="1"/>
  <c r="AY14" i="1"/>
  <c r="AX14" i="1"/>
  <c r="AW14" i="1"/>
  <c r="AV14" i="1"/>
  <c r="AZ15" i="1" s="1"/>
  <c r="AU14" i="1"/>
  <c r="AT14" i="1"/>
  <c r="AS14" i="1"/>
  <c r="AR14" i="1"/>
  <c r="AQ14" i="1"/>
  <c r="AQ24" i="1" s="1"/>
  <c r="AP14" i="1"/>
  <c r="AO14" i="1"/>
  <c r="AN14" i="1"/>
  <c r="AM14" i="1"/>
  <c r="AL14" i="1"/>
  <c r="AL15" i="1" s="1"/>
  <c r="AK14" i="1"/>
  <c r="AK24" i="1" s="1"/>
  <c r="AJ14" i="1"/>
  <c r="AI14" i="1"/>
  <c r="AI24" i="1" s="1"/>
  <c r="AH14" i="1"/>
  <c r="AG14" i="1"/>
  <c r="AG24" i="1" s="1"/>
  <c r="AF14" i="1"/>
  <c r="AF24" i="1" s="1"/>
  <c r="AE14" i="1"/>
  <c r="AE24" i="1" s="1"/>
  <c r="AD14" i="1"/>
  <c r="AC14" i="1"/>
  <c r="AC15" i="1" s="1"/>
  <c r="AB14" i="1"/>
  <c r="AA14" i="1"/>
  <c r="AA24" i="1" s="1"/>
  <c r="Z14" i="1"/>
  <c r="Z24" i="1" s="1"/>
  <c r="Y14" i="1"/>
  <c r="X14" i="1"/>
  <c r="X24" i="1" s="1"/>
  <c r="W14" i="1"/>
  <c r="W24" i="1" s="1"/>
  <c r="BB9" i="1"/>
  <c r="AX9" i="1"/>
  <c r="AW9" i="1"/>
  <c r="AQ9" i="1"/>
  <c r="AD9" i="1"/>
  <c r="AB9" i="1"/>
  <c r="BE8" i="1"/>
  <c r="BD8" i="1"/>
  <c r="BC8" i="1"/>
  <c r="BB8" i="1"/>
  <c r="BA8" i="1"/>
  <c r="AZ8" i="1"/>
  <c r="AY8" i="1"/>
  <c r="AX8" i="1"/>
  <c r="AW8" i="1"/>
  <c r="AV8" i="1"/>
  <c r="AU8" i="1"/>
  <c r="AT8" i="1"/>
  <c r="AS8" i="1"/>
  <c r="AR8" i="1"/>
  <c r="AQ8" i="1"/>
  <c r="AP8" i="1"/>
  <c r="AP9" i="1" s="1"/>
  <c r="AO8" i="1"/>
  <c r="AO9" i="1" s="1"/>
  <c r="AN8" i="1"/>
  <c r="AM8" i="1"/>
  <c r="AL8" i="1"/>
  <c r="AK8" i="1"/>
  <c r="AJ8" i="1"/>
  <c r="AI8" i="1"/>
  <c r="AH8" i="1"/>
  <c r="AH9" i="1" s="1"/>
  <c r="AG8" i="1"/>
  <c r="AG9" i="1" s="1"/>
  <c r="AF8" i="1"/>
  <c r="AJ9" i="1" s="1"/>
  <c r="AE8" i="1"/>
  <c r="AD8" i="1"/>
  <c r="AC8" i="1"/>
  <c r="AC9" i="1" s="1"/>
  <c r="AB8" i="1"/>
  <c r="AA8" i="1"/>
  <c r="Z8" i="1"/>
  <c r="Y8" i="1"/>
  <c r="X8" i="1"/>
  <c r="W8" i="1"/>
  <c r="CM6" i="1"/>
  <c r="CF6" i="1"/>
  <c r="CF5" i="1"/>
  <c r="T5" i="1"/>
  <c r="AT4" i="1"/>
  <c r="AX4" i="1" s="1"/>
  <c r="BB4" i="1" s="1"/>
  <c r="BF4" i="1" s="1"/>
  <c r="BJ4" i="1" s="1"/>
  <c r="BN4" i="1" s="1"/>
  <c r="BR4" i="1" s="1"/>
  <c r="AS4" i="1"/>
  <c r="AW4" i="1" s="1"/>
  <c r="BA4" i="1" s="1"/>
  <c r="BE4" i="1" s="1"/>
  <c r="BI4" i="1" s="1"/>
  <c r="BM4" i="1" s="1"/>
  <c r="BQ4" i="1" s="1"/>
  <c r="AR4" i="1"/>
  <c r="AV4" i="1" s="1"/>
  <c r="AZ4" i="1" s="1"/>
  <c r="BD4" i="1" s="1"/>
  <c r="BH4" i="1" s="1"/>
  <c r="BL4" i="1" s="1"/>
  <c r="BP4" i="1" s="1"/>
  <c r="AQ4" i="1"/>
  <c r="AU4" i="1" s="1"/>
  <c r="AY4" i="1" s="1"/>
  <c r="BC4" i="1" s="1"/>
  <c r="BG4" i="1" s="1"/>
  <c r="BK4" i="1" s="1"/>
  <c r="BO4" i="1" s="1"/>
  <c r="AP4" i="1"/>
  <c r="AO4" i="1"/>
  <c r="AN4" i="1"/>
  <c r="AM4" i="1"/>
  <c r="CG3" i="1"/>
  <c r="S3" i="1"/>
  <c r="BO14" i="1" l="1"/>
  <c r="CA14" i="1"/>
  <c r="AH20" i="1"/>
  <c r="AT20" i="1"/>
  <c r="BF20" i="1"/>
  <c r="BR20" i="1"/>
  <c r="BR21" i="1" s="1"/>
  <c r="CD20" i="1"/>
  <c r="BP14" i="1"/>
  <c r="CB14" i="1"/>
  <c r="CB15" i="1" s="1"/>
  <c r="W20" i="1"/>
  <c r="AI20" i="1"/>
  <c r="AI21" i="1" s="1"/>
  <c r="AU20" i="1"/>
  <c r="AU21" i="1" s="1"/>
  <c r="BG20" i="1"/>
  <c r="BS20" i="1"/>
  <c r="CC14" i="1"/>
  <c r="X20" i="1"/>
  <c r="BH20" i="1"/>
  <c r="BL21" i="1" s="1"/>
  <c r="BF14" i="1"/>
  <c r="BF15" i="1" s="1"/>
  <c r="BR14" i="1"/>
  <c r="CD14" i="1"/>
  <c r="Y20" i="1"/>
  <c r="AC21" i="1" s="1"/>
  <c r="AK20" i="1"/>
  <c r="AK21" i="1" s="1"/>
  <c r="AW20" i="1"/>
  <c r="AW21" i="1" s="1"/>
  <c r="BI20" i="1"/>
  <c r="BI21" i="1" s="1"/>
  <c r="BU20" i="1"/>
  <c r="BN20" i="1"/>
  <c r="AJ20" i="1"/>
  <c r="BG14" i="1"/>
  <c r="BG15" i="1" s="1"/>
  <c r="BS14" i="1"/>
  <c r="BW15" i="1" s="1"/>
  <c r="Z20" i="1"/>
  <c r="AD21" i="1" s="1"/>
  <c r="AL20" i="1"/>
  <c r="AX20" i="1"/>
  <c r="AX21" i="1" s="1"/>
  <c r="BJ20" i="1"/>
  <c r="BJ21" i="1" s="1"/>
  <c r="BV20" i="1"/>
  <c r="BZ21" i="1" s="1"/>
  <c r="BQ14" i="1"/>
  <c r="BQ15" i="1" s="1"/>
  <c r="BT20" i="1"/>
  <c r="BT21" i="1" s="1"/>
  <c r="BH14" i="1"/>
  <c r="BH15" i="1" s="1"/>
  <c r="BT14" i="1"/>
  <c r="AA20" i="1"/>
  <c r="AM20" i="1"/>
  <c r="AY20" i="1"/>
  <c r="BK20" i="1"/>
  <c r="BK21" i="1" s="1"/>
  <c r="BW20" i="1"/>
  <c r="BW21" i="1" s="1"/>
  <c r="AV20" i="1"/>
  <c r="AV21" i="1" s="1"/>
  <c r="BI14" i="1"/>
  <c r="BI15" i="1" s="1"/>
  <c r="BU14" i="1"/>
  <c r="BU15" i="1" s="1"/>
  <c r="AB20" i="1"/>
  <c r="AB21" i="1" s="1"/>
  <c r="AN20" i="1"/>
  <c r="AR21" i="1" s="1"/>
  <c r="AZ20" i="1"/>
  <c r="BL20" i="1"/>
  <c r="BX20" i="1"/>
  <c r="AD20" i="1"/>
  <c r="BB20" i="1"/>
  <c r="BB21" i="1" s="1"/>
  <c r="BL14" i="1"/>
  <c r="BL24" i="1" s="1"/>
  <c r="BX14" i="1"/>
  <c r="AE20" i="1"/>
  <c r="AE21" i="1" s="1"/>
  <c r="AQ20" i="1"/>
  <c r="AQ21" i="1" s="1"/>
  <c r="BC20" i="1"/>
  <c r="BC21" i="1" s="1"/>
  <c r="BO20" i="1"/>
  <c r="CA20" i="1"/>
  <c r="CA21" i="1" s="1"/>
  <c r="AP20" i="1"/>
  <c r="BZ20" i="1"/>
  <c r="AF20" i="1"/>
  <c r="AR20" i="1"/>
  <c r="BD20" i="1"/>
  <c r="BD21" i="1" s="1"/>
  <c r="CB20" i="1"/>
  <c r="CB21" i="1" s="1"/>
  <c r="BM14" i="1"/>
  <c r="BM24" i="1" s="1"/>
  <c r="BY14" i="1"/>
  <c r="BP20" i="1"/>
  <c r="BP21" i="1" s="1"/>
  <c r="BN14" i="1"/>
  <c r="BN15" i="1" s="1"/>
  <c r="BE18" i="1"/>
  <c r="AG20" i="1"/>
  <c r="AG21" i="1" s="1"/>
  <c r="AS20" i="1"/>
  <c r="BE20" i="1"/>
  <c r="BQ20" i="1"/>
  <c r="BD24" i="1"/>
  <c r="BP24" i="1"/>
  <c r="BP18" i="1"/>
  <c r="AV18" i="1"/>
  <c r="BH18" i="1"/>
  <c r="BT18" i="1"/>
  <c r="AJ21" i="1"/>
  <c r="BV15" i="1"/>
  <c r="BC18" i="1"/>
  <c r="BO18" i="1"/>
  <c r="AA21" i="1"/>
  <c r="AY21" i="1"/>
  <c r="AZ24" i="1"/>
  <c r="BX24" i="1"/>
  <c r="AP21" i="1"/>
  <c r="CB8" i="1"/>
  <c r="BS8" i="1"/>
  <c r="BS9" i="1" s="1"/>
  <c r="BQ8" i="1"/>
  <c r="BH8" i="1"/>
  <c r="BH9" i="1" s="1"/>
  <c r="BG8" i="1"/>
  <c r="BG9" i="1" s="1"/>
  <c r="CC8" i="1"/>
  <c r="BT8" i="1"/>
  <c r="AL11" i="1"/>
  <c r="AL23" i="1" s="1"/>
  <c r="Z11" i="1"/>
  <c r="Z23" i="1" s="1"/>
  <c r="AK11" i="1"/>
  <c r="AK23" i="1" s="1"/>
  <c r="AK139" i="1" s="1"/>
  <c r="Y11" i="1"/>
  <c r="Y23" i="1" s="1"/>
  <c r="AR11" i="1"/>
  <c r="AP11" i="1"/>
  <c r="AP23" i="1" s="1"/>
  <c r="AJ11" i="1"/>
  <c r="AJ23" i="1" s="1"/>
  <c r="X11" i="1"/>
  <c r="X23" i="1" s="1"/>
  <c r="AH11" i="1"/>
  <c r="AH23" i="1" s="1"/>
  <c r="AI11" i="1"/>
  <c r="W11" i="1"/>
  <c r="AA12" i="1" s="1"/>
  <c r="AD11" i="1"/>
  <c r="AG11" i="1"/>
  <c r="AF11" i="1"/>
  <c r="AO11" i="1"/>
  <c r="AO23" i="1" s="1"/>
  <c r="AQ11" i="1"/>
  <c r="AQ23" i="1" s="1"/>
  <c r="AE11" i="1"/>
  <c r="AE23" i="1" s="1"/>
  <c r="AC11" i="1"/>
  <c r="AN11" i="1"/>
  <c r="AN23" i="1" s="1"/>
  <c r="AB11" i="1"/>
  <c r="AB23" i="1" s="1"/>
  <c r="AM11" i="1"/>
  <c r="AM23" i="1" s="1"/>
  <c r="AA11" i="1"/>
  <c r="AA23" i="1" s="1"/>
  <c r="CA18" i="1"/>
  <c r="AZ21" i="1"/>
  <c r="BC24" i="1"/>
  <c r="BR18" i="1"/>
  <c r="CD24" i="1"/>
  <c r="BG21" i="1"/>
  <c r="BZ24" i="1"/>
  <c r="BQ18" i="1"/>
  <c r="BG18" i="1"/>
  <c r="BS18" i="1"/>
  <c r="AY18" i="1"/>
  <c r="BU18" i="1"/>
  <c r="BK18" i="1"/>
  <c r="CC18" i="1"/>
  <c r="BN21" i="1"/>
  <c r="BJ24" i="1"/>
  <c r="CD241" i="1"/>
  <c r="CD242" i="1"/>
  <c r="BF8" i="1"/>
  <c r="BF9" i="1" s="1"/>
  <c r="BR8" i="1"/>
  <c r="CD8" i="1"/>
  <c r="BR24" i="1"/>
  <c r="BQ302" i="1"/>
  <c r="BV18" i="1"/>
  <c r="BU240" i="1"/>
  <c r="BU242" i="1" s="1"/>
  <c r="BU8" i="1"/>
  <c r="BH302" i="1"/>
  <c r="BV8" i="1"/>
  <c r="BL18" i="1"/>
  <c r="BI240" i="1"/>
  <c r="BW8" i="1"/>
  <c r="AS24" i="1"/>
  <c r="BX8" i="1"/>
  <c r="BK302" i="1"/>
  <c r="BW302" i="1"/>
  <c r="BS302" i="1"/>
  <c r="BI8" i="1"/>
  <c r="BI9" i="1" s="1"/>
  <c r="AX18" i="1"/>
  <c r="BT302" i="1"/>
  <c r="BJ8" i="1"/>
  <c r="BW18" i="1"/>
  <c r="CV240" i="1"/>
  <c r="BK8" i="1"/>
  <c r="BE24" i="1"/>
  <c r="CC24" i="1"/>
  <c r="AZ18" i="1"/>
  <c r="BX18" i="1"/>
  <c r="BV240" i="1"/>
  <c r="BL8" i="1"/>
  <c r="CX302" i="1"/>
  <c r="BH400" i="1"/>
  <c r="BM8" i="1"/>
  <c r="BY8" i="1"/>
  <c r="AU24" i="1"/>
  <c r="BS24" i="1"/>
  <c r="CB302" i="1"/>
  <c r="BY21" i="1"/>
  <c r="BH234" i="1"/>
  <c r="BN8" i="1"/>
  <c r="BZ8" i="1"/>
  <c r="BH24" i="1"/>
  <c r="BX15" i="1"/>
  <c r="CD15" i="1"/>
  <c r="AT21" i="1"/>
  <c r="BF21" i="1"/>
  <c r="CD21" i="1"/>
  <c r="CB240" i="1"/>
  <c r="CB241" i="1" s="1"/>
  <c r="BM302" i="1"/>
  <c r="BY302" i="1"/>
  <c r="BT241" i="1"/>
  <c r="BO8" i="1"/>
  <c r="CA8" i="1"/>
  <c r="BP8" i="1"/>
  <c r="BP9" i="1" s="1"/>
  <c r="CA302" i="1"/>
  <c r="BW4" i="1"/>
  <c r="BS4" i="1"/>
  <c r="CA4" i="1" s="1"/>
  <c r="BX4" i="1"/>
  <c r="BT4" i="1"/>
  <c r="CB4" i="1" s="1"/>
  <c r="BU4" i="1"/>
  <c r="CC4" i="1" s="1"/>
  <c r="BY4" i="1"/>
  <c r="BV4" i="1"/>
  <c r="CD4" i="1" s="1"/>
  <c r="BZ4" i="1"/>
  <c r="AW457" i="1"/>
  <c r="AO133" i="1"/>
  <c r="AO134" i="1" s="1"/>
  <c r="AO130" i="1"/>
  <c r="CG5" i="1"/>
  <c r="CH3" i="1"/>
  <c r="AE9" i="1"/>
  <c r="BY18" i="1"/>
  <c r="BN55" i="1"/>
  <c r="BR54" i="1"/>
  <c r="AQ58" i="1"/>
  <c r="AU58" i="1"/>
  <c r="BU42" i="1"/>
  <c r="AL281" i="1"/>
  <c r="AL278" i="1"/>
  <c r="AL280" i="1"/>
  <c r="AL279" i="1"/>
  <c r="AP88" i="1"/>
  <c r="AP74" i="1"/>
  <c r="AK457" i="1"/>
  <c r="AF9" i="1"/>
  <c r="CC54" i="1"/>
  <c r="BY55" i="1"/>
  <c r="BD9" i="1"/>
  <c r="AK9" i="1"/>
  <c r="AS9" i="1"/>
  <c r="BE9" i="1"/>
  <c r="AR9" i="1"/>
  <c r="AR24" i="1"/>
  <c r="AR15" i="1"/>
  <c r="AT52" i="1"/>
  <c r="AL147" i="1"/>
  <c r="AL143" i="1"/>
  <c r="AL144" i="1" s="1"/>
  <c r="AJ238" i="1"/>
  <c r="AJ180" i="1"/>
  <c r="AJ51" i="1"/>
  <c r="AJ54" i="1" s="1"/>
  <c r="Y457" i="1"/>
  <c r="BA18" i="1"/>
  <c r="AW24" i="1"/>
  <c r="AW18" i="1"/>
  <c r="BQ70" i="1"/>
  <c r="BM70" i="1"/>
  <c r="AI9" i="1"/>
  <c r="AU9" i="1"/>
  <c r="AN9" i="1"/>
  <c r="AZ9" i="1"/>
  <c r="AV9" i="1"/>
  <c r="AY9" i="1"/>
  <c r="AW73" i="1"/>
  <c r="BC74" i="1"/>
  <c r="BO42" i="1"/>
  <c r="BM18" i="1"/>
  <c r="BI18" i="1"/>
  <c r="AA9" i="1"/>
  <c r="AF15" i="1"/>
  <c r="CC21" i="1"/>
  <c r="AO15" i="1"/>
  <c r="AO24" i="1"/>
  <c r="BA15" i="1"/>
  <c r="BA24" i="1"/>
  <c r="BM15" i="1"/>
  <c r="BG24" i="1"/>
  <c r="BV42" i="1"/>
  <c r="AW52" i="1"/>
  <c r="BT108" i="1"/>
  <c r="AD117" i="1"/>
  <c r="AQ129" i="1"/>
  <c r="AQ75" i="1"/>
  <c r="BX157" i="1"/>
  <c r="CB156" i="1"/>
  <c r="AT9" i="1"/>
  <c r="AA15" i="1"/>
  <c r="AS15" i="1"/>
  <c r="BK15" i="1"/>
  <c r="BJ18" i="1"/>
  <c r="CB18" i="1"/>
  <c r="BB58" i="1"/>
  <c r="BP88" i="1"/>
  <c r="BP74" i="1"/>
  <c r="AW88" i="1"/>
  <c r="AN97" i="1"/>
  <c r="AO97" i="1" s="1"/>
  <c r="AP97" i="1" s="1"/>
  <c r="AQ97" i="1" s="1"/>
  <c r="AR97" i="1" s="1"/>
  <c r="AS97" i="1" s="1"/>
  <c r="AT97" i="1" s="1"/>
  <c r="BY108" i="1"/>
  <c r="BU60" i="1"/>
  <c r="BU61" i="1" s="1"/>
  <c r="CC156" i="1"/>
  <c r="BY157" i="1"/>
  <c r="BO24" i="1"/>
  <c r="BO15" i="1"/>
  <c r="CA24" i="1"/>
  <c r="CA15" i="1"/>
  <c r="AB15" i="1"/>
  <c r="BA65" i="1"/>
  <c r="BA88" i="1"/>
  <c r="BP174" i="1"/>
  <c r="BL177" i="1"/>
  <c r="BM177" i="1" s="1"/>
  <c r="BN177" i="1" s="1"/>
  <c r="BO177" i="1" s="1"/>
  <c r="BP177" i="1" s="1"/>
  <c r="BQ177" i="1" s="1"/>
  <c r="BL168" i="1"/>
  <c r="AS58" i="1"/>
  <c r="AO58" i="1"/>
  <c r="AJ147" i="1"/>
  <c r="AJ143" i="1"/>
  <c r="AJ144" i="1" s="1"/>
  <c r="BB66" i="1"/>
  <c r="AM149" i="1"/>
  <c r="AM154" i="1"/>
  <c r="AY154" i="1"/>
  <c r="AN157" i="1"/>
  <c r="AR156" i="1"/>
  <c r="AN136" i="1"/>
  <c r="AN137" i="1" s="1"/>
  <c r="BW241" i="1"/>
  <c r="BW242" i="1"/>
  <c r="AE15" i="1"/>
  <c r="AV15" i="1"/>
  <c r="BB18" i="1"/>
  <c r="BB24" i="1"/>
  <c r="BN18" i="1"/>
  <c r="BN24" i="1"/>
  <c r="BZ18" i="1"/>
  <c r="AK147" i="1"/>
  <c r="AK143" i="1"/>
  <c r="AK144" i="1" s="1"/>
  <c r="BF66" i="1"/>
  <c r="BT70" i="1"/>
  <c r="AX74" i="1"/>
  <c r="AX81" i="1"/>
  <c r="AN149" i="1"/>
  <c r="AN154" i="1"/>
  <c r="AT156" i="1"/>
  <c r="AP136" i="1"/>
  <c r="AP137" i="1" s="1"/>
  <c r="AP149" i="1"/>
  <c r="AP157" i="1"/>
  <c r="AG15" i="1"/>
  <c r="BC15" i="1"/>
  <c r="BT15" i="1"/>
  <c r="BD18" i="1"/>
  <c r="AV24" i="1"/>
  <c r="AI147" i="1"/>
  <c r="AI143" i="1"/>
  <c r="AI144" i="1" s="1"/>
  <c r="AN92" i="1"/>
  <c r="AR92" i="1"/>
  <c r="BP92" i="1"/>
  <c r="BL87" i="1"/>
  <c r="BQ87" i="1"/>
  <c r="BU93" i="1"/>
  <c r="BQ94" i="1"/>
  <c r="BK108" i="1"/>
  <c r="BG60" i="1"/>
  <c r="BG61" i="1" s="1"/>
  <c r="BG110" i="1"/>
  <c r="BH110" i="1" s="1"/>
  <c r="BI110" i="1" s="1"/>
  <c r="BY165" i="1"/>
  <c r="BU162" i="1"/>
  <c r="BU163" i="1" s="1"/>
  <c r="BU166" i="1"/>
  <c r="BU69" i="1"/>
  <c r="BU70" i="1" s="1"/>
  <c r="CA174" i="1"/>
  <c r="CA168" i="1" s="1"/>
  <c r="CA76" i="1" s="1"/>
  <c r="BW168" i="1"/>
  <c r="BW76" i="1" s="1"/>
  <c r="BA275" i="1"/>
  <c r="BA277" i="1" s="1"/>
  <c r="BE81" i="1"/>
  <c r="BE84" i="1" s="1"/>
  <c r="BA82" i="1"/>
  <c r="AR94" i="1"/>
  <c r="AV93" i="1"/>
  <c r="AR87" i="1"/>
  <c r="AN15" i="1"/>
  <c r="AJ15" i="1"/>
  <c r="BA9" i="1"/>
  <c r="AW15" i="1"/>
  <c r="BV24" i="1"/>
  <c r="W116" i="1"/>
  <c r="AA57" i="1"/>
  <c r="AA117" i="1"/>
  <c r="Z117" i="1"/>
  <c r="AQ150" i="1"/>
  <c r="BV242" i="1"/>
  <c r="BV241" i="1"/>
  <c r="BD15" i="1"/>
  <c r="BS21" i="1"/>
  <c r="BO21" i="1"/>
  <c r="BT24" i="1"/>
  <c r="AM9" i="1"/>
  <c r="CD18" i="1"/>
  <c r="AY24" i="1"/>
  <c r="BH61" i="1"/>
  <c r="BE61" i="1"/>
  <c r="BG88" i="1"/>
  <c r="CF672" i="1"/>
  <c r="CF658" i="1"/>
  <c r="CF635" i="1"/>
  <c r="BB15" i="1"/>
  <c r="AX24" i="1"/>
  <c r="AK15" i="1"/>
  <c r="AS21" i="1"/>
  <c r="BE21" i="1"/>
  <c r="BQ21" i="1"/>
  <c r="AC23" i="1"/>
  <c r="V54" i="1"/>
  <c r="AQ73" i="1"/>
  <c r="AN87" i="1"/>
  <c r="AE117" i="1"/>
  <c r="AZ116" i="1"/>
  <c r="AV57" i="1"/>
  <c r="AV58" i="1" s="1"/>
  <c r="AI117" i="1"/>
  <c r="AZ154" i="1"/>
  <c r="AL9" i="1"/>
  <c r="BC9" i="1"/>
  <c r="AI15" i="1"/>
  <c r="BE15" i="1"/>
  <c r="BF18" i="1"/>
  <c r="T672" i="1"/>
  <c r="T658" i="1"/>
  <c r="T635" i="1"/>
  <c r="T509" i="1"/>
  <c r="U5" i="1"/>
  <c r="AM15" i="1"/>
  <c r="AM24" i="1"/>
  <c r="AY15" i="1"/>
  <c r="BK24" i="1"/>
  <c r="AP15" i="1"/>
  <c r="CC15" i="1"/>
  <c r="AH21" i="1"/>
  <c r="AL21" i="1"/>
  <c r="BY24" i="1"/>
  <c r="BT42" i="1"/>
  <c r="BJ84" i="1"/>
  <c r="BK74" i="1"/>
  <c r="BK88" i="1"/>
  <c r="AO88" i="1"/>
  <c r="AU156" i="1"/>
  <c r="AQ157" i="1"/>
  <c r="AQ136" i="1"/>
  <c r="AQ137" i="1" s="1"/>
  <c r="BK240" i="1"/>
  <c r="CX240" i="1"/>
  <c r="AS129" i="1"/>
  <c r="AS150" i="1"/>
  <c r="AN159" i="1"/>
  <c r="AO159" i="1" s="1"/>
  <c r="AP159" i="1" s="1"/>
  <c r="AQ159" i="1" s="1"/>
  <c r="AV220" i="1"/>
  <c r="AR220" i="1"/>
  <c r="BC292" i="1"/>
  <c r="BC295" i="1"/>
  <c r="BC291" i="1"/>
  <c r="AP58" i="1"/>
  <c r="AS73" i="1"/>
  <c r="CO110" i="1"/>
  <c r="AF117" i="1"/>
  <c r="AB116" i="1"/>
  <c r="BN162" i="1"/>
  <c r="BN163" i="1" s="1"/>
  <c r="BR165" i="1"/>
  <c r="BN166" i="1"/>
  <c r="AF238" i="1"/>
  <c r="AF180" i="1"/>
  <c r="AF51" i="1"/>
  <c r="AP180" i="1"/>
  <c r="W245" i="1"/>
  <c r="AA245" i="1"/>
  <c r="W237" i="1"/>
  <c r="AI245" i="1"/>
  <c r="AI237" i="1"/>
  <c r="AU237" i="1"/>
  <c r="AU245" i="1"/>
  <c r="BH249" i="1"/>
  <c r="BH237" i="1"/>
  <c r="BH250" i="1"/>
  <c r="BH245" i="1"/>
  <c r="BF291" i="1"/>
  <c r="AI279" i="1"/>
  <c r="AI280" i="1"/>
  <c r="AI281" i="1"/>
  <c r="AI278" i="1"/>
  <c r="AK92" i="1"/>
  <c r="AC116" i="1"/>
  <c r="BS165" i="1"/>
  <c r="BO166" i="1"/>
  <c r="AV238" i="1"/>
  <c r="AV180" i="1"/>
  <c r="BL94" i="1"/>
  <c r="AW238" i="1"/>
  <c r="AW180" i="1"/>
  <c r="BI87" i="1"/>
  <c r="BM88" i="1" s="1"/>
  <c r="AL92" i="1"/>
  <c r="BI92" i="1"/>
  <c r="AV51" i="1"/>
  <c r="AG57" i="1"/>
  <c r="AV60" i="1"/>
  <c r="AV61" i="1" s="1"/>
  <c r="BJ87" i="1"/>
  <c r="BN88" i="1" s="1"/>
  <c r="BN94" i="1"/>
  <c r="BR93" i="1"/>
  <c r="BM94" i="1"/>
  <c r="AU110" i="1"/>
  <c r="AU108" i="1" s="1"/>
  <c r="BC116" i="1"/>
  <c r="AT154" i="1"/>
  <c r="AT149" i="1"/>
  <c r="BG153" i="1"/>
  <c r="BF154" i="1"/>
  <c r="BZ15" i="1"/>
  <c r="BL60" i="1"/>
  <c r="BL61" i="1" s="1"/>
  <c r="BN74" i="1"/>
  <c r="AO92" i="1"/>
  <c r="BA92" i="1"/>
  <c r="CA93" i="1"/>
  <c r="CA94" i="1" s="1"/>
  <c r="BW94" i="1"/>
  <c r="BE116" i="1"/>
  <c r="AW117" i="1"/>
  <c r="BT157" i="1"/>
  <c r="BO162" i="1"/>
  <c r="BO163" i="1" s="1"/>
  <c r="BU168" i="1"/>
  <c r="BU76" i="1" s="1"/>
  <c r="BY174" i="1"/>
  <c r="BY136" i="1" s="1"/>
  <c r="BY137" i="1" s="1"/>
  <c r="BU136" i="1"/>
  <c r="BU137" i="1" s="1"/>
  <c r="AH193" i="1"/>
  <c r="AH192" i="1"/>
  <c r="AH194" i="1"/>
  <c r="AH189" i="1"/>
  <c r="AH191" i="1"/>
  <c r="Y230" i="1"/>
  <c r="Y231" i="1"/>
  <c r="AC230" i="1"/>
  <c r="Y237" i="1"/>
  <c r="AK230" i="1"/>
  <c r="AK237" i="1"/>
  <c r="AW230" i="1"/>
  <c r="AW231" i="1"/>
  <c r="BA230" i="1"/>
  <c r="BL235" i="1"/>
  <c r="BP229" i="1"/>
  <c r="BL231" i="1"/>
  <c r="BL234" i="1"/>
  <c r="CB242" i="1"/>
  <c r="AR288" i="1"/>
  <c r="AR287" i="1"/>
  <c r="BM61" i="1"/>
  <c r="BB92" i="1"/>
  <c r="AU93" i="1"/>
  <c r="AU96" i="1" s="1"/>
  <c r="AV96" i="1" s="1"/>
  <c r="AW96" i="1" s="1"/>
  <c r="AX96" i="1" s="1"/>
  <c r="AQ94" i="1"/>
  <c r="BT93" i="1"/>
  <c r="AL117" i="1"/>
  <c r="BF116" i="1"/>
  <c r="AX117" i="1"/>
  <c r="AW150" i="1"/>
  <c r="BR174" i="1"/>
  <c r="BN168" i="1"/>
  <c r="BN76" i="1" s="1"/>
  <c r="Z231" i="1"/>
  <c r="Z230" i="1"/>
  <c r="AL230" i="1"/>
  <c r="AL237" i="1"/>
  <c r="AL231" i="1"/>
  <c r="AX230" i="1"/>
  <c r="AX231" i="1"/>
  <c r="AO192" i="1"/>
  <c r="AO200" i="1" s="1"/>
  <c r="AO189" i="1"/>
  <c r="AO194" i="1"/>
  <c r="AO193" i="1"/>
  <c r="AO191" i="1"/>
  <c r="AO199" i="1" s="1"/>
  <c r="AO190" i="1"/>
  <c r="AZ61" i="1"/>
  <c r="AM88" i="1"/>
  <c r="AM74" i="1"/>
  <c r="BO88" i="1"/>
  <c r="AH117" i="1"/>
  <c r="AY117" i="1"/>
  <c r="AA231" i="1"/>
  <c r="AB231" i="1"/>
  <c r="AA230" i="1"/>
  <c r="AM237" i="1"/>
  <c r="AM231" i="1"/>
  <c r="AM230" i="1"/>
  <c r="AY230" i="1"/>
  <c r="AY231" i="1"/>
  <c r="AY237" i="1"/>
  <c r="BN234" i="1"/>
  <c r="BN235" i="1"/>
  <c r="BR229" i="1"/>
  <c r="AM286" i="1"/>
  <c r="AY286" i="1"/>
  <c r="BB154" i="1"/>
  <c r="BX165" i="1"/>
  <c r="BT166" i="1"/>
  <c r="AN231" i="1"/>
  <c r="AZ231" i="1"/>
  <c r="AT230" i="1"/>
  <c r="BX242" i="1"/>
  <c r="BX241" i="1"/>
  <c r="AC423" i="1"/>
  <c r="AC422" i="1" s="1"/>
  <c r="Z419" i="1"/>
  <c r="Z278" i="1"/>
  <c r="Z324" i="1"/>
  <c r="Z262" i="1"/>
  <c r="Z290" i="1"/>
  <c r="AD260" i="1"/>
  <c r="Z318" i="1"/>
  <c r="AD261" i="1"/>
  <c r="Z260" i="1"/>
  <c r="Z261" i="1"/>
  <c r="AO423" i="1"/>
  <c r="AL416" i="1"/>
  <c r="AL419" i="1"/>
  <c r="AL324" i="1"/>
  <c r="AP260" i="1"/>
  <c r="AL290" i="1"/>
  <c r="AL261" i="1"/>
  <c r="AP261" i="1"/>
  <c r="AL260" i="1"/>
  <c r="AX418" i="1"/>
  <c r="BA423" i="1"/>
  <c r="BA421" i="1" s="1"/>
  <c r="AX290" i="1"/>
  <c r="AX271" i="1"/>
  <c r="AX312" i="1"/>
  <c r="BB261" i="1"/>
  <c r="AX260" i="1"/>
  <c r="AX261" i="1"/>
  <c r="AX262" i="1"/>
  <c r="AX324" i="1"/>
  <c r="BB260" i="1"/>
  <c r="AN288" i="1"/>
  <c r="AQ154" i="1"/>
  <c r="BC154" i="1"/>
  <c r="BC237" i="1"/>
  <c r="BM240" i="1"/>
  <c r="BY240" i="1"/>
  <c r="AA418" i="1"/>
  <c r="AD423" i="1"/>
  <c r="AA360" i="1"/>
  <c r="AA278" i="1"/>
  <c r="AA262" i="1"/>
  <c r="AA318" i="1"/>
  <c r="AA312" i="1"/>
  <c r="AB262" i="1"/>
  <c r="AE261" i="1"/>
  <c r="AA260" i="1"/>
  <c r="AA290" i="1"/>
  <c r="AA261" i="1"/>
  <c r="AP423" i="1"/>
  <c r="AM262" i="1"/>
  <c r="AM318" i="1"/>
  <c r="AM271" i="1"/>
  <c r="AM290" i="1"/>
  <c r="AM312" i="1"/>
  <c r="AQ260" i="1"/>
  <c r="AQ261" i="1"/>
  <c r="AM260" i="1"/>
  <c r="AY416" i="1"/>
  <c r="BB423" i="1"/>
  <c r="AY271" i="1"/>
  <c r="AY290" i="1"/>
  <c r="AY261" i="1"/>
  <c r="AY262" i="1"/>
  <c r="BC261" i="1"/>
  <c r="AQ273" i="1"/>
  <c r="AQ272" i="1"/>
  <c r="AR154" i="1"/>
  <c r="BD154" i="1"/>
  <c r="AR189" i="1"/>
  <c r="AR191" i="1"/>
  <c r="AR199" i="1" s="1"/>
  <c r="AR193" i="1"/>
  <c r="AR190" i="1"/>
  <c r="AY220" i="1"/>
  <c r="AD231" i="1"/>
  <c r="AD237" i="1"/>
  <c r="AD230" i="1"/>
  <c r="AS180" i="1"/>
  <c r="AS238" i="1"/>
  <c r="BE180" i="1"/>
  <c r="BE238" i="1"/>
  <c r="AT191" i="1"/>
  <c r="AT199" i="1" s="1"/>
  <c r="AT193" i="1"/>
  <c r="AT190" i="1"/>
  <c r="AT192" i="1"/>
  <c r="AT200" i="1" s="1"/>
  <c r="AR194" i="1"/>
  <c r="AJ220" i="1"/>
  <c r="T231" i="1"/>
  <c r="S237" i="1"/>
  <c r="W230" i="1"/>
  <c r="AF231" i="1"/>
  <c r="AE231" i="1"/>
  <c r="AE237" i="1"/>
  <c r="AI230" i="1"/>
  <c r="AE230" i="1"/>
  <c r="AR231" i="1"/>
  <c r="AQ231" i="1"/>
  <c r="AQ237" i="1"/>
  <c r="AQ230" i="1"/>
  <c r="AC180" i="1"/>
  <c r="BH259" i="1"/>
  <c r="BH278" i="1" s="1"/>
  <c r="AT92" i="1"/>
  <c r="BF92" i="1"/>
  <c r="BR92" i="1"/>
  <c r="AT194" i="1"/>
  <c r="AL211" i="1"/>
  <c r="BC230" i="1"/>
  <c r="AH238" i="1"/>
  <c r="T291" i="1"/>
  <c r="AT87" i="1"/>
  <c r="BF87" i="1"/>
  <c r="BR87" i="1"/>
  <c r="BS91" i="1"/>
  <c r="BV156" i="1"/>
  <c r="AT238" i="1"/>
  <c r="BG230" i="1"/>
  <c r="Y253" i="1"/>
  <c r="Y254" i="1"/>
  <c r="AW211" i="1"/>
  <c r="AW220" i="1" s="1"/>
  <c r="AW254" i="1"/>
  <c r="AW253" i="1"/>
  <c r="AB330" i="1"/>
  <c r="AW136" i="1"/>
  <c r="AW137" i="1" s="1"/>
  <c r="AV154" i="1"/>
  <c r="BA156" i="1"/>
  <c r="AT203" i="1"/>
  <c r="BF220" i="1"/>
  <c r="BJ235" i="1"/>
  <c r="AH230" i="1"/>
  <c r="Z245" i="1"/>
  <c r="Z237" i="1"/>
  <c r="AX245" i="1"/>
  <c r="AX237" i="1"/>
  <c r="Z253" i="1"/>
  <c r="Z254" i="1"/>
  <c r="AX254" i="1"/>
  <c r="AX253" i="1"/>
  <c r="BJ284" i="1"/>
  <c r="BG288" i="1"/>
  <c r="BG287" i="1"/>
  <c r="BD189" i="1"/>
  <c r="BD191" i="1"/>
  <c r="BD194" i="1"/>
  <c r="X231" i="1"/>
  <c r="X230" i="1"/>
  <c r="X237" i="1"/>
  <c r="AJ231" i="1"/>
  <c r="AJ230" i="1"/>
  <c r="AV231" i="1"/>
  <c r="AV230" i="1"/>
  <c r="BK235" i="1"/>
  <c r="BK234" i="1"/>
  <c r="BO229" i="1"/>
  <c r="BB231" i="1"/>
  <c r="BZ242" i="1"/>
  <c r="AA237" i="1"/>
  <c r="AM245" i="1"/>
  <c r="AY245" i="1"/>
  <c r="AC257" i="1"/>
  <c r="AC254" i="1"/>
  <c r="BA257" i="1"/>
  <c r="BA254" i="1"/>
  <c r="BS241" i="1"/>
  <c r="AF253" i="1"/>
  <c r="AM254" i="1"/>
  <c r="BE261" i="1"/>
  <c r="AR262" i="1"/>
  <c r="AS271" i="1"/>
  <c r="AZ273" i="1"/>
  <c r="AX306" i="1"/>
  <c r="BI307" i="1"/>
  <c r="BI309" i="1" s="1"/>
  <c r="BJ285" i="1"/>
  <c r="Y290" i="1"/>
  <c r="BL302" i="1"/>
  <c r="BX302" i="1"/>
  <c r="V360" i="1"/>
  <c r="AH360" i="1"/>
  <c r="BF360" i="1"/>
  <c r="BJ369" i="1"/>
  <c r="AN254" i="1"/>
  <c r="AC416" i="1"/>
  <c r="AC261" i="1"/>
  <c r="AF423" i="1"/>
  <c r="AC312" i="1"/>
  <c r="AC290" i="1"/>
  <c r="AC260" i="1"/>
  <c r="AR423" i="1"/>
  <c r="AR421" i="1" s="1"/>
  <c r="AO416" i="1"/>
  <c r="AO261" i="1"/>
  <c r="AO271" i="1"/>
  <c r="AO419" i="1"/>
  <c r="AO360" i="1"/>
  <c r="AO290" i="1"/>
  <c r="AO312" i="1"/>
  <c r="BD423" i="1"/>
  <c r="BD422" i="1" s="1"/>
  <c r="BA261" i="1"/>
  <c r="BA360" i="1"/>
  <c r="BA312" i="1"/>
  <c r="BA262" i="1"/>
  <c r="BA324" i="1"/>
  <c r="BA290" i="1"/>
  <c r="T262" i="1"/>
  <c r="AS262" i="1"/>
  <c r="AD313" i="1"/>
  <c r="AD314" i="1"/>
  <c r="AD312" i="1"/>
  <c r="AD315" i="1"/>
  <c r="AP315" i="1"/>
  <c r="AP313" i="1"/>
  <c r="AP312" i="1"/>
  <c r="BB315" i="1"/>
  <c r="BB314" i="1"/>
  <c r="BB313" i="1"/>
  <c r="BB312" i="1"/>
  <c r="BC315" i="1"/>
  <c r="Z330" i="1"/>
  <c r="Z332" i="1"/>
  <c r="Z342" i="1"/>
  <c r="AB211" i="1"/>
  <c r="AB220" i="1" s="1"/>
  <c r="BD230" i="1"/>
  <c r="BJ234" i="1"/>
  <c r="BA237" i="1"/>
  <c r="AC220" i="1"/>
  <c r="AO220" i="1"/>
  <c r="BA220" i="1"/>
  <c r="AV253" i="1"/>
  <c r="AA254" i="1"/>
  <c r="AO254" i="1"/>
  <c r="BC254" i="1"/>
  <c r="Y260" i="1"/>
  <c r="AT262" i="1"/>
  <c r="AN272" i="1"/>
  <c r="AP286" i="1"/>
  <c r="BB286" i="1"/>
  <c r="BB290" i="1"/>
  <c r="BC296" i="1" s="1"/>
  <c r="AZ286" i="1"/>
  <c r="AT288" i="1"/>
  <c r="AC319" i="1"/>
  <c r="AC320" i="1"/>
  <c r="AC318" i="1"/>
  <c r="AC321" i="1"/>
  <c r="AO319" i="1"/>
  <c r="AO321" i="1"/>
  <c r="AO318" i="1"/>
  <c r="AS319" i="1"/>
  <c r="BA319" i="1"/>
  <c r="BE319" i="1"/>
  <c r="BA321" i="1"/>
  <c r="BA318" i="1"/>
  <c r="V327" i="1"/>
  <c r="V325" i="1"/>
  <c r="V324" i="1"/>
  <c r="V329" i="1"/>
  <c r="W327" i="1"/>
  <c r="Z326" i="1"/>
  <c r="Z325" i="1"/>
  <c r="AL325" i="1"/>
  <c r="AH327" i="1"/>
  <c r="AH326" i="1"/>
  <c r="AH325" i="1"/>
  <c r="AH329" i="1"/>
  <c r="AT329" i="1"/>
  <c r="AX325" i="1"/>
  <c r="AT324" i="1"/>
  <c r="AT325" i="1"/>
  <c r="AT327" i="1"/>
  <c r="AX326" i="1"/>
  <c r="AT326" i="1"/>
  <c r="BJ323" i="1"/>
  <c r="BF326" i="1"/>
  <c r="BF327" i="1"/>
  <c r="BF325" i="1"/>
  <c r="BF324" i="1"/>
  <c r="T360" i="1"/>
  <c r="BD211" i="1"/>
  <c r="BD220" i="1" s="1"/>
  <c r="AR230" i="1"/>
  <c r="BB237" i="1"/>
  <c r="AB237" i="1"/>
  <c r="AN237" i="1"/>
  <c r="AR238" i="1" s="1"/>
  <c r="AZ237" i="1"/>
  <c r="AD253" i="1"/>
  <c r="AP253" i="1"/>
  <c r="BB253" i="1"/>
  <c r="AB254" i="1"/>
  <c r="AP254" i="1"/>
  <c r="BD254" i="1"/>
  <c r="S418" i="1"/>
  <c r="S360" i="1"/>
  <c r="S318" i="1"/>
  <c r="S290" i="1"/>
  <c r="S291" i="1" s="1"/>
  <c r="AE418" i="1"/>
  <c r="AH423" i="1"/>
  <c r="AH421" i="1" s="1"/>
  <c r="AE428" i="1"/>
  <c r="AE318" i="1"/>
  <c r="AE360" i="1"/>
  <c r="AE290" i="1"/>
  <c r="AI295" i="1" s="1"/>
  <c r="AE260" i="1"/>
  <c r="AT423" i="1"/>
  <c r="AT421" i="1" s="1"/>
  <c r="AQ418" i="1"/>
  <c r="AQ428" i="1"/>
  <c r="AQ262" i="1"/>
  <c r="AQ318" i="1"/>
  <c r="AQ360" i="1"/>
  <c r="AQ290" i="1"/>
  <c r="BF423" i="1"/>
  <c r="BF421" i="1" s="1"/>
  <c r="BC418" i="1"/>
  <c r="BC360" i="1"/>
  <c r="BC318" i="1"/>
  <c r="BC262" i="1"/>
  <c r="BC260" i="1"/>
  <c r="BC271" i="1"/>
  <c r="AO260" i="1"/>
  <c r="AV262" i="1"/>
  <c r="AW271" i="1"/>
  <c r="BE280" i="1"/>
  <c r="BE279" i="1"/>
  <c r="BE278" i="1"/>
  <c r="AC278" i="1"/>
  <c r="CQ307" i="1"/>
  <c r="BA287" i="1"/>
  <c r="AR312" i="1"/>
  <c r="AK329" i="1"/>
  <c r="Z331" i="1"/>
  <c r="AT360" i="1"/>
  <c r="AQ254" i="1"/>
  <c r="W423" i="1"/>
  <c r="T419" i="1"/>
  <c r="T318" i="1"/>
  <c r="T278" i="1"/>
  <c r="AI423" i="1"/>
  <c r="AF419" i="1"/>
  <c r="AF260" i="1"/>
  <c r="AF360" i="1"/>
  <c r="AF290" i="1"/>
  <c r="AF324" i="1"/>
  <c r="AF318" i="1"/>
  <c r="AF278" i="1"/>
  <c r="AU423" i="1"/>
  <c r="AU422" i="1" s="1"/>
  <c r="AR419" i="1"/>
  <c r="AR360" i="1"/>
  <c r="AR260" i="1"/>
  <c r="AR271" i="1"/>
  <c r="AR290" i="1"/>
  <c r="AR418" i="1"/>
  <c r="BD419" i="1"/>
  <c r="BD260" i="1"/>
  <c r="BD262" i="1"/>
  <c r="BD360" i="1"/>
  <c r="BD318" i="1"/>
  <c r="BD290" i="1"/>
  <c r="AT272" i="1"/>
  <c r="BG281" i="1"/>
  <c r="BA307" i="1"/>
  <c r="BA288" i="1"/>
  <c r="AJ291" i="1"/>
  <c r="AJ292" i="1"/>
  <c r="AJ295" i="1"/>
  <c r="AJ296" i="1"/>
  <c r="AJ294" i="1"/>
  <c r="BP302" i="1"/>
  <c r="BB338" i="1"/>
  <c r="BB330" i="1"/>
  <c r="AY253" i="1"/>
  <c r="AD254" i="1"/>
  <c r="W257" i="1"/>
  <c r="AI257" i="1"/>
  <c r="AU257" i="1"/>
  <c r="BG259" i="1"/>
  <c r="BG360" i="1" s="1"/>
  <c r="BG257" i="1"/>
  <c r="X423" i="1"/>
  <c r="X422" i="1" s="1"/>
  <c r="U416" i="1"/>
  <c r="U419" i="1"/>
  <c r="U290" i="1"/>
  <c r="U360" i="1"/>
  <c r="U278" i="1"/>
  <c r="U262" i="1"/>
  <c r="U312" i="1"/>
  <c r="AG419" i="1"/>
  <c r="AJ423" i="1"/>
  <c r="AJ422" i="1" s="1"/>
  <c r="AG416" i="1"/>
  <c r="AG290" i="1"/>
  <c r="AH296" i="1" s="1"/>
  <c r="AG360" i="1"/>
  <c r="AG261" i="1"/>
  <c r="AG324" i="1"/>
  <c r="AG262" i="1"/>
  <c r="AV423" i="1"/>
  <c r="AS419" i="1"/>
  <c r="AS416" i="1"/>
  <c r="AS290" i="1"/>
  <c r="AS324" i="1"/>
  <c r="AS312" i="1"/>
  <c r="AS418" i="1"/>
  <c r="AS260" i="1"/>
  <c r="BE419" i="1"/>
  <c r="BE290" i="1"/>
  <c r="BE360" i="1"/>
  <c r="BE312" i="1"/>
  <c r="BE271" i="1"/>
  <c r="BE416" i="1"/>
  <c r="AF261" i="1"/>
  <c r="AW261" i="1"/>
  <c r="AC262" i="1"/>
  <c r="BA271" i="1"/>
  <c r="AU272" i="1"/>
  <c r="BH281" i="1"/>
  <c r="AN290" i="1"/>
  <c r="AJ312" i="1"/>
  <c r="AP314" i="1"/>
  <c r="BF331" i="1"/>
  <c r="BF338" i="1"/>
  <c r="BF342" i="1"/>
  <c r="BF330" i="1"/>
  <c r="T211" i="1"/>
  <c r="X220" i="1" s="1"/>
  <c r="AG238" i="1"/>
  <c r="CA241" i="1"/>
  <c r="AE245" i="1"/>
  <c r="AQ245" i="1"/>
  <c r="BC245" i="1"/>
  <c r="BA253" i="1"/>
  <c r="AE254" i="1"/>
  <c r="BE257" i="1"/>
  <c r="Y423" i="1"/>
  <c r="Y421" i="1" s="1"/>
  <c r="V416" i="1"/>
  <c r="V290" i="1"/>
  <c r="AK423" i="1"/>
  <c r="AH416" i="1"/>
  <c r="AH278" i="1"/>
  <c r="AW423" i="1"/>
  <c r="AW422" i="1" s="1"/>
  <c r="AT416" i="1"/>
  <c r="AT290" i="1"/>
  <c r="AT261" i="1"/>
  <c r="BF418" i="1"/>
  <c r="BF262" i="1"/>
  <c r="BF260" i="1"/>
  <c r="BF416" i="1"/>
  <c r="AU260" i="1"/>
  <c r="AH261" i="1"/>
  <c r="AE262" i="1"/>
  <c r="BB262" i="1"/>
  <c r="BD271" i="1"/>
  <c r="BF286" i="1"/>
  <c r="BF277" i="1"/>
  <c r="AG278" i="1"/>
  <c r="AM307" i="1"/>
  <c r="BE287" i="1"/>
  <c r="BC288" i="1"/>
  <c r="AP290" i="1"/>
  <c r="AE315" i="1"/>
  <c r="V418" i="1"/>
  <c r="AG230" i="1"/>
  <c r="AS230" i="1"/>
  <c r="BE230" i="1"/>
  <c r="BI229" i="1"/>
  <c r="BE231" i="1"/>
  <c r="BF237" i="1"/>
  <c r="AZ245" i="1"/>
  <c r="BQ240" i="1"/>
  <c r="CC240" i="1"/>
  <c r="AM253" i="1"/>
  <c r="AV254" i="1"/>
  <c r="Y257" i="1"/>
  <c r="AK257" i="1"/>
  <c r="AW257" i="1"/>
  <c r="Z423" i="1"/>
  <c r="Z422" i="1" s="1"/>
  <c r="W262" i="1"/>
  <c r="W416" i="1"/>
  <c r="W318" i="1"/>
  <c r="W278" i="1"/>
  <c r="W312" i="1"/>
  <c r="W290" i="1"/>
  <c r="AL423" i="1"/>
  <c r="AL421" i="1" s="1"/>
  <c r="AI262" i="1"/>
  <c r="AI261" i="1"/>
  <c r="AG260" i="1"/>
  <c r="AF262" i="1"/>
  <c r="BE262" i="1"/>
  <c r="BF271" i="1"/>
  <c r="AU290" i="1"/>
  <c r="AU286" i="1"/>
  <c r="BG278" i="1"/>
  <c r="BE306" i="1"/>
  <c r="AW290" i="1"/>
  <c r="AI296" i="1"/>
  <c r="X312" i="1"/>
  <c r="X313" i="1"/>
  <c r="X315" i="1"/>
  <c r="AJ313" i="1"/>
  <c r="AJ315" i="1"/>
  <c r="AJ314" i="1"/>
  <c r="AV314" i="1"/>
  <c r="AV312" i="1"/>
  <c r="AV315" i="1"/>
  <c r="BH314" i="1"/>
  <c r="BL311" i="1"/>
  <c r="AT312" i="1"/>
  <c r="V321" i="1"/>
  <c r="V318" i="1"/>
  <c r="W321" i="1"/>
  <c r="AH321" i="1"/>
  <c r="AH319" i="1"/>
  <c r="AH318" i="1"/>
  <c r="AL320" i="1"/>
  <c r="AH320" i="1"/>
  <c r="AT320" i="1"/>
  <c r="AU321" i="1"/>
  <c r="AT319" i="1"/>
  <c r="AT321" i="1"/>
  <c r="BF320" i="1"/>
  <c r="BF321" i="1"/>
  <c r="BJ317" i="1"/>
  <c r="BF319" i="1"/>
  <c r="BF318" i="1"/>
  <c r="AA326" i="1"/>
  <c r="AA327" i="1"/>
  <c r="AA324" i="1"/>
  <c r="AA329" i="1"/>
  <c r="AB333" i="1" s="1"/>
  <c r="AM325" i="1"/>
  <c r="AM329" i="1"/>
  <c r="AN333" i="1" s="1"/>
  <c r="AM327" i="1"/>
  <c r="AN327" i="1"/>
  <c r="AM324" i="1"/>
  <c r="AM326" i="1"/>
  <c r="AY327" i="1"/>
  <c r="AY329" i="1"/>
  <c r="AY325" i="1"/>
  <c r="AY324" i="1"/>
  <c r="AG203" i="1"/>
  <c r="AG193" i="1"/>
  <c r="AG190" i="1"/>
  <c r="AG245" i="1"/>
  <c r="AS245" i="1"/>
  <c r="BE245" i="1"/>
  <c r="W254" i="1"/>
  <c r="AI254" i="1"/>
  <c r="AU254" i="1"/>
  <c r="BG254" i="1"/>
  <c r="BK254" i="1" s="1"/>
  <c r="BO254" i="1" s="1"/>
  <c r="BS254" i="1" s="1"/>
  <c r="BW254" i="1" s="1"/>
  <c r="CA254" i="1" s="1"/>
  <c r="AO253" i="1"/>
  <c r="AS257" i="1"/>
  <c r="AA423" i="1"/>
  <c r="AA422" i="1" s="1"/>
  <c r="X416" i="1"/>
  <c r="X418" i="1"/>
  <c r="X290" i="1"/>
  <c r="X262" i="1"/>
  <c r="AJ416" i="1"/>
  <c r="AM423" i="1"/>
  <c r="AY423" i="1"/>
  <c r="AY422" i="1" s="1"/>
  <c r="AV416" i="1"/>
  <c r="AV271" i="1"/>
  <c r="AV290" i="1"/>
  <c r="AV261" i="1"/>
  <c r="AZ261" i="1"/>
  <c r="AH262" i="1"/>
  <c r="AJ277" i="1"/>
  <c r="AO307" i="1"/>
  <c r="BE307" i="1"/>
  <c r="Y312" i="1"/>
  <c r="Y315" i="1"/>
  <c r="Y313" i="1"/>
  <c r="Z315" i="1"/>
  <c r="Y314" i="1"/>
  <c r="AK312" i="1"/>
  <c r="AK315" i="1"/>
  <c r="AL315" i="1"/>
  <c r="AK314" i="1"/>
  <c r="AW312" i="1"/>
  <c r="BA313" i="1"/>
  <c r="AW313" i="1"/>
  <c r="AW314" i="1"/>
  <c r="BM311" i="1"/>
  <c r="BC312" i="1"/>
  <c r="AQ315" i="1"/>
  <c r="AI318" i="1"/>
  <c r="AN332" i="1"/>
  <c r="AN338" i="1"/>
  <c r="AN342" i="1"/>
  <c r="AN330" i="1"/>
  <c r="AU327" i="1"/>
  <c r="AB423" i="1"/>
  <c r="Y416" i="1"/>
  <c r="Y419" i="1"/>
  <c r="Y278" i="1"/>
  <c r="Y324" i="1"/>
  <c r="AK416" i="1"/>
  <c r="AN423" i="1"/>
  <c r="AK418" i="1"/>
  <c r="AK290" i="1"/>
  <c r="AK324" i="1"/>
  <c r="AK318" i="1"/>
  <c r="AK262" i="1"/>
  <c r="AW416" i="1"/>
  <c r="AZ423" i="1"/>
  <c r="AW324" i="1"/>
  <c r="AW360" i="1"/>
  <c r="AW318" i="1"/>
  <c r="AW262" i="1"/>
  <c r="AK277" i="1"/>
  <c r="AW277" i="1"/>
  <c r="AW286" i="1"/>
  <c r="AZ290" i="1"/>
  <c r="BO314" i="1"/>
  <c r="BS311" i="1"/>
  <c r="BD312" i="1"/>
  <c r="U324" i="1"/>
  <c r="AL326" i="1"/>
  <c r="AO287" i="1"/>
  <c r="AL312" i="1"/>
  <c r="BJ311" i="1"/>
  <c r="AN312" i="1"/>
  <c r="AR315" i="1"/>
  <c r="AA319" i="1"/>
  <c r="U321" i="1"/>
  <c r="BG327" i="1"/>
  <c r="BA327" i="1"/>
  <c r="BE288" i="1"/>
  <c r="AA314" i="1"/>
  <c r="AA315" i="1"/>
  <c r="AA313" i="1"/>
  <c r="AM315" i="1"/>
  <c r="AM313" i="1"/>
  <c r="AY312" i="1"/>
  <c r="AY315" i="1"/>
  <c r="V312" i="1"/>
  <c r="AQ313" i="1"/>
  <c r="Z314" i="1"/>
  <c r="AU314" i="1"/>
  <c r="AS315" i="1"/>
  <c r="BK315" i="1"/>
  <c r="AZ324" i="1"/>
  <c r="BB327" i="1"/>
  <c r="X360" i="1"/>
  <c r="AJ360" i="1"/>
  <c r="AV360" i="1"/>
  <c r="V419" i="1"/>
  <c r="AH419" i="1"/>
  <c r="AT419" i="1"/>
  <c r="BF419" i="1"/>
  <c r="AB315" i="1"/>
  <c r="AB313" i="1"/>
  <c r="AN314" i="1"/>
  <c r="AB314" i="1"/>
  <c r="AC315" i="1"/>
  <c r="AE330" i="1"/>
  <c r="AE332" i="1"/>
  <c r="BH288" i="1"/>
  <c r="BH287" i="1"/>
  <c r="Z312" i="1"/>
  <c r="AE314" i="1"/>
  <c r="AX314" i="1"/>
  <c r="AG318" i="1"/>
  <c r="AS318" i="1"/>
  <c r="BE320" i="1"/>
  <c r="BE321" i="1"/>
  <c r="BE318" i="1"/>
  <c r="AE319" i="1"/>
  <c r="AV319" i="1"/>
  <c r="AM320" i="1"/>
  <c r="AC327" i="1"/>
  <c r="Z362" i="1"/>
  <c r="AE423" i="1"/>
  <c r="AE421" i="1" s="1"/>
  <c r="AB416" i="1"/>
  <c r="AB419" i="1"/>
  <c r="AB418" i="1"/>
  <c r="AQ423" i="1"/>
  <c r="AQ421" i="1" s="1"/>
  <c r="AN419" i="1"/>
  <c r="AN418" i="1"/>
  <c r="BC423" i="1"/>
  <c r="BC421" i="1" s="1"/>
  <c r="AZ432" i="1"/>
  <c r="AZ262" i="1"/>
  <c r="AN262" i="1"/>
  <c r="AP272" i="1"/>
  <c r="AB290" i="1"/>
  <c r="S312" i="1"/>
  <c r="AE312" i="1"/>
  <c r="AQ312" i="1"/>
  <c r="AB312" i="1"/>
  <c r="AE313" i="1"/>
  <c r="AZ314" i="1"/>
  <c r="W320" i="1"/>
  <c r="W329" i="1"/>
  <c r="W319" i="1"/>
  <c r="AI319" i="1"/>
  <c r="AI329" i="1"/>
  <c r="BG321" i="1"/>
  <c r="AG319" i="1"/>
  <c r="AS320" i="1"/>
  <c r="AG321" i="1"/>
  <c r="AB326" i="1"/>
  <c r="AB327" i="1"/>
  <c r="AB324" i="1"/>
  <c r="AB325" i="1"/>
  <c r="AZ327" i="1"/>
  <c r="AZ325" i="1"/>
  <c r="AZ329" i="1"/>
  <c r="AZ326" i="1"/>
  <c r="AF327" i="1"/>
  <c r="AB360" i="1"/>
  <c r="T416" i="1"/>
  <c r="X415" i="1"/>
  <c r="AF415" i="1"/>
  <c r="AJ415" i="1"/>
  <c r="AF416" i="1"/>
  <c r="AR415" i="1"/>
  <c r="AR416" i="1"/>
  <c r="BH414" i="1"/>
  <c r="BD445" i="1"/>
  <c r="BD416" i="1"/>
  <c r="BD415" i="1"/>
  <c r="AV287" i="1"/>
  <c r="BI302" i="1"/>
  <c r="BI303" i="1" s="1"/>
  <c r="CV302" i="1"/>
  <c r="AF314" i="1"/>
  <c r="AR313" i="1"/>
  <c r="AR314" i="1"/>
  <c r="BD315" i="1"/>
  <c r="BD313" i="1"/>
  <c r="AF313" i="1"/>
  <c r="BC314" i="1"/>
  <c r="AG315" i="1"/>
  <c r="AZ315" i="1"/>
  <c r="X320" i="1"/>
  <c r="X318" i="1"/>
  <c r="X321" i="1"/>
  <c r="X319" i="1"/>
  <c r="AB320" i="1"/>
  <c r="AJ320" i="1"/>
  <c r="AJ318" i="1"/>
  <c r="AN319" i="1"/>
  <c r="AN320" i="1"/>
  <c r="AV320" i="1"/>
  <c r="AV318" i="1"/>
  <c r="AZ319" i="1"/>
  <c r="BH320" i="1"/>
  <c r="BH318" i="1"/>
  <c r="BL317" i="1"/>
  <c r="AC329" i="1"/>
  <c r="AC324" i="1"/>
  <c r="AC326" i="1"/>
  <c r="AO326" i="1"/>
  <c r="AO329" i="1"/>
  <c r="AO327" i="1"/>
  <c r="AO324" i="1"/>
  <c r="AG325" i="1"/>
  <c r="BD325" i="1"/>
  <c r="BA326" i="1"/>
  <c r="AV329" i="1"/>
  <c r="AN360" i="1"/>
  <c r="AD419" i="1"/>
  <c r="AD418" i="1"/>
  <c r="AG423" i="1"/>
  <c r="AG422" i="1" s="1"/>
  <c r="AD416" i="1"/>
  <c r="AD262" i="1"/>
  <c r="AP418" i="1"/>
  <c r="AP416" i="1"/>
  <c r="AP419" i="1"/>
  <c r="AS423" i="1"/>
  <c r="BE423" i="1"/>
  <c r="BB419" i="1"/>
  <c r="BB418" i="1"/>
  <c r="BB271" i="1"/>
  <c r="AP262" i="1"/>
  <c r="AD290" i="1"/>
  <c r="AH295" i="1" s="1"/>
  <c r="AG312" i="1"/>
  <c r="AF312" i="1"/>
  <c r="AZ312" i="1"/>
  <c r="AY313" i="1"/>
  <c r="BD314" i="1"/>
  <c r="Y321" i="1"/>
  <c r="Y318" i="1"/>
  <c r="Y329" i="1"/>
  <c r="Z333" i="1" s="1"/>
  <c r="AK321" i="1"/>
  <c r="AK320" i="1"/>
  <c r="AK319" i="1"/>
  <c r="AW319" i="1"/>
  <c r="BI317" i="1"/>
  <c r="U318" i="1"/>
  <c r="AN318" i="1"/>
  <c r="AJ319" i="1"/>
  <c r="Y320" i="1"/>
  <c r="AU320" i="1"/>
  <c r="AI321" i="1"/>
  <c r="BH321" i="1"/>
  <c r="AD326" i="1"/>
  <c r="AD329" i="1"/>
  <c r="AD327" i="1"/>
  <c r="AD324" i="1"/>
  <c r="AD325" i="1"/>
  <c r="AP326" i="1"/>
  <c r="AP327" i="1"/>
  <c r="AP329" i="1"/>
  <c r="BE325" i="1"/>
  <c r="AW329" i="1"/>
  <c r="AD360" i="1"/>
  <c r="BB360" i="1"/>
  <c r="BC307" i="1"/>
  <c r="AH313" i="1"/>
  <c r="AH314" i="1"/>
  <c r="AT313" i="1"/>
  <c r="AT314" i="1"/>
  <c r="BF313" i="1"/>
  <c r="BF314" i="1"/>
  <c r="AH312" i="1"/>
  <c r="AZ313" i="1"/>
  <c r="AL314" i="1"/>
  <c r="BE315" i="1"/>
  <c r="Z319" i="1"/>
  <c r="Z321" i="1"/>
  <c r="Z320" i="1"/>
  <c r="AL321" i="1"/>
  <c r="AL318" i="1"/>
  <c r="AL329" i="1"/>
  <c r="AL319" i="1"/>
  <c r="AX321" i="1"/>
  <c r="AX320" i="1"/>
  <c r="AX319" i="1"/>
  <c r="AX329" i="1"/>
  <c r="BB331" i="1" s="1"/>
  <c r="BB319" i="1"/>
  <c r="AJ321" i="1"/>
  <c r="S324" i="1"/>
  <c r="S329" i="1"/>
  <c r="AE326" i="1"/>
  <c r="AE324" i="1"/>
  <c r="AE325" i="1"/>
  <c r="AQ326" i="1"/>
  <c r="AQ324" i="1"/>
  <c r="AQ329" i="1"/>
  <c r="AQ327" i="1"/>
  <c r="BC326" i="1"/>
  <c r="BC324" i="1"/>
  <c r="BC329" i="1"/>
  <c r="BC327" i="1"/>
  <c r="AN324" i="1"/>
  <c r="AI326" i="1"/>
  <c r="BG326" i="1"/>
  <c r="AP360" i="1"/>
  <c r="BE450" i="1"/>
  <c r="BE386" i="1"/>
  <c r="W315" i="1"/>
  <c r="AI315" i="1"/>
  <c r="AU315" i="1"/>
  <c r="AU312" i="1"/>
  <c r="BG315" i="1"/>
  <c r="BG313" i="1"/>
  <c r="AI312" i="1"/>
  <c r="BC313" i="1"/>
  <c r="AM314" i="1"/>
  <c r="BG314" i="1"/>
  <c r="BF315" i="1"/>
  <c r="AB321" i="1"/>
  <c r="AA321" i="1"/>
  <c r="AQ320" i="1"/>
  <c r="AM321" i="1"/>
  <c r="AY321" i="1"/>
  <c r="AY318" i="1"/>
  <c r="BC319" i="1"/>
  <c r="BO317" i="1"/>
  <c r="BK321" i="1"/>
  <c r="BK320" i="1"/>
  <c r="AP319" i="1"/>
  <c r="BH319" i="1"/>
  <c r="AE320" i="1"/>
  <c r="AY320" i="1"/>
  <c r="AN321" i="1"/>
  <c r="T329" i="1"/>
  <c r="T327" i="1"/>
  <c r="AF329" i="1"/>
  <c r="AF325" i="1"/>
  <c r="AF326" i="1"/>
  <c r="AR329" i="1"/>
  <c r="AR326" i="1"/>
  <c r="AR327" i="1"/>
  <c r="AR324" i="1"/>
  <c r="AR325" i="1"/>
  <c r="BD329" i="1"/>
  <c r="BD327" i="1"/>
  <c r="T324" i="1"/>
  <c r="AP324" i="1"/>
  <c r="AJ326" i="1"/>
  <c r="BH326" i="1"/>
  <c r="BA329" i="1"/>
  <c r="T430" i="1"/>
  <c r="T437" i="1" s="1"/>
  <c r="T434" i="1"/>
  <c r="W360" i="1"/>
  <c r="AI360" i="1"/>
  <c r="Z360" i="1"/>
  <c r="AV430" i="1"/>
  <c r="AV434" i="1"/>
  <c r="AV427" i="1"/>
  <c r="AV428" i="1"/>
  <c r="AZ427" i="1"/>
  <c r="BE400" i="1"/>
  <c r="AK427" i="1"/>
  <c r="BJ302" i="1"/>
  <c r="BJ303" i="1" s="1"/>
  <c r="BV302" i="1"/>
  <c r="CW302" i="1"/>
  <c r="BB320" i="1"/>
  <c r="U329" i="1"/>
  <c r="Y325" i="1"/>
  <c r="U327" i="1"/>
  <c r="AG329" i="1"/>
  <c r="AS329" i="1"/>
  <c r="BE329" i="1"/>
  <c r="BF333" i="1" s="1"/>
  <c r="BE326" i="1"/>
  <c r="BI323" i="1"/>
  <c r="BE324" i="1"/>
  <c r="Y326" i="1"/>
  <c r="AS326" i="1"/>
  <c r="AY400" i="1"/>
  <c r="AX434" i="1"/>
  <c r="AX428" i="1"/>
  <c r="AX427" i="1"/>
  <c r="AX430" i="1"/>
  <c r="AC421" i="1"/>
  <c r="AC426" i="1"/>
  <c r="AC418" i="1"/>
  <c r="AO426" i="1"/>
  <c r="AO421" i="1"/>
  <c r="AO418" i="1"/>
  <c r="BA418" i="1"/>
  <c r="BA426" i="1"/>
  <c r="AL360" i="1"/>
  <c r="AX360" i="1"/>
  <c r="AA426" i="1"/>
  <c r="AM430" i="1"/>
  <c r="AM427" i="1"/>
  <c r="AM434" i="1"/>
  <c r="AM428" i="1"/>
  <c r="AN457" i="1"/>
  <c r="AD321" i="1"/>
  <c r="AP321" i="1"/>
  <c r="BB321" i="1"/>
  <c r="AP320" i="1"/>
  <c r="W325" i="1"/>
  <c r="W324" i="1"/>
  <c r="AI325" i="1"/>
  <c r="AI327" i="1"/>
  <c r="AI324" i="1"/>
  <c r="AU325" i="1"/>
  <c r="BG325" i="1"/>
  <c r="BK323" i="1"/>
  <c r="BG329" i="1"/>
  <c r="BG324" i="1"/>
  <c r="AU326" i="1"/>
  <c r="Y400" i="1"/>
  <c r="AK400" i="1"/>
  <c r="AW400" i="1"/>
  <c r="X325" i="1"/>
  <c r="X327" i="1"/>
  <c r="X329" i="1"/>
  <c r="AB331" i="1" s="1"/>
  <c r="AJ325" i="1"/>
  <c r="AJ327" i="1"/>
  <c r="AJ324" i="1"/>
  <c r="AJ329" i="1"/>
  <c r="AV325" i="1"/>
  <c r="AV327" i="1"/>
  <c r="AV324" i="1"/>
  <c r="BH325" i="1"/>
  <c r="BH327" i="1"/>
  <c r="BH329" i="1"/>
  <c r="BH324" i="1"/>
  <c r="AV326" i="1"/>
  <c r="AN362" i="1"/>
  <c r="AZ360" i="1"/>
  <c r="S419" i="1"/>
  <c r="AE422" i="1"/>
  <c r="AE419" i="1"/>
  <c r="AQ422" i="1"/>
  <c r="AQ419" i="1"/>
  <c r="BC419" i="1"/>
  <c r="Z400" i="1"/>
  <c r="AL400" i="1"/>
  <c r="AX400" i="1"/>
  <c r="BA306" i="1"/>
  <c r="AD320" i="1"/>
  <c r="AR320" i="1"/>
  <c r="BL323" i="1"/>
  <c r="AG326" i="1"/>
  <c r="AW326" i="1"/>
  <c r="AS327" i="1"/>
  <c r="AU329" i="1"/>
  <c r="AC360" i="1"/>
  <c r="AM386" i="1"/>
  <c r="AQ386" i="1"/>
  <c r="AF422" i="1"/>
  <c r="AR422" i="1"/>
  <c r="S400" i="1"/>
  <c r="AQ400" i="1"/>
  <c r="BC400" i="1"/>
  <c r="AS430" i="1"/>
  <c r="AS434" i="1"/>
  <c r="AS428" i="1"/>
  <c r="AS410" i="1"/>
  <c r="BE410" i="1"/>
  <c r="AB434" i="1"/>
  <c r="AB430" i="1"/>
  <c r="AB428" i="1"/>
  <c r="BB469" i="1"/>
  <c r="BB471" i="1" s="1"/>
  <c r="Y360" i="1"/>
  <c r="AK360" i="1"/>
  <c r="AN386" i="1"/>
  <c r="AR386" i="1"/>
  <c r="AS422" i="1"/>
  <c r="BE422" i="1"/>
  <c r="T418" i="1"/>
  <c r="AF418" i="1"/>
  <c r="AF421" i="1"/>
  <c r="AF426" i="1"/>
  <c r="AR427" i="1"/>
  <c r="AR430" i="1"/>
  <c r="AR434" i="1"/>
  <c r="AR428" i="1"/>
  <c r="BD421" i="1"/>
  <c r="BD418" i="1"/>
  <c r="V410" i="1"/>
  <c r="AT410" i="1"/>
  <c r="AH434" i="1"/>
  <c r="AH428" i="1"/>
  <c r="AH430" i="1"/>
  <c r="AH427" i="1"/>
  <c r="W426" i="1"/>
  <c r="AI426" i="1"/>
  <c r="BG426" i="1"/>
  <c r="U418" i="1"/>
  <c r="AS421" i="1"/>
  <c r="AU426" i="1"/>
  <c r="AY360" i="1"/>
  <c r="AM360" i="1"/>
  <c r="BB386" i="1"/>
  <c r="BF386" i="1"/>
  <c r="BD386" i="1"/>
  <c r="W422" i="1"/>
  <c r="W419" i="1"/>
  <c r="AI422" i="1"/>
  <c r="AI419" i="1"/>
  <c r="AU419" i="1"/>
  <c r="BG419" i="1"/>
  <c r="X426" i="1"/>
  <c r="AB427" i="1" s="1"/>
  <c r="AJ426" i="1"/>
  <c r="BH426" i="1"/>
  <c r="AT418" i="1"/>
  <c r="AR405" i="1"/>
  <c r="AV410" i="1"/>
  <c r="V492" i="1"/>
  <c r="V455" i="1"/>
  <c r="X419" i="1"/>
  <c r="AJ419" i="1"/>
  <c r="AV419" i="1"/>
  <c r="AV422" i="1"/>
  <c r="Y426" i="1"/>
  <c r="AK428" i="1"/>
  <c r="AK430" i="1"/>
  <c r="AW426" i="1"/>
  <c r="AF400" i="1"/>
  <c r="AR400" i="1"/>
  <c r="BD400" i="1"/>
  <c r="Z426" i="1"/>
  <c r="AL426" i="1"/>
  <c r="X405" i="1"/>
  <c r="X421" i="1"/>
  <c r="AJ418" i="1"/>
  <c r="AJ421" i="1"/>
  <c r="AJ405" i="1"/>
  <c r="AV418" i="1"/>
  <c r="AV421" i="1"/>
  <c r="BH405" i="1"/>
  <c r="AV405" i="1"/>
  <c r="AJ457" i="1"/>
  <c r="AX423" i="1"/>
  <c r="AX422" i="1" s="1"/>
  <c r="AU262" i="1"/>
  <c r="AC314" i="1"/>
  <c r="AO314" i="1"/>
  <c r="BA314" i="1"/>
  <c r="AO313" i="1"/>
  <c r="AO315" i="1"/>
  <c r="Y327" i="1"/>
  <c r="AK327" i="1"/>
  <c r="AW327" i="1"/>
  <c r="AM400" i="1"/>
  <c r="W400" i="1"/>
  <c r="AI400" i="1"/>
  <c r="AU400" i="1"/>
  <c r="BG400" i="1"/>
  <c r="BE469" i="1"/>
  <c r="BE471" i="1" s="1"/>
  <c r="BF469" i="1"/>
  <c r="BF471" i="1" s="1"/>
  <c r="AC419" i="1"/>
  <c r="AO422" i="1"/>
  <c r="BA422" i="1"/>
  <c r="BA419" i="1"/>
  <c r="AB400" i="1"/>
  <c r="AN400" i="1"/>
  <c r="AZ400" i="1"/>
  <c r="AD427" i="1"/>
  <c r="AD428" i="1"/>
  <c r="AD430" i="1"/>
  <c r="AD434" i="1"/>
  <c r="AP426" i="1"/>
  <c r="BB434" i="1"/>
  <c r="BB435" i="1" s="1"/>
  <c r="BB428" i="1"/>
  <c r="BB430" i="1"/>
  <c r="BB427" i="1"/>
  <c r="AN434" i="1"/>
  <c r="S416" i="1"/>
  <c r="AE416" i="1"/>
  <c r="AE415" i="1"/>
  <c r="AE430" i="1"/>
  <c r="AQ416" i="1"/>
  <c r="AQ415" i="1"/>
  <c r="BC416" i="1"/>
  <c r="BC445" i="1"/>
  <c r="BC415" i="1"/>
  <c r="V477" i="1"/>
  <c r="V456" i="1"/>
  <c r="AH456" i="1"/>
  <c r="AH477" i="1"/>
  <c r="BF410" i="1"/>
  <c r="U426" i="1"/>
  <c r="W457" i="1"/>
  <c r="S477" i="1"/>
  <c r="S485" i="1"/>
  <c r="AW485" i="1"/>
  <c r="X457" i="1"/>
  <c r="AY430" i="1"/>
  <c r="AY428" i="1"/>
  <c r="AY434" i="1"/>
  <c r="AG418" i="1"/>
  <c r="AG421" i="1"/>
  <c r="BE421" i="1"/>
  <c r="X410" i="1"/>
  <c r="AI416" i="1"/>
  <c r="AU415" i="1"/>
  <c r="AU445" i="1"/>
  <c r="BK414" i="1"/>
  <c r="BG445" i="1"/>
  <c r="BG448" i="1" s="1"/>
  <c r="AZ437" i="1"/>
  <c r="AH418" i="1"/>
  <c r="AM405" i="1"/>
  <c r="AY405" i="1"/>
  <c r="AV415" i="1"/>
  <c r="AY415" i="1"/>
  <c r="AA457" i="1"/>
  <c r="W421" i="1"/>
  <c r="W418" i="1"/>
  <c r="AI421" i="1"/>
  <c r="AI418" i="1"/>
  <c r="AU421" i="1"/>
  <c r="AU418" i="1"/>
  <c r="BG418" i="1"/>
  <c r="BE418" i="1"/>
  <c r="AG426" i="1"/>
  <c r="BA465" i="1"/>
  <c r="BA467" i="1" s="1"/>
  <c r="U457" i="1"/>
  <c r="AG457" i="1"/>
  <c r="AK419" i="1"/>
  <c r="AK422" i="1"/>
  <c r="AW419" i="1"/>
  <c r="AQ427" i="1"/>
  <c r="BC430" i="1"/>
  <c r="AK421" i="1"/>
  <c r="AW418" i="1"/>
  <c r="AI405" i="1"/>
  <c r="BQ414" i="1"/>
  <c r="BM445" i="1"/>
  <c r="AI415" i="1"/>
  <c r="AZ457" i="1"/>
  <c r="AL422" i="1"/>
  <c r="AX419" i="1"/>
  <c r="U400" i="1"/>
  <c r="AG400" i="1"/>
  <c r="BD426" i="1"/>
  <c r="AN415" i="1"/>
  <c r="AN416" i="1"/>
  <c r="AZ415" i="1"/>
  <c r="AZ445" i="1"/>
  <c r="AZ416" i="1"/>
  <c r="BR414" i="1"/>
  <c r="BN445" i="1"/>
  <c r="AU416" i="1"/>
  <c r="AV469" i="1"/>
  <c r="AV471" i="1" s="1"/>
  <c r="AW386" i="1"/>
  <c r="AT400" i="1"/>
  <c r="BE426" i="1"/>
  <c r="AA421" i="1"/>
  <c r="AM418" i="1"/>
  <c r="AM421" i="1"/>
  <c r="AY418" i="1"/>
  <c r="AY421" i="1"/>
  <c r="T405" i="1"/>
  <c r="AF405" i="1"/>
  <c r="AG415" i="1"/>
  <c r="AC415" i="1"/>
  <c r="BA445" i="1"/>
  <c r="BA416" i="1"/>
  <c r="BG415" i="1"/>
  <c r="AB492" i="1"/>
  <c r="AB498" i="1"/>
  <c r="AN492" i="1"/>
  <c r="AN498" i="1"/>
  <c r="AN422" i="1"/>
  <c r="AZ419" i="1"/>
  <c r="V426" i="1"/>
  <c r="AT426" i="1"/>
  <c r="BF426" i="1"/>
  <c r="AN430" i="1"/>
  <c r="AN427" i="1"/>
  <c r="U405" i="1"/>
  <c r="AG405" i="1"/>
  <c r="AS405" i="1"/>
  <c r="T410" i="1"/>
  <c r="AF410" i="1"/>
  <c r="BF415" i="1"/>
  <c r="BB416" i="1"/>
  <c r="BI450" i="1"/>
  <c r="AM457" i="1"/>
  <c r="BG457" i="1"/>
  <c r="BH465" i="1"/>
  <c r="BH467" i="1" s="1"/>
  <c r="AO457" i="1"/>
  <c r="AJ477" i="1"/>
  <c r="BF477" i="1"/>
  <c r="AX485" i="1"/>
  <c r="V504" i="1"/>
  <c r="AH504" i="1"/>
  <c r="AT504" i="1"/>
  <c r="BF504" i="1"/>
  <c r="AG477" i="1"/>
  <c r="AS477" i="1"/>
  <c r="AA485" i="1"/>
  <c r="AY485" i="1"/>
  <c r="AG498" i="1"/>
  <c r="AO498" i="1"/>
  <c r="BH528" i="1"/>
  <c r="BL528" i="1"/>
  <c r="AT477" i="1"/>
  <c r="AN504" i="1"/>
  <c r="AZ504" i="1"/>
  <c r="AW465" i="1"/>
  <c r="AW467" i="1" s="1"/>
  <c r="BI469" i="1"/>
  <c r="BI471" i="1" s="1"/>
  <c r="AU477" i="1"/>
  <c r="BG477" i="1"/>
  <c r="T455" i="1"/>
  <c r="T492" i="1"/>
  <c r="AF455" i="1"/>
  <c r="AF492" i="1"/>
  <c r="AR457" i="1"/>
  <c r="BD455" i="1"/>
  <c r="BD492" i="1"/>
  <c r="AG492" i="1"/>
  <c r="AT456" i="1"/>
  <c r="AP485" i="1"/>
  <c r="AM504" i="1"/>
  <c r="AY504" i="1"/>
  <c r="AA419" i="1"/>
  <c r="AM419" i="1"/>
  <c r="AY419" i="1"/>
  <c r="AC400" i="1"/>
  <c r="AO400" i="1"/>
  <c r="BA400" i="1"/>
  <c r="AZ434" i="1"/>
  <c r="AZ435" i="1" s="1"/>
  <c r="AZ428" i="1"/>
  <c r="Y418" i="1"/>
  <c r="AT405" i="1"/>
  <c r="BF405" i="1"/>
  <c r="Y410" i="1"/>
  <c r="AK410" i="1"/>
  <c r="AW421" i="1"/>
  <c r="AZ422" i="1"/>
  <c r="Z457" i="1"/>
  <c r="AV457" i="1"/>
  <c r="AF477" i="1"/>
  <c r="AR477" i="1"/>
  <c r="BD477" i="1"/>
  <c r="Z418" i="1"/>
  <c r="Z421" i="1"/>
  <c r="AL418" i="1"/>
  <c r="AK405" i="1"/>
  <c r="BG405" i="1"/>
  <c r="AL410" i="1"/>
  <c r="AX410" i="1"/>
  <c r="AX416" i="1"/>
  <c r="BJ444" i="1"/>
  <c r="BJ449" i="1" s="1"/>
  <c r="BB457" i="1"/>
  <c r="AG456" i="1"/>
  <c r="AZ465" i="1"/>
  <c r="AZ467" i="1" s="1"/>
  <c r="W477" i="1"/>
  <c r="AG485" i="1"/>
  <c r="W498" i="1"/>
  <c r="W504" i="1"/>
  <c r="AU504" i="1"/>
  <c r="AU498" i="1"/>
  <c r="AR410" i="1"/>
  <c r="BD410" i="1"/>
  <c r="AY410" i="1"/>
  <c r="Z416" i="1"/>
  <c r="AM422" i="1"/>
  <c r="BC457" i="1"/>
  <c r="X477" i="1"/>
  <c r="AH485" i="1"/>
  <c r="BF485" i="1"/>
  <c r="Z370" i="1"/>
  <c r="Z375" i="1" s="1"/>
  <c r="S430" i="1"/>
  <c r="S437" i="1" s="1"/>
  <c r="AQ434" i="1"/>
  <c r="AQ435" i="1" s="1"/>
  <c r="AQ430" i="1"/>
  <c r="BC427" i="1"/>
  <c r="AB405" i="1"/>
  <c r="AN405" i="1"/>
  <c r="AN421" i="1"/>
  <c r="AZ405" i="1"/>
  <c r="AZ418" i="1"/>
  <c r="AZ421" i="1"/>
  <c r="AA416" i="1"/>
  <c r="AM416" i="1"/>
  <c r="BC428" i="1"/>
  <c r="BC434" i="1"/>
  <c r="BN442" i="1"/>
  <c r="BL443" i="1"/>
  <c r="BF457" i="1"/>
  <c r="BC465" i="1"/>
  <c r="BC467" i="1" s="1"/>
  <c r="AI485" i="1"/>
  <c r="BG485" i="1"/>
  <c r="U498" i="1"/>
  <c r="AH492" i="1"/>
  <c r="AT492" i="1"/>
  <c r="AT455" i="1"/>
  <c r="AZ498" i="1"/>
  <c r="T498" i="1"/>
  <c r="AF498" i="1"/>
  <c r="W492" i="1"/>
  <c r="AU492" i="1"/>
  <c r="AU455" i="1"/>
  <c r="S492" i="1"/>
  <c r="BA498" i="1"/>
  <c r="S504" i="1"/>
  <c r="AE504" i="1"/>
  <c r="BC504" i="1"/>
  <c r="AB485" i="1"/>
  <c r="AN485" i="1"/>
  <c r="AZ485" i="1"/>
  <c r="AL492" i="1"/>
  <c r="AX492" i="1"/>
  <c r="X498" i="1"/>
  <c r="AJ498" i="1"/>
  <c r="AV498" i="1"/>
  <c r="AS485" i="1"/>
  <c r="AF485" i="1"/>
  <c r="AR485" i="1"/>
  <c r="AS498" i="1"/>
  <c r="BE498" i="1"/>
  <c r="BG504" i="1"/>
  <c r="Y477" i="1"/>
  <c r="AK477" i="1"/>
  <c r="AW477" i="1"/>
  <c r="AT485" i="1"/>
  <c r="AD485" i="1"/>
  <c r="AL498" i="1"/>
  <c r="BA504" i="1"/>
  <c r="AJ504" i="1"/>
  <c r="AH455" i="1"/>
  <c r="AX455" i="1"/>
  <c r="AX465" i="1" s="1"/>
  <c r="AX467" i="1" s="1"/>
  <c r="AE485" i="1"/>
  <c r="AQ485" i="1"/>
  <c r="AW492" i="1"/>
  <c r="Y498" i="1"/>
  <c r="AK498" i="1"/>
  <c r="AW498" i="1"/>
  <c r="AD504" i="1"/>
  <c r="AP504" i="1"/>
  <c r="CU525" i="1"/>
  <c r="BM527" i="1"/>
  <c r="CV523" i="1"/>
  <c r="CV525" i="1"/>
  <c r="BD485" i="1"/>
  <c r="AW504" i="1"/>
  <c r="T504" i="1"/>
  <c r="AF504" i="1"/>
  <c r="AR504" i="1"/>
  <c r="BD504" i="1"/>
  <c r="CW525" i="1"/>
  <c r="CU526" i="1"/>
  <c r="BJ455" i="1"/>
  <c r="AE457" i="1"/>
  <c r="AI492" i="1"/>
  <c r="S498" i="1"/>
  <c r="BO527" i="1"/>
  <c r="X492" i="1"/>
  <c r="AJ492" i="1"/>
  <c r="AV492" i="1"/>
  <c r="BQ525" i="1"/>
  <c r="BM529" i="1"/>
  <c r="BQ529" i="1"/>
  <c r="BR525" i="1"/>
  <c r="BN528" i="1"/>
  <c r="BE455" i="1"/>
  <c r="AC504" i="1"/>
  <c r="BL526" i="1"/>
  <c r="BH526" i="1"/>
  <c r="BQ526" i="1"/>
  <c r="BH527" i="1"/>
  <c r="BL527" i="1"/>
  <c r="CW528" i="1"/>
  <c r="BW537" i="1"/>
  <c r="CX529" i="1"/>
  <c r="BO528" i="1"/>
  <c r="BO537" i="1"/>
  <c r="BX537" i="1"/>
  <c r="CW537" i="1"/>
  <c r="BY537" i="1"/>
  <c r="CU550" i="1"/>
  <c r="CV528" i="1"/>
  <c r="CU527" i="1"/>
  <c r="BQ537" i="1"/>
  <c r="CX525" i="1"/>
  <c r="BN526" i="1"/>
  <c r="BO529" i="1"/>
  <c r="BI537" i="1"/>
  <c r="BZ550" i="1"/>
  <c r="BJ537" i="1"/>
  <c r="BT537" i="1"/>
  <c r="CC537" i="1"/>
  <c r="BL537" i="1"/>
  <c r="CV529" i="1"/>
  <c r="BT550" i="1"/>
  <c r="BU576" i="1"/>
  <c r="CB576" i="1"/>
  <c r="BS537" i="1"/>
  <c r="BM576" i="1"/>
  <c r="CT576" i="1"/>
  <c r="BN576" i="1"/>
  <c r="BS550" i="1"/>
  <c r="BO576" i="1"/>
  <c r="CV576" i="1"/>
  <c r="BK550" i="1"/>
  <c r="CX550" i="1"/>
  <c r="BH576" i="1"/>
  <c r="BH399" i="1" s="1"/>
  <c r="CW576" i="1"/>
  <c r="CT537" i="1"/>
  <c r="BQ576" i="1"/>
  <c r="BR576" i="1"/>
  <c r="BU550" i="1"/>
  <c r="BJ576" i="1"/>
  <c r="BY576" i="1"/>
  <c r="BN632" i="1"/>
  <c r="CT632" i="1"/>
  <c r="J45" i="4" a="1"/>
  <c r="J45" i="4" s="1"/>
  <c r="J48" i="4" a="1"/>
  <c r="J48" i="4" s="1"/>
  <c r="J29" i="4" a="1"/>
  <c r="J29" i="4" s="1"/>
  <c r="J32" i="4" a="1"/>
  <c r="J32" i="4" s="1"/>
  <c r="J24" i="4" a="1"/>
  <c r="J24" i="4" s="1"/>
  <c r="J18" i="4"/>
  <c r="J16" i="4"/>
  <c r="J42" i="4" a="1"/>
  <c r="J42" i="4" s="1"/>
  <c r="J37" i="4" a="1"/>
  <c r="J37" i="4" s="1"/>
  <c r="J26" i="4" a="1"/>
  <c r="J26" i="4" s="1"/>
  <c r="J22" i="4" a="1"/>
  <c r="J22" i="4" s="1"/>
  <c r="J51" i="4" a="1"/>
  <c r="J51" i="4" s="1"/>
  <c r="J39" i="4" a="1"/>
  <c r="J39" i="4" s="1"/>
  <c r="J19" i="4"/>
  <c r="J15" i="4"/>
  <c r="J23" i="4" a="1"/>
  <c r="J23" i="4" s="1"/>
  <c r="J17" i="4"/>
  <c r="K5" i="4" a="1"/>
  <c r="K5" i="4" s="1"/>
  <c r="G19" i="3"/>
  <c r="H26" i="3"/>
  <c r="H13" i="3"/>
  <c r="H49" i="3" s="1"/>
  <c r="I42" i="4" a="1"/>
  <c r="I42" i="4" s="1"/>
  <c r="I45" i="4" a="1"/>
  <c r="I45" i="4" s="1"/>
  <c r="I26" i="4" a="1"/>
  <c r="I26" i="4" s="1"/>
  <c r="I32" i="4" a="1"/>
  <c r="I32" i="4" s="1"/>
  <c r="I24" i="4" a="1"/>
  <c r="I24" i="4" s="1"/>
  <c r="I37" i="4" a="1"/>
  <c r="I37" i="4" s="1"/>
  <c r="I22" i="4" a="1"/>
  <c r="I22" i="4" s="1"/>
  <c r="I51" i="4" a="1"/>
  <c r="I51" i="4" s="1"/>
  <c r="I39" i="4" a="1"/>
  <c r="I39" i="4" s="1"/>
  <c r="I19" i="4"/>
  <c r="I48" i="4" a="1"/>
  <c r="I48" i="4" s="1"/>
  <c r="I15" i="4"/>
  <c r="I29" i="4" a="1"/>
  <c r="I29" i="4" s="1"/>
  <c r="I16" i="4"/>
  <c r="I23" i="4" a="1"/>
  <c r="I23" i="4" s="1"/>
  <c r="I17" i="4"/>
  <c r="I18" i="4"/>
  <c r="F26" i="3"/>
  <c r="K4" i="4"/>
  <c r="BQ9" i="1" l="1"/>
  <c r="AR12" i="1"/>
  <c r="BR15" i="1"/>
  <c r="BX21" i="1"/>
  <c r="BU9" i="1"/>
  <c r="BU24" i="1"/>
  <c r="AL12" i="1"/>
  <c r="BP15" i="1"/>
  <c r="AN21" i="1"/>
  <c r="BF24" i="1"/>
  <c r="BS15" i="1"/>
  <c r="BY15" i="1"/>
  <c r="BJ15" i="1"/>
  <c r="CB24" i="1"/>
  <c r="BT9" i="1"/>
  <c r="BL15" i="1"/>
  <c r="BM21" i="1"/>
  <c r="AM21" i="1"/>
  <c r="BQ24" i="1"/>
  <c r="AF12" i="1"/>
  <c r="BV21" i="1"/>
  <c r="AB12" i="1"/>
  <c r="BI24" i="1"/>
  <c r="AO21" i="1"/>
  <c r="BA21" i="1"/>
  <c r="CC9" i="1"/>
  <c r="BH21" i="1"/>
  <c r="AF21" i="1"/>
  <c r="BU21" i="1"/>
  <c r="BK9" i="1"/>
  <c r="W23" i="1"/>
  <c r="BW9" i="1"/>
  <c r="AG12" i="1"/>
  <c r="AL139" i="1"/>
  <c r="AM139" i="1" s="1"/>
  <c r="AN139" i="1" s="1"/>
  <c r="AO139" i="1" s="1"/>
  <c r="AP139" i="1" s="1"/>
  <c r="AQ139" i="1" s="1"/>
  <c r="AN12" i="1"/>
  <c r="AG23" i="1"/>
  <c r="AR23" i="1"/>
  <c r="BY9" i="1"/>
  <c r="AI12" i="1"/>
  <c r="AE12" i="1"/>
  <c r="AH12" i="1"/>
  <c r="BX9" i="1"/>
  <c r="BN9" i="1"/>
  <c r="AI23" i="1"/>
  <c r="CD9" i="1"/>
  <c r="BZ9" i="1"/>
  <c r="AD12" i="1"/>
  <c r="BM9" i="1"/>
  <c r="AO12" i="1"/>
  <c r="AF23" i="1"/>
  <c r="AD23" i="1"/>
  <c r="AQ12" i="1"/>
  <c r="AM12" i="1"/>
  <c r="AS11" i="1"/>
  <c r="AS23" i="1" s="1"/>
  <c r="AC12" i="1"/>
  <c r="AJ12" i="1"/>
  <c r="BL9" i="1"/>
  <c r="BJ9" i="1"/>
  <c r="AK12" i="1"/>
  <c r="AP12" i="1"/>
  <c r="CB9" i="1"/>
  <c r="BU241" i="1"/>
  <c r="BV9" i="1"/>
  <c r="CA9" i="1"/>
  <c r="BR9" i="1"/>
  <c r="BO9" i="1"/>
  <c r="Z389" i="1"/>
  <c r="Z391" i="1" s="1"/>
  <c r="Z377" i="1"/>
  <c r="K45" i="4" a="1"/>
  <c r="K45" i="4" s="1"/>
  <c r="K48" i="4" a="1"/>
  <c r="K48" i="4" s="1"/>
  <c r="K51" i="4" a="1"/>
  <c r="K51" i="4" s="1"/>
  <c r="K32" i="4" a="1"/>
  <c r="K32" i="4" s="1"/>
  <c r="K42" i="4" a="1"/>
  <c r="K42" i="4" s="1"/>
  <c r="K37" i="4" a="1"/>
  <c r="K37" i="4" s="1"/>
  <c r="K26" i="4" a="1"/>
  <c r="K26" i="4" s="1"/>
  <c r="K22" i="4" a="1"/>
  <c r="K22" i="4" s="1"/>
  <c r="K19" i="4"/>
  <c r="K24" i="4" a="1"/>
  <c r="K24" i="4" s="1"/>
  <c r="K23" i="4" a="1"/>
  <c r="K23" i="4" s="1"/>
  <c r="K15" i="4"/>
  <c r="K29" i="4" a="1"/>
  <c r="K29" i="4" s="1"/>
  <c r="K17" i="4"/>
  <c r="K16" i="4"/>
  <c r="K39" i="4" a="1"/>
  <c r="K39" i="4" s="1"/>
  <c r="K18" i="4"/>
  <c r="BE465" i="1"/>
  <c r="BE467" i="1" s="1"/>
  <c r="BD457" i="1"/>
  <c r="BD465" i="1"/>
  <c r="BD467" i="1" s="1"/>
  <c r="Z434" i="1"/>
  <c r="AD435" i="1" s="1"/>
  <c r="Z427" i="1"/>
  <c r="Z428" i="1"/>
  <c r="Z430" i="1"/>
  <c r="AK432" i="1"/>
  <c r="AK437" i="1"/>
  <c r="AK431" i="1"/>
  <c r="BH428" i="1"/>
  <c r="BH430" i="1"/>
  <c r="BH427" i="1"/>
  <c r="BH434" i="1"/>
  <c r="AF430" i="1"/>
  <c r="AF434" i="1"/>
  <c r="AF435" i="1" s="1"/>
  <c r="AF428" i="1"/>
  <c r="AF427" i="1"/>
  <c r="AV431" i="1"/>
  <c r="AV432" i="1"/>
  <c r="AV437" i="1"/>
  <c r="AB291" i="1"/>
  <c r="AB293" i="1" s="1"/>
  <c r="AB294" i="1"/>
  <c r="AB292" i="1"/>
  <c r="AB295" i="1"/>
  <c r="AB296" i="1"/>
  <c r="AZ292" i="1"/>
  <c r="AZ295" i="1"/>
  <c r="AZ296" i="1"/>
  <c r="AZ294" i="1"/>
  <c r="AZ291" i="1"/>
  <c r="AN294" i="1"/>
  <c r="AN296" i="1"/>
  <c r="AN291" i="1"/>
  <c r="AN292" i="1"/>
  <c r="AN295" i="1"/>
  <c r="BH423" i="1"/>
  <c r="AR273" i="1"/>
  <c r="AR272" i="1"/>
  <c r="AT333" i="1"/>
  <c r="AT331" i="1"/>
  <c r="AT332" i="1"/>
  <c r="AT342" i="1"/>
  <c r="AT330" i="1"/>
  <c r="AT338" i="1"/>
  <c r="AC294" i="1"/>
  <c r="AC292" i="1"/>
  <c r="AC291" i="1"/>
  <c r="AC295" i="1"/>
  <c r="AC296" i="1"/>
  <c r="AX238" i="1"/>
  <c r="AX180" i="1"/>
  <c r="AX51" i="1"/>
  <c r="AL220" i="1"/>
  <c r="AP220" i="1"/>
  <c r="AQ238" i="1"/>
  <c r="AQ180" i="1"/>
  <c r="AQ51" i="1"/>
  <c r="AL295" i="1"/>
  <c r="AL291" i="1"/>
  <c r="AL293" i="1" s="1"/>
  <c r="AL292" i="1"/>
  <c r="AL296" i="1"/>
  <c r="AL294" i="1"/>
  <c r="AL238" i="1"/>
  <c r="AL180" i="1"/>
  <c r="AL51" i="1"/>
  <c r="BX93" i="1"/>
  <c r="BT94" i="1"/>
  <c r="BP234" i="1"/>
  <c r="BT229" i="1"/>
  <c r="BP231" i="1"/>
  <c r="BP235" i="1"/>
  <c r="BW165" i="1"/>
  <c r="BS166" i="1"/>
  <c r="BS162" i="1"/>
  <c r="BS163" i="1" s="1"/>
  <c r="BS69" i="1"/>
  <c r="BS70" i="1" s="1"/>
  <c r="BF294" i="1"/>
  <c r="AP238" i="1"/>
  <c r="BX42" i="1"/>
  <c r="BA280" i="1"/>
  <c r="BA278" i="1"/>
  <c r="BA279" i="1"/>
  <c r="BY93" i="1"/>
  <c r="BU94" i="1"/>
  <c r="BF340" i="1"/>
  <c r="BF339" i="1"/>
  <c r="BL444" i="1"/>
  <c r="BL449" i="1" s="1"/>
  <c r="BM443" i="1"/>
  <c r="BQ445" i="1"/>
  <c r="BU414" i="1"/>
  <c r="AJ434" i="1"/>
  <c r="AJ428" i="1"/>
  <c r="AJ430" i="1"/>
  <c r="AJ427" i="1"/>
  <c r="AH431" i="1"/>
  <c r="AH432" i="1"/>
  <c r="AH437" i="1"/>
  <c r="AA430" i="1"/>
  <c r="AA427" i="1"/>
  <c r="AA434" i="1"/>
  <c r="AA428" i="1"/>
  <c r="AE427" i="1"/>
  <c r="AO427" i="1"/>
  <c r="AO430" i="1"/>
  <c r="AO434" i="1"/>
  <c r="AO435" i="1" s="1"/>
  <c r="AO428" i="1"/>
  <c r="T333" i="1"/>
  <c r="T342" i="1"/>
  <c r="T330" i="1"/>
  <c r="T331" i="1"/>
  <c r="S342" i="1"/>
  <c r="S331" i="1"/>
  <c r="S330" i="1"/>
  <c r="AO342" i="1"/>
  <c r="AO333" i="1"/>
  <c r="AO331" i="1"/>
  <c r="AO332" i="1"/>
  <c r="AO330" i="1"/>
  <c r="AO338" i="1"/>
  <c r="BH445" i="1"/>
  <c r="BH448" i="1" s="1"/>
  <c r="BL414" i="1"/>
  <c r="BH416" i="1"/>
  <c r="AZ332" i="1"/>
  <c r="AZ330" i="1"/>
  <c r="AZ331" i="1"/>
  <c r="AZ342" i="1"/>
  <c r="AZ338" i="1"/>
  <c r="AZ333" i="1"/>
  <c r="AI332" i="1"/>
  <c r="AI333" i="1"/>
  <c r="AI331" i="1"/>
  <c r="AI342" i="1"/>
  <c r="AI330" i="1"/>
  <c r="Z459" i="1"/>
  <c r="Z363" i="1"/>
  <c r="AH422" i="1"/>
  <c r="X296" i="1"/>
  <c r="X292" i="1"/>
  <c r="X294" i="1"/>
  <c r="X295" i="1"/>
  <c r="X291" i="1"/>
  <c r="X293" i="1" s="1"/>
  <c r="AM332" i="1"/>
  <c r="AM330" i="1"/>
  <c r="AM331" i="1"/>
  <c r="AM338" i="1"/>
  <c r="AM333" i="1"/>
  <c r="AM342" i="1"/>
  <c r="AN346" i="1" s="1"/>
  <c r="BH312" i="1"/>
  <c r="AP292" i="1"/>
  <c r="AP294" i="1"/>
  <c r="AP296" i="1"/>
  <c r="AP291" i="1"/>
  <c r="AP295" i="1"/>
  <c r="BE296" i="1"/>
  <c r="BE295" i="1"/>
  <c r="BE294" i="1"/>
  <c r="BE291" i="1"/>
  <c r="BE292" i="1"/>
  <c r="BB340" i="1"/>
  <c r="BB339" i="1"/>
  <c r="AH333" i="1"/>
  <c r="AH342" i="1"/>
  <c r="AH331" i="1"/>
  <c r="AH332" i="1"/>
  <c r="AH330" i="1"/>
  <c r="AD422" i="1"/>
  <c r="AD421" i="1"/>
  <c r="AH188" i="1"/>
  <c r="BH153" i="1"/>
  <c r="BG154" i="1"/>
  <c r="AV52" i="1"/>
  <c r="Y116" i="1"/>
  <c r="AC57" i="1"/>
  <c r="AP194" i="1"/>
  <c r="AP189" i="1"/>
  <c r="AP203" i="1"/>
  <c r="AP192" i="1"/>
  <c r="AP191" i="1"/>
  <c r="AP199" i="1" s="1"/>
  <c r="AP190" i="1"/>
  <c r="AP193" i="1"/>
  <c r="BQ74" i="1"/>
  <c r="BQ88" i="1"/>
  <c r="AS12" i="1"/>
  <c r="U434" i="1"/>
  <c r="U430" i="1"/>
  <c r="U437" i="1" s="1"/>
  <c r="X331" i="1"/>
  <c r="X332" i="1"/>
  <c r="X342" i="1"/>
  <c r="X330" i="1"/>
  <c r="X333" i="1"/>
  <c r="BL321" i="1"/>
  <c r="BL320" i="1"/>
  <c r="BP317" i="1"/>
  <c r="AZ180" i="1"/>
  <c r="AZ238" i="1"/>
  <c r="AZ51" i="1"/>
  <c r="AT88" i="1"/>
  <c r="AT74" i="1"/>
  <c r="AT73" i="1" s="1"/>
  <c r="L4" i="4"/>
  <c r="BO442" i="1"/>
  <c r="BN409" i="1"/>
  <c r="BN411" i="1" s="1"/>
  <c r="AQ432" i="1"/>
  <c r="AQ437" i="1"/>
  <c r="AQ431" i="1"/>
  <c r="Z373" i="1"/>
  <c r="BV414" i="1"/>
  <c r="BR445" i="1"/>
  <c r="Y422" i="1"/>
  <c r="AU434" i="1"/>
  <c r="AU435" i="1" s="1"/>
  <c r="AU428" i="1"/>
  <c r="AU427" i="1"/>
  <c r="AU430" i="1"/>
  <c r="AB437" i="1"/>
  <c r="AB432" i="1"/>
  <c r="AJ342" i="1"/>
  <c r="AJ333" i="1"/>
  <c r="AJ330" i="1"/>
  <c r="AJ331" i="1"/>
  <c r="AJ332" i="1"/>
  <c r="BM317" i="1"/>
  <c r="BI321" i="1"/>
  <c r="BI320" i="1"/>
  <c r="BJ314" i="1"/>
  <c r="BN311" i="1"/>
  <c r="BJ315" i="1"/>
  <c r="AW288" i="1"/>
  <c r="AW287" i="1"/>
  <c r="AK292" i="1"/>
  <c r="AK296" i="1"/>
  <c r="AK295" i="1"/>
  <c r="AK291" i="1"/>
  <c r="AK294" i="1"/>
  <c r="AN331" i="1"/>
  <c r="AJ281" i="1"/>
  <c r="AJ279" i="1"/>
  <c r="AJ278" i="1"/>
  <c r="AJ280" i="1"/>
  <c r="AG188" i="1"/>
  <c r="BP311" i="1"/>
  <c r="BL315" i="1"/>
  <c r="BL314" i="1"/>
  <c r="AW292" i="1"/>
  <c r="AW291" i="1"/>
  <c r="AW294" i="1"/>
  <c r="AW296" i="1"/>
  <c r="AW295" i="1"/>
  <c r="W291" i="1"/>
  <c r="W293" i="1" s="1"/>
  <c r="W295" i="1"/>
  <c r="W296" i="1"/>
  <c r="W294" i="1"/>
  <c r="W292" i="1"/>
  <c r="CC242" i="1"/>
  <c r="CC241" i="1"/>
  <c r="AE295" i="1"/>
  <c r="AE291" i="1"/>
  <c r="AE294" i="1"/>
  <c r="AE292" i="1"/>
  <c r="AE296" i="1"/>
  <c r="BO234" i="1"/>
  <c r="BS229" i="1"/>
  <c r="BO231" i="1"/>
  <c r="BO235" i="1"/>
  <c r="BD199" i="1"/>
  <c r="Z238" i="1"/>
  <c r="Z180" i="1"/>
  <c r="Z203" i="1" s="1"/>
  <c r="Z51" i="1"/>
  <c r="Z54" i="1" s="1"/>
  <c r="BV157" i="1"/>
  <c r="BZ156" i="1"/>
  <c r="AT188" i="1"/>
  <c r="AY292" i="1"/>
  <c r="AY295" i="1"/>
  <c r="AY291" i="1"/>
  <c r="AY294" i="1"/>
  <c r="AY296" i="1"/>
  <c r="AP421" i="1"/>
  <c r="AP422" i="1"/>
  <c r="AY287" i="1"/>
  <c r="AY288" i="1"/>
  <c r="AM180" i="1"/>
  <c r="AM51" i="1"/>
  <c r="AM238" i="1"/>
  <c r="AU94" i="1"/>
  <c r="AU87" i="1"/>
  <c r="AY93" i="1"/>
  <c r="AY96" i="1" s="1"/>
  <c r="AZ96" i="1" s="1"/>
  <c r="BA96" i="1" s="1"/>
  <c r="BI116" i="1"/>
  <c r="BE117" i="1"/>
  <c r="BE57" i="1"/>
  <c r="BE58" i="1" s="1"/>
  <c r="AT129" i="1"/>
  <c r="AT150" i="1"/>
  <c r="AT75" i="1"/>
  <c r="AG117" i="1"/>
  <c r="BC294" i="1"/>
  <c r="U672" i="1"/>
  <c r="U658" i="1"/>
  <c r="U635" i="1"/>
  <c r="U509" i="1"/>
  <c r="V5" i="1"/>
  <c r="AZ117" i="1"/>
  <c r="AZ57" i="1"/>
  <c r="AZ58" i="1" s="1"/>
  <c r="BD116" i="1"/>
  <c r="BL88" i="1"/>
  <c r="BL74" i="1"/>
  <c r="AN150" i="1"/>
  <c r="AN75" i="1"/>
  <c r="AN129" i="1"/>
  <c r="BA66" i="1"/>
  <c r="CC108" i="1"/>
  <c r="CC60" i="1" s="1"/>
  <c r="CC61" i="1" s="1"/>
  <c r="BY60" i="1"/>
  <c r="BY61" i="1" s="1"/>
  <c r="AQ133" i="1"/>
  <c r="AJ203" i="1"/>
  <c r="AJ190" i="1"/>
  <c r="AJ193" i="1"/>
  <c r="AJ192" i="1"/>
  <c r="AJ191" i="1"/>
  <c r="AJ194" i="1"/>
  <c r="AJ189" i="1"/>
  <c r="BC180" i="1"/>
  <c r="BC238" i="1"/>
  <c r="BC51" i="1"/>
  <c r="AT457" i="1"/>
  <c r="BC435" i="1"/>
  <c r="AF457" i="1"/>
  <c r="AP427" i="1"/>
  <c r="AP434" i="1"/>
  <c r="AP430" i="1"/>
  <c r="AP428" i="1"/>
  <c r="Y430" i="1"/>
  <c r="Y427" i="1"/>
  <c r="Y428" i="1"/>
  <c r="Y434" i="1"/>
  <c r="Y435" i="1" s="1"/>
  <c r="X434" i="1"/>
  <c r="X435" i="1" s="1"/>
  <c r="X428" i="1"/>
  <c r="X430" i="1"/>
  <c r="AB431" i="1" s="1"/>
  <c r="X427" i="1"/>
  <c r="AH435" i="1"/>
  <c r="AC430" i="1"/>
  <c r="AC427" i="1"/>
  <c r="AC428" i="1"/>
  <c r="AC434" i="1"/>
  <c r="AC435" i="1" s="1"/>
  <c r="BD332" i="1"/>
  <c r="BD338" i="1"/>
  <c r="BD333" i="1"/>
  <c r="BD342" i="1"/>
  <c r="BD331" i="1"/>
  <c r="BD330" i="1"/>
  <c r="BC342" i="1"/>
  <c r="BC331" i="1"/>
  <c r="BC333" i="1"/>
  <c r="BC338" i="1"/>
  <c r="BC332" i="1"/>
  <c r="BC330" i="1"/>
  <c r="AD291" i="1"/>
  <c r="AD295" i="1"/>
  <c r="AD296" i="1"/>
  <c r="AD294" i="1"/>
  <c r="AD292" i="1"/>
  <c r="AW278" i="1"/>
  <c r="AN355" i="1"/>
  <c r="AN343" i="1"/>
  <c r="AN345" i="1"/>
  <c r="AA332" i="1"/>
  <c r="AA342" i="1"/>
  <c r="AA333" i="1"/>
  <c r="AA331" i="1"/>
  <c r="AA330" i="1"/>
  <c r="AG296" i="1"/>
  <c r="AG294" i="1"/>
  <c r="AG292" i="1"/>
  <c r="AG291" i="1"/>
  <c r="AG293" i="1" s="1"/>
  <c r="AG295" i="1"/>
  <c r="BB342" i="1"/>
  <c r="BD291" i="1"/>
  <c r="BD294" i="1"/>
  <c r="BD295" i="1"/>
  <c r="BD296" i="1"/>
  <c r="BD292" i="1"/>
  <c r="AH292" i="1"/>
  <c r="Z343" i="1"/>
  <c r="BD188" i="1"/>
  <c r="AB342" i="1"/>
  <c r="BS92" i="1"/>
  <c r="BT91" i="1"/>
  <c r="BS87" i="1"/>
  <c r="AY273" i="1"/>
  <c r="AY272" i="1"/>
  <c r="BY241" i="1"/>
  <c r="BY242" i="1"/>
  <c r="AM287" i="1"/>
  <c r="AM288" i="1"/>
  <c r="BH238" i="1"/>
  <c r="BH242" i="1"/>
  <c r="BH241" i="1"/>
  <c r="BH51" i="1"/>
  <c r="AF191" i="1"/>
  <c r="AF193" i="1"/>
  <c r="AF190" i="1"/>
  <c r="AF189" i="1"/>
  <c r="AF194" i="1"/>
  <c r="AF192" i="1"/>
  <c r="BC308" i="1"/>
  <c r="BC309" i="1" s="1"/>
  <c r="AU97" i="1"/>
  <c r="AV97" i="1" s="1"/>
  <c r="AW97" i="1" s="1"/>
  <c r="AX97" i="1" s="1"/>
  <c r="BR55" i="1"/>
  <c r="BV54" i="1"/>
  <c r="AU291" i="1"/>
  <c r="AU294" i="1"/>
  <c r="AU295" i="1"/>
  <c r="AU296" i="1"/>
  <c r="AU292" i="1"/>
  <c r="BF465" i="1"/>
  <c r="BF467" i="1" s="1"/>
  <c r="BE457" i="1"/>
  <c r="AX457" i="1"/>
  <c r="AY465" i="1"/>
  <c r="AY467" i="1" s="1"/>
  <c r="AN437" i="1"/>
  <c r="AN431" i="1"/>
  <c r="AN432" i="1"/>
  <c r="AN459" i="1"/>
  <c r="AN363" i="1"/>
  <c r="BI327" i="1"/>
  <c r="BI329" i="1"/>
  <c r="BI326" i="1"/>
  <c r="BM323" i="1"/>
  <c r="W342" i="1"/>
  <c r="W333" i="1"/>
  <c r="W330" i="1"/>
  <c r="W332" i="1"/>
  <c r="W331" i="1"/>
  <c r="AK281" i="1"/>
  <c r="AK279" i="1"/>
  <c r="AK280" i="1"/>
  <c r="AK278" i="1"/>
  <c r="AN339" i="1"/>
  <c r="AN340" i="1"/>
  <c r="V296" i="1"/>
  <c r="V291" i="1"/>
  <c r="BA272" i="1"/>
  <c r="BA273" i="1"/>
  <c r="BG416" i="1"/>
  <c r="BG262" i="1"/>
  <c r="BG290" i="1"/>
  <c r="BG342" i="1" s="1"/>
  <c r="BG271" i="1"/>
  <c r="BG261" i="1"/>
  <c r="BG260" i="1"/>
  <c r="BG27" i="1"/>
  <c r="AH294" i="1"/>
  <c r="AO294" i="1"/>
  <c r="AO291" i="1"/>
  <c r="AO296" i="1"/>
  <c r="AO292" i="1"/>
  <c r="AO295" i="1"/>
  <c r="AB332" i="1"/>
  <c r="BR74" i="1"/>
  <c r="BR88" i="1"/>
  <c r="BB421" i="1"/>
  <c r="BB422" i="1"/>
  <c r="AA294" i="1"/>
  <c r="AA292" i="1"/>
  <c r="AA296" i="1"/>
  <c r="AA291" i="1"/>
  <c r="AA295" i="1"/>
  <c r="BG116" i="1"/>
  <c r="BC117" i="1"/>
  <c r="BC57" i="1"/>
  <c r="BC58" i="1" s="1"/>
  <c r="BI88" i="1"/>
  <c r="BI74" i="1"/>
  <c r="AY156" i="1"/>
  <c r="AU136" i="1"/>
  <c r="AU137" i="1" s="1"/>
  <c r="AU149" i="1"/>
  <c r="AU157" i="1"/>
  <c r="AN74" i="1"/>
  <c r="AN73" i="1" s="1"/>
  <c r="AN88" i="1"/>
  <c r="AX275" i="1"/>
  <c r="AX277" i="1" s="1"/>
  <c r="BB81" i="1"/>
  <c r="BT60" i="1"/>
  <c r="BT61" i="1" s="1"/>
  <c r="BX108" i="1"/>
  <c r="BE427" i="1"/>
  <c r="BE430" i="1"/>
  <c r="BE434" i="1"/>
  <c r="BE435" i="1" s="1"/>
  <c r="BE428" i="1"/>
  <c r="AH457" i="1"/>
  <c r="T457" i="1"/>
  <c r="BF430" i="1"/>
  <c r="BF434" i="1"/>
  <c r="BF435" i="1" s="1"/>
  <c r="BF428" i="1"/>
  <c r="BF427" i="1"/>
  <c r="AE432" i="1"/>
  <c r="AE437" i="1"/>
  <c r="AE431" i="1"/>
  <c r="AD437" i="1"/>
  <c r="AD432" i="1"/>
  <c r="BG434" i="1"/>
  <c r="BG435" i="1" s="1"/>
  <c r="BG428" i="1"/>
  <c r="BG430" i="1"/>
  <c r="BG427" i="1"/>
  <c r="BG338" i="1"/>
  <c r="BG331" i="1"/>
  <c r="BG333" i="1"/>
  <c r="BG330" i="1"/>
  <c r="BG332" i="1"/>
  <c r="AX432" i="1"/>
  <c r="AX437" i="1"/>
  <c r="AX330" i="1"/>
  <c r="AX338" i="1"/>
  <c r="AX342" i="1"/>
  <c r="AX333" i="1"/>
  <c r="AX331" i="1"/>
  <c r="AX332" i="1"/>
  <c r="AD342" i="1"/>
  <c r="AD331" i="1"/>
  <c r="AD332" i="1"/>
  <c r="AD330" i="1"/>
  <c r="AD333" i="1"/>
  <c r="BB272" i="1"/>
  <c r="BB273" i="1"/>
  <c r="AC332" i="1"/>
  <c r="AC331" i="1"/>
  <c r="AC342" i="1"/>
  <c r="AC333" i="1"/>
  <c r="AC330" i="1"/>
  <c r="AU288" i="1"/>
  <c r="AU287" i="1"/>
  <c r="BF238" i="1"/>
  <c r="BF180" i="1"/>
  <c r="BF51" i="1"/>
  <c r="BF355" i="1"/>
  <c r="BF343" i="1"/>
  <c r="BF370" i="1"/>
  <c r="BF345" i="1"/>
  <c r="BJ327" i="1"/>
  <c r="BN323" i="1"/>
  <c r="BJ329" i="1"/>
  <c r="BJ326" i="1"/>
  <c r="Y292" i="1"/>
  <c r="Y296" i="1"/>
  <c r="Y291" i="1"/>
  <c r="Y294" i="1"/>
  <c r="Y295" i="1"/>
  <c r="BF81" i="1"/>
  <c r="BF74" i="1"/>
  <c r="AE238" i="1"/>
  <c r="AE180" i="1"/>
  <c r="AE51" i="1"/>
  <c r="AR188" i="1"/>
  <c r="AX272" i="1"/>
  <c r="AX273" i="1"/>
  <c r="BR234" i="1"/>
  <c r="BV229" i="1"/>
  <c r="BR235" i="1"/>
  <c r="BR168" i="1"/>
  <c r="BR76" i="1" s="1"/>
  <c r="BR136" i="1"/>
  <c r="BV174" i="1"/>
  <c r="BV136" i="1" s="1"/>
  <c r="BV137" i="1" s="1"/>
  <c r="AK238" i="1"/>
  <c r="AK180" i="1"/>
  <c r="AO238" i="1"/>
  <c r="AK51" i="1"/>
  <c r="AU60" i="1"/>
  <c r="AU61" i="1" s="1"/>
  <c r="AY108" i="1"/>
  <c r="AU109" i="1"/>
  <c r="AX108" i="1"/>
  <c r="AW194" i="1"/>
  <c r="AW191" i="1"/>
  <c r="AW199" i="1" s="1"/>
  <c r="AW203" i="1"/>
  <c r="AW190" i="1"/>
  <c r="AW189" i="1"/>
  <c r="AW193" i="1"/>
  <c r="AW192" i="1"/>
  <c r="AW200" i="1" s="1"/>
  <c r="CC55" i="1"/>
  <c r="AU338" i="1"/>
  <c r="AU332" i="1"/>
  <c r="AU342" i="1"/>
  <c r="AU330" i="1"/>
  <c r="AU333" i="1"/>
  <c r="AU331" i="1"/>
  <c r="AQ291" i="1"/>
  <c r="AQ294" i="1"/>
  <c r="AQ295" i="1"/>
  <c r="AQ292" i="1"/>
  <c r="AQ296" i="1"/>
  <c r="AZ288" i="1"/>
  <c r="AZ287" i="1"/>
  <c r="AX295" i="1"/>
  <c r="AX291" i="1"/>
  <c r="AX296" i="1"/>
  <c r="AX294" i="1"/>
  <c r="AX292" i="1"/>
  <c r="AU238" i="1"/>
  <c r="AU51" i="1"/>
  <c r="AU180" i="1"/>
  <c r="BV165" i="1"/>
  <c r="BR166" i="1"/>
  <c r="BR69" i="1"/>
  <c r="BR70" i="1" s="1"/>
  <c r="AX88" i="1"/>
  <c r="AR157" i="1"/>
  <c r="AV156" i="1"/>
  <c r="AR136" i="1"/>
  <c r="AR137" i="1" s="1"/>
  <c r="AR149" i="1"/>
  <c r="AT428" i="1"/>
  <c r="AT427" i="1"/>
  <c r="AT434" i="1"/>
  <c r="AT435" i="1" s="1"/>
  <c r="AT430" i="1"/>
  <c r="AX431" i="1" s="1"/>
  <c r="V457" i="1"/>
  <c r="Y330" i="1"/>
  <c r="Y332" i="1"/>
  <c r="Y342" i="1"/>
  <c r="Y331" i="1"/>
  <c r="Y333" i="1"/>
  <c r="AV338" i="1"/>
  <c r="AV332" i="1"/>
  <c r="AV342" i="1"/>
  <c r="AV330" i="1"/>
  <c r="AV333" i="1"/>
  <c r="AV331" i="1"/>
  <c r="AY332" i="1"/>
  <c r="AY342" i="1"/>
  <c r="AY333" i="1"/>
  <c r="AY330" i="1"/>
  <c r="AY338" i="1"/>
  <c r="AY331" i="1"/>
  <c r="BF273" i="1"/>
  <c r="BF272" i="1"/>
  <c r="BI235" i="1"/>
  <c r="BI234" i="1"/>
  <c r="BJ231" i="1"/>
  <c r="BM229" i="1"/>
  <c r="BI231" i="1"/>
  <c r="AS296" i="1"/>
  <c r="AS294" i="1"/>
  <c r="AS291" i="1"/>
  <c r="AS295" i="1"/>
  <c r="AS292" i="1"/>
  <c r="AN180" i="1"/>
  <c r="AN238" i="1"/>
  <c r="AN51" i="1"/>
  <c r="BB294" i="1"/>
  <c r="BB295" i="1"/>
  <c r="BB296" i="1"/>
  <c r="BB291" i="1"/>
  <c r="BB292" i="1"/>
  <c r="AO272" i="1"/>
  <c r="AO273" i="1"/>
  <c r="BK369" i="1"/>
  <c r="BH360" i="1"/>
  <c r="BH271" i="1"/>
  <c r="BH266" i="1"/>
  <c r="BH419" i="1"/>
  <c r="BH290" i="1"/>
  <c r="BH262" i="1"/>
  <c r="BH260" i="1"/>
  <c r="BH261" i="1"/>
  <c r="BH265" i="1"/>
  <c r="AO188" i="1"/>
  <c r="Y51" i="1"/>
  <c r="Y238" i="1"/>
  <c r="Y180" i="1"/>
  <c r="Y203" i="1" s="1"/>
  <c r="CC174" i="1"/>
  <c r="CC168" i="1" s="1"/>
  <c r="CC76" i="1" s="1"/>
  <c r="BY168" i="1"/>
  <c r="BY76" i="1" s="1"/>
  <c r="AI238" i="1"/>
  <c r="AI180" i="1"/>
  <c r="AI51" i="1"/>
  <c r="AI54" i="1" s="1"/>
  <c r="AR88" i="1"/>
  <c r="AR74" i="1"/>
  <c r="BC432" i="1"/>
  <c r="BC437" i="1"/>
  <c r="BC438" i="1" s="1"/>
  <c r="BC431" i="1"/>
  <c r="AV295" i="1"/>
  <c r="AV294" i="1"/>
  <c r="AV292" i="1"/>
  <c r="AV296" i="1"/>
  <c r="AV291" i="1"/>
  <c r="BE193" i="1"/>
  <c r="BE190" i="1"/>
  <c r="BE189" i="1"/>
  <c r="BE191" i="1"/>
  <c r="BE199" i="1" s="1"/>
  <c r="BE192" i="1"/>
  <c r="BE200" i="1" s="1"/>
  <c r="BE194" i="1"/>
  <c r="AX421" i="1"/>
  <c r="AZ438" i="1"/>
  <c r="AI434" i="1"/>
  <c r="AI435" i="1" s="1"/>
  <c r="AI428" i="1"/>
  <c r="AI430" i="1"/>
  <c r="AI427" i="1"/>
  <c r="AS427" i="1"/>
  <c r="BH338" i="1"/>
  <c r="BH331" i="1"/>
  <c r="BH333" i="1"/>
  <c r="BH332" i="1"/>
  <c r="BH330" i="1"/>
  <c r="BH342" i="1"/>
  <c r="BA434" i="1"/>
  <c r="BA428" i="1"/>
  <c r="BA430" i="1"/>
  <c r="BA427" i="1"/>
  <c r="AX435" i="1"/>
  <c r="AG333" i="1"/>
  <c r="AG332" i="1"/>
  <c r="AG331" i="1"/>
  <c r="AG342" i="1"/>
  <c r="AG330" i="1"/>
  <c r="AR332" i="1"/>
  <c r="AR331" i="1"/>
  <c r="AR330" i="1"/>
  <c r="AR338" i="1"/>
  <c r="AR333" i="1"/>
  <c r="AR342" i="1"/>
  <c r="AE333" i="1"/>
  <c r="BW311" i="1"/>
  <c r="BS314" i="1"/>
  <c r="BF281" i="1"/>
  <c r="BF278" i="1"/>
  <c r="AF294" i="1"/>
  <c r="AF296" i="1"/>
  <c r="AF291" i="1"/>
  <c r="AF295" i="1"/>
  <c r="AF292" i="1"/>
  <c r="AK330" i="1"/>
  <c r="AK342" i="1"/>
  <c r="AK333" i="1"/>
  <c r="AK331" i="1"/>
  <c r="AK332" i="1"/>
  <c r="AW272" i="1"/>
  <c r="AW273" i="1"/>
  <c r="AB180" i="1"/>
  <c r="AB238" i="1"/>
  <c r="AB51" i="1"/>
  <c r="BB288" i="1"/>
  <c r="BB287" i="1"/>
  <c r="BA294" i="1"/>
  <c r="BA292" i="1"/>
  <c r="BA295" i="1"/>
  <c r="BA296" i="1"/>
  <c r="BA291" i="1"/>
  <c r="BE156" i="1"/>
  <c r="BA136" i="1"/>
  <c r="BA137" i="1" s="1"/>
  <c r="BA149" i="1"/>
  <c r="BA157" i="1"/>
  <c r="T296" i="1"/>
  <c r="BG238" i="1"/>
  <c r="AS203" i="1"/>
  <c r="AS193" i="1"/>
  <c r="AS190" i="1"/>
  <c r="AS189" i="1"/>
  <c r="AS191" i="1"/>
  <c r="AS199" i="1" s="1"/>
  <c r="AS192" i="1"/>
  <c r="AS200" i="1" s="1"/>
  <c r="AS194" i="1"/>
  <c r="AW133" i="1"/>
  <c r="AW134" i="1" s="1"/>
  <c r="BR94" i="1"/>
  <c r="BV93" i="1"/>
  <c r="AV193" i="1"/>
  <c r="AV203" i="1"/>
  <c r="AV194" i="1"/>
  <c r="AV191" i="1"/>
  <c r="AV199" i="1" s="1"/>
  <c r="AV190" i="1"/>
  <c r="AV189" i="1"/>
  <c r="AV192" i="1"/>
  <c r="AV200" i="1" s="1"/>
  <c r="BF296" i="1"/>
  <c r="X116" i="1"/>
  <c r="AB117" i="1"/>
  <c r="AB57" i="1"/>
  <c r="AV87" i="1"/>
  <c r="AV94" i="1"/>
  <c r="AZ93" i="1"/>
  <c r="BP61" i="1"/>
  <c r="BK465" i="1"/>
  <c r="BK467" i="1" s="1"/>
  <c r="BK455" i="1"/>
  <c r="BJ447" i="1"/>
  <c r="BI385" i="1"/>
  <c r="BI386" i="1" s="1"/>
  <c r="BK329" i="1"/>
  <c r="BK327" i="1"/>
  <c r="BK326" i="1"/>
  <c r="BO323" i="1"/>
  <c r="BY166" i="1"/>
  <c r="BY69" i="1"/>
  <c r="BY70" i="1" s="1"/>
  <c r="CC165" i="1"/>
  <c r="BI452" i="1"/>
  <c r="AS435" i="1"/>
  <c r="AS333" i="1"/>
  <c r="AS331" i="1"/>
  <c r="AS342" i="1"/>
  <c r="AS330" i="1"/>
  <c r="AS332" i="1"/>
  <c r="AS338" i="1"/>
  <c r="AQ342" i="1"/>
  <c r="AQ331" i="1"/>
  <c r="AQ332" i="1"/>
  <c r="AQ333" i="1"/>
  <c r="AQ330" i="1"/>
  <c r="AQ338" i="1"/>
  <c r="AV273" i="1"/>
  <c r="AV272" i="1"/>
  <c r="AV465" i="1"/>
  <c r="AV467" i="1" s="1"/>
  <c r="AU457" i="1"/>
  <c r="BD427" i="1"/>
  <c r="BD430" i="1"/>
  <c r="BD428" i="1"/>
  <c r="BD434" i="1"/>
  <c r="BD435" i="1" s="1"/>
  <c r="AZ431" i="1"/>
  <c r="AY427" i="1"/>
  <c r="AN435" i="1"/>
  <c r="AN370" i="1"/>
  <c r="AR435" i="1"/>
  <c r="AS432" i="1"/>
  <c r="AS437" i="1"/>
  <c r="AS431" i="1"/>
  <c r="BA330" i="1"/>
  <c r="BA338" i="1"/>
  <c r="BA333" i="1"/>
  <c r="BA331" i="1"/>
  <c r="BA332" i="1"/>
  <c r="BA342" i="1"/>
  <c r="AW330" i="1"/>
  <c r="AW338" i="1"/>
  <c r="AW332" i="1"/>
  <c r="AW342" i="1"/>
  <c r="AW331" i="1"/>
  <c r="AW333" i="1"/>
  <c r="BM314" i="1"/>
  <c r="BM315" i="1"/>
  <c r="BQ311" i="1"/>
  <c r="BJ321" i="1"/>
  <c r="BJ320" i="1"/>
  <c r="BN317" i="1"/>
  <c r="BF288" i="1"/>
  <c r="BF287" i="1"/>
  <c r="BE273" i="1"/>
  <c r="BE272" i="1"/>
  <c r="BG423" i="1"/>
  <c r="BB180" i="1"/>
  <c r="BB238" i="1"/>
  <c r="BB51" i="1"/>
  <c r="V333" i="1"/>
  <c r="V342" i="1"/>
  <c r="V330" i="1"/>
  <c r="V331" i="1"/>
  <c r="X238" i="1"/>
  <c r="X180" i="1"/>
  <c r="X203" i="1" s="1"/>
  <c r="X51" i="1"/>
  <c r="AC238" i="1"/>
  <c r="S180" i="1"/>
  <c r="S51" i="1"/>
  <c r="S54" i="1" s="1"/>
  <c r="BD238" i="1"/>
  <c r="AY180" i="1"/>
  <c r="AY51" i="1"/>
  <c r="AY238" i="1"/>
  <c r="BF295" i="1"/>
  <c r="W238" i="1"/>
  <c r="W180" i="1"/>
  <c r="W203" i="1" s="1"/>
  <c r="W51" i="1"/>
  <c r="AR159" i="1"/>
  <c r="AS159" i="1" s="1"/>
  <c r="AT159" i="1" s="1"/>
  <c r="AU159" i="1" s="1"/>
  <c r="AV159" i="1" s="1"/>
  <c r="AW159" i="1" s="1"/>
  <c r="BJ81" i="1"/>
  <c r="BJ65" i="1"/>
  <c r="BN84" i="1"/>
  <c r="W57" i="1"/>
  <c r="S116" i="1"/>
  <c r="S57" i="1" s="1"/>
  <c r="AP129" i="1"/>
  <c r="AP75" i="1"/>
  <c r="AP73" i="1" s="1"/>
  <c r="AP150" i="1"/>
  <c r="BL162" i="1"/>
  <c r="BL163" i="1" s="1"/>
  <c r="BL76" i="1"/>
  <c r="CH5" i="1"/>
  <c r="CI3" i="1"/>
  <c r="BE333" i="1"/>
  <c r="BE332" i="1"/>
  <c r="BE342" i="1"/>
  <c r="BE330" i="1"/>
  <c r="BE338" i="1"/>
  <c r="BE331" i="1"/>
  <c r="V430" i="1"/>
  <c r="V437" i="1" s="1"/>
  <c r="V434" i="1"/>
  <c r="AG428" i="1"/>
  <c r="AG434" i="1"/>
  <c r="AG427" i="1"/>
  <c r="AG430" i="1"/>
  <c r="AY431" i="1"/>
  <c r="AY432" i="1"/>
  <c r="AY437" i="1"/>
  <c r="BH418" i="1"/>
  <c r="AL434" i="1"/>
  <c r="AL435" i="1" s="1"/>
  <c r="AL428" i="1"/>
  <c r="AL430" i="1"/>
  <c r="AL427" i="1"/>
  <c r="AW427" i="1"/>
  <c r="AW430" i="1"/>
  <c r="AW434" i="1"/>
  <c r="AW435" i="1" s="1"/>
  <c r="AW428" i="1"/>
  <c r="W434" i="1"/>
  <c r="W435" i="1" s="1"/>
  <c r="W428" i="1"/>
  <c r="W430" i="1"/>
  <c r="W427" i="1"/>
  <c r="AR432" i="1"/>
  <c r="AR431" i="1"/>
  <c r="AR437" i="1"/>
  <c r="AR438" i="1" s="1"/>
  <c r="BL329" i="1"/>
  <c r="BL327" i="1"/>
  <c r="BL326" i="1"/>
  <c r="BP323" i="1"/>
  <c r="BC422" i="1"/>
  <c r="BO320" i="1"/>
  <c r="BS317" i="1"/>
  <c r="BO321" i="1"/>
  <c r="AL330" i="1"/>
  <c r="AL331" i="1"/>
  <c r="AL333" i="1"/>
  <c r="AL332" i="1"/>
  <c r="AL342" i="1"/>
  <c r="AE331" i="1"/>
  <c r="BF422" i="1"/>
  <c r="AB422" i="1"/>
  <c r="AB421" i="1"/>
  <c r="AT296" i="1"/>
  <c r="AT291" i="1"/>
  <c r="AT292" i="1"/>
  <c r="AT295" i="1"/>
  <c r="AT294" i="1"/>
  <c r="BB332" i="1"/>
  <c r="AI292" i="1"/>
  <c r="AP288" i="1"/>
  <c r="AP287" i="1"/>
  <c r="BA180" i="1"/>
  <c r="BE203" i="1" s="1"/>
  <c r="BA238" i="1"/>
  <c r="BA51" i="1"/>
  <c r="BF362" i="1"/>
  <c r="AC192" i="1"/>
  <c r="AC189" i="1"/>
  <c r="AC188" i="1" s="1"/>
  <c r="AC194" i="1"/>
  <c r="AC190" i="1"/>
  <c r="AC193" i="1"/>
  <c r="AC191" i="1"/>
  <c r="AM295" i="1"/>
  <c r="AM296" i="1"/>
  <c r="AM291" i="1"/>
  <c r="AM294" i="1"/>
  <c r="AM292" i="1"/>
  <c r="BJ116" i="1"/>
  <c r="BF57" i="1"/>
  <c r="BF58" i="1" s="1"/>
  <c r="BF117" i="1"/>
  <c r="BJ74" i="1"/>
  <c r="BJ88" i="1"/>
  <c r="AF220" i="1"/>
  <c r="BF292" i="1"/>
  <c r="CO108" i="1"/>
  <c r="CN110" i="1" s="1"/>
  <c r="AP110" i="1"/>
  <c r="AQ110" i="1" s="1"/>
  <c r="AR110" i="1" s="1"/>
  <c r="AS110" i="1" s="1"/>
  <c r="BO108" i="1"/>
  <c r="BK60" i="1"/>
  <c r="BK61" i="1" s="1"/>
  <c r="BR177" i="1"/>
  <c r="BS177" i="1" s="1"/>
  <c r="CB157" i="1"/>
  <c r="BS42" i="1"/>
  <c r="CG672" i="1"/>
  <c r="CG658" i="1"/>
  <c r="CG635" i="1"/>
  <c r="G26" i="3"/>
  <c r="G13" i="3"/>
  <c r="G49" i="3" s="1"/>
  <c r="BK445" i="1"/>
  <c r="BK448" i="1" s="1"/>
  <c r="BO414" i="1"/>
  <c r="BB437" i="1"/>
  <c r="BB438" i="1" s="1"/>
  <c r="BB431" i="1"/>
  <c r="BB432" i="1"/>
  <c r="AM437" i="1"/>
  <c r="AM431" i="1"/>
  <c r="AM432" i="1"/>
  <c r="U333" i="1"/>
  <c r="U342" i="1"/>
  <c r="U331" i="1"/>
  <c r="U330" i="1"/>
  <c r="AV435" i="1"/>
  <c r="AF331" i="1"/>
  <c r="AF342" i="1"/>
  <c r="AF330" i="1"/>
  <c r="AF333" i="1"/>
  <c r="AF332" i="1"/>
  <c r="BG312" i="1"/>
  <c r="AP342" i="1"/>
  <c r="AP331" i="1"/>
  <c r="AP332" i="1"/>
  <c r="AP338" i="1"/>
  <c r="AP330" i="1"/>
  <c r="AP333" i="1"/>
  <c r="BG318" i="1"/>
  <c r="AE342" i="1"/>
  <c r="AT422" i="1"/>
  <c r="BD273" i="1"/>
  <c r="BD272" i="1"/>
  <c r="U296" i="1"/>
  <c r="U291" i="1"/>
  <c r="BB333" i="1"/>
  <c r="AR295" i="1"/>
  <c r="AR291" i="1"/>
  <c r="AR294" i="1"/>
  <c r="AR292" i="1"/>
  <c r="AR296" i="1"/>
  <c r="AI294" i="1"/>
  <c r="BC273" i="1"/>
  <c r="BC272" i="1"/>
  <c r="AS272" i="1"/>
  <c r="AS273" i="1"/>
  <c r="AA180" i="1"/>
  <c r="AA238" i="1"/>
  <c r="AA51" i="1"/>
  <c r="AD238" i="1"/>
  <c r="AD180" i="1"/>
  <c r="AD51" i="1"/>
  <c r="AM273" i="1"/>
  <c r="AM272" i="1"/>
  <c r="Z295" i="1"/>
  <c r="Z291" i="1"/>
  <c r="Z293" i="1" s="1"/>
  <c r="Z294" i="1"/>
  <c r="Z296" i="1"/>
  <c r="Z292" i="1"/>
  <c r="BX166" i="1"/>
  <c r="CB165" i="1"/>
  <c r="BX69" i="1"/>
  <c r="BX70" i="1" s="1"/>
  <c r="BJ293" i="1"/>
  <c r="BF293" i="1"/>
  <c r="BF308" i="1"/>
  <c r="BF309" i="1" s="1"/>
  <c r="AS133" i="1"/>
  <c r="AS134" i="1" s="1"/>
  <c r="AS130" i="1"/>
  <c r="AW130" i="1"/>
  <c r="BE85" i="1"/>
  <c r="BI84" i="1"/>
  <c r="BE65" i="1"/>
  <c r="AT157" i="1"/>
  <c r="AX156" i="1"/>
  <c r="AT136" i="1"/>
  <c r="AT137" i="1" s="1"/>
  <c r="AM150" i="1"/>
  <c r="AM75" i="1"/>
  <c r="AM73" i="1" s="1"/>
  <c r="AM129" i="1"/>
  <c r="AQ130" i="1" s="1"/>
  <c r="BP168" i="1"/>
  <c r="BT174" i="1"/>
  <c r="BP136" i="1"/>
  <c r="CC157" i="1"/>
  <c r="CC136" i="1"/>
  <c r="CC137" i="1" s="1"/>
  <c r="BZ42" i="1"/>
  <c r="BY42" i="1"/>
  <c r="AT11" i="1" l="1"/>
  <c r="AT12" i="1" s="1"/>
  <c r="BG370" i="1"/>
  <c r="BG343" i="1"/>
  <c r="BG355" i="1"/>
  <c r="BG346" i="1"/>
  <c r="BG362" i="1"/>
  <c r="BG345" i="1"/>
  <c r="BP315" i="1"/>
  <c r="BT311" i="1"/>
  <c r="BP314" i="1"/>
  <c r="BI293" i="1"/>
  <c r="BE308" i="1"/>
  <c r="BE309" i="1" s="1"/>
  <c r="BE293" i="1"/>
  <c r="AM339" i="1"/>
  <c r="AM340" i="1"/>
  <c r="AA435" i="1"/>
  <c r="AE435" i="1"/>
  <c r="BT231" i="1"/>
  <c r="BT235" i="1"/>
  <c r="BX229" i="1"/>
  <c r="BT234" i="1"/>
  <c r="BT177" i="1"/>
  <c r="BU177" i="1" s="1"/>
  <c r="BV177" i="1" s="1"/>
  <c r="BW177" i="1" s="1"/>
  <c r="BX177" i="1" s="1"/>
  <c r="BY177" i="1" s="1"/>
  <c r="BZ177" i="1" s="1"/>
  <c r="CA177" i="1" s="1"/>
  <c r="BJ57" i="1"/>
  <c r="BN116" i="1"/>
  <c r="AT308" i="1"/>
  <c r="AT309" i="1" s="1"/>
  <c r="AT293" i="1"/>
  <c r="BS320" i="1"/>
  <c r="BW317" i="1"/>
  <c r="BE340" i="1"/>
  <c r="BE339" i="1"/>
  <c r="AP130" i="1"/>
  <c r="AP133" i="1"/>
  <c r="AP134" i="1" s="1"/>
  <c r="BN321" i="1"/>
  <c r="BR317" i="1"/>
  <c r="BS321" i="1" s="1"/>
  <c r="BN320" i="1"/>
  <c r="AW340" i="1"/>
  <c r="AW339" i="1"/>
  <c r="BK332" i="1"/>
  <c r="BK331" i="1"/>
  <c r="BK333" i="1"/>
  <c r="AF293" i="1"/>
  <c r="BE437" i="1"/>
  <c r="BE431" i="1"/>
  <c r="BE432" i="1"/>
  <c r="AY157" i="1"/>
  <c r="AY136" i="1"/>
  <c r="AY137" i="1" s="1"/>
  <c r="BC156" i="1"/>
  <c r="AY149" i="1"/>
  <c r="AN438" i="1"/>
  <c r="AU308" i="1"/>
  <c r="AU309" i="1" s="1"/>
  <c r="AU293" i="1"/>
  <c r="BS88" i="1"/>
  <c r="BS74" i="1"/>
  <c r="AA345" i="1"/>
  <c r="AA362" i="1"/>
  <c r="AA343" i="1"/>
  <c r="AA346" i="1"/>
  <c r="AA370" i="1"/>
  <c r="BZ414" i="1"/>
  <c r="BV445" i="1"/>
  <c r="X370" i="1"/>
  <c r="X343" i="1"/>
  <c r="X345" i="1"/>
  <c r="X346" i="1"/>
  <c r="X362" i="1"/>
  <c r="S362" i="1"/>
  <c r="S343" i="1"/>
  <c r="S370" i="1"/>
  <c r="AQ189" i="1"/>
  <c r="AQ191" i="1"/>
  <c r="AQ199" i="1" s="1"/>
  <c r="AQ203" i="1"/>
  <c r="AQ190" i="1"/>
  <c r="AQ194" i="1"/>
  <c r="AQ193" i="1"/>
  <c r="AQ192" i="1"/>
  <c r="AQ200" i="1" s="1"/>
  <c r="AT340" i="1"/>
  <c r="AT339" i="1"/>
  <c r="AV438" i="1"/>
  <c r="AK438" i="1"/>
  <c r="AD189" i="1"/>
  <c r="AD191" i="1"/>
  <c r="AD203" i="1"/>
  <c r="AD194" i="1"/>
  <c r="AD193" i="1"/>
  <c r="AD192" i="1"/>
  <c r="AD190" i="1"/>
  <c r="AH203" i="1"/>
  <c r="BO445" i="1"/>
  <c r="BS414" i="1"/>
  <c r="AX157" i="1"/>
  <c r="BB156" i="1"/>
  <c r="AX136" i="1"/>
  <c r="AX137" i="1" s="1"/>
  <c r="AX149" i="1"/>
  <c r="AR293" i="1"/>
  <c r="AR308" i="1"/>
  <c r="AR309" i="1" s="1"/>
  <c r="AP339" i="1"/>
  <c r="AP340" i="1"/>
  <c r="BF363" i="1"/>
  <c r="BF459" i="1"/>
  <c r="BF367" i="1"/>
  <c r="BF365" i="1"/>
  <c r="W437" i="1"/>
  <c r="W438" i="1" s="1"/>
  <c r="W431" i="1"/>
  <c r="W432" i="1"/>
  <c r="W117" i="1"/>
  <c r="V370" i="1"/>
  <c r="V343" i="1"/>
  <c r="V346" i="1"/>
  <c r="V362" i="1"/>
  <c r="AN373" i="1"/>
  <c r="AN375" i="1"/>
  <c r="AV74" i="1"/>
  <c r="AV88" i="1"/>
  <c r="BV94" i="1"/>
  <c r="BZ93" i="1"/>
  <c r="AR343" i="1"/>
  <c r="AR344" i="1" s="1"/>
  <c r="AR345" i="1"/>
  <c r="AR355" i="1"/>
  <c r="AR346" i="1"/>
  <c r="AR370" i="1"/>
  <c r="AR362" i="1"/>
  <c r="AI437" i="1"/>
  <c r="AI438" i="1" s="1"/>
  <c r="AI431" i="1"/>
  <c r="AI432" i="1"/>
  <c r="AI193" i="1"/>
  <c r="AI203" i="1"/>
  <c r="AI194" i="1"/>
  <c r="AI189" i="1"/>
  <c r="AI192" i="1"/>
  <c r="AI191" i="1"/>
  <c r="AI190" i="1"/>
  <c r="AY346" i="1"/>
  <c r="AY345" i="1"/>
  <c r="AY362" i="1"/>
  <c r="AY355" i="1"/>
  <c r="AY343" i="1"/>
  <c r="AY370" i="1"/>
  <c r="AZ156" i="1"/>
  <c r="AV136" i="1"/>
  <c r="AV137" i="1" s="1"/>
  <c r="AV149" i="1"/>
  <c r="AV157" i="1"/>
  <c r="BJ269" i="1"/>
  <c r="BJ306" i="1" s="1"/>
  <c r="BG273" i="1"/>
  <c r="BJ270" i="1"/>
  <c r="BJ307" i="1" s="1"/>
  <c r="BJ309" i="1" s="1"/>
  <c r="BG272" i="1"/>
  <c r="BT92" i="1"/>
  <c r="BT87" i="1"/>
  <c r="BU91" i="1"/>
  <c r="BD340" i="1"/>
  <c r="BD339" i="1"/>
  <c r="AA437" i="1"/>
  <c r="AA432" i="1"/>
  <c r="AA431" i="1"/>
  <c r="BN443" i="1"/>
  <c r="BM444" i="1"/>
  <c r="BM449" i="1" s="1"/>
  <c r="CB42" i="1"/>
  <c r="BS108" i="1"/>
  <c r="BO60" i="1"/>
  <c r="BO61" i="1" s="1"/>
  <c r="BA52" i="1"/>
  <c r="BE52" i="1"/>
  <c r="BE355" i="1"/>
  <c r="BE343" i="1"/>
  <c r="BE370" i="1"/>
  <c r="BE346" i="1"/>
  <c r="BE362" i="1"/>
  <c r="BE345" i="1"/>
  <c r="AY52" i="1"/>
  <c r="BA355" i="1"/>
  <c r="BA343" i="1"/>
  <c r="BA344" i="1" s="1"/>
  <c r="BA346" i="1"/>
  <c r="BA345" i="1"/>
  <c r="BA370" i="1"/>
  <c r="BA362" i="1"/>
  <c r="AQ340" i="1"/>
  <c r="AQ339" i="1"/>
  <c r="BA150" i="1"/>
  <c r="BA75" i="1"/>
  <c r="BA73" i="1" s="1"/>
  <c r="BA129" i="1"/>
  <c r="AB194" i="1"/>
  <c r="AB189" i="1"/>
  <c r="AB193" i="1"/>
  <c r="AB190" i="1"/>
  <c r="AB192" i="1"/>
  <c r="AB191" i="1"/>
  <c r="AB203" i="1"/>
  <c r="BA437" i="1"/>
  <c r="BA431" i="1"/>
  <c r="BA432" i="1"/>
  <c r="AV308" i="1"/>
  <c r="AV309" i="1" s="1"/>
  <c r="AV293" i="1"/>
  <c r="BH291" i="1"/>
  <c r="BH294" i="1"/>
  <c r="BH299" i="1"/>
  <c r="BH295" i="1"/>
  <c r="BH300" i="1"/>
  <c r="BH296" i="1"/>
  <c r="BH292" i="1"/>
  <c r="BB308" i="1"/>
  <c r="BB309" i="1" s="1"/>
  <c r="BB293" i="1"/>
  <c r="AX308" i="1"/>
  <c r="AX309" i="1" s="1"/>
  <c r="AX293" i="1"/>
  <c r="BF82" i="1"/>
  <c r="AC343" i="1"/>
  <c r="AC346" i="1"/>
  <c r="AC345" i="1"/>
  <c r="AC370" i="1"/>
  <c r="AC362" i="1"/>
  <c r="BG340" i="1"/>
  <c r="BG339" i="1"/>
  <c r="BX60" i="1"/>
  <c r="BX61" i="1" s="1"/>
  <c r="CB108" i="1"/>
  <c r="CB60" i="1" s="1"/>
  <c r="BG296" i="1"/>
  <c r="BG291" i="1"/>
  <c r="BG294" i="1"/>
  <c r="BG292" i="1"/>
  <c r="BG295" i="1"/>
  <c r="BZ54" i="1"/>
  <c r="BV55" i="1"/>
  <c r="BH52" i="1"/>
  <c r="BD308" i="1"/>
  <c r="BD309" i="1" s="1"/>
  <c r="BD293" i="1"/>
  <c r="AD293" i="1"/>
  <c r="AH293" i="1"/>
  <c r="BS231" i="1"/>
  <c r="BW229" i="1"/>
  <c r="BS235" i="1"/>
  <c r="BS234" i="1"/>
  <c r="AJ343" i="1"/>
  <c r="AJ345" i="1"/>
  <c r="AJ346" i="1"/>
  <c r="AJ370" i="1"/>
  <c r="AJ362" i="1"/>
  <c r="AP188" i="1"/>
  <c r="BL445" i="1"/>
  <c r="BL448" i="1" s="1"/>
  <c r="BP414" i="1"/>
  <c r="AH438" i="1"/>
  <c r="CB93" i="1"/>
  <c r="CB94" i="1" s="1"/>
  <c r="BX94" i="1"/>
  <c r="AT370" i="1"/>
  <c r="AT345" i="1"/>
  <c r="AT346" i="1"/>
  <c r="AT343" i="1"/>
  <c r="AT355" i="1"/>
  <c r="AT362" i="1"/>
  <c r="AZ308" i="1"/>
  <c r="AZ309" i="1" s="1"/>
  <c r="AZ293" i="1"/>
  <c r="Z437" i="1"/>
  <c r="Z438" i="1" s="1"/>
  <c r="Z432" i="1"/>
  <c r="Z431" i="1"/>
  <c r="AU74" i="1"/>
  <c r="AU88" i="1"/>
  <c r="AY308" i="1"/>
  <c r="AY309" i="1" s="1"/>
  <c r="AY293" i="1"/>
  <c r="AN293" i="1"/>
  <c r="AN308" i="1"/>
  <c r="AN309" i="1" s="1"/>
  <c r="U362" i="1"/>
  <c r="U343" i="1"/>
  <c r="U346" i="1"/>
  <c r="U370" i="1"/>
  <c r="AM308" i="1"/>
  <c r="AM309" i="1" s="1"/>
  <c r="AM293" i="1"/>
  <c r="BB52" i="1"/>
  <c r="BM234" i="1"/>
  <c r="BM231" i="1"/>
  <c r="BM235" i="1"/>
  <c r="BQ229" i="1"/>
  <c r="BN231" i="1"/>
  <c r="AX60" i="1"/>
  <c r="AX61" i="1" s="1"/>
  <c r="AX109" i="1"/>
  <c r="BB108" i="1"/>
  <c r="BB60" i="1" s="1"/>
  <c r="BB61" i="1" s="1"/>
  <c r="AX110" i="1"/>
  <c r="AY110" i="1" s="1"/>
  <c r="AZ110" i="1" s="1"/>
  <c r="BA110" i="1" s="1"/>
  <c r="AX355" i="1"/>
  <c r="AX343" i="1"/>
  <c r="AX344" i="1" s="1"/>
  <c r="AX362" i="1"/>
  <c r="AX345" i="1"/>
  <c r="AX346" i="1"/>
  <c r="AX370" i="1"/>
  <c r="AB345" i="1"/>
  <c r="AB370" i="1"/>
  <c r="AB343" i="1"/>
  <c r="AB344" i="1" s="1"/>
  <c r="AB346" i="1"/>
  <c r="AB362" i="1"/>
  <c r="BB355" i="1"/>
  <c r="BB346" i="1"/>
  <c r="BB345" i="1"/>
  <c r="BB343" i="1"/>
  <c r="BB344" i="1" s="1"/>
  <c r="BB370" i="1"/>
  <c r="BB362" i="1"/>
  <c r="AN344" i="1"/>
  <c r="AM52" i="1"/>
  <c r="BR311" i="1"/>
  <c r="BW315" i="1" s="1"/>
  <c r="BN315" i="1"/>
  <c r="BN314" i="1"/>
  <c r="BO315" i="1"/>
  <c r="AZ52" i="1"/>
  <c r="BD52" i="1"/>
  <c r="AI370" i="1"/>
  <c r="AI343" i="1"/>
  <c r="AI346" i="1"/>
  <c r="AI345" i="1"/>
  <c r="AI362" i="1"/>
  <c r="T343" i="1"/>
  <c r="T362" i="1"/>
  <c r="T346" i="1"/>
  <c r="T370" i="1"/>
  <c r="AL54" i="1"/>
  <c r="AP52" i="1"/>
  <c r="M4" i="4"/>
  <c r="M5" i="4" a="1"/>
  <c r="M5" i="4" s="1"/>
  <c r="BI153" i="1"/>
  <c r="BH149" i="1"/>
  <c r="BH154" i="1"/>
  <c r="AQ52" i="1"/>
  <c r="CD42" i="1"/>
  <c r="CB166" i="1"/>
  <c r="CB69" i="1"/>
  <c r="CB70" i="1" s="1"/>
  <c r="BE66" i="1"/>
  <c r="AY190" i="1"/>
  <c r="AY192" i="1"/>
  <c r="AY200" i="1" s="1"/>
  <c r="AY189" i="1"/>
  <c r="AY203" i="1"/>
  <c r="AY194" i="1"/>
  <c r="AY193" i="1"/>
  <c r="AY191" i="1"/>
  <c r="AY199" i="1" s="1"/>
  <c r="BJ450" i="1"/>
  <c r="BJ452" i="1" s="1"/>
  <c r="AR340" i="1"/>
  <c r="AR339" i="1"/>
  <c r="AU343" i="1"/>
  <c r="AU344" i="1" s="1"/>
  <c r="AU345" i="1"/>
  <c r="AU346" i="1"/>
  <c r="AU355" i="1"/>
  <c r="AU370" i="1"/>
  <c r="AU362" i="1"/>
  <c r="BV235" i="1"/>
  <c r="BV234" i="1"/>
  <c r="BZ229" i="1"/>
  <c r="BF346" i="1"/>
  <c r="BM84" i="1"/>
  <c r="BI65" i="1"/>
  <c r="BI81" i="1"/>
  <c r="BI82" i="1" s="1"/>
  <c r="AA192" i="1"/>
  <c r="AA194" i="1"/>
  <c r="AA191" i="1"/>
  <c r="AA193" i="1"/>
  <c r="AA190" i="1"/>
  <c r="AA189" i="1"/>
  <c r="AA203" i="1"/>
  <c r="AP355" i="1"/>
  <c r="AP346" i="1"/>
  <c r="AP345" i="1"/>
  <c r="AP343" i="1"/>
  <c r="AP344" i="1" s="1"/>
  <c r="AP370" i="1"/>
  <c r="AP362" i="1"/>
  <c r="BA192" i="1"/>
  <c r="BA200" i="1" s="1"/>
  <c r="BA189" i="1"/>
  <c r="BA194" i="1"/>
  <c r="BA191" i="1"/>
  <c r="BA199" i="1" s="1"/>
  <c r="BA193" i="1"/>
  <c r="BA190" i="1"/>
  <c r="BA203" i="1"/>
  <c r="BP329" i="1"/>
  <c r="BT323" i="1"/>
  <c r="BP326" i="1"/>
  <c r="BP327" i="1"/>
  <c r="AG432" i="1"/>
  <c r="AG431" i="1"/>
  <c r="AG437" i="1"/>
  <c r="BR84" i="1"/>
  <c r="BN65" i="1"/>
  <c r="BN81" i="1"/>
  <c r="BN82" i="1" s="1"/>
  <c r="BU311" i="1"/>
  <c r="BQ314" i="1"/>
  <c r="BQ315" i="1"/>
  <c r="X117" i="1"/>
  <c r="T116" i="1"/>
  <c r="T57" i="1" s="1"/>
  <c r="T54" i="1" s="1"/>
  <c r="X57" i="1"/>
  <c r="BI157" i="1"/>
  <c r="BM156" i="1"/>
  <c r="BE136" i="1"/>
  <c r="BE149" i="1"/>
  <c r="BE157" i="1"/>
  <c r="BA435" i="1"/>
  <c r="AY435" i="1"/>
  <c r="BF373" i="1"/>
  <c r="BF375" i="1"/>
  <c r="AX340" i="1"/>
  <c r="AX339" i="1"/>
  <c r="BG437" i="1"/>
  <c r="BG438" i="1" s="1"/>
  <c r="BG431" i="1"/>
  <c r="BG432" i="1"/>
  <c r="BF437" i="1"/>
  <c r="BF438" i="1" s="1"/>
  <c r="BF432" i="1"/>
  <c r="BF431" i="1"/>
  <c r="AY97" i="1"/>
  <c r="AZ97" i="1" s="1"/>
  <c r="BA97" i="1" s="1"/>
  <c r="Y437" i="1"/>
  <c r="Y438" i="1" s="1"/>
  <c r="Y431" i="1"/>
  <c r="Y432" i="1"/>
  <c r="BH116" i="1"/>
  <c r="BD57" i="1"/>
  <c r="BD58" i="1" s="1"/>
  <c r="BD117" i="1"/>
  <c r="AM190" i="1"/>
  <c r="AM192" i="1"/>
  <c r="AM200" i="1" s="1"/>
  <c r="AM194" i="1"/>
  <c r="AM191" i="1"/>
  <c r="AM199" i="1" s="1"/>
  <c r="AM203" i="1"/>
  <c r="AM193" i="1"/>
  <c r="AM189" i="1"/>
  <c r="AQ438" i="1"/>
  <c r="AP293" i="1"/>
  <c r="AP308" i="1"/>
  <c r="AP309" i="1" s="1"/>
  <c r="AO339" i="1"/>
  <c r="AO340" i="1"/>
  <c r="AL190" i="1"/>
  <c r="AL192" i="1"/>
  <c r="AL189" i="1"/>
  <c r="AL203" i="1"/>
  <c r="AL194" i="1"/>
  <c r="AL191" i="1"/>
  <c r="AL193" i="1"/>
  <c r="AX52" i="1"/>
  <c r="CC42" i="1"/>
  <c r="BD94" i="1"/>
  <c r="AZ94" i="1"/>
  <c r="AZ87" i="1"/>
  <c r="Y345" i="1"/>
  <c r="Y346" i="1"/>
  <c r="Y362" i="1"/>
  <c r="Y343" i="1"/>
  <c r="Y344" i="1" s="1"/>
  <c r="Y370" i="1"/>
  <c r="BN326" i="1"/>
  <c r="BN327" i="1"/>
  <c r="BN329" i="1"/>
  <c r="BR323" i="1"/>
  <c r="AP108" i="1"/>
  <c r="CO60" i="1"/>
  <c r="CP109" i="1"/>
  <c r="CJ3" i="1"/>
  <c r="CI5" i="1"/>
  <c r="BJ66" i="1"/>
  <c r="BB192" i="1"/>
  <c r="BB194" i="1"/>
  <c r="BB193" i="1"/>
  <c r="BB190" i="1"/>
  <c r="BB189" i="1"/>
  <c r="BB203" i="1"/>
  <c r="BB191" i="1"/>
  <c r="BB199" i="1" s="1"/>
  <c r="CC162" i="1"/>
  <c r="CC163" i="1" s="1"/>
  <c r="CC166" i="1"/>
  <c r="CC69" i="1"/>
  <c r="CC70" i="1" s="1"/>
  <c r="BG57" i="1"/>
  <c r="BG58" i="1" s="1"/>
  <c r="BK116" i="1"/>
  <c r="BC339" i="1"/>
  <c r="BC340" i="1"/>
  <c r="BC52" i="1"/>
  <c r="BG52" i="1"/>
  <c r="BZ157" i="1"/>
  <c r="CD156" i="1"/>
  <c r="AZ190" i="1"/>
  <c r="AZ192" i="1"/>
  <c r="AZ200" i="1" s="1"/>
  <c r="AZ194" i="1"/>
  <c r="AZ191" i="1"/>
  <c r="AZ199" i="1" s="1"/>
  <c r="AZ193" i="1"/>
  <c r="AZ203" i="1"/>
  <c r="AZ189" i="1"/>
  <c r="BD203" i="1"/>
  <c r="U116" i="1"/>
  <c r="U57" i="1" s="1"/>
  <c r="U54" i="1" s="1"/>
  <c r="Y117" i="1"/>
  <c r="Y57" i="1"/>
  <c r="Y54" i="1" s="1"/>
  <c r="AL346" i="1"/>
  <c r="AL345" i="1"/>
  <c r="AL343" i="1"/>
  <c r="AL370" i="1"/>
  <c r="AL362" i="1"/>
  <c r="AW437" i="1"/>
  <c r="AW438" i="1" s="1"/>
  <c r="AW431" i="1"/>
  <c r="AW432" i="1"/>
  <c r="AG435" i="1"/>
  <c r="AK435" i="1"/>
  <c r="CH672" i="1"/>
  <c r="CH658" i="1"/>
  <c r="CH635" i="1"/>
  <c r="BJ82" i="1"/>
  <c r="BG422" i="1"/>
  <c r="BG421" i="1"/>
  <c r="BA339" i="1"/>
  <c r="BA340" i="1"/>
  <c r="AN52" i="1"/>
  <c r="AR52" i="1"/>
  <c r="AV343" i="1"/>
  <c r="AV344" i="1" s="1"/>
  <c r="AV346" i="1"/>
  <c r="AV345" i="1"/>
  <c r="AV370" i="1"/>
  <c r="AV355" i="1"/>
  <c r="AV362" i="1"/>
  <c r="BV166" i="1"/>
  <c r="BZ165" i="1"/>
  <c r="BV69" i="1"/>
  <c r="BV70" i="1" s="1"/>
  <c r="Y293" i="1"/>
  <c r="BF357" i="1"/>
  <c r="BF356" i="1"/>
  <c r="AX281" i="1"/>
  <c r="AX278" i="1"/>
  <c r="BC293" i="1"/>
  <c r="Z344" i="1"/>
  <c r="AC437" i="1"/>
  <c r="AC432" i="1"/>
  <c r="AC431" i="1"/>
  <c r="AP437" i="1"/>
  <c r="AP432" i="1"/>
  <c r="AP431" i="1"/>
  <c r="AT130" i="1"/>
  <c r="AT133" i="1"/>
  <c r="AU437" i="1"/>
  <c r="AU438" i="1" s="1"/>
  <c r="AU431" i="1"/>
  <c r="AU432" i="1"/>
  <c r="BP320" i="1"/>
  <c r="BT317" i="1"/>
  <c r="BP321" i="1"/>
  <c r="AC117" i="1"/>
  <c r="AH370" i="1"/>
  <c r="AH343" i="1"/>
  <c r="AH346" i="1"/>
  <c r="AH345" i="1"/>
  <c r="AH362" i="1"/>
  <c r="AJ431" i="1"/>
  <c r="AJ437" i="1"/>
  <c r="AJ432" i="1"/>
  <c r="AF431" i="1"/>
  <c r="AF432" i="1"/>
  <c r="AF437" i="1"/>
  <c r="AF438" i="1" s="1"/>
  <c r="BM448" i="1"/>
  <c r="AS293" i="1"/>
  <c r="AS308" i="1"/>
  <c r="AS309" i="1" s="1"/>
  <c r="AR150" i="1"/>
  <c r="AR129" i="1"/>
  <c r="AR75" i="1"/>
  <c r="AE438" i="1"/>
  <c r="BD362" i="1"/>
  <c r="BD345" i="1"/>
  <c r="BD343" i="1"/>
  <c r="BD355" i="1"/>
  <c r="BD370" i="1"/>
  <c r="BD346" i="1"/>
  <c r="AN133" i="1"/>
  <c r="AN134" i="1" s="1"/>
  <c r="AN130" i="1"/>
  <c r="BL465" i="1"/>
  <c r="BL467" i="1" s="1"/>
  <c r="BL455" i="1"/>
  <c r="BA293" i="1"/>
  <c r="BA308" i="1"/>
  <c r="BA309" i="1" s="1"/>
  <c r="AY60" i="1"/>
  <c r="BC109" i="1"/>
  <c r="AN357" i="1"/>
  <c r="AN356" i="1"/>
  <c r="AM438" i="1"/>
  <c r="BX174" i="1"/>
  <c r="BT168" i="1"/>
  <c r="BT136" i="1"/>
  <c r="BT137" i="1" s="1"/>
  <c r="AX159" i="1"/>
  <c r="AY159" i="1" s="1"/>
  <c r="AJ293" i="1"/>
  <c r="BD432" i="1"/>
  <c r="BD437" i="1"/>
  <c r="BD438" i="1" s="1"/>
  <c r="BD431" i="1"/>
  <c r="AQ346" i="1"/>
  <c r="AQ355" i="1"/>
  <c r="AQ343" i="1"/>
  <c r="AQ345" i="1"/>
  <c r="AQ362" i="1"/>
  <c r="AQ370" i="1"/>
  <c r="BY162" i="1"/>
  <c r="BY163" i="1" s="1"/>
  <c r="AV188" i="1"/>
  <c r="AS188" i="1"/>
  <c r="BR162" i="1"/>
  <c r="BR163" i="1" s="1"/>
  <c r="AK54" i="1"/>
  <c r="AO52" i="1"/>
  <c r="BF52" i="1"/>
  <c r="AD431" i="1"/>
  <c r="AA293" i="1"/>
  <c r="AO308" i="1"/>
  <c r="AO309" i="1" s="1"/>
  <c r="AO293" i="1"/>
  <c r="Z345" i="1"/>
  <c r="AB435" i="1"/>
  <c r="AP435" i="1"/>
  <c r="BC194" i="1"/>
  <c r="BC189" i="1"/>
  <c r="BC203" i="1"/>
  <c r="BC190" i="1"/>
  <c r="BC193" i="1"/>
  <c r="BC192" i="1"/>
  <c r="BC200" i="1" s="1"/>
  <c r="BC191" i="1"/>
  <c r="BC199" i="1" s="1"/>
  <c r="V672" i="1"/>
  <c r="V658" i="1"/>
  <c r="V635" i="1"/>
  <c r="V509" i="1"/>
  <c r="W5" i="1"/>
  <c r="AE293" i="1"/>
  <c r="AI293" i="1"/>
  <c r="AW293" i="1"/>
  <c r="AW308" i="1"/>
  <c r="AW309" i="1" s="1"/>
  <c r="AO432" i="1"/>
  <c r="AO431" i="1"/>
  <c r="AO437" i="1"/>
  <c r="AO438" i="1" s="1"/>
  <c r="BH435" i="1"/>
  <c r="BV168" i="1"/>
  <c r="BV76" i="1" s="1"/>
  <c r="BZ174" i="1"/>
  <c r="BH349" i="1"/>
  <c r="BH343" i="1"/>
  <c r="BH344" i="1" s="1"/>
  <c r="BH362" i="1"/>
  <c r="BH355" i="1"/>
  <c r="BH350" i="1"/>
  <c r="BH346" i="1"/>
  <c r="BH345" i="1"/>
  <c r="BH370" i="1"/>
  <c r="BH372" i="1" s="1"/>
  <c r="BH375" i="1" s="1"/>
  <c r="BH272" i="1"/>
  <c r="BH273" i="1"/>
  <c r="AT437" i="1"/>
  <c r="AT438" i="1" s="1"/>
  <c r="AT431" i="1"/>
  <c r="AT432" i="1"/>
  <c r="AU339" i="1"/>
  <c r="AU340" i="1"/>
  <c r="BB275" i="1"/>
  <c r="BB277" i="1" s="1"/>
  <c r="BB87" i="1"/>
  <c r="AX203" i="1"/>
  <c r="AX190" i="1"/>
  <c r="AX192" i="1"/>
  <c r="AX200" i="1" s="1"/>
  <c r="AX189" i="1"/>
  <c r="AX194" i="1"/>
  <c r="AX193" i="1"/>
  <c r="AX191" i="1"/>
  <c r="AX199" i="1" s="1"/>
  <c r="Z435" i="1"/>
  <c r="BP76" i="1"/>
  <c r="BP162" i="1"/>
  <c r="BP163" i="1" s="1"/>
  <c r="BW42" i="1"/>
  <c r="BL332" i="1"/>
  <c r="BL333" i="1"/>
  <c r="BL331" i="1"/>
  <c r="W54" i="1"/>
  <c r="X54" i="1"/>
  <c r="AM435" i="1"/>
  <c r="AS340" i="1"/>
  <c r="AS339" i="1"/>
  <c r="AK345" i="1"/>
  <c r="AK370" i="1"/>
  <c r="AK346" i="1"/>
  <c r="AK362" i="1"/>
  <c r="AK343" i="1"/>
  <c r="AK344" i="1" s="1"/>
  <c r="AG346" i="1"/>
  <c r="AG370" i="1"/>
  <c r="AG362" i="1"/>
  <c r="AG343" i="1"/>
  <c r="AG345" i="1"/>
  <c r="AN192" i="1"/>
  <c r="AN200" i="1" s="1"/>
  <c r="AN194" i="1"/>
  <c r="AN191" i="1"/>
  <c r="AN199" i="1" s="1"/>
  <c r="AN193" i="1"/>
  <c r="AN190" i="1"/>
  <c r="AN203" i="1"/>
  <c r="AN189" i="1"/>
  <c r="AR203" i="1"/>
  <c r="AV339" i="1"/>
  <c r="AV340" i="1"/>
  <c r="AU193" i="1"/>
  <c r="AU203" i="1"/>
  <c r="AU192" i="1"/>
  <c r="AU200" i="1" s="1"/>
  <c r="AU194" i="1"/>
  <c r="AU191" i="1"/>
  <c r="AU199" i="1" s="1"/>
  <c r="AU189" i="1"/>
  <c r="AU190" i="1"/>
  <c r="BF189" i="1"/>
  <c r="BF191" i="1"/>
  <c r="BF199" i="1" s="1"/>
  <c r="BF193" i="1"/>
  <c r="BF190" i="1"/>
  <c r="BF192" i="1"/>
  <c r="BF203" i="1"/>
  <c r="BF194" i="1"/>
  <c r="W370" i="1"/>
  <c r="W343" i="1"/>
  <c r="W344" i="1" s="1"/>
  <c r="W345" i="1"/>
  <c r="W346" i="1"/>
  <c r="W362" i="1"/>
  <c r="Z346" i="1"/>
  <c r="BC346" i="1"/>
  <c r="BC355" i="1"/>
  <c r="BC343" i="1"/>
  <c r="BC344" i="1" s="1"/>
  <c r="BC345" i="1"/>
  <c r="BC362" i="1"/>
  <c r="BC370" i="1"/>
  <c r="AK293" i="1"/>
  <c r="BO409" i="1"/>
  <c r="BO411" i="1" s="1"/>
  <c r="BP442" i="1"/>
  <c r="AZ339" i="1"/>
  <c r="AZ340" i="1"/>
  <c r="AJ435" i="1"/>
  <c r="CC93" i="1"/>
  <c r="CC94" i="1" s="1"/>
  <c r="BY94" i="1"/>
  <c r="BW162" i="1"/>
  <c r="BW163" i="1" s="1"/>
  <c r="BW166" i="1"/>
  <c r="CA165" i="1"/>
  <c r="BW69" i="1"/>
  <c r="BW70" i="1" s="1"/>
  <c r="BH421" i="1"/>
  <c r="BH422" i="1"/>
  <c r="AE189" i="1"/>
  <c r="AE191" i="1"/>
  <c r="AE193" i="1"/>
  <c r="AE190" i="1"/>
  <c r="AE192" i="1"/>
  <c r="AE203" i="1"/>
  <c r="AE194" i="1"/>
  <c r="BI332" i="1"/>
  <c r="BI331" i="1"/>
  <c r="BI338" i="1"/>
  <c r="BI333" i="1"/>
  <c r="AM133" i="1"/>
  <c r="AM134" i="1" s="1"/>
  <c r="AM130" i="1"/>
  <c r="AE346" i="1"/>
  <c r="AE362" i="1"/>
  <c r="AE345" i="1"/>
  <c r="AE343" i="1"/>
  <c r="AE344" i="1" s="1"/>
  <c r="AE370" i="1"/>
  <c r="AF362" i="1"/>
  <c r="AF345" i="1"/>
  <c r="AF346" i="1"/>
  <c r="AF343" i="1"/>
  <c r="AF370" i="1"/>
  <c r="AC203" i="1"/>
  <c r="AL431" i="1"/>
  <c r="AL437" i="1"/>
  <c r="AL438" i="1" s="1"/>
  <c r="AL432" i="1"/>
  <c r="BO326" i="1"/>
  <c r="BO329" i="1"/>
  <c r="BO327" i="1"/>
  <c r="BS323" i="1"/>
  <c r="CA311" i="1"/>
  <c r="BW314" i="1"/>
  <c r="BL369" i="1"/>
  <c r="AU52" i="1"/>
  <c r="AK194" i="1"/>
  <c r="AK191" i="1"/>
  <c r="AK203" i="1"/>
  <c r="AK190" i="1"/>
  <c r="AK192" i="1"/>
  <c r="AK189" i="1"/>
  <c r="AK193" i="1"/>
  <c r="AO203" i="1"/>
  <c r="BM327" i="1"/>
  <c r="BM326" i="1"/>
  <c r="BM329" i="1"/>
  <c r="BQ323" i="1"/>
  <c r="AF203" i="1"/>
  <c r="BM116" i="1"/>
  <c r="BI57" i="1"/>
  <c r="BM320" i="1"/>
  <c r="BM321" i="1"/>
  <c r="BQ317" i="1"/>
  <c r="AM346" i="1"/>
  <c r="AM345" i="1"/>
  <c r="AM343" i="1"/>
  <c r="AM355" i="1"/>
  <c r="AM370" i="1"/>
  <c r="AM362" i="1"/>
  <c r="AZ346" i="1"/>
  <c r="AZ345" i="1"/>
  <c r="AZ343" i="1"/>
  <c r="AZ344" i="1" s="1"/>
  <c r="AZ355" i="1"/>
  <c r="AZ370" i="1"/>
  <c r="AZ362" i="1"/>
  <c r="AO355" i="1"/>
  <c r="AO346" i="1"/>
  <c r="AO345" i="1"/>
  <c r="AO370" i="1"/>
  <c r="AO343" i="1"/>
  <c r="AO362" i="1"/>
  <c r="BU445" i="1"/>
  <c r="BY414" i="1"/>
  <c r="AC293" i="1"/>
  <c r="BH432" i="1"/>
  <c r="BH437" i="1"/>
  <c r="BH431" i="1"/>
  <c r="AS345" i="1"/>
  <c r="AS346" i="1"/>
  <c r="AS343" i="1"/>
  <c r="AS362" i="1"/>
  <c r="AS355" i="1"/>
  <c r="AS370" i="1"/>
  <c r="AD343" i="1"/>
  <c r="AD344" i="1" s="1"/>
  <c r="AD345" i="1"/>
  <c r="AD346" i="1"/>
  <c r="AD362" i="1"/>
  <c r="AD370" i="1"/>
  <c r="AW355" i="1"/>
  <c r="AW345" i="1"/>
  <c r="AW343" i="1"/>
  <c r="AW344" i="1" s="1"/>
  <c r="AW346" i="1"/>
  <c r="AW370" i="1"/>
  <c r="AW362" i="1"/>
  <c r="AS438" i="1"/>
  <c r="BH340" i="1"/>
  <c r="BH339" i="1"/>
  <c r="BJ337" i="1"/>
  <c r="BJ336" i="1"/>
  <c r="BE197" i="1"/>
  <c r="BE188" i="1"/>
  <c r="AR73" i="1"/>
  <c r="AY339" i="1"/>
  <c r="AY340" i="1"/>
  <c r="AQ293" i="1"/>
  <c r="AQ308" i="1"/>
  <c r="AQ309" i="1" s="1"/>
  <c r="AW188" i="1"/>
  <c r="AW197" i="1"/>
  <c r="BJ338" i="1"/>
  <c r="BJ333" i="1"/>
  <c r="BJ331" i="1"/>
  <c r="BJ332" i="1"/>
  <c r="AU129" i="1"/>
  <c r="AU150" i="1"/>
  <c r="AU75" i="1"/>
  <c r="AF188" i="1"/>
  <c r="X432" i="1"/>
  <c r="X431" i="1"/>
  <c r="X437" i="1"/>
  <c r="X438" i="1" s="1"/>
  <c r="AJ188" i="1"/>
  <c r="BC94" i="1"/>
  <c r="AY87" i="1"/>
  <c r="AY94" i="1"/>
  <c r="L5" i="4" a="1"/>
  <c r="L5" i="4" s="1"/>
  <c r="AR139" i="1"/>
  <c r="AS139" i="1" s="1"/>
  <c r="AT23" i="1" l="1"/>
  <c r="AT139" i="1" s="1"/>
  <c r="AU11" i="1"/>
  <c r="AV11" i="1" s="1"/>
  <c r="AB188" i="1"/>
  <c r="AK365" i="1"/>
  <c r="AK459" i="1"/>
  <c r="AK367" i="1"/>
  <c r="AK363" i="1"/>
  <c r="AK366" i="1"/>
  <c r="AB375" i="1"/>
  <c r="AB373" i="1"/>
  <c r="BG308" i="1"/>
  <c r="BG309" i="1" s="1"/>
  <c r="BG293" i="1"/>
  <c r="BW108" i="1"/>
  <c r="BS60" i="1"/>
  <c r="BS61" i="1" s="1"/>
  <c r="BV91" i="1"/>
  <c r="BU92" i="1"/>
  <c r="BU87" i="1"/>
  <c r="AY373" i="1"/>
  <c r="AY375" i="1"/>
  <c r="BF156" i="1"/>
  <c r="BB136" i="1"/>
  <c r="BB137" i="1" s="1"/>
  <c r="BB149" i="1"/>
  <c r="BB157" i="1"/>
  <c r="AD188" i="1"/>
  <c r="S375" i="1"/>
  <c r="S373" i="1"/>
  <c r="CD414" i="1"/>
  <c r="BZ445" i="1"/>
  <c r="AY150" i="1"/>
  <c r="AY75" i="1"/>
  <c r="AY129" i="1"/>
  <c r="BT314" i="1"/>
  <c r="BT315" i="1"/>
  <c r="BX311" i="1"/>
  <c r="BA356" i="1"/>
  <c r="BA357" i="1"/>
  <c r="BT327" i="1"/>
  <c r="BT326" i="1"/>
  <c r="BX323" i="1"/>
  <c r="BT329" i="1"/>
  <c r="AP60" i="1"/>
  <c r="AT109" i="1"/>
  <c r="BY311" i="1"/>
  <c r="BU315" i="1"/>
  <c r="BU314" i="1"/>
  <c r="BP331" i="1"/>
  <c r="BP332" i="1"/>
  <c r="BP333" i="1"/>
  <c r="BQ84" i="1"/>
  <c r="BM65" i="1"/>
  <c r="BM81" i="1"/>
  <c r="BM82" i="1" s="1"/>
  <c r="BJ153" i="1"/>
  <c r="BI154" i="1"/>
  <c r="BI149" i="1"/>
  <c r="AI344" i="1"/>
  <c r="U459" i="1"/>
  <c r="U363" i="1"/>
  <c r="U367" i="1"/>
  <c r="AT366" i="1"/>
  <c r="AT367" i="1"/>
  <c r="AT459" i="1"/>
  <c r="AT365" i="1"/>
  <c r="AT363" i="1"/>
  <c r="BA133" i="1"/>
  <c r="BA134" i="1" s="1"/>
  <c r="BA130" i="1"/>
  <c r="BT88" i="1"/>
  <c r="BT74" i="1"/>
  <c r="AY344" i="1"/>
  <c r="BG156" i="1"/>
  <c r="BC157" i="1"/>
  <c r="BC136" i="1"/>
  <c r="BC137" i="1" s="1"/>
  <c r="BC149" i="1"/>
  <c r="BX235" i="1"/>
  <c r="BX234" i="1"/>
  <c r="CB229" i="1"/>
  <c r="BX231" i="1"/>
  <c r="M51" i="4" a="1"/>
  <c r="M51" i="4" s="1"/>
  <c r="M37" i="4" a="1"/>
  <c r="M37" i="4" s="1"/>
  <c r="M39" i="4" a="1"/>
  <c r="M39" i="4" s="1"/>
  <c r="M23" i="4" a="1"/>
  <c r="M23" i="4" s="1"/>
  <c r="M22" i="4" a="1"/>
  <c r="M22" i="4" s="1"/>
  <c r="M29" i="4" a="1"/>
  <c r="M29" i="4" s="1"/>
  <c r="M45" i="4" a="1"/>
  <c r="M45" i="4" s="1"/>
  <c r="M24" i="4" a="1"/>
  <c r="M24" i="4" s="1"/>
  <c r="M42" i="4" a="1"/>
  <c r="M42" i="4" s="1"/>
  <c r="M48" i="4" a="1"/>
  <c r="M48" i="4" s="1"/>
  <c r="M32" i="4" a="1"/>
  <c r="M32" i="4" s="1"/>
  <c r="M15" i="4"/>
  <c r="M17" i="4"/>
  <c r="M16" i="4"/>
  <c r="M18" i="4"/>
  <c r="M26" i="4" a="1"/>
  <c r="M26" i="4" s="1"/>
  <c r="M19" i="4"/>
  <c r="AI373" i="1"/>
  <c r="AI375" i="1"/>
  <c r="BQ234" i="1"/>
  <c r="BU229" i="1"/>
  <c r="BQ231" i="1"/>
  <c r="BQ235" i="1"/>
  <c r="BR231" i="1"/>
  <c r="AT357" i="1"/>
  <c r="AT356" i="1"/>
  <c r="AY357" i="1"/>
  <c r="AY356" i="1"/>
  <c r="AN389" i="1"/>
  <c r="AN391" i="1" s="1"/>
  <c r="AN377" i="1"/>
  <c r="BW414" i="1"/>
  <c r="BS445" i="1"/>
  <c r="S459" i="1"/>
  <c r="S363" i="1"/>
  <c r="AA375" i="1"/>
  <c r="AA373" i="1"/>
  <c r="CA317" i="1"/>
  <c r="BW321" i="1"/>
  <c r="BW320" i="1"/>
  <c r="W672" i="1"/>
  <c r="W658" i="1"/>
  <c r="W635" i="1"/>
  <c r="W509" i="1"/>
  <c r="W3" i="1"/>
  <c r="X5" i="1"/>
  <c r="CJ5" i="1"/>
  <c r="CK3" i="1"/>
  <c r="U373" i="1"/>
  <c r="U375" i="1"/>
  <c r="CD174" i="1"/>
  <c r="CD168" i="1" s="1"/>
  <c r="CD76" i="1" s="1"/>
  <c r="BZ168" i="1"/>
  <c r="BZ76" i="1" s="1"/>
  <c r="AW459" i="1"/>
  <c r="AW365" i="1"/>
  <c r="AW367" i="1"/>
  <c r="AW366" i="1"/>
  <c r="AW363" i="1"/>
  <c r="CA314" i="1"/>
  <c r="BH129" i="1"/>
  <c r="BH75" i="1"/>
  <c r="BH73" i="1" s="1"/>
  <c r="BL73" i="1" s="1"/>
  <c r="AY61" i="1"/>
  <c r="BC61" i="1"/>
  <c r="AO344" i="1"/>
  <c r="AM373" i="1"/>
  <c r="AM375" i="1"/>
  <c r="BQ329" i="1"/>
  <c r="BU323" i="1"/>
  <c r="BQ327" i="1"/>
  <c r="BQ326" i="1"/>
  <c r="BH389" i="1"/>
  <c r="BH391" i="1" s="1"/>
  <c r="BH377" i="1"/>
  <c r="AZ159" i="1"/>
  <c r="BA159" i="1" s="1"/>
  <c r="BB159" i="1" s="1"/>
  <c r="BC159" i="1" s="1"/>
  <c r="BD159" i="1" s="1"/>
  <c r="BE159" i="1" s="1"/>
  <c r="BF159" i="1" s="1"/>
  <c r="BG159" i="1" s="1"/>
  <c r="BH159" i="1" s="1"/>
  <c r="BI159" i="1" s="1"/>
  <c r="BJ159" i="1" s="1"/>
  <c r="BD363" i="1"/>
  <c r="BD364" i="1" s="1"/>
  <c r="BD367" i="1"/>
  <c r="BD459" i="1"/>
  <c r="BD365" i="1"/>
  <c r="BD366" i="1"/>
  <c r="AJ438" i="1"/>
  <c r="BT320" i="1"/>
  <c r="BT321" i="1"/>
  <c r="BX317" i="1"/>
  <c r="AL188" i="1"/>
  <c r="AP356" i="1"/>
  <c r="AP357" i="1"/>
  <c r="N5" i="4" a="1"/>
  <c r="N5" i="4" s="1"/>
  <c r="N4" i="4"/>
  <c r="BB459" i="1"/>
  <c r="BB365" i="1"/>
  <c r="BB367" i="1"/>
  <c r="BB363" i="1"/>
  <c r="BB366" i="1"/>
  <c r="AX373" i="1"/>
  <c r="AX375" i="1"/>
  <c r="AT344" i="1"/>
  <c r="AJ459" i="1"/>
  <c r="AM460" i="1" s="1"/>
  <c r="AJ363" i="1"/>
  <c r="AJ366" i="1"/>
  <c r="AJ367" i="1"/>
  <c r="AJ365" i="1"/>
  <c r="AN366" i="1"/>
  <c r="AN365" i="1"/>
  <c r="CB61" i="1"/>
  <c r="BE459" i="1"/>
  <c r="BE363" i="1"/>
  <c r="BE364" i="1" s="1"/>
  <c r="BE366" i="1"/>
  <c r="BE365" i="1"/>
  <c r="BE367" i="1"/>
  <c r="AY367" i="1"/>
  <c r="AY459" i="1"/>
  <c r="AY366" i="1"/>
  <c r="AY365" i="1"/>
  <c r="AY363" i="1"/>
  <c r="AZ356" i="1"/>
  <c r="AZ357" i="1"/>
  <c r="BC357" i="1"/>
  <c r="BC356" i="1"/>
  <c r="AV375" i="1"/>
  <c r="AV373" i="1"/>
  <c r="AY188" i="1"/>
  <c r="AX150" i="1"/>
  <c r="AX129" i="1"/>
  <c r="AX75" i="1"/>
  <c r="AX73" i="1" s="1"/>
  <c r="AK188" i="1"/>
  <c r="BD373" i="1"/>
  <c r="BD375" i="1"/>
  <c r="Y365" i="1"/>
  <c r="Y366" i="1"/>
  <c r="Y459" i="1"/>
  <c r="Y363" i="1"/>
  <c r="Y364" i="1" s="1"/>
  <c r="Y367" i="1"/>
  <c r="Z367" i="1"/>
  <c r="BH293" i="1"/>
  <c r="BH303" i="1"/>
  <c r="BH308" i="1"/>
  <c r="BH309" i="1" s="1"/>
  <c r="AQ188" i="1"/>
  <c r="BD357" i="1"/>
  <c r="BD356" i="1"/>
  <c r="AQ134" i="1"/>
  <c r="CO61" i="1"/>
  <c r="CP61" i="1"/>
  <c r="BI66" i="1"/>
  <c r="AZ188" i="1"/>
  <c r="BB197" i="1"/>
  <c r="BB188" i="1"/>
  <c r="AZ88" i="1"/>
  <c r="AZ74" i="1"/>
  <c r="BD88" i="1"/>
  <c r="AO375" i="1"/>
  <c r="AO373" i="1"/>
  <c r="AM357" i="1"/>
  <c r="AM356" i="1"/>
  <c r="BO331" i="1"/>
  <c r="BO332" i="1"/>
  <c r="BO333" i="1"/>
  <c r="AF363" i="1"/>
  <c r="AF459" i="1"/>
  <c r="AF367" i="1"/>
  <c r="AF366" i="1"/>
  <c r="AF365" i="1"/>
  <c r="CA42" i="1"/>
  <c r="AB438" i="1"/>
  <c r="BM455" i="1"/>
  <c r="BM465" i="1"/>
  <c r="BM467" i="1" s="1"/>
  <c r="AC438" i="1"/>
  <c r="BV323" i="1"/>
  <c r="BR327" i="1"/>
  <c r="BR329" i="1"/>
  <c r="BR326" i="1"/>
  <c r="BE129" i="1"/>
  <c r="BE150" i="1"/>
  <c r="BE75" i="1"/>
  <c r="BE73" i="1" s="1"/>
  <c r="BI73" i="1" s="1"/>
  <c r="BN66" i="1"/>
  <c r="BZ234" i="1"/>
  <c r="BZ235" i="1"/>
  <c r="CD229" i="1"/>
  <c r="BB373" i="1"/>
  <c r="BB375" i="1"/>
  <c r="AJ373" i="1"/>
  <c r="AJ375" i="1"/>
  <c r="AR459" i="1"/>
  <c r="AR363" i="1"/>
  <c r="AR364" i="1" s="1"/>
  <c r="AR365" i="1"/>
  <c r="AR366" i="1"/>
  <c r="AR367" i="1"/>
  <c r="V459" i="1"/>
  <c r="V363" i="1"/>
  <c r="Z364" i="1" s="1"/>
  <c r="V367" i="1"/>
  <c r="Z366" i="1"/>
  <c r="Z365" i="1"/>
  <c r="BF364" i="1"/>
  <c r="AP200" i="1"/>
  <c r="AA344" i="1"/>
  <c r="BG365" i="1"/>
  <c r="BG367" i="1"/>
  <c r="BG459" i="1"/>
  <c r="BG363" i="1"/>
  <c r="BG366" i="1"/>
  <c r="AP459" i="1"/>
  <c r="AP366" i="1"/>
  <c r="AP367" i="1"/>
  <c r="AP363" i="1"/>
  <c r="AP365" i="1"/>
  <c r="AI459" i="1"/>
  <c r="AI367" i="1"/>
  <c r="AI365" i="1"/>
  <c r="AI366" i="1"/>
  <c r="AI363" i="1"/>
  <c r="BW235" i="1"/>
  <c r="BW234" i="1"/>
  <c r="BW231" i="1"/>
  <c r="CA229" i="1"/>
  <c r="BZ94" i="1"/>
  <c r="CD93" i="1"/>
  <c r="CD94" i="1" s="1"/>
  <c r="BF389" i="1"/>
  <c r="BF391" i="1" s="1"/>
  <c r="BF377" i="1"/>
  <c r="AP375" i="1"/>
  <c r="AP373" i="1"/>
  <c r="AC344" i="1"/>
  <c r="BD156" i="1"/>
  <c r="AZ136" i="1"/>
  <c r="AZ137" i="1" s="1"/>
  <c r="AZ157" i="1"/>
  <c r="AZ149" i="1"/>
  <c r="BI58" i="1"/>
  <c r="AF375" i="1"/>
  <c r="AF373" i="1"/>
  <c r="AE188" i="1"/>
  <c r="AX188" i="1"/>
  <c r="AX197" i="1"/>
  <c r="AU133" i="1"/>
  <c r="AU134" i="1" s="1"/>
  <c r="AU130" i="1"/>
  <c r="AW375" i="1"/>
  <c r="AW373" i="1"/>
  <c r="AS375" i="1"/>
  <c r="AS373" i="1"/>
  <c r="BM57" i="1"/>
  <c r="BQ116" i="1"/>
  <c r="W363" i="1"/>
  <c r="W364" i="1" s="1"/>
  <c r="W459" i="1"/>
  <c r="W366" i="1"/>
  <c r="W365" i="1"/>
  <c r="W367" i="1"/>
  <c r="AM367" i="1"/>
  <c r="AM366" i="1"/>
  <c r="AM459" i="1"/>
  <c r="AP460" i="1" s="1"/>
  <c r="AM365" i="1"/>
  <c r="AM363" i="1"/>
  <c r="AM364" i="1" s="1"/>
  <c r="AN367" i="1"/>
  <c r="BS326" i="1"/>
  <c r="BW323" i="1"/>
  <c r="BS327" i="1"/>
  <c r="BS329" i="1"/>
  <c r="BI339" i="1"/>
  <c r="BI340" i="1"/>
  <c r="AU188" i="1"/>
  <c r="AK373" i="1"/>
  <c r="AK375" i="1"/>
  <c r="AS459" i="1"/>
  <c r="AS363" i="1"/>
  <c r="AS364" i="1" s="1"/>
  <c r="AS366" i="1"/>
  <c r="AS365" i="1"/>
  <c r="AS367" i="1"/>
  <c r="AY88" i="1"/>
  <c r="AY74" i="1"/>
  <c r="AY73" i="1" s="1"/>
  <c r="BC88" i="1"/>
  <c r="AS344" i="1"/>
  <c r="BJ339" i="1"/>
  <c r="BJ340" i="1"/>
  <c r="AW356" i="1"/>
  <c r="AW357" i="1"/>
  <c r="AM344" i="1"/>
  <c r="BM333" i="1"/>
  <c r="BM332" i="1"/>
  <c r="BM331" i="1"/>
  <c r="AE373" i="1"/>
  <c r="AE375" i="1"/>
  <c r="W373" i="1"/>
  <c r="W375" i="1"/>
  <c r="AQ373" i="1"/>
  <c r="AQ375" i="1"/>
  <c r="BT162" i="1"/>
  <c r="BT163" i="1" s="1"/>
  <c r="BT76" i="1"/>
  <c r="AH366" i="1"/>
  <c r="AH459" i="1"/>
  <c r="AH367" i="1"/>
  <c r="AH365" i="1"/>
  <c r="AH363" i="1"/>
  <c r="BZ166" i="1"/>
  <c r="BZ69" i="1"/>
  <c r="BZ70" i="1" s="1"/>
  <c r="CD165" i="1"/>
  <c r="BZ162" i="1"/>
  <c r="AL365" i="1"/>
  <c r="AL367" i="1"/>
  <c r="AL363" i="1"/>
  <c r="AL364" i="1" s="1"/>
  <c r="AL366" i="1"/>
  <c r="AL459" i="1"/>
  <c r="BE137" i="1"/>
  <c r="BI137" i="1"/>
  <c r="BR65" i="1"/>
  <c r="BR81" i="1"/>
  <c r="BR82" i="1" s="1"/>
  <c r="BV84" i="1"/>
  <c r="AA188" i="1"/>
  <c r="BK447" i="1"/>
  <c r="BJ385" i="1"/>
  <c r="BJ386" i="1" s="1"/>
  <c r="BA438" i="1"/>
  <c r="BE375" i="1"/>
  <c r="BE373" i="1"/>
  <c r="AR373" i="1"/>
  <c r="AR375" i="1"/>
  <c r="BF366" i="1"/>
  <c r="X363" i="1"/>
  <c r="X364" i="1" s="1"/>
  <c r="X366" i="1"/>
  <c r="X459" i="1"/>
  <c r="X365" i="1"/>
  <c r="X367" i="1"/>
  <c r="AA459" i="1"/>
  <c r="AA367" i="1"/>
  <c r="AA366" i="1"/>
  <c r="AA365" i="1"/>
  <c r="AA363" i="1"/>
  <c r="L48" i="4" a="1"/>
  <c r="L48" i="4" s="1"/>
  <c r="L51" i="4" a="1"/>
  <c r="L51" i="4" s="1"/>
  <c r="L37" i="4" a="1"/>
  <c r="L37" i="4" s="1"/>
  <c r="L22" i="4" a="1"/>
  <c r="L22" i="4" s="1"/>
  <c r="L26" i="4" a="1"/>
  <c r="L26" i="4" s="1"/>
  <c r="L39" i="4" a="1"/>
  <c r="L39" i="4" s="1"/>
  <c r="L29" i="4" a="1"/>
  <c r="L29" i="4" s="1"/>
  <c r="L23" i="4" a="1"/>
  <c r="L23" i="4" s="1"/>
  <c r="L24" i="4" a="1"/>
  <c r="L24" i="4" s="1"/>
  <c r="L42" i="4" a="1"/>
  <c r="L42" i="4" s="1"/>
  <c r="L32" i="4" a="1"/>
  <c r="L32" i="4" s="1"/>
  <c r="L15" i="4"/>
  <c r="L45" i="4" a="1"/>
  <c r="L45" i="4" s="1"/>
  <c r="L17" i="4"/>
  <c r="L16" i="4"/>
  <c r="L18" i="4"/>
  <c r="L19" i="4"/>
  <c r="AO366" i="1"/>
  <c r="AO459" i="1"/>
  <c r="AO363" i="1"/>
  <c r="AO364" i="1" s="1"/>
  <c r="AO365" i="1"/>
  <c r="AO367" i="1"/>
  <c r="AQ459" i="1"/>
  <c r="AQ365" i="1"/>
  <c r="AQ367" i="1"/>
  <c r="AQ366" i="1"/>
  <c r="AQ363" i="1"/>
  <c r="AQ364" i="1" s="1"/>
  <c r="CB174" i="1"/>
  <c r="BX168" i="1"/>
  <c r="BX136" i="1"/>
  <c r="BX137" i="1" s="1"/>
  <c r="AL373" i="1"/>
  <c r="AL375" i="1"/>
  <c r="BK57" i="1"/>
  <c r="BK58" i="1" s="1"/>
  <c r="BO116" i="1"/>
  <c r="BB200" i="1"/>
  <c r="BN331" i="1"/>
  <c r="BN332" i="1"/>
  <c r="BN333" i="1"/>
  <c r="BM136" i="1"/>
  <c r="BM157" i="1"/>
  <c r="BQ157" i="1"/>
  <c r="AG438" i="1"/>
  <c r="T375" i="1"/>
  <c r="T373" i="1"/>
  <c r="AX459" i="1"/>
  <c r="BA460" i="1" s="1"/>
  <c r="AX365" i="1"/>
  <c r="AX367" i="1"/>
  <c r="AX363" i="1"/>
  <c r="AX364" i="1" s="1"/>
  <c r="AX366" i="1"/>
  <c r="AT375" i="1"/>
  <c r="AT373" i="1"/>
  <c r="BA459" i="1"/>
  <c r="BA366" i="1"/>
  <c r="BA365" i="1"/>
  <c r="BA363" i="1"/>
  <c r="BA364" i="1" s="1"/>
  <c r="BA367" i="1"/>
  <c r="BE344" i="1"/>
  <c r="BO443" i="1"/>
  <c r="BN448" i="1"/>
  <c r="BN444" i="1"/>
  <c r="BN449" i="1" s="1"/>
  <c r="BE438" i="1"/>
  <c r="BG357" i="1"/>
  <c r="BG356" i="1"/>
  <c r="BR315" i="1"/>
  <c r="BV311" i="1"/>
  <c r="CA315" i="1" s="1"/>
  <c r="BR314" i="1"/>
  <c r="BS315" i="1"/>
  <c r="AN188" i="1"/>
  <c r="AM188" i="1"/>
  <c r="BY445" i="1"/>
  <c r="CC414" i="1"/>
  <c r="BF188" i="1"/>
  <c r="BF197" i="1"/>
  <c r="AX438" i="1"/>
  <c r="AF344" i="1"/>
  <c r="AS357" i="1"/>
  <c r="AS356" i="1"/>
  <c r="CA162" i="1"/>
  <c r="CA163" i="1" s="1"/>
  <c r="CA69" i="1"/>
  <c r="CA70" i="1" s="1"/>
  <c r="CA166" i="1"/>
  <c r="BB93" i="1"/>
  <c r="BB97" i="1" s="1"/>
  <c r="BC97" i="1" s="1"/>
  <c r="BD97" i="1" s="1"/>
  <c r="BE97" i="1" s="1"/>
  <c r="BF97" i="1" s="1"/>
  <c r="BG97" i="1" s="1"/>
  <c r="BH97" i="1" s="1"/>
  <c r="BI97" i="1" s="1"/>
  <c r="BJ97" i="1" s="1"/>
  <c r="BK97" i="1" s="1"/>
  <c r="BL97" i="1" s="1"/>
  <c r="BM97" i="1" s="1"/>
  <c r="BN97" i="1" s="1"/>
  <c r="BO97" i="1" s="1"/>
  <c r="BP97" i="1" s="1"/>
  <c r="BQ97" i="1" s="1"/>
  <c r="BR97" i="1" s="1"/>
  <c r="BS97" i="1" s="1"/>
  <c r="BT97" i="1" s="1"/>
  <c r="BU97" i="1" s="1"/>
  <c r="BV97" i="1" s="1"/>
  <c r="BW97" i="1" s="1"/>
  <c r="BX97" i="1" s="1"/>
  <c r="BY97" i="1" s="1"/>
  <c r="BZ97" i="1" s="1"/>
  <c r="CA97" i="1" s="1"/>
  <c r="CB97" i="1" s="1"/>
  <c r="CC97" i="1" s="1"/>
  <c r="CD97" i="1" s="1"/>
  <c r="BB74" i="1"/>
  <c r="BB88" i="1"/>
  <c r="BF88" i="1"/>
  <c r="AD375" i="1"/>
  <c r="AD373" i="1"/>
  <c r="AO357" i="1"/>
  <c r="AO356" i="1"/>
  <c r="BM369" i="1"/>
  <c r="BC459" i="1"/>
  <c r="BC366" i="1"/>
  <c r="BC365" i="1"/>
  <c r="BC367" i="1"/>
  <c r="BC363" i="1"/>
  <c r="BC364" i="1" s="1"/>
  <c r="AG344" i="1"/>
  <c r="BB279" i="1"/>
  <c r="BB280" i="1"/>
  <c r="BB281" i="1"/>
  <c r="BB278" i="1"/>
  <c r="BF280" i="1"/>
  <c r="BF279" i="1"/>
  <c r="BH357" i="1"/>
  <c r="BJ353" i="1"/>
  <c r="BJ354" i="1"/>
  <c r="BH356" i="1"/>
  <c r="BV162" i="1"/>
  <c r="BV163" i="1" s="1"/>
  <c r="AL344" i="1"/>
  <c r="BA197" i="1"/>
  <c r="BA188" i="1"/>
  <c r="AU459" i="1"/>
  <c r="AU363" i="1"/>
  <c r="AU366" i="1"/>
  <c r="AU367" i="1"/>
  <c r="AU365" i="1"/>
  <c r="AU73" i="1"/>
  <c r="AJ344" i="1"/>
  <c r="AC365" i="1"/>
  <c r="AC366" i="1"/>
  <c r="AC459" i="1"/>
  <c r="AF460" i="1" s="1"/>
  <c r="AC367" i="1"/>
  <c r="AC363" i="1"/>
  <c r="AC364" i="1" s="1"/>
  <c r="BA375" i="1"/>
  <c r="BA373" i="1"/>
  <c r="BE357" i="1"/>
  <c r="BE356" i="1"/>
  <c r="AR357" i="1"/>
  <c r="AR356" i="1"/>
  <c r="V375" i="1"/>
  <c r="V373" i="1"/>
  <c r="BG344" i="1"/>
  <c r="BZ136" i="1"/>
  <c r="BZ137" i="1" s="1"/>
  <c r="BD344" i="1"/>
  <c r="AP438" i="1"/>
  <c r="BP409" i="1"/>
  <c r="BP411" i="1" s="1"/>
  <c r="BQ442" i="1"/>
  <c r="BC373" i="1"/>
  <c r="BC375" i="1"/>
  <c r="AR133" i="1"/>
  <c r="AR134" i="1" s="1"/>
  <c r="AR130" i="1"/>
  <c r="AD459" i="1"/>
  <c r="AG460" i="1" s="1"/>
  <c r="AD366" i="1"/>
  <c r="AD367" i="1"/>
  <c r="AD365" i="1"/>
  <c r="AD363" i="1"/>
  <c r="AD364" i="1" s="1"/>
  <c r="BH438" i="1"/>
  <c r="AZ363" i="1"/>
  <c r="AZ459" i="1"/>
  <c r="BC460" i="1" s="1"/>
  <c r="AZ366" i="1"/>
  <c r="AZ367" i="1"/>
  <c r="AZ365" i="1"/>
  <c r="BQ320" i="1"/>
  <c r="BU317" i="1"/>
  <c r="BQ321" i="1"/>
  <c r="AD438" i="1"/>
  <c r="AE365" i="1"/>
  <c r="AE459" i="1"/>
  <c r="AE367" i="1"/>
  <c r="AE363" i="1"/>
  <c r="AE364" i="1" s="1"/>
  <c r="AE366" i="1"/>
  <c r="BF200" i="1"/>
  <c r="AG459" i="1"/>
  <c r="AG363" i="1"/>
  <c r="AG366" i="1"/>
  <c r="AG367" i="1"/>
  <c r="AG365" i="1"/>
  <c r="BH459" i="1"/>
  <c r="BH367" i="1"/>
  <c r="BH366" i="1"/>
  <c r="BH365" i="1"/>
  <c r="BH363" i="1"/>
  <c r="BC188" i="1"/>
  <c r="AQ344" i="1"/>
  <c r="AH344" i="1"/>
  <c r="AV367" i="1"/>
  <c r="AV459" i="1"/>
  <c r="AV363" i="1"/>
  <c r="AV364" i="1" s="1"/>
  <c r="AV365" i="1"/>
  <c r="AV366" i="1"/>
  <c r="BF344" i="1"/>
  <c r="BL116" i="1"/>
  <c r="BH57" i="1"/>
  <c r="BH58" i="1" s="1"/>
  <c r="AU375" i="1"/>
  <c r="AU373" i="1"/>
  <c r="T459" i="1"/>
  <c r="T363" i="1"/>
  <c r="T367" i="1"/>
  <c r="BB356" i="1"/>
  <c r="BB357" i="1"/>
  <c r="AX356" i="1"/>
  <c r="AX357" i="1"/>
  <c r="BZ55" i="1"/>
  <c r="CD54" i="1"/>
  <c r="AC375" i="1"/>
  <c r="AC373" i="1"/>
  <c r="X344" i="1"/>
  <c r="BR321" i="1"/>
  <c r="BR320" i="1"/>
  <c r="BV317" i="1"/>
  <c r="BR116" i="1"/>
  <c r="BN57" i="1"/>
  <c r="BG375" i="1"/>
  <c r="BG373" i="1"/>
  <c r="BP445" i="1"/>
  <c r="BT414" i="1"/>
  <c r="AZ373" i="1"/>
  <c r="AZ375" i="1"/>
  <c r="AG375" i="1"/>
  <c r="AG373" i="1"/>
  <c r="AQ356" i="1"/>
  <c r="AQ357" i="1"/>
  <c r="AH373" i="1"/>
  <c r="AH375" i="1"/>
  <c r="AT134" i="1"/>
  <c r="AV356" i="1"/>
  <c r="AV357" i="1"/>
  <c r="CD157" i="1"/>
  <c r="CD136" i="1"/>
  <c r="CI672" i="1"/>
  <c r="CI658" i="1"/>
  <c r="CI635" i="1"/>
  <c r="Y373" i="1"/>
  <c r="Y375" i="1"/>
  <c r="AU357" i="1"/>
  <c r="AU356" i="1"/>
  <c r="AB459" i="1"/>
  <c r="AB365" i="1"/>
  <c r="AB363" i="1"/>
  <c r="AB364" i="1" s="1"/>
  <c r="AB367" i="1"/>
  <c r="AB366" i="1"/>
  <c r="BB110" i="1"/>
  <c r="BC110" i="1" s="1"/>
  <c r="BD110" i="1" s="1"/>
  <c r="BE110" i="1" s="1"/>
  <c r="BF108" i="1" s="1"/>
  <c r="AA438" i="1"/>
  <c r="AV129" i="1"/>
  <c r="AV150" i="1"/>
  <c r="AV75" i="1"/>
  <c r="AV73" i="1" s="1"/>
  <c r="AI188" i="1"/>
  <c r="AY438" i="1"/>
  <c r="X375" i="1"/>
  <c r="X373" i="1"/>
  <c r="BJ58" i="1"/>
  <c r="AU23" i="1" l="1"/>
  <c r="AU12" i="1"/>
  <c r="AU139" i="1"/>
  <c r="BP448" i="1"/>
  <c r="AC377" i="1"/>
  <c r="AC389" i="1"/>
  <c r="AC391" i="1" s="1"/>
  <c r="AU377" i="1"/>
  <c r="AU389" i="1"/>
  <c r="AU391" i="1" s="1"/>
  <c r="AG364" i="1"/>
  <c r="CB168" i="1"/>
  <c r="CB136" i="1"/>
  <c r="CB137" i="1" s="1"/>
  <c r="AA460" i="1"/>
  <c r="BZ84" i="1"/>
  <c r="BV65" i="1"/>
  <c r="BV81" i="1"/>
  <c r="BV82" i="1" s="1"/>
  <c r="AQ389" i="1"/>
  <c r="AQ391" i="1" s="1"/>
  <c r="AQ377" i="1"/>
  <c r="AV460" i="1"/>
  <c r="BU116" i="1"/>
  <c r="BQ57" i="1"/>
  <c r="BM73" i="1"/>
  <c r="BD389" i="1"/>
  <c r="BD391" i="1" s="1"/>
  <c r="BD377" i="1"/>
  <c r="BG460" i="1"/>
  <c r="CJ672" i="1"/>
  <c r="CJ658" i="1"/>
  <c r="CJ635" i="1"/>
  <c r="V460" i="1"/>
  <c r="U460" i="1"/>
  <c r="T460" i="1"/>
  <c r="AT364" i="1"/>
  <c r="BB129" i="1"/>
  <c r="BB150" i="1"/>
  <c r="BB75" i="1"/>
  <c r="CB234" i="1"/>
  <c r="CB231" i="1"/>
  <c r="CB235" i="1"/>
  <c r="AH377" i="1"/>
  <c r="AH389" i="1"/>
  <c r="AH391" i="1" s="1"/>
  <c r="AJ460" i="1"/>
  <c r="AD377" i="1"/>
  <c r="AD389" i="1"/>
  <c r="AD391" i="1" s="1"/>
  <c r="BP443" i="1"/>
  <c r="BO444" i="1"/>
  <c r="BO449" i="1" s="1"/>
  <c r="BZ163" i="1"/>
  <c r="AK389" i="1"/>
  <c r="AK391" i="1" s="1"/>
  <c r="AK377" i="1"/>
  <c r="BM58" i="1"/>
  <c r="AP377" i="1"/>
  <c r="AP389" i="1"/>
  <c r="AP391" i="1" s="1"/>
  <c r="AU460" i="1"/>
  <c r="AX377" i="1"/>
  <c r="AX389" i="1"/>
  <c r="AX391" i="1" s="1"/>
  <c r="AW364" i="1"/>
  <c r="BU235" i="1"/>
  <c r="BU234" i="1"/>
  <c r="BU231" i="1"/>
  <c r="BY229" i="1"/>
  <c r="BV231" i="1"/>
  <c r="BM66" i="1"/>
  <c r="AB389" i="1"/>
  <c r="AB391" i="1" s="1"/>
  <c r="AB377" i="1"/>
  <c r="BE133" i="1"/>
  <c r="BE134" i="1" s="1"/>
  <c r="BE130" i="1"/>
  <c r="BN465" i="1"/>
  <c r="BN467" i="1" s="1"/>
  <c r="BN455" i="1"/>
  <c r="BC129" i="1"/>
  <c r="BC150" i="1"/>
  <c r="BC75" i="1"/>
  <c r="BC73" i="1" s="1"/>
  <c r="AW460" i="1"/>
  <c r="BQ81" i="1"/>
  <c r="BQ82" i="1" s="1"/>
  <c r="BU84" i="1"/>
  <c r="BQ65" i="1"/>
  <c r="AT61" i="1"/>
  <c r="AP61" i="1"/>
  <c r="AY130" i="1"/>
  <c r="AY133" i="1"/>
  <c r="AY134" i="1" s="1"/>
  <c r="BJ157" i="1"/>
  <c r="BF157" i="1"/>
  <c r="BN156" i="1"/>
  <c r="BF136" i="1"/>
  <c r="BF149" i="1"/>
  <c r="AF462" i="1"/>
  <c r="AF463" i="1"/>
  <c r="BX76" i="1"/>
  <c r="BX162" i="1"/>
  <c r="BX163" i="1" s="1"/>
  <c r="BC389" i="1"/>
  <c r="BC391" i="1" s="1"/>
  <c r="BC377" i="1"/>
  <c r="AL460" i="1"/>
  <c r="BN58" i="1"/>
  <c r="AP462" i="1"/>
  <c r="AP463" i="1"/>
  <c r="AS377" i="1"/>
  <c r="AS389" i="1"/>
  <c r="AS391" i="1" s="1"/>
  <c r="BO448" i="1"/>
  <c r="BH460" i="1"/>
  <c r="BW445" i="1"/>
  <c r="CA414" i="1"/>
  <c r="AI389" i="1"/>
  <c r="AI391" i="1" s="1"/>
  <c r="AI377" i="1"/>
  <c r="BT332" i="1"/>
  <c r="BT331" i="1"/>
  <c r="BT333" i="1"/>
  <c r="AY377" i="1"/>
  <c r="AY389" i="1"/>
  <c r="AY391" i="1" s="1"/>
  <c r="AK364" i="1"/>
  <c r="AM462" i="1"/>
  <c r="AM463" i="1"/>
  <c r="CL3" i="1"/>
  <c r="CK5" i="1"/>
  <c r="X377" i="1"/>
  <c r="X389" i="1"/>
  <c r="X391" i="1" s="1"/>
  <c r="BL57" i="1"/>
  <c r="BL58" i="1" s="1"/>
  <c r="BP116" i="1"/>
  <c r="BC462" i="1"/>
  <c r="BC463" i="1"/>
  <c r="BR442" i="1"/>
  <c r="BQ409" i="1"/>
  <c r="BQ411" i="1" s="1"/>
  <c r="BB73" i="1"/>
  <c r="T377" i="1"/>
  <c r="T389" i="1"/>
  <c r="T391" i="1" s="1"/>
  <c r="BS116" i="1"/>
  <c r="BO57" i="1"/>
  <c r="BO58" i="1" s="1"/>
  <c r="AR389" i="1"/>
  <c r="AR391" i="1" s="1"/>
  <c r="AR377" i="1"/>
  <c r="AE389" i="1"/>
  <c r="AE391" i="1" s="1"/>
  <c r="AE377" i="1"/>
  <c r="AF377" i="1"/>
  <c r="AF389" i="1"/>
  <c r="AF391" i="1" s="1"/>
  <c r="AP364" i="1"/>
  <c r="BB377" i="1"/>
  <c r="BB389" i="1"/>
  <c r="BB391" i="1" s="1"/>
  <c r="AX130" i="1"/>
  <c r="AX133" i="1"/>
  <c r="AX134" i="1" s="1"/>
  <c r="BB364" i="1"/>
  <c r="BH382" i="1"/>
  <c r="BH383" i="1"/>
  <c r="BH379" i="1"/>
  <c r="AN379" i="1"/>
  <c r="BG389" i="1"/>
  <c r="BG391" i="1" s="1"/>
  <c r="BG377" i="1"/>
  <c r="BR66" i="1"/>
  <c r="BF379" i="1"/>
  <c r="BV116" i="1"/>
  <c r="BR57" i="1"/>
  <c r="BV321" i="1"/>
  <c r="BV320" i="1"/>
  <c r="BZ317" i="1"/>
  <c r="AZ364" i="1"/>
  <c r="BB94" i="1"/>
  <c r="BF94" i="1"/>
  <c r="BB96" i="1"/>
  <c r="BC96" i="1" s="1"/>
  <c r="BD96" i="1" s="1"/>
  <c r="BE96" i="1" s="1"/>
  <c r="BF96" i="1" s="1"/>
  <c r="BV314" i="1"/>
  <c r="BV315" i="1"/>
  <c r="BZ311" i="1"/>
  <c r="AT460" i="1"/>
  <c r="AA364" i="1"/>
  <c r="AH364" i="1"/>
  <c r="AW377" i="1"/>
  <c r="AW389" i="1"/>
  <c r="AW391" i="1" s="1"/>
  <c r="BR333" i="1"/>
  <c r="BR332" i="1"/>
  <c r="BR331" i="1"/>
  <c r="AY364" i="1"/>
  <c r="BX321" i="1"/>
  <c r="BX320" i="1"/>
  <c r="CB317" i="1"/>
  <c r="AZ460" i="1"/>
  <c r="E36" i="3"/>
  <c r="BG157" i="1"/>
  <c r="BO156" i="1"/>
  <c r="BG136" i="1"/>
  <c r="BG137" i="1" s="1"/>
  <c r="BK156" i="1"/>
  <c r="BG149" i="1"/>
  <c r="BX327" i="1"/>
  <c r="BX329" i="1"/>
  <c r="CB323" i="1"/>
  <c r="BX326" i="1"/>
  <c r="BU74" i="1"/>
  <c r="BU88" i="1"/>
  <c r="AN460" i="1"/>
  <c r="X672" i="1"/>
  <c r="X658" i="1"/>
  <c r="X635" i="1"/>
  <c r="X509" i="1"/>
  <c r="Y5" i="1"/>
  <c r="BJ154" i="1"/>
  <c r="BJ149" i="1"/>
  <c r="BK153" i="1"/>
  <c r="CD55" i="1"/>
  <c r="BA462" i="1"/>
  <c r="BA463" i="1"/>
  <c r="CD162" i="1"/>
  <c r="CD163" i="1" s="1"/>
  <c r="CD166" i="1"/>
  <c r="CD69" i="1"/>
  <c r="CD70" i="1" s="1"/>
  <c r="W377" i="1"/>
  <c r="W389" i="1"/>
  <c r="W391" i="1" s="1"/>
  <c r="BH364" i="1"/>
  <c r="AV133" i="1"/>
  <c r="AV134" i="1" s="1"/>
  <c r="AV130" i="1"/>
  <c r="AG377" i="1"/>
  <c r="AG389" i="1"/>
  <c r="AG391" i="1" s="1"/>
  <c r="AH460" i="1"/>
  <c r="AL389" i="1"/>
  <c r="AL391" i="1" s="1"/>
  <c r="AL377" i="1"/>
  <c r="AO460" i="1"/>
  <c r="CA234" i="1"/>
  <c r="CA235" i="1"/>
  <c r="CA231" i="1"/>
  <c r="CD234" i="1"/>
  <c r="CD235" i="1"/>
  <c r="AG462" i="1"/>
  <c r="AG463" i="1"/>
  <c r="AM389" i="1"/>
  <c r="AM391" i="1" s="1"/>
  <c r="AM377" i="1"/>
  <c r="AE460" i="1"/>
  <c r="V377" i="1"/>
  <c r="V389" i="1"/>
  <c r="V391" i="1" s="1"/>
  <c r="AJ377" i="1"/>
  <c r="AJ389" i="1"/>
  <c r="AJ391" i="1" s="1"/>
  <c r="Y389" i="1"/>
  <c r="Y391" i="1" s="1"/>
  <c r="Y377" i="1"/>
  <c r="CD137" i="1"/>
  <c r="AU364" i="1"/>
  <c r="BF460" i="1"/>
  <c r="BD460" i="1"/>
  <c r="BE389" i="1"/>
  <c r="BE391" i="1" s="1"/>
  <c r="BE377" i="1"/>
  <c r="AZ150" i="1"/>
  <c r="AZ129" i="1"/>
  <c r="AZ75" i="1"/>
  <c r="AZ73" i="1" s="1"/>
  <c r="AS460" i="1"/>
  <c r="BV329" i="1"/>
  <c r="BV327" i="1"/>
  <c r="BZ323" i="1"/>
  <c r="BV326" i="1"/>
  <c r="AO377" i="1"/>
  <c r="AO389" i="1"/>
  <c r="AO391" i="1" s="1"/>
  <c r="BE460" i="1"/>
  <c r="BP73" i="1"/>
  <c r="X460" i="1"/>
  <c r="CD445" i="1"/>
  <c r="BW91" i="1"/>
  <c r="BV87" i="1"/>
  <c r="BV92" i="1"/>
  <c r="BJ108" i="1"/>
  <c r="BF60" i="1"/>
  <c r="BF61" i="1" s="1"/>
  <c r="BF109" i="1"/>
  <c r="AZ389" i="1"/>
  <c r="AZ391" i="1" s="1"/>
  <c r="AZ377" i="1"/>
  <c r="BA377" i="1"/>
  <c r="BA389" i="1"/>
  <c r="BA391" i="1" s="1"/>
  <c r="AX460" i="1"/>
  <c r="CC445" i="1"/>
  <c r="AK460" i="1"/>
  <c r="BS332" i="1"/>
  <c r="BS333" i="1"/>
  <c r="BS331" i="1"/>
  <c r="Y460" i="1"/>
  <c r="AB460" i="1"/>
  <c r="BB460" i="1"/>
  <c r="O5" i="4" a="1"/>
  <c r="O5" i="4" s="1"/>
  <c r="O4" i="4"/>
  <c r="CB177" i="1"/>
  <c r="CC177" i="1" s="1"/>
  <c r="CD177" i="1" s="1"/>
  <c r="CA320" i="1"/>
  <c r="CA321" i="1"/>
  <c r="BN369" i="1"/>
  <c r="AT377" i="1"/>
  <c r="AT389" i="1"/>
  <c r="AT391" i="1" s="1"/>
  <c r="BM137" i="1"/>
  <c r="BQ137" i="1"/>
  <c r="AD460" i="1"/>
  <c r="AC460" i="1"/>
  <c r="BG364" i="1"/>
  <c r="AI460" i="1"/>
  <c r="AV377" i="1"/>
  <c r="AV389" i="1"/>
  <c r="AV391" i="1" s="1"/>
  <c r="BI129" i="1"/>
  <c r="BI150" i="1"/>
  <c r="BI75" i="1"/>
  <c r="BI72" i="1" s="1"/>
  <c r="S389" i="1"/>
  <c r="S391" i="1" s="1"/>
  <c r="S377" i="1"/>
  <c r="CA108" i="1"/>
  <c r="CA60" i="1" s="1"/>
  <c r="BW60" i="1"/>
  <c r="BW61" i="1" s="1"/>
  <c r="N39" i="4" a="1"/>
  <c r="N39" i="4" s="1"/>
  <c r="N42" i="4" a="1"/>
  <c r="N42" i="4" s="1"/>
  <c r="N24" i="4" a="1"/>
  <c r="N24" i="4" s="1"/>
  <c r="N29" i="4" a="1"/>
  <c r="N29" i="4" s="1"/>
  <c r="N45" i="4" a="1"/>
  <c r="N45" i="4" s="1"/>
  <c r="N23" i="4" a="1"/>
  <c r="N23" i="4" s="1"/>
  <c r="N48" i="4" a="1"/>
  <c r="N48" i="4" s="1"/>
  <c r="N19" i="4"/>
  <c r="N17" i="4"/>
  <c r="N15" i="4"/>
  <c r="N51" i="4" a="1"/>
  <c r="N51" i="4" s="1"/>
  <c r="N32" i="4" a="1"/>
  <c r="N32" i="4" s="1"/>
  <c r="N16" i="4"/>
  <c r="N37" i="4" a="1"/>
  <c r="N37" i="4" s="1"/>
  <c r="N18" i="4"/>
  <c r="N26" i="4" a="1"/>
  <c r="N26" i="4" s="1"/>
  <c r="N22" i="4" a="1"/>
  <c r="N22" i="4" s="1"/>
  <c r="BU327" i="1"/>
  <c r="BU329" i="1"/>
  <c r="BY323" i="1"/>
  <c r="BU326" i="1"/>
  <c r="BH133" i="1"/>
  <c r="U389" i="1"/>
  <c r="U391" i="1" s="1"/>
  <c r="U377" i="1"/>
  <c r="BT445" i="1"/>
  <c r="BX414" i="1"/>
  <c r="W460" i="1"/>
  <c r="AY460" i="1"/>
  <c r="BY317" i="1"/>
  <c r="BU321" i="1"/>
  <c r="BU320" i="1"/>
  <c r="AR460" i="1"/>
  <c r="AQ460" i="1"/>
  <c r="BK450" i="1"/>
  <c r="BK452" i="1" s="1"/>
  <c r="CA323" i="1"/>
  <c r="BW326" i="1"/>
  <c r="BW327" i="1"/>
  <c r="BW329" i="1"/>
  <c r="Z460" i="1"/>
  <c r="AV12" i="1"/>
  <c r="AW11" i="1"/>
  <c r="AV23" i="1"/>
  <c r="BH157" i="1"/>
  <c r="BD157" i="1"/>
  <c r="BL156" i="1"/>
  <c r="BD136" i="1"/>
  <c r="BD149" i="1"/>
  <c r="AI364" i="1"/>
  <c r="AF364" i="1"/>
  <c r="AJ364" i="1"/>
  <c r="AN364" i="1"/>
  <c r="BQ333" i="1"/>
  <c r="BQ332" i="1"/>
  <c r="BQ331" i="1"/>
  <c r="AA377" i="1"/>
  <c r="AA389" i="1"/>
  <c r="AA391" i="1" s="1"/>
  <c r="BY314" i="1"/>
  <c r="CC311" i="1"/>
  <c r="BY315" i="1"/>
  <c r="CB311" i="1"/>
  <c r="BX314" i="1"/>
  <c r="BX315" i="1"/>
  <c r="AV139" i="1" l="1"/>
  <c r="BI252" i="1"/>
  <c r="BI253" i="1" s="1"/>
  <c r="CB329" i="1"/>
  <c r="CB327" i="1"/>
  <c r="CB326" i="1"/>
  <c r="CC315" i="1"/>
  <c r="CC314" i="1"/>
  <c r="AE462" i="1"/>
  <c r="AE463" i="1"/>
  <c r="BX332" i="1"/>
  <c r="BX333" i="1"/>
  <c r="BX331" i="1"/>
  <c r="BZ321" i="1"/>
  <c r="CD317" i="1"/>
  <c r="BZ320" i="1"/>
  <c r="BB379" i="1"/>
  <c r="BB378" i="1"/>
  <c r="CK672" i="1"/>
  <c r="CK658" i="1"/>
  <c r="CK635" i="1"/>
  <c r="AI378" i="1"/>
  <c r="AI379" i="1"/>
  <c r="BQ66" i="1"/>
  <c r="AK378" i="1"/>
  <c r="AK379" i="1"/>
  <c r="V462" i="1"/>
  <c r="V463" i="1"/>
  <c r="AW23" i="1"/>
  <c r="AX11" i="1"/>
  <c r="AW12" i="1"/>
  <c r="W379" i="1"/>
  <c r="W378" i="1"/>
  <c r="Z462" i="1"/>
  <c r="Z463" i="1"/>
  <c r="BU331" i="1"/>
  <c r="BU333" i="1"/>
  <c r="BU332" i="1"/>
  <c r="AX462" i="1"/>
  <c r="AX463" i="1"/>
  <c r="BT73" i="1"/>
  <c r="AZ130" i="1"/>
  <c r="AZ133" i="1"/>
  <c r="AZ134" i="1" s="1"/>
  <c r="AM379" i="1"/>
  <c r="AM378" i="1"/>
  <c r="Y672" i="1"/>
  <c r="Y635" i="1"/>
  <c r="Y658" i="1"/>
  <c r="Y509" i="1"/>
  <c r="Z5" i="1"/>
  <c r="AT462" i="1"/>
  <c r="AT463" i="1"/>
  <c r="CM3" i="1"/>
  <c r="CL5" i="1"/>
  <c r="AS378" i="1"/>
  <c r="AS379" i="1"/>
  <c r="BY84" i="1"/>
  <c r="BU81" i="1"/>
  <c r="BU82" i="1" s="1"/>
  <c r="BU65" i="1"/>
  <c r="BG462" i="1"/>
  <c r="BG463" i="1"/>
  <c r="AC378" i="1"/>
  <c r="AC379" i="1"/>
  <c r="CD311" i="1"/>
  <c r="BZ314" i="1"/>
  <c r="BZ315" i="1"/>
  <c r="CA445" i="1"/>
  <c r="BD379" i="1"/>
  <c r="BD378" i="1"/>
  <c r="BA378" i="1"/>
  <c r="BA379" i="1"/>
  <c r="BN108" i="1"/>
  <c r="BJ60" i="1"/>
  <c r="BJ110" i="1"/>
  <c r="BK110" i="1" s="1"/>
  <c r="BL110" i="1" s="1"/>
  <c r="BM110" i="1" s="1"/>
  <c r="BN110" i="1" s="1"/>
  <c r="BO110" i="1" s="1"/>
  <c r="BP110" i="1" s="1"/>
  <c r="BQ110" i="1" s="1"/>
  <c r="BE462" i="1"/>
  <c r="BE463" i="1"/>
  <c r="BE378" i="1"/>
  <c r="BE379" i="1"/>
  <c r="AL378" i="1"/>
  <c r="AL379" i="1"/>
  <c r="BG129" i="1"/>
  <c r="BG150" i="1"/>
  <c r="BG75" i="1"/>
  <c r="BG73" i="1" s="1"/>
  <c r="BK73" i="1" s="1"/>
  <c r="BF378" i="1"/>
  <c r="AF379" i="1"/>
  <c r="AF378" i="1"/>
  <c r="BS442" i="1"/>
  <c r="BR409" i="1"/>
  <c r="BR411" i="1" s="1"/>
  <c r="BF129" i="1"/>
  <c r="BF150" i="1"/>
  <c r="BF75" i="1"/>
  <c r="BF73" i="1" s="1"/>
  <c r="BJ73" i="1" s="1"/>
  <c r="AW462" i="1"/>
  <c r="AW463" i="1"/>
  <c r="BV66" i="1"/>
  <c r="CB321" i="1"/>
  <c r="CB320" i="1"/>
  <c r="T379" i="1"/>
  <c r="BO465" i="1"/>
  <c r="BO467" i="1" s="1"/>
  <c r="BO455" i="1"/>
  <c r="AQ379" i="1"/>
  <c r="AQ378" i="1"/>
  <c r="AV379" i="1"/>
  <c r="AV378" i="1"/>
  <c r="AT378" i="1"/>
  <c r="AT379" i="1"/>
  <c r="Y378" i="1"/>
  <c r="Y379" i="1"/>
  <c r="Z379" i="1"/>
  <c r="BK157" i="1"/>
  <c r="BK136" i="1"/>
  <c r="BK137" i="1" s="1"/>
  <c r="BH378" i="1"/>
  <c r="AE379" i="1"/>
  <c r="AE378" i="1"/>
  <c r="BJ137" i="1"/>
  <c r="BF137" i="1"/>
  <c r="BQ443" i="1"/>
  <c r="BP444" i="1"/>
  <c r="BP449" i="1" s="1"/>
  <c r="CD84" i="1"/>
  <c r="BZ65" i="1"/>
  <c r="BJ129" i="1"/>
  <c r="BJ150" i="1"/>
  <c r="BJ75" i="1"/>
  <c r="Y462" i="1"/>
  <c r="Y463" i="1"/>
  <c r="AA378" i="1"/>
  <c r="AA379" i="1"/>
  <c r="CA326" i="1"/>
  <c r="CA327" i="1"/>
  <c r="CA329" i="1"/>
  <c r="AZ379" i="1"/>
  <c r="AZ378" i="1"/>
  <c r="AO379" i="1"/>
  <c r="AO378" i="1"/>
  <c r="BD462" i="1"/>
  <c r="BD463" i="1"/>
  <c r="AH462" i="1"/>
  <c r="AH463" i="1"/>
  <c r="BN136" i="1"/>
  <c r="BN157" i="1"/>
  <c r="BR157" i="1"/>
  <c r="AB379" i="1"/>
  <c r="AB378" i="1"/>
  <c r="AA462" i="1"/>
  <c r="AA463" i="1"/>
  <c r="AS462" i="1"/>
  <c r="AS463" i="1"/>
  <c r="X379" i="1"/>
  <c r="X378" i="1"/>
  <c r="U462" i="1"/>
  <c r="U463" i="1"/>
  <c r="AU379" i="1"/>
  <c r="AU378" i="1"/>
  <c r="BY326" i="1"/>
  <c r="BY329" i="1"/>
  <c r="BY327" i="1"/>
  <c r="CC323" i="1"/>
  <c r="AB462" i="1"/>
  <c r="AB463" i="1"/>
  <c r="BI130" i="1"/>
  <c r="BI133" i="1"/>
  <c r="BI134" i="1" s="1"/>
  <c r="BY321" i="1"/>
  <c r="BY320" i="1"/>
  <c r="CC317" i="1"/>
  <c r="BD150" i="1"/>
  <c r="BD75" i="1"/>
  <c r="BD73" i="1" s="1"/>
  <c r="BD129" i="1"/>
  <c r="BH150" i="1"/>
  <c r="AY463" i="1"/>
  <c r="AY462" i="1"/>
  <c r="BD137" i="1"/>
  <c r="BH137" i="1"/>
  <c r="W462" i="1"/>
  <c r="W463" i="1"/>
  <c r="U379" i="1"/>
  <c r="BO369" i="1"/>
  <c r="BV74" i="1"/>
  <c r="BV88" i="1"/>
  <c r="BF462" i="1"/>
  <c r="BF463" i="1"/>
  <c r="AN462" i="1"/>
  <c r="AN463" i="1"/>
  <c r="BS156" i="1"/>
  <c r="BO157" i="1"/>
  <c r="BO136" i="1"/>
  <c r="BG378" i="1"/>
  <c r="BG379" i="1"/>
  <c r="AR379" i="1"/>
  <c r="AR378" i="1"/>
  <c r="AY379" i="1"/>
  <c r="AY378" i="1"/>
  <c r="BC130" i="1"/>
  <c r="BC133" i="1"/>
  <c r="BC134" i="1" s="1"/>
  <c r="AX378" i="1"/>
  <c r="AX379" i="1"/>
  <c r="AD378" i="1"/>
  <c r="AD379" i="1"/>
  <c r="BQ73" i="1"/>
  <c r="AD463" i="1"/>
  <c r="AD462" i="1"/>
  <c r="BW332" i="1"/>
  <c r="BW333" i="1"/>
  <c r="BW331" i="1"/>
  <c r="BL136" i="1"/>
  <c r="BL157" i="1"/>
  <c r="BP157" i="1"/>
  <c r="AI463" i="1"/>
  <c r="AI462" i="1"/>
  <c r="BX91" i="1"/>
  <c r="BW87" i="1"/>
  <c r="BW92" i="1"/>
  <c r="BZ326" i="1"/>
  <c r="BZ329" i="1"/>
  <c r="BZ327" i="1"/>
  <c r="CD323" i="1"/>
  <c r="BT116" i="1"/>
  <c r="BP57" i="1"/>
  <c r="BP58" i="1" s="1"/>
  <c r="BK159" i="1"/>
  <c r="BL159" i="1" s="1"/>
  <c r="BM159" i="1" s="1"/>
  <c r="BN159" i="1" s="1"/>
  <c r="BO159" i="1" s="1"/>
  <c r="BP159" i="1" s="1"/>
  <c r="BQ159" i="1" s="1"/>
  <c r="BR159" i="1" s="1"/>
  <c r="AL462" i="1"/>
  <c r="AL463" i="1"/>
  <c r="AU462" i="1"/>
  <c r="AU463" i="1"/>
  <c r="CB76" i="1"/>
  <c r="CB162" i="1"/>
  <c r="CB163" i="1" s="1"/>
  <c r="BL447" i="1"/>
  <c r="BK385" i="1"/>
  <c r="BK386" i="1" s="1"/>
  <c r="AJ379" i="1"/>
  <c r="AJ378" i="1"/>
  <c r="AG379" i="1"/>
  <c r="AG378" i="1"/>
  <c r="E40" i="3"/>
  <c r="F44" i="3" s="1"/>
  <c r="G36" i="3"/>
  <c r="G40" i="3" s="1"/>
  <c r="F46" i="3" s="1"/>
  <c r="BC379" i="1"/>
  <c r="BC378" i="1"/>
  <c r="AJ462" i="1"/>
  <c r="AJ463" i="1"/>
  <c r="BB130" i="1"/>
  <c r="BB133" i="1"/>
  <c r="BB134" i="1" s="1"/>
  <c r="BQ58" i="1"/>
  <c r="CB315" i="1"/>
  <c r="CB314" i="1"/>
  <c r="AR462" i="1"/>
  <c r="AR463" i="1"/>
  <c r="AC462" i="1"/>
  <c r="AC463" i="1"/>
  <c r="BB462" i="1"/>
  <c r="BB463" i="1"/>
  <c r="AO462" i="1"/>
  <c r="AO463" i="1"/>
  <c r="CB414" i="1"/>
  <c r="BX445" i="1"/>
  <c r="AQ463" i="1"/>
  <c r="AQ462" i="1"/>
  <c r="CA61" i="1"/>
  <c r="P5" i="4" a="1"/>
  <c r="P5" i="4" s="1"/>
  <c r="P4" i="4"/>
  <c r="AK462" i="1"/>
  <c r="AK463" i="1"/>
  <c r="BR58" i="1"/>
  <c r="BW116" i="1"/>
  <c r="BS57" i="1"/>
  <c r="BS58" i="1" s="1"/>
  <c r="BH462" i="1"/>
  <c r="BH463" i="1"/>
  <c r="AP378" i="1"/>
  <c r="AP379" i="1"/>
  <c r="BY116" i="1"/>
  <c r="BU57" i="1"/>
  <c r="O42" i="4" a="1"/>
  <c r="O42" i="4" s="1"/>
  <c r="O45" i="4" a="1"/>
  <c r="O45" i="4" s="1"/>
  <c r="O26" i="4" a="1"/>
  <c r="O26" i="4" s="1"/>
  <c r="O23" i="4" a="1"/>
  <c r="O23" i="4" s="1"/>
  <c r="O48" i="4" a="1"/>
  <c r="O48" i="4" s="1"/>
  <c r="O51" i="4" a="1"/>
  <c r="O51" i="4" s="1"/>
  <c r="O39" i="4" a="1"/>
  <c r="O39" i="4" s="1"/>
  <c r="O24" i="4" a="1"/>
  <c r="O24" i="4" s="1"/>
  <c r="O32" i="4" a="1"/>
  <c r="O32" i="4" s="1"/>
  <c r="O15" i="4"/>
  <c r="O37" i="4" a="1"/>
  <c r="O37" i="4" s="1"/>
  <c r="O29" i="4" a="1"/>
  <c r="O29" i="4" s="1"/>
  <c r="O16" i="4"/>
  <c r="O17" i="4"/>
  <c r="O18" i="4"/>
  <c r="O22" i="4" a="1"/>
  <c r="O22" i="4" s="1"/>
  <c r="O19" i="4"/>
  <c r="X462" i="1"/>
  <c r="X463" i="1"/>
  <c r="BV331" i="1"/>
  <c r="BV333" i="1"/>
  <c r="BV332" i="1"/>
  <c r="V379" i="1"/>
  <c r="Z378" i="1"/>
  <c r="BK149" i="1"/>
  <c r="BK154" i="1"/>
  <c r="BL153" i="1"/>
  <c r="AZ462" i="1"/>
  <c r="AZ463" i="1"/>
  <c r="AW378" i="1"/>
  <c r="AW379" i="1"/>
  <c r="BZ116" i="1"/>
  <c r="BV57" i="1"/>
  <c r="AN378" i="1"/>
  <c r="BY235" i="1"/>
  <c r="CC229" i="1"/>
  <c r="BY231" i="1"/>
  <c r="BY234" i="1"/>
  <c r="BZ231" i="1"/>
  <c r="AH378" i="1"/>
  <c r="AH379" i="1"/>
  <c r="T462" i="1"/>
  <c r="T463" i="1"/>
  <c r="AV462" i="1"/>
  <c r="AV463" i="1"/>
  <c r="AW139" i="1" l="1"/>
  <c r="CL672" i="1"/>
  <c r="CL635" i="1"/>
  <c r="CL658" i="1"/>
  <c r="BO137" i="1"/>
  <c r="BD133" i="1"/>
  <c r="BD130" i="1"/>
  <c r="BH130" i="1"/>
  <c r="Z672" i="1"/>
  <c r="Z658" i="1"/>
  <c r="Z635" i="1"/>
  <c r="Z509" i="1"/>
  <c r="AA5" i="1"/>
  <c r="AX12" i="1"/>
  <c r="AX23" i="1"/>
  <c r="AY11" i="1"/>
  <c r="CN3" i="1"/>
  <c r="CM5" i="1"/>
  <c r="BL137" i="1"/>
  <c r="BP137" i="1"/>
  <c r="BY332" i="1"/>
  <c r="BY333" i="1"/>
  <c r="BY331" i="1"/>
  <c r="BJ130" i="1"/>
  <c r="BJ133" i="1"/>
  <c r="BJ61" i="1"/>
  <c r="CD321" i="1"/>
  <c r="CD320" i="1"/>
  <c r="BU73" i="1"/>
  <c r="BT442" i="1"/>
  <c r="BS409" i="1"/>
  <c r="BS411" i="1" s="1"/>
  <c r="BW156" i="1"/>
  <c r="BS157" i="1"/>
  <c r="BS136" i="1"/>
  <c r="BS137" i="1" s="1"/>
  <c r="BP369" i="1"/>
  <c r="BN137" i="1"/>
  <c r="BR137" i="1"/>
  <c r="BR443" i="1"/>
  <c r="BQ448" i="1"/>
  <c r="BQ444" i="1"/>
  <c r="BQ449" i="1" s="1"/>
  <c r="BR108" i="1"/>
  <c r="BN60" i="1"/>
  <c r="CD315" i="1"/>
  <c r="CD314" i="1"/>
  <c r="CC321" i="1"/>
  <c r="CC320" i="1"/>
  <c r="CA331" i="1"/>
  <c r="CA333" i="1"/>
  <c r="CA332" i="1"/>
  <c r="G44" i="3"/>
  <c r="G46" i="3" s="1"/>
  <c r="E44" i="3"/>
  <c r="E46" i="3" s="1"/>
  <c r="CC329" i="1"/>
  <c r="CC326" i="1"/>
  <c r="CC327" i="1"/>
  <c r="BU58" i="1"/>
  <c r="CB445" i="1"/>
  <c r="CD329" i="1"/>
  <c r="CD326" i="1"/>
  <c r="CD327" i="1"/>
  <c r="BL149" i="1"/>
  <c r="BM153" i="1"/>
  <c r="BL154" i="1"/>
  <c r="BW57" i="1"/>
  <c r="BW58" i="1" s="1"/>
  <c r="CA116" i="1"/>
  <c r="CA57" i="1" s="1"/>
  <c r="CA58" i="1" s="1"/>
  <c r="CC234" i="1"/>
  <c r="CC231" i="1"/>
  <c r="CC235" i="1"/>
  <c r="CD231" i="1"/>
  <c r="Q5" i="4" a="1"/>
  <c r="Q5" i="4" s="1"/>
  <c r="Q4" i="4"/>
  <c r="BL450" i="1"/>
  <c r="BL452" i="1"/>
  <c r="BZ331" i="1"/>
  <c r="BZ333" i="1"/>
  <c r="BZ332" i="1"/>
  <c r="BZ66" i="1"/>
  <c r="BU66" i="1"/>
  <c r="CB331" i="1"/>
  <c r="CB333" i="1"/>
  <c r="CB332" i="1"/>
  <c r="P45" i="4" a="1"/>
  <c r="P45" i="4" s="1"/>
  <c r="P48" i="4" a="1"/>
  <c r="P48" i="4" s="1"/>
  <c r="P29" i="4" a="1"/>
  <c r="P29" i="4" s="1"/>
  <c r="P51" i="4" a="1"/>
  <c r="P51" i="4" s="1"/>
  <c r="P39" i="4" a="1"/>
  <c r="P39" i="4" s="1"/>
  <c r="P19" i="4"/>
  <c r="P17" i="4"/>
  <c r="P15" i="4"/>
  <c r="P24" i="4" a="1"/>
  <c r="P24" i="4" s="1"/>
  <c r="P32" i="4" a="1"/>
  <c r="P32" i="4" s="1"/>
  <c r="P37" i="4" a="1"/>
  <c r="P37" i="4" s="1"/>
  <c r="P23" i="4" a="1"/>
  <c r="P23" i="4" s="1"/>
  <c r="P16" i="4"/>
  <c r="P22" i="4" a="1"/>
  <c r="P22" i="4" s="1"/>
  <c r="P18" i="4"/>
  <c r="P26" i="4" a="1"/>
  <c r="P26" i="4" s="1"/>
  <c r="P42" i="4" a="1"/>
  <c r="P42" i="4" s="1"/>
  <c r="CD65" i="1"/>
  <c r="BG133" i="1"/>
  <c r="BG134" i="1" s="1"/>
  <c r="BG130" i="1"/>
  <c r="BP455" i="1"/>
  <c r="BP465" i="1"/>
  <c r="BP467" i="1" s="1"/>
  <c r="BX116" i="1"/>
  <c r="BT57" i="1"/>
  <c r="BT58" i="1" s="1"/>
  <c r="CC116" i="1"/>
  <c r="CC57" i="1" s="1"/>
  <c r="BY57" i="1"/>
  <c r="BN73" i="1"/>
  <c r="BJ72" i="1"/>
  <c r="CC84" i="1"/>
  <c r="BY65" i="1"/>
  <c r="BW74" i="1"/>
  <c r="BW88" i="1"/>
  <c r="BV58" i="1"/>
  <c r="CD116" i="1"/>
  <c r="CD57" i="1" s="1"/>
  <c r="BZ57" i="1"/>
  <c r="BX73" i="1"/>
  <c r="BK75" i="1"/>
  <c r="BK72" i="1" s="1"/>
  <c r="BK129" i="1"/>
  <c r="BK150" i="1"/>
  <c r="BS159" i="1"/>
  <c r="BT159" i="1" s="1"/>
  <c r="BU159" i="1" s="1"/>
  <c r="BV159" i="1" s="1"/>
  <c r="BW159" i="1" s="1"/>
  <c r="BX159" i="1" s="1"/>
  <c r="BY159" i="1" s="1"/>
  <c r="BZ159" i="1" s="1"/>
  <c r="BX92" i="1"/>
  <c r="BY91" i="1"/>
  <c r="BX87" i="1"/>
  <c r="BF133" i="1"/>
  <c r="BF134" i="1" s="1"/>
  <c r="BF130" i="1"/>
  <c r="BI256" i="1"/>
  <c r="AX139" i="1" l="1"/>
  <c r="BK252" i="1"/>
  <c r="BK253" i="1" s="1"/>
  <c r="BY66" i="1"/>
  <c r="CC65" i="1"/>
  <c r="CD333" i="1"/>
  <c r="CD331" i="1"/>
  <c r="CD332" i="1"/>
  <c r="BW157" i="1"/>
  <c r="BW136" i="1"/>
  <c r="BW137" i="1" s="1"/>
  <c r="CA156" i="1"/>
  <c r="AZ11" i="1"/>
  <c r="AY12" i="1"/>
  <c r="AY23" i="1"/>
  <c r="BJ252" i="1"/>
  <c r="BJ253" i="1" s="1"/>
  <c r="BN61" i="1"/>
  <c r="BV108" i="1"/>
  <c r="BR60" i="1"/>
  <c r="AA672" i="1"/>
  <c r="AA658" i="1"/>
  <c r="AA635" i="1"/>
  <c r="AA509" i="1"/>
  <c r="AA3" i="1"/>
  <c r="AB5" i="1"/>
  <c r="BI257" i="1"/>
  <c r="BK133" i="1"/>
  <c r="BK134" i="1" s="1"/>
  <c r="BK130" i="1"/>
  <c r="BU442" i="1"/>
  <c r="BT409" i="1"/>
  <c r="BT411" i="1" s="1"/>
  <c r="CM672" i="1"/>
  <c r="CM658" i="1"/>
  <c r="CM635" i="1"/>
  <c r="CM509" i="1"/>
  <c r="BR73" i="1"/>
  <c r="CO3" i="1"/>
  <c r="CN5" i="1"/>
  <c r="Q45" i="4" a="1"/>
  <c r="Q45" i="4" s="1"/>
  <c r="Q48" i="4" a="1"/>
  <c r="Q48" i="4" s="1"/>
  <c r="Q51" i="4" a="1"/>
  <c r="Q51" i="4" s="1"/>
  <c r="Q32" i="4" a="1"/>
  <c r="Q32" i="4" s="1"/>
  <c r="Q24" i="4" a="1"/>
  <c r="Q24" i="4" s="1"/>
  <c r="Q19" i="4"/>
  <c r="Q42" i="4" a="1"/>
  <c r="Q42" i="4" s="1"/>
  <c r="Q37" i="4" a="1"/>
  <c r="Q37" i="4" s="1"/>
  <c r="Q26" i="4" a="1"/>
  <c r="Q26" i="4" s="1"/>
  <c r="Q22" i="4" a="1"/>
  <c r="Q22" i="4" s="1"/>
  <c r="Q23" i="4" a="1"/>
  <c r="Q23" i="4" s="1"/>
  <c r="Q29" i="4" a="1"/>
  <c r="Q29" i="4" s="1"/>
  <c r="Q16" i="4"/>
  <c r="Q15" i="4"/>
  <c r="Q18" i="4"/>
  <c r="Q17" i="4"/>
  <c r="Q39" i="4" a="1"/>
  <c r="Q39" i="4" s="1"/>
  <c r="BX57" i="1"/>
  <c r="BX58" i="1" s="1"/>
  <c r="CB116" i="1"/>
  <c r="CB57" i="1" s="1"/>
  <c r="CB58" i="1" s="1"/>
  <c r="BW443" i="1"/>
  <c r="BS443" i="1"/>
  <c r="BR448" i="1"/>
  <c r="BR444" i="1"/>
  <c r="BR449" i="1" s="1"/>
  <c r="BY73" i="1"/>
  <c r="CC58" i="1"/>
  <c r="BX88" i="1"/>
  <c r="BX74" i="1"/>
  <c r="BJ134" i="1"/>
  <c r="BQ465" i="1"/>
  <c r="BQ467" i="1" s="1"/>
  <c r="BQ455" i="1"/>
  <c r="CB73" i="1"/>
  <c r="BZ91" i="1"/>
  <c r="BY87" i="1"/>
  <c r="BY92" i="1"/>
  <c r="BZ58" i="1"/>
  <c r="BN153" i="1"/>
  <c r="BM149" i="1"/>
  <c r="BM154" i="1"/>
  <c r="BR110" i="1"/>
  <c r="BS110" i="1" s="1"/>
  <c r="BT110" i="1" s="1"/>
  <c r="BU110" i="1" s="1"/>
  <c r="BV110" i="1" s="1"/>
  <c r="BW110" i="1" s="1"/>
  <c r="BX110" i="1" s="1"/>
  <c r="BY110" i="1" s="1"/>
  <c r="CD58" i="1"/>
  <c r="BL150" i="1"/>
  <c r="BL75" i="1"/>
  <c r="BL72" i="1" s="1"/>
  <c r="BL129" i="1"/>
  <c r="CC333" i="1"/>
  <c r="CC331" i="1"/>
  <c r="CC332" i="1"/>
  <c r="CA159" i="1"/>
  <c r="CB159" i="1" s="1"/>
  <c r="CC159" i="1" s="1"/>
  <c r="CD159" i="1" s="1"/>
  <c r="BM447" i="1"/>
  <c r="BL385" i="1"/>
  <c r="BL386" i="1" s="1"/>
  <c r="BQ369" i="1"/>
  <c r="BY58" i="1"/>
  <c r="CD66" i="1"/>
  <c r="R5" i="4" a="1"/>
  <c r="R5" i="4" s="1"/>
  <c r="R4" i="4"/>
  <c r="BD134" i="1"/>
  <c r="BH134" i="1"/>
  <c r="AY139" i="1" l="1"/>
  <c r="BM450" i="1"/>
  <c r="BM452" i="1" s="1"/>
  <c r="BL252" i="1"/>
  <c r="BL253" i="1" s="1"/>
  <c r="AB672" i="1"/>
  <c r="AB658" i="1"/>
  <c r="AB635" i="1"/>
  <c r="AB509" i="1"/>
  <c r="AC5" i="1"/>
  <c r="R48" i="4" a="1"/>
  <c r="R48" i="4" s="1"/>
  <c r="R51" i="4" a="1"/>
  <c r="R51" i="4" s="1"/>
  <c r="R37" i="4" a="1"/>
  <c r="R37" i="4" s="1"/>
  <c r="R22" i="4" a="1"/>
  <c r="R22" i="4" s="1"/>
  <c r="R32" i="4" a="1"/>
  <c r="R32" i="4" s="1"/>
  <c r="R42" i="4" a="1"/>
  <c r="R42" i="4" s="1"/>
  <c r="R26" i="4" a="1"/>
  <c r="R26" i="4" s="1"/>
  <c r="R29" i="4" a="1"/>
  <c r="R29" i="4" s="1"/>
  <c r="R16" i="4"/>
  <c r="R15" i="4"/>
  <c r="R18" i="4"/>
  <c r="R17" i="4"/>
  <c r="R45" i="4" a="1"/>
  <c r="R45" i="4" s="1"/>
  <c r="R39" i="4" a="1"/>
  <c r="R39" i="4" s="1"/>
  <c r="R19" i="4"/>
  <c r="R24" i="4" a="1"/>
  <c r="R24" i="4" s="1"/>
  <c r="R23" i="4" a="1"/>
  <c r="R23" i="4" s="1"/>
  <c r="CN672" i="1"/>
  <c r="CN658" i="1"/>
  <c r="CN635" i="1"/>
  <c r="CN509" i="1"/>
  <c r="CP3" i="1"/>
  <c r="CO5" i="1"/>
  <c r="CC66" i="1"/>
  <c r="BZ110" i="1"/>
  <c r="CA110" i="1" s="1"/>
  <c r="CB110" i="1" s="1"/>
  <c r="CC110" i="1" s="1"/>
  <c r="CC73" i="1"/>
  <c r="BV442" i="1"/>
  <c r="BU409" i="1"/>
  <c r="BU411" i="1" s="1"/>
  <c r="BN154" i="1"/>
  <c r="BO153" i="1"/>
  <c r="BN149" i="1"/>
  <c r="S5" i="4" a="1"/>
  <c r="S5" i="4" s="1"/>
  <c r="S4" i="4"/>
  <c r="BZ87" i="1"/>
  <c r="BZ92" i="1"/>
  <c r="CA91" i="1"/>
  <c r="AZ23" i="1"/>
  <c r="AZ12" i="1"/>
  <c r="BA11" i="1"/>
  <c r="BL130" i="1"/>
  <c r="BL133" i="1"/>
  <c r="BL134" i="1" s="1"/>
  <c r="BY88" i="1"/>
  <c r="BY74" i="1"/>
  <c r="BY81" i="1"/>
  <c r="BY82" i="1" s="1"/>
  <c r="BR61" i="1"/>
  <c r="CA136" i="1"/>
  <c r="CA137" i="1" s="1"/>
  <c r="CA157" i="1"/>
  <c r="BZ108" i="1"/>
  <c r="BV60" i="1"/>
  <c r="BJ256" i="1"/>
  <c r="BK256" i="1"/>
  <c r="BX443" i="1"/>
  <c r="BW448" i="1"/>
  <c r="BV73" i="1"/>
  <c r="BR369" i="1"/>
  <c r="BM150" i="1"/>
  <c r="BM129" i="1"/>
  <c r="BM75" i="1"/>
  <c r="BM72" i="1" s="1"/>
  <c r="BR465" i="1"/>
  <c r="BR467" i="1" s="1"/>
  <c r="BR455" i="1"/>
  <c r="BT443" i="1"/>
  <c r="BS448" i="1"/>
  <c r="BS444" i="1"/>
  <c r="BS449" i="1" s="1"/>
  <c r="AZ139" i="1" l="1"/>
  <c r="T5" i="4" a="1"/>
  <c r="T5" i="4" s="1"/>
  <c r="T4" i="4"/>
  <c r="S51" i="4" a="1"/>
  <c r="S51" i="4" s="1"/>
  <c r="S37" i="4" a="1"/>
  <c r="S37" i="4" s="1"/>
  <c r="S39" i="4" a="1"/>
  <c r="S39" i="4" s="1"/>
  <c r="S23" i="4" a="1"/>
  <c r="S23" i="4" s="1"/>
  <c r="S42" i="4" a="1"/>
  <c r="S42" i="4" s="1"/>
  <c r="S32" i="4" a="1"/>
  <c r="S32" i="4" s="1"/>
  <c r="S26" i="4" a="1"/>
  <c r="S26" i="4" s="1"/>
  <c r="S22" i="4" a="1"/>
  <c r="S22" i="4" s="1"/>
  <c r="S29" i="4" a="1"/>
  <c r="S29" i="4" s="1"/>
  <c r="S48" i="4" a="1"/>
  <c r="S48" i="4" s="1"/>
  <c r="S16" i="4"/>
  <c r="S15" i="4"/>
  <c r="S18" i="4"/>
  <c r="S17" i="4"/>
  <c r="S45" i="4" a="1"/>
  <c r="S45" i="4" s="1"/>
  <c r="S24" i="4" a="1"/>
  <c r="S24" i="4" s="1"/>
  <c r="S19" i="4"/>
  <c r="BO154" i="1"/>
  <c r="BO149" i="1"/>
  <c r="BP153" i="1"/>
  <c r="BY443" i="1"/>
  <c r="BX448" i="1"/>
  <c r="BS455" i="1"/>
  <c r="BW465" i="1"/>
  <c r="BW467" i="1" s="1"/>
  <c r="BW455" i="1"/>
  <c r="BS465" i="1"/>
  <c r="BS467" i="1" s="1"/>
  <c r="BK257" i="1"/>
  <c r="BJ257" i="1"/>
  <c r="BV61" i="1"/>
  <c r="BL256" i="1"/>
  <c r="BU443" i="1"/>
  <c r="BT448" i="1"/>
  <c r="BT444" i="1"/>
  <c r="BT449" i="1" s="1"/>
  <c r="BM252" i="1"/>
  <c r="BM253" i="1" s="1"/>
  <c r="BZ60" i="1"/>
  <c r="CD108" i="1"/>
  <c r="CD60" i="1" s="1"/>
  <c r="CO672" i="1"/>
  <c r="CO658" i="1"/>
  <c r="CO635" i="1"/>
  <c r="CO509" i="1"/>
  <c r="BM130" i="1"/>
  <c r="BM133" i="1"/>
  <c r="BM134" i="1" s="1"/>
  <c r="BB11" i="1"/>
  <c r="BA12" i="1"/>
  <c r="BA23" i="1"/>
  <c r="CB91" i="1"/>
  <c r="CA92" i="1"/>
  <c r="CA87" i="1"/>
  <c r="CQ3" i="1"/>
  <c r="CP5" i="1"/>
  <c r="BN447" i="1"/>
  <c r="BM385" i="1"/>
  <c r="BM386" i="1" s="1"/>
  <c r="BZ73" i="1"/>
  <c r="BN129" i="1"/>
  <c r="BN150" i="1"/>
  <c r="BN75" i="1"/>
  <c r="BN72" i="1" s="1"/>
  <c r="BV409" i="1"/>
  <c r="BV411" i="1" s="1"/>
  <c r="BW442" i="1"/>
  <c r="BS369" i="1"/>
  <c r="BZ88" i="1"/>
  <c r="BZ74" i="1"/>
  <c r="BZ81" i="1"/>
  <c r="BZ82" i="1" s="1"/>
  <c r="AC672" i="1"/>
  <c r="AC658" i="1"/>
  <c r="AC635" i="1"/>
  <c r="AC509" i="1"/>
  <c r="AD5" i="1"/>
  <c r="BA139" i="1" l="1"/>
  <c r="BP154" i="1"/>
  <c r="BP149" i="1"/>
  <c r="BQ153" i="1"/>
  <c r="CD73" i="1"/>
  <c r="CD61" i="1"/>
  <c r="BO129" i="1"/>
  <c r="BO150" i="1"/>
  <c r="BO75" i="1"/>
  <c r="BO72" i="1" s="1"/>
  <c r="BN252" i="1"/>
  <c r="BN253" i="1" s="1"/>
  <c r="BC11" i="1"/>
  <c r="BB23" i="1"/>
  <c r="BB12" i="1"/>
  <c r="BZ61" i="1"/>
  <c r="BN450" i="1"/>
  <c r="BN452" i="1"/>
  <c r="BN130" i="1"/>
  <c r="BN133" i="1"/>
  <c r="BN134" i="1" s="1"/>
  <c r="CP672" i="1"/>
  <c r="CP658" i="1"/>
  <c r="CP635" i="1"/>
  <c r="CP509" i="1"/>
  <c r="BM256" i="1"/>
  <c r="BT369" i="1"/>
  <c r="CQ5" i="1"/>
  <c r="CR3" i="1"/>
  <c r="CD110" i="1"/>
  <c r="BZ443" i="1"/>
  <c r="BZ448" i="1" s="1"/>
  <c r="BY448" i="1"/>
  <c r="CA88" i="1"/>
  <c r="CA74" i="1"/>
  <c r="BW409" i="1"/>
  <c r="BW411" i="1" s="1"/>
  <c r="BW444" i="1"/>
  <c r="BW449" i="1" s="1"/>
  <c r="BX442" i="1"/>
  <c r="BX465" i="1"/>
  <c r="BX467" i="1" s="1"/>
  <c r="BX455" i="1"/>
  <c r="AD672" i="1"/>
  <c r="AD658" i="1"/>
  <c r="AD635" i="1"/>
  <c r="AD509" i="1"/>
  <c r="AE5" i="1"/>
  <c r="CC91" i="1"/>
  <c r="CB87" i="1"/>
  <c r="CB92" i="1"/>
  <c r="BV443" i="1"/>
  <c r="BU448" i="1"/>
  <c r="BU444" i="1"/>
  <c r="BU449" i="1" s="1"/>
  <c r="U4" i="4"/>
  <c r="U5" i="4" a="1"/>
  <c r="U5" i="4" s="1"/>
  <c r="T39" i="4" a="1"/>
  <c r="T39" i="4" s="1"/>
  <c r="T42" i="4" a="1"/>
  <c r="T42" i="4" s="1"/>
  <c r="T24" i="4" a="1"/>
  <c r="T24" i="4" s="1"/>
  <c r="T22" i="4" a="1"/>
  <c r="T22" i="4" s="1"/>
  <c r="T37" i="4" a="1"/>
  <c r="T37" i="4" s="1"/>
  <c r="T29" i="4" a="1"/>
  <c r="T29" i="4" s="1"/>
  <c r="T18" i="4"/>
  <c r="T16" i="4"/>
  <c r="T23" i="4" a="1"/>
  <c r="T23" i="4" s="1"/>
  <c r="T45" i="4" a="1"/>
  <c r="T45" i="4" s="1"/>
  <c r="T17" i="4"/>
  <c r="T26" i="4" a="1"/>
  <c r="T26" i="4" s="1"/>
  <c r="T19" i="4"/>
  <c r="T51" i="4" a="1"/>
  <c r="T51" i="4" s="1"/>
  <c r="T48" i="4" a="1"/>
  <c r="T48" i="4" s="1"/>
  <c r="T32" i="4" a="1"/>
  <c r="T32" i="4" s="1"/>
  <c r="T15" i="4"/>
  <c r="BL257" i="1"/>
  <c r="BT465" i="1"/>
  <c r="BT467" i="1" s="1"/>
  <c r="BT455" i="1"/>
  <c r="BB139" i="1" l="1"/>
  <c r="U42" i="4" a="1"/>
  <c r="U42" i="4" s="1"/>
  <c r="U45" i="4" a="1"/>
  <c r="U45" i="4" s="1"/>
  <c r="U26" i="4" a="1"/>
  <c r="U26" i="4" s="1"/>
  <c r="U19" i="4"/>
  <c r="U37" i="4" a="1"/>
  <c r="U37" i="4" s="1"/>
  <c r="U29" i="4" a="1"/>
  <c r="U29" i="4" s="1"/>
  <c r="U23" i="4" a="1"/>
  <c r="U23" i="4" s="1"/>
  <c r="U17" i="4"/>
  <c r="U18" i="4"/>
  <c r="U22" i="4" a="1"/>
  <c r="U22" i="4" s="1"/>
  <c r="U39" i="4" a="1"/>
  <c r="U39" i="4" s="1"/>
  <c r="U51" i="4" a="1"/>
  <c r="U51" i="4" s="1"/>
  <c r="U24" i="4" a="1"/>
  <c r="U24" i="4" s="1"/>
  <c r="U48" i="4" a="1"/>
  <c r="U48" i="4" s="1"/>
  <c r="U32" i="4" a="1"/>
  <c r="U32" i="4" s="1"/>
  <c r="U15" i="4"/>
  <c r="U16" i="4"/>
  <c r="BY455" i="1"/>
  <c r="BY465" i="1"/>
  <c r="BY467" i="1" s="1"/>
  <c r="V4" i="4"/>
  <c r="V5" i="4" a="1"/>
  <c r="V5" i="4" s="1"/>
  <c r="BO130" i="1"/>
  <c r="BO133" i="1"/>
  <c r="BO134" i="1" s="1"/>
  <c r="BU465" i="1"/>
  <c r="BU467" i="1" s="1"/>
  <c r="BU455" i="1"/>
  <c r="BO447" i="1"/>
  <c r="BN385" i="1"/>
  <c r="BN386" i="1" s="1"/>
  <c r="CR5" i="1"/>
  <c r="CS3" i="1"/>
  <c r="CA443" i="1"/>
  <c r="BV448" i="1"/>
  <c r="BV444" i="1"/>
  <c r="BV449" i="1" s="1"/>
  <c r="CB88" i="1"/>
  <c r="CB74" i="1"/>
  <c r="CC92" i="1"/>
  <c r="CC87" i="1"/>
  <c r="CD91" i="1"/>
  <c r="AE672" i="1"/>
  <c r="AE658" i="1"/>
  <c r="AE635" i="1"/>
  <c r="AE509" i="1"/>
  <c r="AE3" i="1"/>
  <c r="AF5" i="1"/>
  <c r="CQ672" i="1"/>
  <c r="CQ658" i="1"/>
  <c r="CQ635" i="1"/>
  <c r="CQ509" i="1"/>
  <c r="BX444" i="1"/>
  <c r="BX449" i="1" s="1"/>
  <c r="BX409" i="1"/>
  <c r="BX411" i="1" s="1"/>
  <c r="BY442" i="1"/>
  <c r="BU369" i="1"/>
  <c r="BQ149" i="1"/>
  <c r="BR153" i="1"/>
  <c r="BQ154" i="1"/>
  <c r="BO252" i="1"/>
  <c r="BO253" i="1" s="1"/>
  <c r="BO256" i="1"/>
  <c r="BM257" i="1"/>
  <c r="BD11" i="1"/>
  <c r="BC23" i="1"/>
  <c r="BC12" i="1"/>
  <c r="BP150" i="1"/>
  <c r="BP129" i="1"/>
  <c r="BP75" i="1"/>
  <c r="BP72" i="1" s="1"/>
  <c r="BN256" i="1"/>
  <c r="BC139" i="1" l="1"/>
  <c r="BP133" i="1"/>
  <c r="BP134" i="1" s="1"/>
  <c r="BP130" i="1"/>
  <c r="W4" i="4"/>
  <c r="W5" i="4" a="1"/>
  <c r="W5" i="4" s="1"/>
  <c r="BN257" i="1"/>
  <c r="CD92" i="1"/>
  <c r="CD87" i="1"/>
  <c r="CS5" i="1"/>
  <c r="CT3" i="1"/>
  <c r="BZ455" i="1"/>
  <c r="BZ465" i="1"/>
  <c r="BZ467" i="1" s="1"/>
  <c r="BO257" i="1"/>
  <c r="BV369" i="1"/>
  <c r="CR672" i="1"/>
  <c r="CR658" i="1"/>
  <c r="CR635" i="1"/>
  <c r="CR509" i="1"/>
  <c r="CC88" i="1"/>
  <c r="CC74" i="1"/>
  <c r="CC81" i="1"/>
  <c r="CC82" i="1" s="1"/>
  <c r="BR149" i="1"/>
  <c r="BS153" i="1"/>
  <c r="BR154" i="1"/>
  <c r="AF672" i="1"/>
  <c r="AF658" i="1"/>
  <c r="AF635" i="1"/>
  <c r="AF509" i="1"/>
  <c r="AG5" i="1"/>
  <c r="BE11" i="1"/>
  <c r="BD12" i="1"/>
  <c r="BD23" i="1"/>
  <c r="BD139" i="1" s="1"/>
  <c r="BY444" i="1"/>
  <c r="BY449" i="1" s="1"/>
  <c r="BY409" i="1"/>
  <c r="BY411" i="1" s="1"/>
  <c r="BZ442" i="1"/>
  <c r="BQ150" i="1"/>
  <c r="BQ75" i="1"/>
  <c r="BQ72" i="1" s="1"/>
  <c r="BQ129" i="1"/>
  <c r="CB443" i="1"/>
  <c r="CA448" i="1"/>
  <c r="BO452" i="1"/>
  <c r="BO450" i="1"/>
  <c r="V45" i="4" a="1"/>
  <c r="V45" i="4" s="1"/>
  <c r="V48" i="4" a="1"/>
  <c r="V48" i="4" s="1"/>
  <c r="V29" i="4" a="1"/>
  <c r="V29" i="4" s="1"/>
  <c r="V23" i="4" a="1"/>
  <c r="V23" i="4" s="1"/>
  <c r="V18" i="4"/>
  <c r="V16" i="4"/>
  <c r="V39" i="4" a="1"/>
  <c r="V39" i="4" s="1"/>
  <c r="V24" i="4" a="1"/>
  <c r="V24" i="4" s="1"/>
  <c r="V22" i="4" a="1"/>
  <c r="V22" i="4" s="1"/>
  <c r="V26" i="4" a="1"/>
  <c r="V26" i="4" s="1"/>
  <c r="V51" i="4" a="1"/>
  <c r="V51" i="4" s="1"/>
  <c r="V19" i="4"/>
  <c r="V32" i="4" a="1"/>
  <c r="V32" i="4" s="1"/>
  <c r="V42" i="4" a="1"/>
  <c r="V42" i="4" s="1"/>
  <c r="V15" i="4"/>
  <c r="V37" i="4" a="1"/>
  <c r="V37" i="4" s="1"/>
  <c r="V17" i="4"/>
  <c r="BP252" i="1"/>
  <c r="BP253" i="1" s="1"/>
  <c r="BV455" i="1"/>
  <c r="BV465" i="1"/>
  <c r="BV467" i="1" s="1"/>
  <c r="BR75" i="1" l="1"/>
  <c r="BR72" i="1" s="1"/>
  <c r="BR129" i="1"/>
  <c r="BR150" i="1"/>
  <c r="CD74" i="1"/>
  <c r="CD88" i="1"/>
  <c r="CD81" i="1"/>
  <c r="CD82" i="1" s="1"/>
  <c r="BS154" i="1"/>
  <c r="BT153" i="1"/>
  <c r="BS149" i="1"/>
  <c r="CA465" i="1"/>
  <c r="CA467" i="1" s="1"/>
  <c r="CA455" i="1"/>
  <c r="CA442" i="1"/>
  <c r="BZ409" i="1"/>
  <c r="BZ411" i="1" s="1"/>
  <c r="BZ444" i="1"/>
  <c r="BZ449" i="1" s="1"/>
  <c r="BQ133" i="1"/>
  <c r="BQ134" i="1" s="1"/>
  <c r="BQ130" i="1"/>
  <c r="BQ252" i="1"/>
  <c r="BQ253" i="1" s="1"/>
  <c r="BQ256" i="1"/>
  <c r="BP447" i="1"/>
  <c r="BO385" i="1"/>
  <c r="BO386" i="1" s="1"/>
  <c r="W45" i="4" a="1"/>
  <c r="W45" i="4" s="1"/>
  <c r="W48" i="4" a="1"/>
  <c r="W48" i="4" s="1"/>
  <c r="W51" i="4" a="1"/>
  <c r="W51" i="4" s="1"/>
  <c r="W32" i="4" a="1"/>
  <c r="W32" i="4" s="1"/>
  <c r="W39" i="4" a="1"/>
  <c r="W39" i="4" s="1"/>
  <c r="W24" i="4" a="1"/>
  <c r="W24" i="4" s="1"/>
  <c r="W18" i="4"/>
  <c r="W19" i="4"/>
  <c r="W42" i="4" a="1"/>
  <c r="W42" i="4" s="1"/>
  <c r="W23" i="4" a="1"/>
  <c r="W23" i="4" s="1"/>
  <c r="W15" i="4"/>
  <c r="W37" i="4" a="1"/>
  <c r="W37" i="4" s="1"/>
  <c r="W29" i="4" a="1"/>
  <c r="W29" i="4" s="1"/>
  <c r="W22" i="4" a="1"/>
  <c r="W22" i="4" s="1"/>
  <c r="W17" i="4"/>
  <c r="W16" i="4"/>
  <c r="W26" i="4" a="1"/>
  <c r="W26" i="4" s="1"/>
  <c r="AG672" i="1"/>
  <c r="AG658" i="1"/>
  <c r="AG635" i="1"/>
  <c r="AG509" i="1"/>
  <c r="AH5" i="1"/>
  <c r="CM20" i="1"/>
  <c r="CM11" i="1"/>
  <c r="BF11" i="1"/>
  <c r="BE12" i="1"/>
  <c r="BE23" i="1"/>
  <c r="BE139" i="1" s="1"/>
  <c r="CT5" i="1"/>
  <c r="CU3" i="1"/>
  <c r="X5" i="4" a="1"/>
  <c r="X5" i="4" s="1"/>
  <c r="X4" i="4"/>
  <c r="CC443" i="1"/>
  <c r="CB448" i="1"/>
  <c r="CS672" i="1"/>
  <c r="CS658" i="1"/>
  <c r="CS635" i="1"/>
  <c r="CS509" i="1"/>
  <c r="BP256" i="1"/>
  <c r="BW369" i="1"/>
  <c r="BF12" i="1" l="1"/>
  <c r="BG11" i="1"/>
  <c r="BF23" i="1"/>
  <c r="BF139" i="1" s="1"/>
  <c r="BS129" i="1"/>
  <c r="BS150" i="1"/>
  <c r="BS75" i="1"/>
  <c r="BS72" i="1" s="1"/>
  <c r="BU153" i="1"/>
  <c r="BT154" i="1"/>
  <c r="BT149" i="1"/>
  <c r="CD443" i="1"/>
  <c r="CD448" i="1" s="1"/>
  <c r="CC448" i="1"/>
  <c r="BP257" i="1"/>
  <c r="Y5" i="4" a="1"/>
  <c r="Y5" i="4" s="1"/>
  <c r="Y4" i="4"/>
  <c r="BQ257" i="1"/>
  <c r="X48" i="4" a="1"/>
  <c r="X48" i="4" s="1"/>
  <c r="X51" i="4" a="1"/>
  <c r="X51" i="4" s="1"/>
  <c r="X37" i="4" a="1"/>
  <c r="X37" i="4" s="1"/>
  <c r="X22" i="4" a="1"/>
  <c r="X22" i="4" s="1"/>
  <c r="X39" i="4" a="1"/>
  <c r="X39" i="4" s="1"/>
  <c r="X24" i="4" a="1"/>
  <c r="X24" i="4" s="1"/>
  <c r="X45" i="4" a="1"/>
  <c r="X45" i="4" s="1"/>
  <c r="X32" i="4" a="1"/>
  <c r="X32" i="4" s="1"/>
  <c r="X26" i="4" a="1"/>
  <c r="X26" i="4" s="1"/>
  <c r="X19" i="4"/>
  <c r="X42" i="4" a="1"/>
  <c r="X42" i="4" s="1"/>
  <c r="X23" i="4" a="1"/>
  <c r="X23" i="4" s="1"/>
  <c r="X29" i="4" a="1"/>
  <c r="X29" i="4" s="1"/>
  <c r="X15" i="4"/>
  <c r="X17" i="4"/>
  <c r="X16" i="4"/>
  <c r="X18" i="4"/>
  <c r="CT672" i="1"/>
  <c r="CT658" i="1"/>
  <c r="CT635" i="1"/>
  <c r="CT509" i="1"/>
  <c r="BR252" i="1"/>
  <c r="BR253" i="1" s="1"/>
  <c r="BR256" i="1"/>
  <c r="BR133" i="1"/>
  <c r="BR134" i="1" s="1"/>
  <c r="BR130" i="1"/>
  <c r="AH672" i="1"/>
  <c r="AH658" i="1"/>
  <c r="AH635" i="1"/>
  <c r="AH509" i="1"/>
  <c r="AI5" i="1"/>
  <c r="CA409" i="1"/>
  <c r="CA411" i="1" s="1"/>
  <c r="CB442" i="1"/>
  <c r="CA444" i="1"/>
  <c r="CA449" i="1" s="1"/>
  <c r="BX369" i="1"/>
  <c r="CB465" i="1"/>
  <c r="CB467" i="1" s="1"/>
  <c r="CB455" i="1"/>
  <c r="CV3" i="1"/>
  <c r="CU5" i="1"/>
  <c r="BP450" i="1"/>
  <c r="CB409" i="1" l="1"/>
  <c r="CB411" i="1" s="1"/>
  <c r="CB444" i="1"/>
  <c r="CB449" i="1" s="1"/>
  <c r="CC442" i="1"/>
  <c r="BV153" i="1"/>
  <c r="BU154" i="1"/>
  <c r="BU149" i="1"/>
  <c r="BS252" i="1"/>
  <c r="BS253" i="1" s="1"/>
  <c r="CC465" i="1"/>
  <c r="CC467" i="1" s="1"/>
  <c r="CC455" i="1"/>
  <c r="Z5" i="4" a="1"/>
  <c r="Z5" i="4" s="1"/>
  <c r="Z4" i="4"/>
  <c r="BS133" i="1"/>
  <c r="BS134" i="1" s="1"/>
  <c r="BS130" i="1"/>
  <c r="Y51" i="4" a="1"/>
  <c r="Y51" i="4" s="1"/>
  <c r="Y37" i="4" a="1"/>
  <c r="Y37" i="4" s="1"/>
  <c r="Y39" i="4" a="1"/>
  <c r="Y39" i="4" s="1"/>
  <c r="Y23" i="4" a="1"/>
  <c r="Y23" i="4" s="1"/>
  <c r="Y45" i="4" a="1"/>
  <c r="Y45" i="4" s="1"/>
  <c r="Y26" i="4" a="1"/>
  <c r="Y26" i="4" s="1"/>
  <c r="Y48" i="4" a="1"/>
  <c r="Y48" i="4" s="1"/>
  <c r="Y32" i="4" a="1"/>
  <c r="Y32" i="4" s="1"/>
  <c r="Y42" i="4" a="1"/>
  <c r="Y42" i="4" s="1"/>
  <c r="Y22" i="4" a="1"/>
  <c r="Y22" i="4" s="1"/>
  <c r="Y24" i="4" a="1"/>
  <c r="Y24" i="4" s="1"/>
  <c r="Y19" i="4"/>
  <c r="Y29" i="4" a="1"/>
  <c r="Y29" i="4" s="1"/>
  <c r="Y15" i="4"/>
  <c r="Y17" i="4"/>
  <c r="Y16" i="4"/>
  <c r="Y18" i="4"/>
  <c r="BY369" i="1"/>
  <c r="AI672" i="1"/>
  <c r="AI658" i="1"/>
  <c r="AI635" i="1"/>
  <c r="AI509" i="1"/>
  <c r="AI3" i="1"/>
  <c r="AJ5" i="1"/>
  <c r="BH11" i="1"/>
  <c r="BG12" i="1"/>
  <c r="BG23" i="1"/>
  <c r="BG139" i="1" s="1"/>
  <c r="BQ447" i="1"/>
  <c r="BP385" i="1"/>
  <c r="BP386" i="1" s="1"/>
  <c r="BR257" i="1"/>
  <c r="CU658" i="1"/>
  <c r="CU672" i="1"/>
  <c r="CU635" i="1"/>
  <c r="CU509" i="1"/>
  <c r="BP452" i="1"/>
  <c r="CV5" i="1"/>
  <c r="CW3" i="1"/>
  <c r="BT129" i="1"/>
  <c r="BT150" i="1"/>
  <c r="BT75" i="1"/>
  <c r="BT72" i="1" s="1"/>
  <c r="BW153" i="1" l="1"/>
  <c r="BV154" i="1"/>
  <c r="BV149" i="1"/>
  <c r="CV672" i="1"/>
  <c r="CV658" i="1"/>
  <c r="CV635" i="1"/>
  <c r="CV509" i="1"/>
  <c r="BH12" i="1"/>
  <c r="BI11" i="1"/>
  <c r="BH23" i="1"/>
  <c r="BH139" i="1" s="1"/>
  <c r="BT252" i="1"/>
  <c r="BT253" i="1" s="1"/>
  <c r="CD465" i="1"/>
  <c r="CD467" i="1" s="1"/>
  <c r="CD455" i="1"/>
  <c r="CX3" i="1"/>
  <c r="CX5" i="1" s="1"/>
  <c r="CW5" i="1"/>
  <c r="BQ452" i="1"/>
  <c r="BQ450" i="1"/>
  <c r="BT133" i="1"/>
  <c r="BT134" i="1" s="1"/>
  <c r="BT130" i="1"/>
  <c r="BZ369" i="1"/>
  <c r="AA5" i="4" a="1"/>
  <c r="AA5" i="4" s="1"/>
  <c r="AA4" i="4"/>
  <c r="CC409" i="1"/>
  <c r="CC411" i="1" s="1"/>
  <c r="CC444" i="1"/>
  <c r="CC449" i="1" s="1"/>
  <c r="CD442" i="1"/>
  <c r="Z39" i="4" a="1"/>
  <c r="Z39" i="4" s="1"/>
  <c r="Z42" i="4" a="1"/>
  <c r="Z42" i="4" s="1"/>
  <c r="Z24" i="4" a="1"/>
  <c r="Z24" i="4" s="1"/>
  <c r="Z45" i="4" a="1"/>
  <c r="Z45" i="4" s="1"/>
  <c r="Z26" i="4" a="1"/>
  <c r="Z26" i="4" s="1"/>
  <c r="Z48" i="4" a="1"/>
  <c r="Z48" i="4" s="1"/>
  <c r="Z32" i="4" a="1"/>
  <c r="Z32" i="4" s="1"/>
  <c r="Z51" i="4" a="1"/>
  <c r="Z51" i="4" s="1"/>
  <c r="Z22" i="4" a="1"/>
  <c r="Z22" i="4" s="1"/>
  <c r="Z17" i="4"/>
  <c r="Z15" i="4"/>
  <c r="Z29" i="4" a="1"/>
  <c r="Z29" i="4" s="1"/>
  <c r="Z19" i="4"/>
  <c r="Z23" i="4" a="1"/>
  <c r="Z23" i="4" s="1"/>
  <c r="Z37" i="4" a="1"/>
  <c r="Z37" i="4" s="1"/>
  <c r="Z16" i="4"/>
  <c r="Z18" i="4"/>
  <c r="BS256" i="1"/>
  <c r="AJ672" i="1"/>
  <c r="AJ658" i="1"/>
  <c r="AJ635" i="1"/>
  <c r="AJ509" i="1"/>
  <c r="AK5" i="1"/>
  <c r="BU129" i="1"/>
  <c r="BU150" i="1"/>
  <c r="BU75" i="1"/>
  <c r="BU72" i="1" s="1"/>
  <c r="CD444" i="1" l="1"/>
  <c r="CD449" i="1" s="1"/>
  <c r="CD409" i="1"/>
  <c r="CD411" i="1" s="1"/>
  <c r="CA369" i="1"/>
  <c r="BU252" i="1"/>
  <c r="BU253" i="1" s="1"/>
  <c r="BU256" i="1"/>
  <c r="AK672" i="1"/>
  <c r="AK658" i="1"/>
  <c r="AK635" i="1"/>
  <c r="AK509" i="1"/>
  <c r="AL5" i="1"/>
  <c r="BQ385" i="1"/>
  <c r="BQ386" i="1" s="1"/>
  <c r="BR447" i="1"/>
  <c r="BT256" i="1"/>
  <c r="BU133" i="1"/>
  <c r="BU134" i="1" s="1"/>
  <c r="BU130" i="1"/>
  <c r="AB5" i="4" a="1"/>
  <c r="AB5" i="4" s="1"/>
  <c r="AB4" i="4"/>
  <c r="AA42" i="4" a="1"/>
  <c r="AA42" i="4" s="1"/>
  <c r="AA45" i="4" a="1"/>
  <c r="AA45" i="4" s="1"/>
  <c r="AA26" i="4" a="1"/>
  <c r="AA26" i="4" s="1"/>
  <c r="AA51" i="4" a="1"/>
  <c r="AA51" i="4" s="1"/>
  <c r="AA22" i="4" a="1"/>
  <c r="AA22" i="4" s="1"/>
  <c r="AA29" i="4" a="1"/>
  <c r="AA29" i="4" s="1"/>
  <c r="AA19" i="4"/>
  <c r="AA37" i="4" a="1"/>
  <c r="AA37" i="4" s="1"/>
  <c r="AA23" i="4" a="1"/>
  <c r="AA23" i="4" s="1"/>
  <c r="AA39" i="4" a="1"/>
  <c r="AA39" i="4" s="1"/>
  <c r="AA24" i="4" a="1"/>
  <c r="AA24" i="4" s="1"/>
  <c r="AA32" i="4" a="1"/>
  <c r="AA32" i="4" s="1"/>
  <c r="AA15" i="4"/>
  <c r="AA48" i="4" a="1"/>
  <c r="AA48" i="4" s="1"/>
  <c r="AA16" i="4"/>
  <c r="AA17" i="4"/>
  <c r="AA18" i="4"/>
  <c r="BI12" i="1"/>
  <c r="BI23" i="1"/>
  <c r="BI139" i="1" s="1"/>
  <c r="BJ11" i="1"/>
  <c r="BV129" i="1"/>
  <c r="BV150" i="1"/>
  <c r="BV75" i="1"/>
  <c r="BV72" i="1" s="1"/>
  <c r="BS257" i="1"/>
  <c r="CW672" i="1"/>
  <c r="CW658" i="1"/>
  <c r="CW635" i="1"/>
  <c r="CW509" i="1"/>
  <c r="BW149" i="1"/>
  <c r="BX153" i="1"/>
  <c r="BW154" i="1"/>
  <c r="CX672" i="1"/>
  <c r="CX658" i="1"/>
  <c r="CX635" i="1"/>
  <c r="CX509" i="1"/>
  <c r="BX149" i="1" l="1"/>
  <c r="BY153" i="1"/>
  <c r="BX154" i="1"/>
  <c r="BW129" i="1"/>
  <c r="BW150" i="1"/>
  <c r="BW75" i="1"/>
  <c r="BW72" i="1" s="1"/>
  <c r="BT257" i="1"/>
  <c r="AL672" i="1"/>
  <c r="AL658" i="1"/>
  <c r="AL635" i="1"/>
  <c r="AL509" i="1"/>
  <c r="AM5" i="1"/>
  <c r="BR450" i="1"/>
  <c r="BR452" i="1" s="1"/>
  <c r="BK11" i="1"/>
  <c r="BJ12" i="1"/>
  <c r="BJ23" i="1"/>
  <c r="BJ139" i="1" s="1"/>
  <c r="BV252" i="1"/>
  <c r="BV253" i="1" s="1"/>
  <c r="BU257" i="1"/>
  <c r="BV130" i="1"/>
  <c r="BV133" i="1"/>
  <c r="BV134" i="1" s="1"/>
  <c r="AC5" i="4" a="1"/>
  <c r="AC5" i="4" s="1"/>
  <c r="AC4" i="4"/>
  <c r="AB45" i="4" a="1"/>
  <c r="AB45" i="4" s="1"/>
  <c r="AB48" i="4" a="1"/>
  <c r="AB48" i="4" s="1"/>
  <c r="AB29" i="4" a="1"/>
  <c r="AB29" i="4" s="1"/>
  <c r="AB17" i="4"/>
  <c r="AB15" i="4"/>
  <c r="AB42" i="4" a="1"/>
  <c r="AB42" i="4" s="1"/>
  <c r="AB37" i="4" a="1"/>
  <c r="AB37" i="4" s="1"/>
  <c r="AB23" i="4" a="1"/>
  <c r="AB23" i="4" s="1"/>
  <c r="AB19" i="4"/>
  <c r="AB51" i="4" a="1"/>
  <c r="AB51" i="4" s="1"/>
  <c r="AB32" i="4" a="1"/>
  <c r="AB32" i="4" s="1"/>
  <c r="AB16" i="4"/>
  <c r="AB22" i="4" a="1"/>
  <c r="AB22" i="4" s="1"/>
  <c r="AB18" i="4"/>
  <c r="AB26" i="4" a="1"/>
  <c r="AB26" i="4" s="1"/>
  <c r="AB39" i="4" a="1"/>
  <c r="AB39" i="4" s="1"/>
  <c r="AB24" i="4" a="1"/>
  <c r="AB24" i="4" s="1"/>
  <c r="CB369" i="1"/>
  <c r="CC369" i="1" l="1"/>
  <c r="BW252" i="1"/>
  <c r="BW253" i="1" s="1"/>
  <c r="AD5" i="4" a="1"/>
  <c r="AD5" i="4" s="1"/>
  <c r="AD4" i="4"/>
  <c r="BV256" i="1"/>
  <c r="AC45" i="4" a="1"/>
  <c r="AC45" i="4" s="1"/>
  <c r="AC48" i="4" a="1"/>
  <c r="AC48" i="4" s="1"/>
  <c r="AC51" i="4" a="1"/>
  <c r="AC51" i="4" s="1"/>
  <c r="AC32" i="4" a="1"/>
  <c r="AC32" i="4" s="1"/>
  <c r="AC42" i="4" a="1"/>
  <c r="AC42" i="4" s="1"/>
  <c r="AC37" i="4" a="1"/>
  <c r="AC37" i="4" s="1"/>
  <c r="AC29" i="4" a="1"/>
  <c r="AC29" i="4" s="1"/>
  <c r="AC23" i="4" a="1"/>
  <c r="AC23" i="4" s="1"/>
  <c r="AC19" i="4"/>
  <c r="AC24" i="4" a="1"/>
  <c r="AC24" i="4" s="1"/>
  <c r="AC16" i="4"/>
  <c r="AC15" i="4"/>
  <c r="AC22" i="4" a="1"/>
  <c r="AC22" i="4" s="1"/>
  <c r="AC26" i="4" a="1"/>
  <c r="AC26" i="4" s="1"/>
  <c r="AC18" i="4"/>
  <c r="AC17" i="4"/>
  <c r="AC39" i="4" a="1"/>
  <c r="AC39" i="4" s="1"/>
  <c r="BW130" i="1"/>
  <c r="BW133" i="1"/>
  <c r="BW134" i="1" s="1"/>
  <c r="BW447" i="1"/>
  <c r="BR385" i="1"/>
  <c r="BR386" i="1" s="1"/>
  <c r="BS447" i="1"/>
  <c r="AM672" i="1"/>
  <c r="AM658" i="1"/>
  <c r="AM635" i="1"/>
  <c r="AM509" i="1"/>
  <c r="AM3" i="1"/>
  <c r="AN5" i="1"/>
  <c r="BK12" i="1"/>
  <c r="BL11" i="1"/>
  <c r="BK23" i="1"/>
  <c r="BK139" i="1" s="1"/>
  <c r="BZ153" i="1"/>
  <c r="BY154" i="1"/>
  <c r="BY149" i="1"/>
  <c r="BX150" i="1"/>
  <c r="BX129" i="1"/>
  <c r="BX75" i="1"/>
  <c r="BX72" i="1" s="1"/>
  <c r="AN672" i="1" l="1"/>
  <c r="AN658" i="1"/>
  <c r="AN635" i="1"/>
  <c r="AN509" i="1"/>
  <c r="AO5" i="1"/>
  <c r="BZ154" i="1"/>
  <c r="BZ149" i="1"/>
  <c r="CA153" i="1"/>
  <c r="BV257" i="1"/>
  <c r="BY150" i="1"/>
  <c r="BY75" i="1"/>
  <c r="BY72" i="1" s="1"/>
  <c r="BY129" i="1"/>
  <c r="AE4" i="4"/>
  <c r="AE5" i="4" a="1"/>
  <c r="AE5" i="4" s="1"/>
  <c r="BX130" i="1"/>
  <c r="BX133" i="1"/>
  <c r="BX134" i="1" s="1"/>
  <c r="AD48" i="4" a="1"/>
  <c r="AD48" i="4" s="1"/>
  <c r="AD51" i="4" a="1"/>
  <c r="AD51" i="4" s="1"/>
  <c r="AD37" i="4" a="1"/>
  <c r="AD37" i="4" s="1"/>
  <c r="AD22" i="4" a="1"/>
  <c r="AD22" i="4" s="1"/>
  <c r="AD19" i="4"/>
  <c r="AD24" i="4" a="1"/>
  <c r="AD24" i="4" s="1"/>
  <c r="AD39" i="4" a="1"/>
  <c r="AD39" i="4" s="1"/>
  <c r="AD32" i="4" a="1"/>
  <c r="AD32" i="4" s="1"/>
  <c r="AD42" i="4" a="1"/>
  <c r="AD42" i="4" s="1"/>
  <c r="AD23" i="4" a="1"/>
  <c r="AD23" i="4" s="1"/>
  <c r="AD29" i="4" a="1"/>
  <c r="AD29" i="4" s="1"/>
  <c r="AD16" i="4"/>
  <c r="AD15" i="4"/>
  <c r="AD26" i="4" a="1"/>
  <c r="AD26" i="4" s="1"/>
  <c r="AD18" i="4"/>
  <c r="AD17" i="4"/>
  <c r="AD45" i="4" a="1"/>
  <c r="AD45" i="4" s="1"/>
  <c r="BM11" i="1"/>
  <c r="BL12" i="1"/>
  <c r="BL23" i="1"/>
  <c r="BL139" i="1" s="1"/>
  <c r="BW450" i="1"/>
  <c r="BW256" i="1"/>
  <c r="CD369" i="1"/>
  <c r="BS450" i="1"/>
  <c r="BS452" i="1"/>
  <c r="BX252" i="1"/>
  <c r="BX253" i="1" s="1"/>
  <c r="BZ129" i="1" l="1"/>
  <c r="BZ75" i="1"/>
  <c r="BZ72" i="1" s="1"/>
  <c r="BZ150" i="1"/>
  <c r="CA154" i="1"/>
  <c r="CA149" i="1"/>
  <c r="CB153" i="1"/>
  <c r="AO672" i="1"/>
  <c r="AO658" i="1"/>
  <c r="AO635" i="1"/>
  <c r="AO509" i="1"/>
  <c r="AP5" i="1"/>
  <c r="AE51" i="4" a="1"/>
  <c r="AE51" i="4" s="1"/>
  <c r="AE37" i="4" a="1"/>
  <c r="AE37" i="4" s="1"/>
  <c r="AE39" i="4" a="1"/>
  <c r="AE39" i="4" s="1"/>
  <c r="AE23" i="4" a="1"/>
  <c r="AE23" i="4" s="1"/>
  <c r="AE24" i="4" a="1"/>
  <c r="AE24" i="4" s="1"/>
  <c r="AE26" i="4" a="1"/>
  <c r="AE26" i="4" s="1"/>
  <c r="AE29" i="4" a="1"/>
  <c r="AE29" i="4" s="1"/>
  <c r="AE19" i="4"/>
  <c r="AE16" i="4"/>
  <c r="AE15" i="4"/>
  <c r="AE48" i="4" a="1"/>
  <c r="AE48" i="4" s="1"/>
  <c r="AE22" i="4" a="1"/>
  <c r="AE22" i="4" s="1"/>
  <c r="AE18" i="4"/>
  <c r="AE17" i="4"/>
  <c r="AE45" i="4" a="1"/>
  <c r="AE45" i="4" s="1"/>
  <c r="AE42" i="4" a="1"/>
  <c r="AE42" i="4" s="1"/>
  <c r="AE32" i="4" a="1"/>
  <c r="AE32" i="4" s="1"/>
  <c r="BX447" i="1"/>
  <c r="BW385" i="1"/>
  <c r="BW386" i="1" s="1"/>
  <c r="BN11" i="1"/>
  <c r="BM12" i="1"/>
  <c r="BM23" i="1"/>
  <c r="BM139" i="1" s="1"/>
  <c r="BY252" i="1"/>
  <c r="BY253" i="1" s="1"/>
  <c r="BW452" i="1"/>
  <c r="AF4" i="4"/>
  <c r="AF5" i="4" a="1"/>
  <c r="AF5" i="4" s="1"/>
  <c r="BX256" i="1"/>
  <c r="BW257" i="1"/>
  <c r="BS385" i="1"/>
  <c r="BS386" i="1" s="1"/>
  <c r="BT447" i="1"/>
  <c r="BY133" i="1"/>
  <c r="BY134" i="1" s="1"/>
  <c r="BY130" i="1"/>
  <c r="AP672" i="1" l="1"/>
  <c r="AP658" i="1"/>
  <c r="AP635" i="1"/>
  <c r="AP509" i="1"/>
  <c r="AQ5" i="1"/>
  <c r="BT450" i="1"/>
  <c r="BT452" i="1" s="1"/>
  <c r="BY256" i="1"/>
  <c r="BN12" i="1"/>
  <c r="BO11" i="1"/>
  <c r="BN23" i="1"/>
  <c r="BN139" i="1" s="1"/>
  <c r="CB154" i="1"/>
  <c r="CC153" i="1"/>
  <c r="CB149" i="1"/>
  <c r="BX450" i="1"/>
  <c r="BX452" i="1" s="1"/>
  <c r="CA129" i="1"/>
  <c r="CA75" i="1"/>
  <c r="CA72" i="1" s="1"/>
  <c r="CA150" i="1"/>
  <c r="BZ252" i="1"/>
  <c r="BZ253" i="1" s="1"/>
  <c r="AF39" i="4" a="1"/>
  <c r="AF39" i="4" s="1"/>
  <c r="AF42" i="4" a="1"/>
  <c r="AF42" i="4" s="1"/>
  <c r="AF24" i="4" a="1"/>
  <c r="AF24" i="4" s="1"/>
  <c r="AF26" i="4" a="1"/>
  <c r="AF26" i="4" s="1"/>
  <c r="AF18" i="4"/>
  <c r="AF16" i="4"/>
  <c r="AF32" i="4" a="1"/>
  <c r="AF32" i="4" s="1"/>
  <c r="AF22" i="4" a="1"/>
  <c r="AF22" i="4" s="1"/>
  <c r="AF48" i="4" a="1"/>
  <c r="AF48" i="4" s="1"/>
  <c r="AF15" i="4"/>
  <c r="AF17" i="4"/>
  <c r="AF45" i="4" a="1"/>
  <c r="AF45" i="4" s="1"/>
  <c r="AF37" i="4" a="1"/>
  <c r="AF37" i="4" s="1"/>
  <c r="AF51" i="4" a="1"/>
  <c r="AF51" i="4" s="1"/>
  <c r="AF29" i="4" a="1"/>
  <c r="AF29" i="4" s="1"/>
  <c r="AF23" i="4" a="1"/>
  <c r="AF23" i="4" s="1"/>
  <c r="AF19" i="4"/>
  <c r="BX257" i="1"/>
  <c r="AG4" i="4"/>
  <c r="AG5" i="4" a="1"/>
  <c r="AG5" i="4" s="1"/>
  <c r="BZ130" i="1"/>
  <c r="BZ133" i="1"/>
  <c r="BZ134" i="1" s="1"/>
  <c r="AG42" i="4" l="1" a="1"/>
  <c r="AG42" i="4" s="1"/>
  <c r="AG45" i="4" a="1"/>
  <c r="AG45" i="4" s="1"/>
  <c r="AG26" i="4" a="1"/>
  <c r="AG26" i="4" s="1"/>
  <c r="AG19" i="4"/>
  <c r="AG39" i="4" a="1"/>
  <c r="AG39" i="4" s="1"/>
  <c r="AG32" i="4" a="1"/>
  <c r="AG32" i="4" s="1"/>
  <c r="AG22" i="4" a="1"/>
  <c r="AG22" i="4" s="1"/>
  <c r="AG48" i="4" a="1"/>
  <c r="AG48" i="4" s="1"/>
  <c r="AG29" i="4" a="1"/>
  <c r="AG29" i="4" s="1"/>
  <c r="AG15" i="4"/>
  <c r="AG16" i="4"/>
  <c r="AG37" i="4" a="1"/>
  <c r="AG37" i="4" s="1"/>
  <c r="AG17" i="4"/>
  <c r="AG18" i="4"/>
  <c r="AG24" i="4" a="1"/>
  <c r="AG24" i="4" s="1"/>
  <c r="AG51" i="4" a="1"/>
  <c r="AG51" i="4" s="1"/>
  <c r="AG23" i="4" a="1"/>
  <c r="AG23" i="4" s="1"/>
  <c r="BY257" i="1"/>
  <c r="CA252" i="1"/>
  <c r="CA253" i="1" s="1"/>
  <c r="CA256" i="1"/>
  <c r="CA130" i="1"/>
  <c r="CA133" i="1"/>
  <c r="CA134" i="1" s="1"/>
  <c r="AH4" i="4"/>
  <c r="AH5" i="4" a="1"/>
  <c r="AH5" i="4" s="1"/>
  <c r="BU447" i="1"/>
  <c r="BT385" i="1"/>
  <c r="BT386" i="1" s="1"/>
  <c r="AQ672" i="1"/>
  <c r="AQ658" i="1"/>
  <c r="AQ635" i="1"/>
  <c r="AQ509" i="1"/>
  <c r="AR5" i="1"/>
  <c r="AQ3" i="1"/>
  <c r="BY447" i="1"/>
  <c r="BX385" i="1"/>
  <c r="BX386" i="1" s="1"/>
  <c r="BO12" i="1"/>
  <c r="BO23" i="1"/>
  <c r="BO139" i="1" s="1"/>
  <c r="BP11" i="1"/>
  <c r="CB150" i="1"/>
  <c r="CB75" i="1"/>
  <c r="CB72" i="1" s="1"/>
  <c r="CB129" i="1"/>
  <c r="BZ256" i="1"/>
  <c r="CC154" i="1"/>
  <c r="CC149" i="1"/>
  <c r="CD153" i="1"/>
  <c r="CA257" i="1" l="1"/>
  <c r="CD154" i="1"/>
  <c r="CD149" i="1"/>
  <c r="BZ257" i="1"/>
  <c r="AR672" i="1"/>
  <c r="AR635" i="1"/>
  <c r="AR658" i="1"/>
  <c r="AR509" i="1"/>
  <c r="AS5" i="1"/>
  <c r="BY450" i="1"/>
  <c r="BY452" i="1" s="1"/>
  <c r="CB252" i="1"/>
  <c r="CB253" i="1" s="1"/>
  <c r="AI5" i="4" a="1"/>
  <c r="AI5" i="4" s="1"/>
  <c r="AI4" i="4"/>
  <c r="CB133" i="1"/>
  <c r="CB134" i="1" s="1"/>
  <c r="CB130" i="1"/>
  <c r="CC150" i="1"/>
  <c r="CC129" i="1"/>
  <c r="CC75" i="1"/>
  <c r="CC72" i="1" s="1"/>
  <c r="BP12" i="1"/>
  <c r="BQ11" i="1"/>
  <c r="BP23" i="1"/>
  <c r="BP139" i="1" s="1"/>
  <c r="BU452" i="1"/>
  <c r="BU450" i="1"/>
  <c r="AH45" i="4" a="1"/>
  <c r="AH45" i="4" s="1"/>
  <c r="AH48" i="4" a="1"/>
  <c r="AH48" i="4" s="1"/>
  <c r="AH29" i="4" a="1"/>
  <c r="AH29" i="4" s="1"/>
  <c r="AH39" i="4" a="1"/>
  <c r="AH39" i="4" s="1"/>
  <c r="AH32" i="4" a="1"/>
  <c r="AH32" i="4" s="1"/>
  <c r="AH26" i="4" a="1"/>
  <c r="AH26" i="4" s="1"/>
  <c r="AH22" i="4" a="1"/>
  <c r="AH22" i="4" s="1"/>
  <c r="AH18" i="4"/>
  <c r="AH16" i="4"/>
  <c r="AH51" i="4" a="1"/>
  <c r="AH51" i="4" s="1"/>
  <c r="AH23" i="4" a="1"/>
  <c r="AH23" i="4" s="1"/>
  <c r="AH37" i="4" a="1"/>
  <c r="AH37" i="4" s="1"/>
  <c r="AH17" i="4"/>
  <c r="AH24" i="4" a="1"/>
  <c r="AH24" i="4" s="1"/>
  <c r="AH42" i="4" a="1"/>
  <c r="AH42" i="4" s="1"/>
  <c r="AH19" i="4"/>
  <c r="AH15" i="4"/>
  <c r="AS672" i="1" l="1"/>
  <c r="AS658" i="1"/>
  <c r="AS635" i="1"/>
  <c r="AS509" i="1"/>
  <c r="AT5" i="1"/>
  <c r="CC133" i="1"/>
  <c r="CC134" i="1" s="1"/>
  <c r="CC130" i="1"/>
  <c r="CC252" i="1"/>
  <c r="CC253" i="1" s="1"/>
  <c r="CC256" i="1"/>
  <c r="AI45" i="4" a="1"/>
  <c r="AI45" i="4" s="1"/>
  <c r="AI48" i="4" a="1"/>
  <c r="AI48" i="4" s="1"/>
  <c r="AI51" i="4" a="1"/>
  <c r="AI51" i="4" s="1"/>
  <c r="AI32" i="4" a="1"/>
  <c r="AI32" i="4" s="1"/>
  <c r="AI18" i="4"/>
  <c r="AI29" i="4" a="1"/>
  <c r="AI29" i="4" s="1"/>
  <c r="AI23" i="4" a="1"/>
  <c r="AI23" i="4" s="1"/>
  <c r="AI42" i="4" a="1"/>
  <c r="AI42" i="4" s="1"/>
  <c r="AI37" i="4" a="1"/>
  <c r="AI37" i="4" s="1"/>
  <c r="AI22" i="4" a="1"/>
  <c r="AI22" i="4" s="1"/>
  <c r="AI17" i="4"/>
  <c r="AI16" i="4"/>
  <c r="AI26" i="4" a="1"/>
  <c r="AI26" i="4" s="1"/>
  <c r="AI24" i="4" a="1"/>
  <c r="AI24" i="4" s="1"/>
  <c r="AI39" i="4" a="1"/>
  <c r="AI39" i="4" s="1"/>
  <c r="AI19" i="4"/>
  <c r="AI15" i="4"/>
  <c r="BV447" i="1"/>
  <c r="BU385" i="1"/>
  <c r="BU386" i="1" s="1"/>
  <c r="CB256" i="1"/>
  <c r="CD150" i="1"/>
  <c r="CD129" i="1"/>
  <c r="CD75" i="1"/>
  <c r="CD72" i="1" s="1"/>
  <c r="AJ5" i="4" a="1"/>
  <c r="AJ5" i="4" s="1"/>
  <c r="AJ4" i="4"/>
  <c r="BR11" i="1"/>
  <c r="BQ12" i="1"/>
  <c r="BQ23" i="1"/>
  <c r="BQ139" i="1" s="1"/>
  <c r="BZ447" i="1"/>
  <c r="BY385" i="1"/>
  <c r="BY386" i="1" s="1"/>
  <c r="AJ48" i="4" l="1" a="1"/>
  <c r="AJ48" i="4" s="1"/>
  <c r="AJ51" i="4" a="1"/>
  <c r="AJ51" i="4" s="1"/>
  <c r="AJ32" i="4" a="1"/>
  <c r="AJ32" i="4" s="1"/>
  <c r="AJ37" i="4" a="1"/>
  <c r="AJ37" i="4" s="1"/>
  <c r="AJ22" i="4" a="1"/>
  <c r="AJ22" i="4" s="1"/>
  <c r="AJ29" i="4" a="1"/>
  <c r="AJ29" i="4" s="1"/>
  <c r="AJ23" i="4" a="1"/>
  <c r="AJ23" i="4" s="1"/>
  <c r="AJ45" i="4" a="1"/>
  <c r="AJ45" i="4" s="1"/>
  <c r="AJ42" i="4" a="1"/>
  <c r="AJ42" i="4" s="1"/>
  <c r="AJ24" i="4" a="1"/>
  <c r="AJ24" i="4" s="1"/>
  <c r="AJ18" i="4"/>
  <c r="AJ39" i="4" a="1"/>
  <c r="AJ39" i="4" s="1"/>
  <c r="AJ19" i="4"/>
  <c r="AJ15" i="4"/>
  <c r="AJ26" i="4" a="1"/>
  <c r="AJ26" i="4" s="1"/>
  <c r="AJ17" i="4"/>
  <c r="AJ16" i="4"/>
  <c r="CC257" i="1"/>
  <c r="AT672" i="1"/>
  <c r="AT635" i="1"/>
  <c r="AT658" i="1"/>
  <c r="AT509" i="1"/>
  <c r="AU5" i="1"/>
  <c r="CD252" i="1"/>
  <c r="CD253" i="1" s="1"/>
  <c r="CD256" i="1"/>
  <c r="CD130" i="1"/>
  <c r="CD133" i="1"/>
  <c r="CD134" i="1" s="1"/>
  <c r="CB257" i="1"/>
  <c r="BV450" i="1"/>
  <c r="BV452" i="1"/>
  <c r="BZ452" i="1"/>
  <c r="BZ450" i="1"/>
  <c r="BZ385" i="1" s="1"/>
  <c r="BZ386" i="1" s="1"/>
  <c r="AK5" i="4" a="1"/>
  <c r="AK5" i="4" s="1"/>
  <c r="AK4" i="4"/>
  <c r="BR12" i="1"/>
  <c r="BS11" i="1"/>
  <c r="BR23" i="1"/>
  <c r="BR139" i="1" s="1"/>
  <c r="AU672" i="1" l="1"/>
  <c r="AU658" i="1"/>
  <c r="AU635" i="1"/>
  <c r="AU509" i="1"/>
  <c r="AU3" i="1"/>
  <c r="AV5" i="1"/>
  <c r="AK51" i="4" a="1"/>
  <c r="AK51" i="4" s="1"/>
  <c r="AK37" i="4" a="1"/>
  <c r="AK37" i="4" s="1"/>
  <c r="AK39" i="4" a="1"/>
  <c r="AK39" i="4" s="1"/>
  <c r="AK23" i="4" a="1"/>
  <c r="AK23" i="4" s="1"/>
  <c r="AK45" i="4" a="1"/>
  <c r="AK45" i="4" s="1"/>
  <c r="AK42" i="4" a="1"/>
  <c r="AK42" i="4" s="1"/>
  <c r="AK48" i="4" a="1"/>
  <c r="AK48" i="4" s="1"/>
  <c r="AK24" i="4" a="1"/>
  <c r="AK24" i="4" s="1"/>
  <c r="AK18" i="4"/>
  <c r="AK29" i="4" a="1"/>
  <c r="AK29" i="4" s="1"/>
  <c r="AK19" i="4"/>
  <c r="AK32" i="4" a="1"/>
  <c r="AK32" i="4" s="1"/>
  <c r="AK15" i="4"/>
  <c r="AK26" i="4" a="1"/>
  <c r="AK26" i="4" s="1"/>
  <c r="AK22" i="4" a="1"/>
  <c r="AK22" i="4" s="1"/>
  <c r="AK17" i="4"/>
  <c r="AK16" i="4"/>
  <c r="BV385" i="1"/>
  <c r="BV386" i="1" s="1"/>
  <c r="CA447" i="1"/>
  <c r="CD257" i="1"/>
  <c r="AL4" i="4"/>
  <c r="AL5" i="4" a="1"/>
  <c r="AL5" i="4" s="1"/>
  <c r="BT11" i="1"/>
  <c r="BS12" i="1"/>
  <c r="BS23" i="1"/>
  <c r="BS139" i="1" s="1"/>
  <c r="AV672" i="1" l="1"/>
  <c r="AV658" i="1"/>
  <c r="AV635" i="1"/>
  <c r="AV509" i="1"/>
  <c r="AW5" i="1"/>
  <c r="AL39" i="4" a="1"/>
  <c r="AL39" i="4" s="1"/>
  <c r="AL42" i="4" a="1"/>
  <c r="AL42" i="4" s="1"/>
  <c r="AL24" i="4" a="1"/>
  <c r="AL24" i="4" s="1"/>
  <c r="AL51" i="4" a="1"/>
  <c r="AL51" i="4" s="1"/>
  <c r="AL37" i="4" a="1"/>
  <c r="AL37" i="4" s="1"/>
  <c r="AL17" i="4"/>
  <c r="AL15" i="4"/>
  <c r="AL26" i="4" a="1"/>
  <c r="AL26" i="4" s="1"/>
  <c r="AL18" i="4"/>
  <c r="AL45" i="4" a="1"/>
  <c r="AL45" i="4" s="1"/>
  <c r="AL29" i="4" a="1"/>
  <c r="AL29" i="4" s="1"/>
  <c r="AL32" i="4" a="1"/>
  <c r="AL32" i="4" s="1"/>
  <c r="AL23" i="4" a="1"/>
  <c r="AL23" i="4" s="1"/>
  <c r="AL19" i="4"/>
  <c r="AL22" i="4" a="1"/>
  <c r="AL22" i="4" s="1"/>
  <c r="AL16" i="4"/>
  <c r="AL48" i="4" a="1"/>
  <c r="AL48" i="4" s="1"/>
  <c r="AM4" i="4"/>
  <c r="AM5" i="4" a="1"/>
  <c r="AM5" i="4" s="1"/>
  <c r="BU11" i="1"/>
  <c r="BT12" i="1"/>
  <c r="BT23" i="1"/>
  <c r="BT139" i="1" s="1"/>
  <c r="CA450" i="1"/>
  <c r="CA452" i="1" s="1"/>
  <c r="AM42" i="4" l="1" a="1"/>
  <c r="AM42" i="4" s="1"/>
  <c r="AM45" i="4" a="1"/>
  <c r="AM45" i="4" s="1"/>
  <c r="AM26" i="4" a="1"/>
  <c r="AM26" i="4" s="1"/>
  <c r="AM37" i="4" a="1"/>
  <c r="AM37" i="4" s="1"/>
  <c r="AM24" i="4" a="1"/>
  <c r="AM24" i="4" s="1"/>
  <c r="AM22" i="4" a="1"/>
  <c r="AM22" i="4" s="1"/>
  <c r="AM19" i="4"/>
  <c r="AM39" i="4" a="1"/>
  <c r="AM39" i="4" s="1"/>
  <c r="AM29" i="4" a="1"/>
  <c r="AM29" i="4" s="1"/>
  <c r="AM32" i="4" a="1"/>
  <c r="AM32" i="4" s="1"/>
  <c r="AM23" i="4" a="1"/>
  <c r="AM23" i="4" s="1"/>
  <c r="AM51" i="4" a="1"/>
  <c r="AM51" i="4" s="1"/>
  <c r="AM15" i="4"/>
  <c r="AM16" i="4"/>
  <c r="AM48" i="4" a="1"/>
  <c r="AM48" i="4" s="1"/>
  <c r="AM17" i="4"/>
  <c r="AM18" i="4"/>
  <c r="AN5" i="4" a="1"/>
  <c r="AN5" i="4" s="1"/>
  <c r="AN4" i="4"/>
  <c r="AW672" i="1"/>
  <c r="AW658" i="1"/>
  <c r="AW635" i="1"/>
  <c r="AW509" i="1"/>
  <c r="AX5" i="1"/>
  <c r="CB447" i="1"/>
  <c r="CA385" i="1"/>
  <c r="CA386" i="1" s="1"/>
  <c r="BU23" i="1"/>
  <c r="BU139" i="1" s="1"/>
  <c r="BU12" i="1"/>
  <c r="BV11" i="1"/>
  <c r="AX672" i="1" l="1"/>
  <c r="AX658" i="1"/>
  <c r="AX635" i="1"/>
  <c r="AX509" i="1"/>
  <c r="AY5" i="1"/>
  <c r="AO5" i="4" a="1"/>
  <c r="AO5" i="4" s="1"/>
  <c r="AO4" i="4"/>
  <c r="AN45" i="4" a="1"/>
  <c r="AN45" i="4" s="1"/>
  <c r="AN48" i="4" a="1"/>
  <c r="AN48" i="4" s="1"/>
  <c r="AN29" i="4" a="1"/>
  <c r="AN29" i="4" s="1"/>
  <c r="AN17" i="4"/>
  <c r="AN15" i="4"/>
  <c r="AN26" i="4" a="1"/>
  <c r="AN26" i="4" s="1"/>
  <c r="AN22" i="4" a="1"/>
  <c r="AN22" i="4" s="1"/>
  <c r="AN19" i="4"/>
  <c r="AN39" i="4" a="1"/>
  <c r="AN39" i="4" s="1"/>
  <c r="AN32" i="4" a="1"/>
  <c r="AN32" i="4" s="1"/>
  <c r="AN24" i="4" a="1"/>
  <c r="AN24" i="4" s="1"/>
  <c r="AN23" i="4" a="1"/>
  <c r="AN23" i="4" s="1"/>
  <c r="AN51" i="4" a="1"/>
  <c r="AN51" i="4" s="1"/>
  <c r="AN42" i="4" a="1"/>
  <c r="AN42" i="4" s="1"/>
  <c r="AN16" i="4"/>
  <c r="AN37" i="4" a="1"/>
  <c r="AN37" i="4" s="1"/>
  <c r="AN18" i="4"/>
  <c r="BV12" i="1"/>
  <c r="BW11" i="1"/>
  <c r="BV23" i="1"/>
  <c r="BV139" i="1" s="1"/>
  <c r="CB450" i="1"/>
  <c r="CB452" i="1" s="1"/>
  <c r="AP5" i="4" l="1" a="1"/>
  <c r="AP5" i="4" s="1"/>
  <c r="AP4" i="4"/>
  <c r="AO45" i="4" a="1"/>
  <c r="AO45" i="4" s="1"/>
  <c r="AO48" i="4" a="1"/>
  <c r="AO48" i="4" s="1"/>
  <c r="AO51" i="4" a="1"/>
  <c r="AO51" i="4" s="1"/>
  <c r="AO32" i="4" a="1"/>
  <c r="AO32" i="4" s="1"/>
  <c r="AO26" i="4" a="1"/>
  <c r="AO26" i="4" s="1"/>
  <c r="AO22" i="4" a="1"/>
  <c r="AO22" i="4" s="1"/>
  <c r="AO39" i="4" a="1"/>
  <c r="AO39" i="4" s="1"/>
  <c r="AO19" i="4"/>
  <c r="AO29" i="4" a="1"/>
  <c r="AO29" i="4" s="1"/>
  <c r="AO23" i="4" a="1"/>
  <c r="AO23" i="4" s="1"/>
  <c r="AO42" i="4" a="1"/>
  <c r="AO42" i="4" s="1"/>
  <c r="AO16" i="4"/>
  <c r="AO15" i="4"/>
  <c r="AO37" i="4" a="1"/>
  <c r="AO37" i="4" s="1"/>
  <c r="AO17" i="4"/>
  <c r="AO18" i="4"/>
  <c r="AO24" i="4" a="1"/>
  <c r="AO24" i="4" s="1"/>
  <c r="AY672" i="1"/>
  <c r="AY658" i="1"/>
  <c r="AY635" i="1"/>
  <c r="AY509" i="1"/>
  <c r="AZ5" i="1"/>
  <c r="AY3" i="1"/>
  <c r="CC447" i="1"/>
  <c r="CB385" i="1"/>
  <c r="CB386" i="1" s="1"/>
  <c r="BX11" i="1"/>
  <c r="BW12" i="1"/>
  <c r="BW23" i="1"/>
  <c r="BW139" i="1" s="1"/>
  <c r="AZ672" i="1" l="1"/>
  <c r="AZ658" i="1"/>
  <c r="AZ635" i="1"/>
  <c r="AZ509" i="1"/>
  <c r="BA5" i="1"/>
  <c r="BX12" i="1"/>
  <c r="BY11" i="1"/>
  <c r="BX23" i="1"/>
  <c r="BX139" i="1" s="1"/>
  <c r="CC450" i="1"/>
  <c r="AQ5" i="4" a="1"/>
  <c r="AQ5" i="4" s="1"/>
  <c r="AQ4" i="4"/>
  <c r="AP48" i="4" a="1"/>
  <c r="AP48" i="4" s="1"/>
  <c r="AP51" i="4" a="1"/>
  <c r="AP51" i="4" s="1"/>
  <c r="AP32" i="4" a="1"/>
  <c r="AP32" i="4" s="1"/>
  <c r="AP37" i="4" a="1"/>
  <c r="AP37" i="4" s="1"/>
  <c r="AP22" i="4" a="1"/>
  <c r="AP22" i="4" s="1"/>
  <c r="AP39" i="4" a="1"/>
  <c r="AP39" i="4" s="1"/>
  <c r="AP19" i="4"/>
  <c r="AP23" i="4" a="1"/>
  <c r="AP23" i="4" s="1"/>
  <c r="AP29" i="4" a="1"/>
  <c r="AP29" i="4" s="1"/>
  <c r="AP42" i="4" a="1"/>
  <c r="AP42" i="4" s="1"/>
  <c r="AP16" i="4"/>
  <c r="AP15" i="4"/>
  <c r="AP26" i="4" a="1"/>
  <c r="AP26" i="4" s="1"/>
  <c r="AP17" i="4"/>
  <c r="AP24" i="4" a="1"/>
  <c r="AP24" i="4" s="1"/>
  <c r="AP18" i="4"/>
  <c r="AP45" i="4" a="1"/>
  <c r="AP45" i="4" s="1"/>
  <c r="BZ11" i="1" l="1"/>
  <c r="BY12" i="1"/>
  <c r="BY23" i="1"/>
  <c r="BY139" i="1" s="1"/>
  <c r="CC385" i="1"/>
  <c r="CC386" i="1" s="1"/>
  <c r="CD447" i="1"/>
  <c r="CC452" i="1"/>
  <c r="BA672" i="1"/>
  <c r="BA658" i="1"/>
  <c r="BA635" i="1"/>
  <c r="BA509" i="1"/>
  <c r="BB5" i="1"/>
  <c r="AQ51" i="4" a="1"/>
  <c r="AQ51" i="4" s="1"/>
  <c r="AQ37" i="4" a="1"/>
  <c r="AQ37" i="4" s="1"/>
  <c r="AQ39" i="4" a="1"/>
  <c r="AQ39" i="4" s="1"/>
  <c r="AQ23" i="4" a="1"/>
  <c r="AQ23" i="4" s="1"/>
  <c r="AQ19" i="4"/>
  <c r="AQ29" i="4" a="1"/>
  <c r="AQ29" i="4" s="1"/>
  <c r="AQ32" i="4" a="1"/>
  <c r="AQ32" i="4" s="1"/>
  <c r="AQ42" i="4" a="1"/>
  <c r="AQ42" i="4" s="1"/>
  <c r="AQ24" i="4" a="1"/>
  <c r="AQ24" i="4" s="1"/>
  <c r="AQ26" i="4" a="1"/>
  <c r="AQ26" i="4" s="1"/>
  <c r="AQ16" i="4"/>
  <c r="AQ15" i="4"/>
  <c r="AQ22" i="4" a="1"/>
  <c r="AQ22" i="4" s="1"/>
  <c r="AQ48" i="4" a="1"/>
  <c r="AQ48" i="4" s="1"/>
  <c r="AQ17" i="4"/>
  <c r="AQ18" i="4"/>
  <c r="AQ45" i="4" a="1"/>
  <c r="AQ45" i="4" s="1"/>
  <c r="AR4" i="4"/>
  <c r="AR5" i="4" a="1"/>
  <c r="AR5" i="4" s="1"/>
  <c r="AR39" i="4" l="1" a="1"/>
  <c r="AR39" i="4" s="1"/>
  <c r="AR42" i="4" a="1"/>
  <c r="AR42" i="4" s="1"/>
  <c r="AR24" i="4" a="1"/>
  <c r="AR24" i="4" s="1"/>
  <c r="AR32" i="4" a="1"/>
  <c r="AR32" i="4" s="1"/>
  <c r="AR23" i="4" a="1"/>
  <c r="AR23" i="4" s="1"/>
  <c r="AR45" i="4" a="1"/>
  <c r="AR45" i="4" s="1"/>
  <c r="AR18" i="4"/>
  <c r="AR16" i="4"/>
  <c r="AR48" i="4" a="1"/>
  <c r="AR48" i="4" s="1"/>
  <c r="AR51" i="4" a="1"/>
  <c r="AR51" i="4" s="1"/>
  <c r="AR29" i="4" a="1"/>
  <c r="AR29" i="4" s="1"/>
  <c r="AR26" i="4" a="1"/>
  <c r="AR26" i="4" s="1"/>
  <c r="AR22" i="4" a="1"/>
  <c r="AR22" i="4" s="1"/>
  <c r="AR15" i="4"/>
  <c r="AR37" i="4" a="1"/>
  <c r="AR37" i="4" s="1"/>
  <c r="AR19" i="4"/>
  <c r="AR17" i="4"/>
  <c r="CD452" i="1"/>
  <c r="CD450" i="1"/>
  <c r="CD385" i="1" s="1"/>
  <c r="CD386" i="1" s="1"/>
  <c r="AS5" i="4" a="1"/>
  <c r="AS5" i="4" s="1"/>
  <c r="AS4" i="4"/>
  <c r="BB672" i="1"/>
  <c r="BB658" i="1"/>
  <c r="BB635" i="1"/>
  <c r="BB509" i="1"/>
  <c r="BC5" i="1"/>
  <c r="CA11" i="1"/>
  <c r="BZ12" i="1"/>
  <c r="BZ23" i="1"/>
  <c r="BZ139" i="1" s="1"/>
  <c r="AT4" i="4" l="1"/>
  <c r="AT5" i="4" a="1"/>
  <c r="AT5" i="4" s="1"/>
  <c r="AS42" i="4" a="1"/>
  <c r="AS42" i="4" s="1"/>
  <c r="AS45" i="4" a="1"/>
  <c r="AS45" i="4" s="1"/>
  <c r="AS26" i="4" a="1"/>
  <c r="AS26" i="4" s="1"/>
  <c r="AS19" i="4"/>
  <c r="AS48" i="4" a="1"/>
  <c r="AS48" i="4" s="1"/>
  <c r="AS24" i="4" a="1"/>
  <c r="AS24" i="4" s="1"/>
  <c r="AS51" i="4" a="1"/>
  <c r="AS51" i="4" s="1"/>
  <c r="AS37" i="4" a="1"/>
  <c r="AS37" i="4" s="1"/>
  <c r="AS32" i="4" a="1"/>
  <c r="AS32" i="4" s="1"/>
  <c r="AS22" i="4" a="1"/>
  <c r="AS22" i="4" s="1"/>
  <c r="AS15" i="4"/>
  <c r="AS16" i="4"/>
  <c r="AS17" i="4"/>
  <c r="AS18" i="4"/>
  <c r="AS39" i="4" a="1"/>
  <c r="AS39" i="4" s="1"/>
  <c r="AS29" i="4" a="1"/>
  <c r="AS29" i="4" s="1"/>
  <c r="AS23" i="4" a="1"/>
  <c r="AS23" i="4" s="1"/>
  <c r="CA12" i="1"/>
  <c r="CB11" i="1"/>
  <c r="CA23" i="1"/>
  <c r="CA139" i="1" s="1"/>
  <c r="BC672" i="1"/>
  <c r="BC658" i="1"/>
  <c r="BC635" i="1"/>
  <c r="BC509" i="1"/>
  <c r="BC3" i="1"/>
  <c r="BD5" i="1"/>
  <c r="CB12" i="1" l="1"/>
  <c r="CC11" i="1"/>
  <c r="CB23" i="1"/>
  <c r="CB139" i="1" s="1"/>
  <c r="AT42" i="4" a="1"/>
  <c r="AT42" i="4" s="1"/>
  <c r="AT45" i="4" a="1"/>
  <c r="AT45" i="4" s="1"/>
  <c r="AT19" i="4"/>
  <c r="AT48" i="4" a="1"/>
  <c r="AT48" i="4" s="1"/>
  <c r="AT29" i="4" a="1"/>
  <c r="AT29" i="4" s="1"/>
  <c r="AT24" i="4" a="1"/>
  <c r="AT24" i="4" s="1"/>
  <c r="AT51" i="4" a="1"/>
  <c r="AT51" i="4" s="1"/>
  <c r="AT18" i="4"/>
  <c r="AT16" i="4"/>
  <c r="AT37" i="4" a="1"/>
  <c r="AT37" i="4" s="1"/>
  <c r="AT26" i="4" a="1"/>
  <c r="AT26" i="4" s="1"/>
  <c r="AT22" i="4" a="1"/>
  <c r="AT22" i="4" s="1"/>
  <c r="AT15" i="4"/>
  <c r="AT17" i="4"/>
  <c r="AT39" i="4" a="1"/>
  <c r="AT39" i="4" s="1"/>
  <c r="AT23" i="4" a="1"/>
  <c r="AT23" i="4" s="1"/>
  <c r="AT32" i="4" a="1"/>
  <c r="AT32" i="4" s="1"/>
  <c r="BD672" i="1"/>
  <c r="BD658" i="1"/>
  <c r="BD635" i="1"/>
  <c r="BD509" i="1"/>
  <c r="BE5" i="1"/>
  <c r="AU5" i="4" a="1"/>
  <c r="AU5" i="4" s="1"/>
  <c r="AU4" i="4"/>
  <c r="AV5" i="4" l="1" a="1"/>
  <c r="AV5" i="4" s="1"/>
  <c r="AV4" i="4"/>
  <c r="AU45" i="4" a="1"/>
  <c r="AU45" i="4" s="1"/>
  <c r="AU48" i="4" a="1"/>
  <c r="AU48" i="4" s="1"/>
  <c r="AU51" i="4" a="1"/>
  <c r="AU51" i="4" s="1"/>
  <c r="AU32" i="4" a="1"/>
  <c r="AU32" i="4" s="1"/>
  <c r="AU37" i="4" a="1"/>
  <c r="AU37" i="4" s="1"/>
  <c r="AU18" i="4"/>
  <c r="AU42" i="4" a="1"/>
  <c r="AU42" i="4" s="1"/>
  <c r="AU26" i="4" a="1"/>
  <c r="AU26" i="4" s="1"/>
  <c r="AU22" i="4" a="1"/>
  <c r="AU22" i="4" s="1"/>
  <c r="AU15" i="4"/>
  <c r="AU17" i="4"/>
  <c r="AU16" i="4"/>
  <c r="AU19" i="4"/>
  <c r="AU24" i="4" a="1"/>
  <c r="AU24" i="4" s="1"/>
  <c r="AU39" i="4" a="1"/>
  <c r="AU39" i="4" s="1"/>
  <c r="AU23" i="4" a="1"/>
  <c r="AU23" i="4" s="1"/>
  <c r="AU29" i="4" a="1"/>
  <c r="AU29" i="4" s="1"/>
  <c r="CC12" i="1"/>
  <c r="CD11" i="1"/>
  <c r="CC23" i="1"/>
  <c r="CC139" i="1" s="1"/>
  <c r="BE672" i="1"/>
  <c r="BE658" i="1"/>
  <c r="BE635" i="1"/>
  <c r="BE509" i="1"/>
  <c r="BF5" i="1"/>
  <c r="CD12" i="1" l="1"/>
  <c r="CD23" i="1"/>
  <c r="CD139" i="1" s="1"/>
  <c r="BF672" i="1"/>
  <c r="BF658" i="1"/>
  <c r="BF635" i="1"/>
  <c r="BF509" i="1"/>
  <c r="BG5" i="1"/>
  <c r="AW5" i="4" a="1"/>
  <c r="AW5" i="4" s="1"/>
  <c r="AW4" i="4"/>
  <c r="AV48" i="4" a="1"/>
  <c r="AV48" i="4" s="1"/>
  <c r="AV51" i="4" a="1"/>
  <c r="AV51" i="4" s="1"/>
  <c r="AV32" i="4" a="1"/>
  <c r="AV32" i="4" s="1"/>
  <c r="AV37" i="4" a="1"/>
  <c r="AV37" i="4" s="1"/>
  <c r="AV22" i="4" a="1"/>
  <c r="AV22" i="4" s="1"/>
  <c r="AV45" i="4" a="1"/>
  <c r="AV45" i="4" s="1"/>
  <c r="AV26" i="4" a="1"/>
  <c r="AV26" i="4" s="1"/>
  <c r="AV39" i="4" a="1"/>
  <c r="AV39" i="4" s="1"/>
  <c r="AV23" i="4" a="1"/>
  <c r="AV23" i="4" s="1"/>
  <c r="AV42" i="4" a="1"/>
  <c r="AV42" i="4" s="1"/>
  <c r="AV17" i="4"/>
  <c r="AV16" i="4"/>
  <c r="AV24" i="4" a="1"/>
  <c r="AV24" i="4" s="1"/>
  <c r="AV19" i="4"/>
  <c r="AV18" i="4"/>
  <c r="AV29" i="4" a="1"/>
  <c r="AV29" i="4" s="1"/>
  <c r="AV15" i="4"/>
  <c r="AX5" i="4" l="1" a="1"/>
  <c r="AX5" i="4" s="1"/>
  <c r="AX4" i="4"/>
  <c r="AW51" i="4" a="1"/>
  <c r="AW51" i="4" s="1"/>
  <c r="AW37" i="4" a="1"/>
  <c r="AW37" i="4" s="1"/>
  <c r="AW39" i="4" a="1"/>
  <c r="AW39" i="4" s="1"/>
  <c r="AW23" i="4" a="1"/>
  <c r="AW23" i="4" s="1"/>
  <c r="AW22" i="4" a="1"/>
  <c r="AW22" i="4" s="1"/>
  <c r="AW29" i="4" a="1"/>
  <c r="AW29" i="4" s="1"/>
  <c r="AW17" i="4"/>
  <c r="AW16" i="4"/>
  <c r="AW24" i="4" a="1"/>
  <c r="AW24" i="4" s="1"/>
  <c r="AW19" i="4"/>
  <c r="AW48" i="4" a="1"/>
  <c r="AW48" i="4" s="1"/>
  <c r="AW18" i="4"/>
  <c r="AW45" i="4" a="1"/>
  <c r="AW45" i="4" s="1"/>
  <c r="AW32" i="4" a="1"/>
  <c r="AW32" i="4" s="1"/>
  <c r="AW42" i="4" a="1"/>
  <c r="AW42" i="4" s="1"/>
  <c r="AW15" i="4"/>
  <c r="AW26" i="4" a="1"/>
  <c r="AW26" i="4" s="1"/>
  <c r="BG658" i="1"/>
  <c r="BG672" i="1"/>
  <c r="BG635" i="1"/>
  <c r="BG509" i="1"/>
  <c r="BG3" i="1"/>
  <c r="BH5" i="1"/>
  <c r="BH672" i="1" l="1"/>
  <c r="BH658" i="1"/>
  <c r="BH635" i="1"/>
  <c r="BH509" i="1"/>
  <c r="BI5" i="1"/>
  <c r="AX17" i="4"/>
  <c r="AX15" i="4"/>
  <c r="AX19" i="4"/>
  <c r="AX18" i="4"/>
  <c r="AX16" i="4"/>
  <c r="BI672" i="1" l="1"/>
  <c r="BI658" i="1"/>
  <c r="BI635" i="1"/>
  <c r="BI509" i="1"/>
  <c r="BJ5" i="1"/>
  <c r="BJ672" i="1" l="1"/>
  <c r="BJ635" i="1"/>
  <c r="BJ658" i="1"/>
  <c r="BJ509" i="1"/>
  <c r="BK5" i="1"/>
  <c r="BK672" i="1" l="1"/>
  <c r="BK658" i="1"/>
  <c r="BK635" i="1"/>
  <c r="BK509" i="1"/>
  <c r="BL5" i="1"/>
  <c r="BK3" i="1"/>
  <c r="BL672" i="1" l="1"/>
  <c r="BL658" i="1"/>
  <c r="BL635" i="1"/>
  <c r="BL509" i="1"/>
  <c r="BM5" i="1"/>
  <c r="BM672" i="1" l="1"/>
  <c r="BM658" i="1"/>
  <c r="BM635" i="1"/>
  <c r="BM509" i="1"/>
  <c r="BN5" i="1"/>
  <c r="BN672" i="1" l="1"/>
  <c r="BN658" i="1"/>
  <c r="BN635" i="1"/>
  <c r="BN509" i="1"/>
  <c r="BO5" i="1"/>
  <c r="BO658" i="1" l="1"/>
  <c r="BO672" i="1"/>
  <c r="BO635" i="1"/>
  <c r="BO509" i="1"/>
  <c r="BO3" i="1"/>
  <c r="BP5" i="1"/>
  <c r="BP672" i="1" l="1"/>
  <c r="BP658" i="1"/>
  <c r="BP635" i="1"/>
  <c r="BP509" i="1"/>
  <c r="BQ5" i="1"/>
  <c r="BQ672" i="1" l="1"/>
  <c r="BQ658" i="1"/>
  <c r="BQ635" i="1"/>
  <c r="BQ509" i="1"/>
  <c r="BR5" i="1"/>
  <c r="BR672" i="1" l="1"/>
  <c r="BR658" i="1"/>
  <c r="BR635" i="1"/>
  <c r="BR509" i="1"/>
  <c r="BS5" i="1"/>
  <c r="BS672" i="1" l="1"/>
  <c r="BS658" i="1"/>
  <c r="BS635" i="1"/>
  <c r="BS509" i="1"/>
  <c r="BS3" i="1"/>
  <c r="BT5" i="1"/>
  <c r="BT672" i="1" l="1"/>
  <c r="BT658" i="1"/>
  <c r="BT635" i="1"/>
  <c r="BT509" i="1"/>
  <c r="BU5" i="1"/>
  <c r="BU672" i="1" l="1"/>
  <c r="BU635" i="1"/>
  <c r="BU658" i="1"/>
  <c r="BU509" i="1"/>
  <c r="BV5" i="1"/>
  <c r="BV672" i="1" l="1"/>
  <c r="BV658" i="1"/>
  <c r="BV635" i="1"/>
  <c r="BV509" i="1"/>
  <c r="BW5" i="1"/>
  <c r="BW672" i="1" l="1"/>
  <c r="BW658" i="1"/>
  <c r="BW635" i="1"/>
  <c r="BW509" i="1"/>
  <c r="BW3" i="1"/>
  <c r="BX5" i="1"/>
  <c r="BX672" i="1" l="1"/>
  <c r="BX635" i="1"/>
  <c r="BX658" i="1"/>
  <c r="BX509" i="1"/>
  <c r="BY5" i="1"/>
  <c r="BY672" i="1" l="1"/>
  <c r="BY658" i="1"/>
  <c r="BY635" i="1"/>
  <c r="BY509" i="1"/>
  <c r="BZ5" i="1"/>
  <c r="BZ672" i="1" l="1"/>
  <c r="BZ658" i="1"/>
  <c r="BZ635" i="1"/>
  <c r="BZ509" i="1"/>
  <c r="CA5" i="1"/>
  <c r="CA672" i="1" l="1"/>
  <c r="CA658" i="1"/>
  <c r="CA635" i="1"/>
  <c r="CA509" i="1"/>
  <c r="CB5" i="1"/>
  <c r="CA3" i="1"/>
  <c r="CB658" i="1" l="1"/>
  <c r="CB672" i="1"/>
  <c r="CB635" i="1"/>
  <c r="CB509" i="1"/>
  <c r="CC5" i="1"/>
  <c r="CC672" i="1" l="1"/>
  <c r="CC658" i="1"/>
  <c r="CC635" i="1"/>
  <c r="CC509" i="1"/>
  <c r="CD5" i="1"/>
  <c r="CD672" i="1" l="1"/>
  <c r="CD658" i="1"/>
  <c r="CD635" i="1"/>
  <c r="CD509" i="1"/>
  <c r="CG399" i="1"/>
  <c r="CH400" i="1"/>
  <c r="CG410" i="1"/>
  <c r="CH411" i="1"/>
  <c r="CH399" i="1"/>
  <c r="CH401" i="1"/>
  <c r="CG411" i="1"/>
  <c r="CH408" i="1"/>
  <c r="CH390" i="1"/>
  <c r="CG400" i="1"/>
  <c r="CH405" i="1"/>
  <c r="CH406" i="1"/>
  <c r="CG396" i="1"/>
  <c r="CG385" i="1"/>
  <c r="CH391" i="1"/>
  <c r="CG403" i="1"/>
  <c r="CG393" i="1"/>
  <c r="CG409" i="1"/>
  <c r="CG391" i="1"/>
  <c r="CH396" i="1"/>
  <c r="CG404" i="1"/>
  <c r="CH409" i="1"/>
  <c r="CH398" i="1"/>
  <c r="CG397" i="1"/>
  <c r="CG406" i="1"/>
  <c r="CG390" i="1"/>
  <c r="CH385" i="1"/>
  <c r="CG394" i="1"/>
  <c r="CI504" i="1"/>
  <c r="CG405" i="1"/>
  <c r="CI456" i="1"/>
  <c r="CG414" i="1"/>
  <c r="CI375" i="1"/>
  <c r="CJ391" i="1"/>
  <c r="CH414" i="1"/>
  <c r="CG395" i="1"/>
  <c r="CH410" i="1"/>
  <c r="CI377" i="1"/>
  <c r="CI477" i="1"/>
  <c r="CI408" i="1"/>
  <c r="CI474" i="1"/>
  <c r="CI410" i="1"/>
  <c r="CI445" i="1"/>
  <c r="CI493" i="1"/>
  <c r="CH404" i="1"/>
  <c r="CJ377" i="1"/>
  <c r="CI414" i="1"/>
  <c r="CI489" i="1"/>
  <c r="CI442" i="1"/>
  <c r="CI495" i="1"/>
  <c r="CG398" i="1"/>
  <c r="CI450" i="1"/>
  <c r="CJ447" i="1" s="1"/>
  <c r="CH394" i="1"/>
  <c r="CI389" i="1"/>
  <c r="CI491" i="1"/>
  <c r="CH397" i="1"/>
  <c r="CG401" i="1"/>
  <c r="CI499" i="1"/>
  <c r="CG389" i="1"/>
  <c r="CH393" i="1"/>
  <c r="CI478" i="1"/>
  <c r="CH395" i="1"/>
  <c r="CG408" i="1"/>
  <c r="CH389" i="1"/>
  <c r="CI397" i="1"/>
  <c r="CI405" i="1"/>
  <c r="CI372" i="1"/>
  <c r="CI459" i="1"/>
  <c r="CI460" i="1" s="1"/>
  <c r="CI395" i="1"/>
  <c r="CI505" i="1"/>
  <c r="CI391" i="1"/>
  <c r="CI444" i="1"/>
  <c r="CI492" i="1"/>
  <c r="CH403" i="1"/>
  <c r="CI476" i="1"/>
  <c r="CI488" i="1"/>
  <c r="CI401" i="1"/>
  <c r="CI426" i="1" s="1"/>
  <c r="CI485" i="1"/>
  <c r="CI370" i="1"/>
  <c r="CI385" i="1"/>
  <c r="CI396" i="1"/>
  <c r="CI400" i="1"/>
  <c r="CI403" i="1"/>
  <c r="CI418" i="1" s="1"/>
  <c r="CI394" i="1"/>
  <c r="CI497" i="1"/>
  <c r="CI498" i="1"/>
  <c r="CI244" i="1"/>
  <c r="CI245" i="1" s="1"/>
  <c r="CI481" i="1"/>
  <c r="CI398" i="1"/>
  <c r="CL475" i="1"/>
  <c r="CI502" i="1"/>
  <c r="CI369" i="1"/>
  <c r="CI237" i="1"/>
  <c r="CI490" i="1"/>
  <c r="CI482" i="1"/>
  <c r="CJ476" i="1"/>
  <c r="CI496" i="1"/>
  <c r="CI501" i="1"/>
  <c r="CI480" i="1"/>
  <c r="CI390" i="1"/>
  <c r="CI419" i="1" s="1"/>
  <c r="CI393" i="1"/>
  <c r="CJ482" i="1"/>
  <c r="CL502" i="1"/>
  <c r="CJ442" i="1"/>
  <c r="CJ477" i="1"/>
  <c r="CJ484" i="1"/>
  <c r="CI229" i="1"/>
  <c r="CI230" i="1" s="1"/>
  <c r="CJ403" i="1"/>
  <c r="CJ444" i="1"/>
  <c r="CJ394" i="1"/>
  <c r="CJ489" i="1"/>
  <c r="CJ370" i="1"/>
  <c r="CI404" i="1"/>
  <c r="CJ475" i="1"/>
  <c r="CI362" i="1"/>
  <c r="CJ488" i="1"/>
  <c r="CJ491" i="1"/>
  <c r="CJ455" i="1"/>
  <c r="CJ409" i="1"/>
  <c r="CJ499" i="1"/>
  <c r="CJ290" i="1"/>
  <c r="CJ237" i="1"/>
  <c r="CJ400" i="1"/>
  <c r="CJ480" i="1"/>
  <c r="CJ399" i="1"/>
  <c r="CI486" i="1"/>
  <c r="CJ490" i="1"/>
  <c r="CI406" i="1"/>
  <c r="CJ445" i="1"/>
  <c r="CI409" i="1"/>
  <c r="CI457" i="1"/>
  <c r="CJ495" i="1"/>
  <c r="CI455" i="1"/>
  <c r="CI359" i="1"/>
  <c r="CI360" i="1" s="1"/>
  <c r="CJ372" i="1"/>
  <c r="CJ373" i="1" s="1"/>
  <c r="CI411" i="1"/>
  <c r="CJ496" i="1"/>
  <c r="CJ229" i="1"/>
  <c r="CJ230" i="1" s="1"/>
  <c r="CJ505" i="1"/>
  <c r="CI503" i="1"/>
  <c r="CI399" i="1"/>
  <c r="CJ389" i="1"/>
  <c r="CI483" i="1"/>
  <c r="CJ474" i="1"/>
  <c r="CJ457" i="1"/>
  <c r="CI448" i="1"/>
  <c r="CI475" i="1"/>
  <c r="CJ244" i="1"/>
  <c r="CJ245" i="1" s="1"/>
  <c r="CI484" i="1"/>
  <c r="CJ501" i="1"/>
  <c r="CJ385" i="1"/>
  <c r="CJ414" i="1"/>
  <c r="CJ411" i="1"/>
  <c r="CI449" i="1"/>
  <c r="CJ492" i="1"/>
  <c r="CJ497" i="1"/>
  <c r="CJ408" i="1"/>
  <c r="CJ311" i="1"/>
  <c r="CJ401" i="1"/>
  <c r="CJ426" i="1" s="1"/>
  <c r="CJ369" i="1"/>
  <c r="CJ362" i="1"/>
  <c r="CJ395" i="1"/>
  <c r="CJ375" i="1"/>
  <c r="CJ486" i="1"/>
  <c r="CK480" i="1"/>
  <c r="CJ393" i="1"/>
  <c r="CJ329" i="1"/>
  <c r="CJ485" i="1"/>
  <c r="CJ252" i="1"/>
  <c r="CJ481" i="1"/>
  <c r="CJ483" i="1"/>
  <c r="CJ397" i="1"/>
  <c r="CJ405" i="1"/>
  <c r="CK399" i="1"/>
  <c r="CJ404" i="1"/>
  <c r="CJ317" i="1"/>
  <c r="CJ342" i="1"/>
  <c r="CJ504" i="1"/>
  <c r="CJ498" i="1"/>
  <c r="CJ359" i="1"/>
  <c r="CK401" i="1"/>
  <c r="CJ276" i="1"/>
  <c r="CK406" i="1"/>
  <c r="CJ256" i="1"/>
  <c r="CJ257" i="1" s="1"/>
  <c r="CJ493" i="1"/>
  <c r="CJ456" i="1"/>
  <c r="CK469" i="1" s="1"/>
  <c r="CK471" i="1" s="1"/>
  <c r="CJ449" i="1"/>
  <c r="CJ398" i="1"/>
  <c r="CJ406" i="1"/>
  <c r="CJ410" i="1"/>
  <c r="CK259" i="1"/>
  <c r="CK411" i="1"/>
  <c r="CK409" i="1"/>
  <c r="CK448" i="1"/>
  <c r="CL410" i="1"/>
  <c r="CL411" i="1"/>
  <c r="CK405" i="1"/>
  <c r="CK459" i="1"/>
  <c r="CK460" i="1" s="1"/>
  <c r="CK403" i="1"/>
  <c r="CK418" i="1" s="1"/>
  <c r="CK449" i="1"/>
  <c r="CK375" i="1"/>
  <c r="CK496" i="1"/>
  <c r="CJ450" i="1"/>
  <c r="CK447" i="1" s="1"/>
  <c r="CK497" i="1"/>
  <c r="CK385" i="1"/>
  <c r="CJ259" i="1"/>
  <c r="CK485" i="1"/>
  <c r="CK342" i="1"/>
  <c r="CJ448" i="1"/>
  <c r="CJ396" i="1"/>
  <c r="CK362" i="1"/>
  <c r="CK256" i="1"/>
  <c r="CK257" i="1" s="1"/>
  <c r="CL490" i="1"/>
  <c r="CK372" i="1"/>
  <c r="CL377" i="1"/>
  <c r="CL378" i="1" s="1"/>
  <c r="CK478" i="1"/>
  <c r="CL409" i="1"/>
  <c r="CL393" i="1"/>
  <c r="CJ503" i="1"/>
  <c r="CL389" i="1"/>
  <c r="CK456" i="1"/>
  <c r="CJ323" i="1"/>
  <c r="CK369" i="1"/>
  <c r="CK484" i="1"/>
  <c r="CK400" i="1"/>
  <c r="CK489" i="1"/>
  <c r="CK495" i="1"/>
  <c r="CK477" i="1"/>
  <c r="CK398" i="1"/>
  <c r="CK311" i="1"/>
  <c r="CK396" i="1"/>
  <c r="CL256" i="1"/>
  <c r="CK237" i="1"/>
  <c r="CK390" i="1"/>
  <c r="CK419" i="1" s="1"/>
  <c r="CK455" i="1"/>
  <c r="CK444" i="1"/>
  <c r="CK492" i="1"/>
  <c r="CK276" i="1"/>
  <c r="CK475" i="1"/>
  <c r="CK404" i="1"/>
  <c r="CJ390" i="1"/>
  <c r="CJ419" i="1" s="1"/>
  <c r="CJ459" i="1"/>
  <c r="CJ460" i="1" s="1"/>
  <c r="CK377" i="1"/>
  <c r="CK378" i="1" s="1"/>
  <c r="CK503" i="1"/>
  <c r="CK329" i="1"/>
  <c r="CK414" i="1"/>
  <c r="CK474" i="1"/>
  <c r="CK476" i="1"/>
  <c r="CK391" i="1"/>
  <c r="CL390" i="1"/>
  <c r="CK394" i="1"/>
  <c r="CK395" i="1"/>
  <c r="CK498" i="1"/>
  <c r="CL252" i="1"/>
  <c r="CK481" i="1"/>
  <c r="CK445" i="1"/>
  <c r="CK290" i="1"/>
  <c r="CK323" i="1"/>
  <c r="CK370" i="1"/>
  <c r="CL259" i="1"/>
  <c r="CL362" i="1"/>
  <c r="CL497" i="1"/>
  <c r="CK252" i="1"/>
  <c r="CL401" i="1"/>
  <c r="CK389" i="1"/>
  <c r="CK490" i="1"/>
  <c r="CK229" i="1"/>
  <c r="CK230" i="1" s="1"/>
  <c r="CK244" i="1"/>
  <c r="CK245" i="1" s="1"/>
  <c r="CK491" i="1"/>
  <c r="CK317" i="1"/>
  <c r="CJ478" i="1"/>
  <c r="CK408" i="1"/>
  <c r="CK393" i="1"/>
  <c r="CK483" i="1"/>
  <c r="CK499" i="1"/>
  <c r="CJ502" i="1"/>
  <c r="CK486" i="1"/>
  <c r="CK482" i="1"/>
  <c r="CK504" i="1"/>
  <c r="CL449" i="1"/>
  <c r="CO395" i="1"/>
  <c r="CL290" i="1"/>
  <c r="CL370" i="1"/>
  <c r="CL342" i="1"/>
  <c r="CL483" i="1"/>
  <c r="CL489" i="1"/>
  <c r="CL496" i="1"/>
  <c r="CM406" i="1"/>
  <c r="CM404" i="1"/>
  <c r="CL405" i="1"/>
  <c r="CL478" i="1"/>
  <c r="CL369" i="1"/>
  <c r="CL474" i="1"/>
  <c r="CM395" i="1"/>
  <c r="CL359" i="1"/>
  <c r="CL276" i="1"/>
  <c r="CL491" i="1"/>
  <c r="CL311" i="1"/>
  <c r="CL400" i="1"/>
  <c r="CK359" i="1"/>
  <c r="CK360" i="1" s="1"/>
  <c r="CK488" i="1"/>
  <c r="CM482" i="1"/>
  <c r="CL450" i="1"/>
  <c r="CM447" i="1" s="1"/>
  <c r="CL492" i="1"/>
  <c r="CL375" i="1"/>
  <c r="CL493" i="1"/>
  <c r="CL484" i="1"/>
  <c r="CL499" i="1"/>
  <c r="CL398" i="1"/>
  <c r="CL229" i="1"/>
  <c r="CL230" i="1" s="1"/>
  <c r="CM12" i="1"/>
  <c r="CL394" i="1"/>
  <c r="CM237" i="1"/>
  <c r="CP444" i="1"/>
  <c r="CL329" i="1"/>
  <c r="CK442" i="1"/>
  <c r="CM405" i="1"/>
  <c r="CM480" i="1"/>
  <c r="CO492" i="1"/>
  <c r="CL481" i="1"/>
  <c r="CL399" i="1"/>
  <c r="CL448" i="1"/>
  <c r="CK501" i="1"/>
  <c r="CL482" i="1"/>
  <c r="CL485" i="1"/>
  <c r="CK450" i="1"/>
  <c r="CL447" i="1" s="1"/>
  <c r="CL372" i="1"/>
  <c r="CM362" i="1"/>
  <c r="CM408" i="1"/>
  <c r="CL457" i="1"/>
  <c r="CL463" i="1" s="1"/>
  <c r="CL317" i="1"/>
  <c r="CK457" i="1"/>
  <c r="CK463" i="1" s="1"/>
  <c r="CL480" i="1"/>
  <c r="CK502" i="1"/>
  <c r="CL501" i="1"/>
  <c r="CL445" i="1"/>
  <c r="CL396" i="1"/>
  <c r="CK505" i="1"/>
  <c r="CM444" i="1"/>
  <c r="CL442" i="1"/>
  <c r="CO457" i="1"/>
  <c r="CK493" i="1"/>
  <c r="CL505" i="1"/>
  <c r="CL404" i="1"/>
  <c r="CL237" i="1"/>
  <c r="CL323" i="1"/>
  <c r="CL406" i="1"/>
  <c r="CL244" i="1"/>
  <c r="CL245" i="1" s="1"/>
  <c r="CM396" i="1"/>
  <c r="CL503" i="1"/>
  <c r="CL385" i="1"/>
  <c r="CL386" i="1" s="1"/>
  <c r="CL495" i="1"/>
  <c r="CL486" i="1"/>
  <c r="CL504" i="1"/>
  <c r="CL498" i="1"/>
  <c r="CL391" i="1"/>
  <c r="CL455" i="1"/>
  <c r="CM497" i="1"/>
  <c r="CL477" i="1"/>
  <c r="CK410" i="1"/>
  <c r="CL488" i="1"/>
  <c r="CL414" i="1"/>
  <c r="CL476" i="1"/>
  <c r="CL459" i="1"/>
  <c r="CL460" i="1" s="1"/>
  <c r="CL395" i="1"/>
  <c r="CK397" i="1"/>
  <c r="CL403" i="1"/>
  <c r="CL397" i="1"/>
  <c r="CL456" i="1"/>
  <c r="CL408" i="1"/>
  <c r="CM485" i="1"/>
  <c r="CN488" i="1"/>
  <c r="CN126" i="1"/>
  <c r="CN127" i="1" s="1"/>
  <c r="CO455" i="1"/>
  <c r="CM476" i="1"/>
  <c r="CN396" i="1"/>
  <c r="CO502" i="1"/>
  <c r="CN78" i="1"/>
  <c r="CN394" i="1"/>
  <c r="CN493" i="1"/>
  <c r="CN342" i="1"/>
  <c r="CN385" i="1"/>
  <c r="CN67" i="1"/>
  <c r="CM488" i="1"/>
  <c r="CN74" i="1"/>
  <c r="CN375" i="1"/>
  <c r="CP165" i="1"/>
  <c r="CN390" i="1"/>
  <c r="CN495" i="1"/>
  <c r="CN370" i="1"/>
  <c r="CN393" i="1"/>
  <c r="CN275" i="1"/>
  <c r="CN391" i="1"/>
  <c r="CN54" i="1"/>
  <c r="CM498" i="1"/>
  <c r="CO489" i="1"/>
  <c r="CO475" i="1"/>
  <c r="CL444" i="1"/>
  <c r="CN20" i="1"/>
  <c r="CN21" i="1" s="1"/>
  <c r="CN11" i="1"/>
  <c r="CN12" i="1" s="1"/>
  <c r="CN146" i="1"/>
  <c r="CN147" i="1" s="1"/>
  <c r="CN501" i="1"/>
  <c r="CM290" i="1"/>
  <c r="CN323" i="1"/>
  <c r="CN475" i="1"/>
  <c r="CN410" i="1"/>
  <c r="CN483" i="1"/>
  <c r="CN93" i="1"/>
  <c r="CO474" i="1"/>
  <c r="CN57" i="1"/>
  <c r="CN290" i="1"/>
  <c r="CN406" i="1"/>
  <c r="CN448" i="1"/>
  <c r="CN478" i="1"/>
  <c r="CM409" i="1"/>
  <c r="CM481" i="1"/>
  <c r="CN456" i="1"/>
  <c r="CO97" i="1"/>
  <c r="CN442" i="1"/>
  <c r="CM449" i="1"/>
  <c r="CN486" i="1"/>
  <c r="CN317" i="1"/>
  <c r="CP449" i="1"/>
  <c r="CN455" i="1"/>
  <c r="CM400" i="1"/>
  <c r="CM323" i="1"/>
  <c r="CN162" i="1"/>
  <c r="CN229" i="1"/>
  <c r="CP499" i="1"/>
  <c r="CO390" i="1"/>
  <c r="CM456" i="1"/>
  <c r="CN469" i="1" s="1"/>
  <c r="CN471" i="1" s="1"/>
  <c r="CN87" i="1"/>
  <c r="CP505" i="1"/>
  <c r="CM455" i="1"/>
  <c r="CM504" i="1"/>
  <c r="CN17" i="1"/>
  <c r="CM399" i="1"/>
  <c r="CM459" i="1"/>
  <c r="CM460" i="1" s="1"/>
  <c r="CM493" i="1"/>
  <c r="CM505" i="1"/>
  <c r="CM244" i="1"/>
  <c r="CM245" i="1" s="1"/>
  <c r="CM477" i="1"/>
  <c r="CP480" i="1"/>
  <c r="CN405" i="1"/>
  <c r="CM126" i="1"/>
  <c r="CN399" i="1"/>
  <c r="CM491" i="1"/>
  <c r="CM75" i="1"/>
  <c r="CN259" i="1"/>
  <c r="CO484" i="1"/>
  <c r="CM17" i="1"/>
  <c r="CM24" i="1" s="1"/>
  <c r="CM411" i="1"/>
  <c r="CN445" i="1"/>
  <c r="CM74" i="1"/>
  <c r="CM391" i="1"/>
  <c r="CN489" i="1"/>
  <c r="CM129" i="1"/>
  <c r="CO459" i="1"/>
  <c r="CO460" i="1" s="1"/>
  <c r="CM457" i="1"/>
  <c r="CN404" i="1"/>
  <c r="CP489" i="1"/>
  <c r="CM165" i="1"/>
  <c r="CM489" i="1"/>
  <c r="CP372" i="1"/>
  <c r="CN76" i="1"/>
  <c r="CM342" i="1"/>
  <c r="CM385" i="1"/>
  <c r="CM386" i="1" s="1"/>
  <c r="CM484" i="1"/>
  <c r="CM275" i="1"/>
  <c r="CN484" i="1"/>
  <c r="CM97" i="1"/>
  <c r="CO149" i="1"/>
  <c r="CN116" i="1"/>
  <c r="CM123" i="1"/>
  <c r="CN372" i="1"/>
  <c r="CN505" i="1"/>
  <c r="CM483" i="1"/>
  <c r="CM475" i="1"/>
  <c r="CM495" i="1"/>
  <c r="CO414" i="1"/>
  <c r="CO411" i="1"/>
  <c r="CN504" i="1"/>
  <c r="CN398" i="1"/>
  <c r="CP396" i="1"/>
  <c r="CM78" i="1"/>
  <c r="CM77" i="1"/>
  <c r="CM369" i="1"/>
  <c r="CM393" i="1"/>
  <c r="CO444" i="1"/>
  <c r="CN401" i="1"/>
  <c r="CN426" i="1" s="1"/>
  <c r="CM329" i="1"/>
  <c r="CM256" i="1"/>
  <c r="CM257" i="1" s="1"/>
  <c r="CM445" i="1"/>
  <c r="CN459" i="1"/>
  <c r="CN460" i="1" s="1"/>
  <c r="CM377" i="1"/>
  <c r="CM378" i="1" s="1"/>
  <c r="CM174" i="1"/>
  <c r="CN75" i="1"/>
  <c r="CM502" i="1"/>
  <c r="CP496" i="1"/>
  <c r="CM276" i="1"/>
  <c r="CM410" i="1"/>
  <c r="CP502" i="1"/>
  <c r="CN457" i="1"/>
  <c r="CN463" i="1" s="1"/>
  <c r="CP389" i="1"/>
  <c r="CM372" i="1"/>
  <c r="CM162" i="1"/>
  <c r="CN502" i="1"/>
  <c r="CP87" i="1"/>
  <c r="CN165" i="1"/>
  <c r="CN166" i="1" s="1"/>
  <c r="CM397" i="1"/>
  <c r="CM259" i="1"/>
  <c r="CM390" i="1"/>
  <c r="CM419" i="1" s="1"/>
  <c r="CM478" i="1"/>
  <c r="CM8" i="1"/>
  <c r="CM23" i="1" s="1"/>
  <c r="CP393" i="1"/>
  <c r="CM394" i="1"/>
  <c r="CP457" i="1"/>
  <c r="CN492" i="1"/>
  <c r="CM229" i="1"/>
  <c r="CM230" i="1" s="1"/>
  <c r="CN129" i="1"/>
  <c r="CN130" i="1" s="1"/>
  <c r="CP72" i="1"/>
  <c r="CP359" i="1"/>
  <c r="CP78" i="1"/>
  <c r="CM442" i="1"/>
  <c r="CM93" i="1"/>
  <c r="CM94" i="1" s="1"/>
  <c r="CN252" i="1"/>
  <c r="CN499" i="1"/>
  <c r="CM403" i="1"/>
  <c r="CN84" i="1"/>
  <c r="CM448" i="1"/>
  <c r="CO393" i="1"/>
  <c r="CM311" i="1"/>
  <c r="CM116" i="1"/>
  <c r="CM117" i="1" s="1"/>
  <c r="CN244" i="1"/>
  <c r="CN245" i="1" s="1"/>
  <c r="CN149" i="1"/>
  <c r="CM370" i="1"/>
  <c r="CM168" i="1"/>
  <c r="CM486" i="1"/>
  <c r="CM474" i="1"/>
  <c r="CM499" i="1"/>
  <c r="CN482" i="1"/>
  <c r="CM414" i="1"/>
  <c r="CM375" i="1"/>
  <c r="CM18" i="1"/>
  <c r="CM389" i="1"/>
  <c r="CN143" i="1"/>
  <c r="CN144" i="1" s="1"/>
  <c r="CM401" i="1"/>
  <c r="CM426" i="1" s="1"/>
  <c r="CN369" i="1"/>
  <c r="CP501" i="1"/>
  <c r="CN8" i="1"/>
  <c r="CN491" i="1"/>
  <c r="CN498" i="1"/>
  <c r="CP493" i="1"/>
  <c r="CM73" i="1"/>
  <c r="CN477" i="1"/>
  <c r="CN237" i="1"/>
  <c r="CP445" i="1"/>
  <c r="CO486" i="1"/>
  <c r="CM72" i="1"/>
  <c r="CM496" i="1"/>
  <c r="CO448" i="1"/>
  <c r="CN480" i="1"/>
  <c r="CN403" i="1"/>
  <c r="CO57" i="1"/>
  <c r="CO58" i="1" s="1"/>
  <c r="CM503" i="1"/>
  <c r="CO8" i="1"/>
  <c r="CM359" i="1"/>
  <c r="CM360" i="1" s="1"/>
  <c r="CO491" i="1"/>
  <c r="CM490" i="1"/>
  <c r="CO372" i="1"/>
  <c r="CN395" i="1"/>
  <c r="CM501" i="1"/>
  <c r="CR448" i="1"/>
  <c r="CN77" i="1"/>
  <c r="CM317" i="1"/>
  <c r="CM252" i="1"/>
  <c r="CM492" i="1"/>
  <c r="CN174" i="1"/>
  <c r="CM76" i="1"/>
  <c r="CM277" i="1"/>
  <c r="CO75" i="1"/>
  <c r="CM398" i="1"/>
  <c r="CO482" i="1"/>
  <c r="CM450" i="1"/>
  <c r="CN447" i="1" s="1"/>
  <c r="CN408" i="1"/>
  <c r="CO311" i="1"/>
  <c r="CM57" i="1"/>
  <c r="CN123" i="1"/>
  <c r="CN400" i="1"/>
  <c r="CN449" i="1"/>
  <c r="CP475" i="1"/>
  <c r="CN474" i="1"/>
  <c r="CP229" i="1"/>
  <c r="CR323" i="1"/>
  <c r="CN409" i="1"/>
  <c r="CP405" i="1"/>
  <c r="CP391" i="1"/>
  <c r="CO375" i="1"/>
  <c r="CR375" i="1"/>
  <c r="CN311" i="1"/>
  <c r="CP329" i="1"/>
  <c r="CN389" i="1"/>
  <c r="CP369" i="1"/>
  <c r="CO397" i="1"/>
  <c r="CN65" i="1"/>
  <c r="CR259" i="1"/>
  <c r="CN97" i="1"/>
  <c r="CN485" i="1"/>
  <c r="CN276" i="1"/>
  <c r="CN286" i="1" s="1"/>
  <c r="CN414" i="1"/>
  <c r="CN450" i="1"/>
  <c r="CO447" i="1" s="1"/>
  <c r="CN476" i="1"/>
  <c r="CO478" i="1"/>
  <c r="CN496" i="1"/>
  <c r="CP400" i="1"/>
  <c r="CP75" i="1"/>
  <c r="CN397" i="1"/>
  <c r="CP20" i="1"/>
  <c r="CN490" i="1"/>
  <c r="CP503" i="1"/>
  <c r="CN72" i="1"/>
  <c r="CN256" i="1"/>
  <c r="CN257" i="1" s="1"/>
  <c r="CP495" i="1"/>
  <c r="CN481" i="1"/>
  <c r="CN73" i="1"/>
  <c r="CR398" i="1"/>
  <c r="CN277" i="1"/>
  <c r="CP410" i="1"/>
  <c r="CO401" i="1"/>
  <c r="CN362" i="1"/>
  <c r="CO394" i="1"/>
  <c r="CN377" i="1"/>
  <c r="CO498" i="1"/>
  <c r="CN497" i="1"/>
  <c r="CO400" i="1"/>
  <c r="CN329" i="1"/>
  <c r="CN168" i="1"/>
  <c r="CN169" i="1" s="1"/>
  <c r="CN156" i="1"/>
  <c r="CP481" i="1"/>
  <c r="CN503" i="1"/>
  <c r="CP491" i="1"/>
  <c r="CP504" i="1"/>
  <c r="CN136" i="1"/>
  <c r="CN444" i="1"/>
  <c r="CN411" i="1"/>
  <c r="CN359" i="1"/>
  <c r="CO17" i="1"/>
  <c r="CO490" i="1"/>
  <c r="CP11" i="1"/>
  <c r="CP149" i="1"/>
  <c r="CR276" i="1"/>
  <c r="CR286" i="1" s="1"/>
  <c r="CP404" i="1"/>
  <c r="CO398" i="1"/>
  <c r="CO317" i="1"/>
  <c r="CO129" i="1"/>
  <c r="CP168" i="1"/>
  <c r="CO449" i="1"/>
  <c r="CO342" i="1"/>
  <c r="CP174" i="1"/>
  <c r="CP474" i="1"/>
  <c r="CO485" i="1"/>
  <c r="CP397" i="1"/>
  <c r="CP408" i="1"/>
  <c r="CO229" i="1"/>
  <c r="CO230" i="1" s="1"/>
  <c r="CP57" i="1"/>
  <c r="CP58" i="1" s="1"/>
  <c r="CO76" i="1"/>
  <c r="CO501" i="1"/>
  <c r="CP478" i="1"/>
  <c r="CP377" i="1"/>
  <c r="CO77" i="1"/>
  <c r="CO396" i="1"/>
  <c r="CP362" i="1"/>
  <c r="CP490" i="1"/>
  <c r="CP74" i="1"/>
  <c r="CO237" i="1"/>
  <c r="CP456" i="1"/>
  <c r="CO156" i="1"/>
  <c r="CP401" i="1"/>
  <c r="CR129" i="1"/>
  <c r="CO329" i="1"/>
  <c r="CO244" i="1"/>
  <c r="CO245" i="1" s="1"/>
  <c r="CP485" i="1"/>
  <c r="CP497" i="1"/>
  <c r="CO276" i="1"/>
  <c r="CO286" i="1" s="1"/>
  <c r="CO406" i="1"/>
  <c r="CP476" i="1"/>
  <c r="CO116" i="1"/>
  <c r="CO442" i="1"/>
  <c r="CO443" i="1" s="1"/>
  <c r="CP129" i="1"/>
  <c r="CO362" i="1"/>
  <c r="CO503" i="1"/>
  <c r="CO450" i="1"/>
  <c r="CP447" i="1" s="1"/>
  <c r="CO165" i="1"/>
  <c r="CT391" i="1"/>
  <c r="CO476" i="1"/>
  <c r="CO409" i="1"/>
  <c r="CP370" i="1"/>
  <c r="CP323" i="1"/>
  <c r="CP276" i="1"/>
  <c r="CP286" i="1" s="1"/>
  <c r="CO456" i="1"/>
  <c r="CP469" i="1" s="1"/>
  <c r="CP471" i="1" s="1"/>
  <c r="CO78" i="1"/>
  <c r="CP116" i="1"/>
  <c r="CP482" i="1"/>
  <c r="CO20" i="1"/>
  <c r="CO21" i="1" s="1"/>
  <c r="CO505" i="1"/>
  <c r="CO477" i="1"/>
  <c r="CP399" i="1"/>
  <c r="CO493" i="1"/>
  <c r="CP403" i="1"/>
  <c r="CO389" i="1"/>
  <c r="CO488" i="1"/>
  <c r="CO174" i="1"/>
  <c r="CO323" i="1"/>
  <c r="CP385" i="1"/>
  <c r="CP411" i="1"/>
  <c r="CP252" i="1"/>
  <c r="CO403" i="1"/>
  <c r="CO418" i="1" s="1"/>
  <c r="CP17" i="1"/>
  <c r="CP18" i="1" s="1"/>
  <c r="CP97" i="1"/>
  <c r="CP406" i="1"/>
  <c r="CP459" i="1"/>
  <c r="CP460" i="1" s="1"/>
  <c r="CO93" i="1"/>
  <c r="CO94" i="1" s="1"/>
  <c r="CP477" i="1"/>
  <c r="CP483" i="1"/>
  <c r="CO497" i="1"/>
  <c r="CO483" i="1"/>
  <c r="CO391" i="1"/>
  <c r="CO480" i="1"/>
  <c r="CP395" i="1"/>
  <c r="CO73" i="1"/>
  <c r="CO136" i="1"/>
  <c r="CO496" i="1"/>
  <c r="CP311" i="1"/>
  <c r="CP237" i="1"/>
  <c r="CO445" i="1"/>
  <c r="CP394" i="1"/>
  <c r="CP342" i="1"/>
  <c r="CO162" i="1"/>
  <c r="CO163" i="1" s="1"/>
  <c r="CP77" i="1"/>
  <c r="CO399" i="1"/>
  <c r="CR290" i="1"/>
  <c r="CO256" i="1"/>
  <c r="CO257" i="1" s="1"/>
  <c r="CO481" i="1"/>
  <c r="CO74" i="1"/>
  <c r="CO405" i="1"/>
  <c r="CP256" i="1"/>
  <c r="CP257" i="1" s="1"/>
  <c r="CO370" i="1"/>
  <c r="CO359" i="1"/>
  <c r="CP317" i="1"/>
  <c r="CO87" i="1"/>
  <c r="CP498" i="1"/>
  <c r="CP450" i="1"/>
  <c r="CQ447" i="1" s="1"/>
  <c r="CP484" i="1"/>
  <c r="CO369" i="1"/>
  <c r="CO499" i="1"/>
  <c r="CR459" i="1"/>
  <c r="CR460" i="1" s="1"/>
  <c r="CR369" i="1"/>
  <c r="CO259" i="1"/>
  <c r="CR74" i="1"/>
  <c r="CO290" i="1"/>
  <c r="CO385" i="1"/>
  <c r="CO386" i="1" s="1"/>
  <c r="CP486" i="1"/>
  <c r="CP409" i="1"/>
  <c r="CO404" i="1"/>
  <c r="CO377" i="1"/>
  <c r="CO378" i="1" s="1"/>
  <c r="CO408" i="1"/>
  <c r="CP492" i="1"/>
  <c r="CP14" i="1"/>
  <c r="CO410" i="1"/>
  <c r="CP414" i="1"/>
  <c r="CO11" i="1"/>
  <c r="CO12" i="1" s="1"/>
  <c r="CO252" i="1"/>
  <c r="CP93" i="1"/>
  <c r="CP162" i="1"/>
  <c r="CP455" i="1"/>
  <c r="CO504" i="1"/>
  <c r="CP398" i="1"/>
  <c r="CO495" i="1"/>
  <c r="CO168" i="1"/>
  <c r="CP244" i="1"/>
  <c r="CP245" i="1" s="1"/>
  <c r="CP488" i="1"/>
  <c r="CO72" i="1"/>
  <c r="CR482" i="1"/>
  <c r="CP259" i="1"/>
  <c r="CR372" i="1"/>
  <c r="CR373" i="1" s="1"/>
  <c r="CR493" i="1"/>
  <c r="CR498" i="1"/>
  <c r="CR401" i="1"/>
  <c r="CR73" i="1"/>
  <c r="CP448" i="1"/>
  <c r="CP8" i="1"/>
  <c r="CP375" i="1"/>
  <c r="CQ444" i="1"/>
  <c r="CR504" i="1"/>
  <c r="CR168" i="1"/>
  <c r="CP136" i="1"/>
  <c r="CQ410" i="1"/>
  <c r="CQ485" i="1"/>
  <c r="CR489" i="1"/>
  <c r="CQ486" i="1"/>
  <c r="CR488" i="1"/>
  <c r="CP442" i="1"/>
  <c r="CP443" i="1" s="1"/>
  <c r="CR483" i="1"/>
  <c r="CR480" i="1"/>
  <c r="CP290" i="1"/>
  <c r="CR311" i="1"/>
  <c r="CP156" i="1"/>
  <c r="CR474" i="1"/>
  <c r="CR490" i="1"/>
  <c r="CT414" i="1"/>
  <c r="CR342" i="1"/>
  <c r="CR237" i="1"/>
  <c r="CR456" i="1"/>
  <c r="CR499" i="1"/>
  <c r="CR497" i="1"/>
  <c r="CP73" i="1"/>
  <c r="CR390" i="1"/>
  <c r="CR419" i="1" s="1"/>
  <c r="CP76" i="1"/>
  <c r="CR475" i="1"/>
  <c r="CR449" i="1"/>
  <c r="CP390" i="1"/>
  <c r="CP419" i="1" s="1"/>
  <c r="CR408" i="1"/>
  <c r="CR359" i="1"/>
  <c r="CR360" i="1" s="1"/>
  <c r="CR329" i="1"/>
  <c r="CR495" i="1"/>
  <c r="CQ395" i="1"/>
  <c r="CQ408" i="1"/>
  <c r="CQ401" i="1"/>
  <c r="CR409" i="1"/>
  <c r="CR72" i="1"/>
  <c r="CQ174" i="1"/>
  <c r="CQ229" i="1"/>
  <c r="CQ230" i="1" s="1"/>
  <c r="CR405" i="1"/>
  <c r="CQ476" i="1"/>
  <c r="CQ406" i="1"/>
  <c r="CQ483" i="1"/>
  <c r="CQ362" i="1"/>
  <c r="CQ385" i="1"/>
  <c r="CQ386" i="1" s="1"/>
  <c r="CQ404" i="1"/>
  <c r="CQ449" i="1"/>
  <c r="CQ499" i="1"/>
  <c r="CQ442" i="1"/>
  <c r="CQ501" i="1"/>
  <c r="CQ475" i="1"/>
  <c r="CQ168" i="1"/>
  <c r="CQ169" i="1" s="1"/>
  <c r="CQ136" i="1"/>
  <c r="CQ372" i="1"/>
  <c r="CR478" i="1"/>
  <c r="CQ391" i="1"/>
  <c r="CR501" i="1"/>
  <c r="CQ72" i="1"/>
  <c r="CR362" i="1"/>
  <c r="CQ20" i="1"/>
  <c r="CQ73" i="1"/>
  <c r="CR491" i="1"/>
  <c r="CQ370" i="1"/>
  <c r="CQ503" i="1"/>
  <c r="CQ252" i="1"/>
  <c r="CQ11" i="1"/>
  <c r="CQ497" i="1"/>
  <c r="CQ393" i="1"/>
  <c r="CQ477" i="1"/>
  <c r="CQ8" i="1"/>
  <c r="CQ390" i="1"/>
  <c r="CQ409" i="1"/>
  <c r="CQ17" i="1"/>
  <c r="CR162" i="1"/>
  <c r="CR163" i="1" s="1"/>
  <c r="CQ78" i="1"/>
  <c r="CQ505" i="1"/>
  <c r="CT401" i="1"/>
  <c r="CR403" i="1"/>
  <c r="CR418" i="1" s="1"/>
  <c r="CR116" i="1"/>
  <c r="CR117" i="1" s="1"/>
  <c r="CR442" i="1"/>
  <c r="CQ399" i="1"/>
  <c r="CQ93" i="1"/>
  <c r="CQ94" i="1" s="1"/>
  <c r="CQ129" i="1"/>
  <c r="CQ130" i="1" s="1"/>
  <c r="CQ397" i="1"/>
  <c r="CR256" i="1"/>
  <c r="CQ323" i="1"/>
  <c r="CR477" i="1"/>
  <c r="CQ76" i="1"/>
  <c r="CR410" i="1"/>
  <c r="CR377" i="1"/>
  <c r="CQ455" i="1"/>
  <c r="CR400" i="1"/>
  <c r="CR481" i="1"/>
  <c r="CR156" i="1"/>
  <c r="CQ482" i="1"/>
  <c r="CR76" i="1"/>
  <c r="CQ369" i="1"/>
  <c r="CQ474" i="1"/>
  <c r="CQ498" i="1"/>
  <c r="CQ77" i="1"/>
  <c r="CQ97" i="1"/>
  <c r="CQ116" i="1"/>
  <c r="CQ117" i="1" s="1"/>
  <c r="CR391" i="1"/>
  <c r="CQ377" i="1"/>
  <c r="CQ378" i="1" s="1"/>
  <c r="CR11" i="1"/>
  <c r="CQ489" i="1"/>
  <c r="CQ459" i="1"/>
  <c r="CQ460" i="1" s="1"/>
  <c r="CQ329" i="1"/>
  <c r="CR406" i="1"/>
  <c r="CQ75" i="1"/>
  <c r="CQ156" i="1"/>
  <c r="CQ311" i="1"/>
  <c r="CR136" i="1"/>
  <c r="CQ57" i="1"/>
  <c r="CQ58" i="1" s="1"/>
  <c r="CR8" i="1"/>
  <c r="CQ484" i="1"/>
  <c r="CQ480" i="1"/>
  <c r="CQ398" i="1"/>
  <c r="CR411" i="1"/>
  <c r="CQ493" i="1"/>
  <c r="CQ276" i="1"/>
  <c r="CQ286" i="1" s="1"/>
  <c r="CQ478" i="1"/>
  <c r="CQ403" i="1"/>
  <c r="CQ14" i="1"/>
  <c r="CR174" i="1"/>
  <c r="CQ259" i="1"/>
  <c r="CQ87" i="1"/>
  <c r="CQ375" i="1"/>
  <c r="CQ448" i="1"/>
  <c r="CQ457" i="1"/>
  <c r="CQ463" i="1" s="1"/>
  <c r="CR149" i="1"/>
  <c r="CQ394" i="1"/>
  <c r="CT369" i="1"/>
  <c r="CQ496" i="1"/>
  <c r="CR165" i="1"/>
  <c r="CR166" i="1" s="1"/>
  <c r="CQ456" i="1"/>
  <c r="CR469" i="1" s="1"/>
  <c r="CR471" i="1" s="1"/>
  <c r="CR457" i="1"/>
  <c r="CR463" i="1" s="1"/>
  <c r="CQ488" i="1"/>
  <c r="CR502" i="1"/>
  <c r="CQ165" i="1"/>
  <c r="CQ166" i="1" s="1"/>
  <c r="CR244" i="1"/>
  <c r="CR245" i="1" s="1"/>
  <c r="CR57" i="1"/>
  <c r="CR399" i="1"/>
  <c r="CR78" i="1"/>
  <c r="CQ445" i="1"/>
  <c r="CR397" i="1"/>
  <c r="CQ359" i="1"/>
  <c r="CR14" i="1"/>
  <c r="CR20" i="1"/>
  <c r="CQ389" i="1"/>
  <c r="CQ405" i="1"/>
  <c r="CT450" i="1"/>
  <c r="CU447" i="1" s="1"/>
  <c r="CQ317" i="1"/>
  <c r="CQ481" i="1"/>
  <c r="CR87" i="1"/>
  <c r="CQ414" i="1"/>
  <c r="CQ400" i="1"/>
  <c r="CR108" i="1"/>
  <c r="CR393" i="1"/>
  <c r="CR503" i="1"/>
  <c r="CQ256" i="1"/>
  <c r="CQ257" i="1" s="1"/>
  <c r="CR389" i="1"/>
  <c r="CQ504" i="1"/>
  <c r="CQ450" i="1"/>
  <c r="CR447" i="1" s="1"/>
  <c r="CR77" i="1"/>
  <c r="CQ396" i="1"/>
  <c r="CQ342" i="1"/>
  <c r="CR455" i="1"/>
  <c r="CR396" i="1"/>
  <c r="CR492" i="1"/>
  <c r="CR385" i="1"/>
  <c r="CR386" i="1" s="1"/>
  <c r="CR486" i="1"/>
  <c r="CQ491" i="1"/>
  <c r="CQ162" i="1"/>
  <c r="CQ163" i="1" s="1"/>
  <c r="CQ502" i="1"/>
  <c r="CR484" i="1"/>
  <c r="CR450" i="1"/>
  <c r="CS447" i="1" s="1"/>
  <c r="CQ490" i="1"/>
  <c r="CQ411" i="1"/>
  <c r="CQ495" i="1"/>
  <c r="CQ149" i="1"/>
  <c r="CQ290" i="1"/>
  <c r="CR476" i="1"/>
  <c r="CQ244" i="1"/>
  <c r="CR75" i="1"/>
  <c r="CQ74" i="1"/>
  <c r="CQ492" i="1"/>
  <c r="CR485" i="1"/>
  <c r="CR404" i="1"/>
  <c r="CR445" i="1"/>
  <c r="CQ237" i="1"/>
  <c r="CT396" i="1"/>
  <c r="CS369" i="1"/>
  <c r="CS390" i="1"/>
  <c r="CR93" i="1"/>
  <c r="CR229" i="1"/>
  <c r="CR230" i="1" s="1"/>
  <c r="CT448" i="1"/>
  <c r="CT411" i="1"/>
  <c r="CT403" i="1"/>
  <c r="CS502" i="1"/>
  <c r="CT165" i="1"/>
  <c r="CS375" i="1"/>
  <c r="CS474" i="1"/>
  <c r="CT397" i="1"/>
  <c r="CS244" i="1"/>
  <c r="CS496" i="1"/>
  <c r="CS395" i="1"/>
  <c r="CS76" i="1"/>
  <c r="CS445" i="1"/>
  <c r="CS311" i="1"/>
  <c r="CS377" i="1"/>
  <c r="CS378" i="1" s="1"/>
  <c r="CS410" i="1"/>
  <c r="CS457" i="1"/>
  <c r="CS463" i="1" s="1"/>
  <c r="CS57" i="1"/>
  <c r="CS58" i="1" s="1"/>
  <c r="CS455" i="1"/>
  <c r="CS493" i="1"/>
  <c r="CS229" i="1"/>
  <c r="CS396" i="1"/>
  <c r="CR414" i="1"/>
  <c r="CS488" i="1"/>
  <c r="CS403" i="1"/>
  <c r="CS391" i="1"/>
  <c r="CS478" i="1"/>
  <c r="CT229" i="1"/>
  <c r="CS393" i="1"/>
  <c r="CT156" i="1"/>
  <c r="CS165" i="1"/>
  <c r="CS476" i="1"/>
  <c r="CS408" i="1"/>
  <c r="CS448" i="1"/>
  <c r="CS405" i="1"/>
  <c r="CS359" i="1"/>
  <c r="CR370" i="1"/>
  <c r="CT395" i="1"/>
  <c r="CS252" i="1"/>
  <c r="CS480" i="1"/>
  <c r="CS503" i="1"/>
  <c r="CT404" i="1"/>
  <c r="CS108" i="1"/>
  <c r="CS162" i="1"/>
  <c r="CR317" i="1"/>
  <c r="CR252" i="1"/>
  <c r="CS370" i="1"/>
  <c r="CT398" i="1"/>
  <c r="CS77" i="1"/>
  <c r="CS156" i="1"/>
  <c r="CS490" i="1"/>
  <c r="CS129" i="1"/>
  <c r="CS130" i="1" s="1"/>
  <c r="CS342" i="1"/>
  <c r="CS499" i="1"/>
  <c r="CT14" i="1"/>
  <c r="CS87" i="1"/>
  <c r="CS489" i="1"/>
  <c r="CS399" i="1"/>
  <c r="CS397" i="1"/>
  <c r="CS404" i="1"/>
  <c r="CS136" i="1"/>
  <c r="CS442" i="1"/>
  <c r="CS276" i="1"/>
  <c r="CS286" i="1" s="1"/>
  <c r="CT390" i="1"/>
  <c r="CT162" i="1"/>
  <c r="CT163" i="1" s="1"/>
  <c r="CS481" i="1"/>
  <c r="CT405" i="1"/>
  <c r="CS174" i="1"/>
  <c r="CT317" i="1"/>
  <c r="CS444" i="1"/>
  <c r="CR17" i="1"/>
  <c r="CV398" i="1"/>
  <c r="CT311" i="1"/>
  <c r="CT329" i="1"/>
  <c r="CS491" i="1"/>
  <c r="CT78" i="1"/>
  <c r="CS456" i="1"/>
  <c r="CS498" i="1"/>
  <c r="CS483" i="1"/>
  <c r="CS482" i="1"/>
  <c r="CS401" i="1"/>
  <c r="CS426" i="1" s="1"/>
  <c r="CS409" i="1"/>
  <c r="CS394" i="1"/>
  <c r="CS477" i="1"/>
  <c r="CS475" i="1"/>
  <c r="CS485" i="1"/>
  <c r="CS20" i="1"/>
  <c r="CS21" i="1" s="1"/>
  <c r="CS385" i="1"/>
  <c r="CT400" i="1"/>
  <c r="CR505" i="1"/>
  <c r="CR395" i="1"/>
  <c r="CT252" i="1"/>
  <c r="CS323" i="1"/>
  <c r="CS78" i="1"/>
  <c r="CT116" i="1"/>
  <c r="CS259" i="1"/>
  <c r="CS14" i="1"/>
  <c r="CS8" i="1"/>
  <c r="CS97" i="1"/>
  <c r="CS400" i="1"/>
  <c r="CS17" i="1"/>
  <c r="CS75" i="1"/>
  <c r="CS389" i="1"/>
  <c r="CR496" i="1"/>
  <c r="CR97" i="1"/>
  <c r="CS73" i="1"/>
  <c r="CS398" i="1"/>
  <c r="CS459" i="1"/>
  <c r="CS460" i="1" s="1"/>
  <c r="CR394" i="1"/>
  <c r="CS449" i="1"/>
  <c r="CT449" i="1"/>
  <c r="CS11" i="1"/>
  <c r="CS74" i="1"/>
  <c r="CS501" i="1"/>
  <c r="CS450" i="1"/>
  <c r="CT447" i="1" s="1"/>
  <c r="CS362" i="1"/>
  <c r="CS495" i="1"/>
  <c r="CT408" i="1"/>
  <c r="CR444" i="1"/>
  <c r="CS93" i="1"/>
  <c r="CS94" i="1" s="1"/>
  <c r="CS486" i="1"/>
  <c r="CS116" i="1"/>
  <c r="CS117" i="1" s="1"/>
  <c r="CS256" i="1"/>
  <c r="CS257" i="1" s="1"/>
  <c r="CS329" i="1"/>
  <c r="CS484" i="1"/>
  <c r="CS317" i="1"/>
  <c r="CU442" i="1"/>
  <c r="CV394" i="1"/>
  <c r="CS406" i="1"/>
  <c r="CT359" i="1"/>
  <c r="CU229" i="1"/>
  <c r="CU174" i="1"/>
  <c r="CU177" i="1" s="1"/>
  <c r="CU398" i="1"/>
  <c r="CS414" i="1"/>
  <c r="CS505" i="1"/>
  <c r="CV400" i="1"/>
  <c r="CV168" i="1"/>
  <c r="CV395" i="1"/>
  <c r="CV229" i="1"/>
  <c r="CT409" i="1"/>
  <c r="CT8" i="1"/>
  <c r="CT149" i="1"/>
  <c r="CS411" i="1"/>
  <c r="CU87" i="1"/>
  <c r="CV174" i="1"/>
  <c r="CV69" i="1"/>
  <c r="CV70" i="1" s="1"/>
  <c r="CV329" i="1"/>
  <c r="CS149" i="1"/>
  <c r="CS290" i="1"/>
  <c r="CS504" i="1"/>
  <c r="CS372" i="1"/>
  <c r="CS373" i="1" s="1"/>
  <c r="CU74" i="1"/>
  <c r="CS237" i="1"/>
  <c r="CU69" i="1"/>
  <c r="CU70" i="1" s="1"/>
  <c r="CS497" i="1"/>
  <c r="CS492" i="1"/>
  <c r="CS72" i="1"/>
  <c r="CU323" i="1"/>
  <c r="CS168" i="1"/>
  <c r="CS169" i="1" s="1"/>
  <c r="CV414" i="1"/>
  <c r="CU406" i="1"/>
  <c r="CT399" i="1"/>
  <c r="CT20" i="1"/>
  <c r="CU414" i="1"/>
  <c r="CT174" i="1"/>
  <c r="CT177" i="1" s="1"/>
  <c r="CU78" i="1"/>
  <c r="CV369" i="1"/>
  <c r="CU129" i="1"/>
  <c r="CT445" i="1"/>
  <c r="CT129" i="1"/>
  <c r="CU409" i="1"/>
  <c r="CV78" i="1"/>
  <c r="CU397" i="1"/>
  <c r="CU411" i="1"/>
  <c r="CU72" i="1"/>
  <c r="CV156" i="1"/>
  <c r="CT410" i="1"/>
  <c r="CV403" i="1"/>
  <c r="CV8" i="1"/>
  <c r="CU408" i="1"/>
  <c r="CU311" i="1"/>
  <c r="CU77" i="1"/>
  <c r="CT275" i="1"/>
  <c r="CV385" i="1"/>
  <c r="CV386" i="1" s="1"/>
  <c r="CV408" i="1"/>
  <c r="CT444" i="1"/>
  <c r="CV448" i="1"/>
  <c r="CU149" i="1"/>
  <c r="CV404" i="1"/>
  <c r="CU252" i="1"/>
  <c r="CU405" i="1"/>
  <c r="CU455" i="1"/>
  <c r="CT75" i="1"/>
  <c r="CT69" i="1"/>
  <c r="CU11" i="1"/>
  <c r="CU369" i="1"/>
  <c r="CV410" i="1"/>
  <c r="CT93" i="1"/>
  <c r="CT94" i="1" s="1"/>
  <c r="CT393" i="1"/>
  <c r="CV72" i="1"/>
  <c r="CU20" i="1"/>
  <c r="CU21" i="1" s="1"/>
  <c r="CU395" i="1"/>
  <c r="CT74" i="1"/>
  <c r="CU14" i="1"/>
  <c r="CU385" i="1"/>
  <c r="CU393" i="1"/>
  <c r="CV391" i="1"/>
  <c r="CU162" i="1"/>
  <c r="CU163" i="1" s="1"/>
  <c r="CT87" i="1"/>
  <c r="CV409" i="1"/>
  <c r="CT57" i="1"/>
  <c r="CT168" i="1"/>
  <c r="CT169" i="1" s="1"/>
  <c r="CV449" i="1"/>
  <c r="CU403" i="1"/>
  <c r="CW116" i="1"/>
  <c r="CU93" i="1"/>
  <c r="CV393" i="1"/>
  <c r="CV136" i="1"/>
  <c r="CU8" i="1"/>
  <c r="CV77" i="1"/>
  <c r="CU396" i="1"/>
  <c r="CU450" i="1"/>
  <c r="CV447" i="1" s="1"/>
  <c r="CV311" i="1"/>
  <c r="CV116" i="1"/>
  <c r="CV117" i="1" s="1"/>
  <c r="CV275" i="1"/>
  <c r="CV445" i="1"/>
  <c r="CT108" i="1"/>
  <c r="CV17" i="1"/>
  <c r="CU400" i="1"/>
  <c r="CV390" i="1"/>
  <c r="CT76" i="1"/>
  <c r="CV444" i="1"/>
  <c r="CV359" i="1"/>
  <c r="CV57" i="1"/>
  <c r="CT394" i="1"/>
  <c r="CV442" i="1"/>
  <c r="CV443" i="1" s="1"/>
  <c r="CU156" i="1"/>
  <c r="CV252" i="1"/>
  <c r="CV73" i="1"/>
  <c r="CU165" i="1"/>
  <c r="CU166" i="1" s="1"/>
  <c r="CT77" i="1"/>
  <c r="CW406" i="1"/>
  <c r="CW403" i="1"/>
  <c r="CX393" i="1"/>
  <c r="CV108" i="1"/>
  <c r="CU76" i="1"/>
  <c r="CU399" i="1"/>
  <c r="CT72" i="1"/>
  <c r="CU108" i="1"/>
  <c r="CV74" i="1"/>
  <c r="CV450" i="1"/>
  <c r="CW447" i="1" s="1"/>
  <c r="CU168" i="1"/>
  <c r="CV399" i="1"/>
  <c r="CV323" i="1"/>
  <c r="CT73" i="1"/>
  <c r="CU17" i="1"/>
  <c r="CV405" i="1"/>
  <c r="CT455" i="1"/>
  <c r="CV165" i="1"/>
  <c r="CV455" i="1"/>
  <c r="CT11" i="1"/>
  <c r="CV93" i="1"/>
  <c r="CV75" i="1"/>
  <c r="CU404" i="1"/>
  <c r="CV87" i="1"/>
  <c r="CV411" i="1"/>
  <c r="CT323" i="1"/>
  <c r="CU329" i="1"/>
  <c r="CU75" i="1"/>
  <c r="CU73" i="1"/>
  <c r="CU136" i="1"/>
  <c r="CT136" i="1"/>
  <c r="CU444" i="1"/>
  <c r="CV20" i="1"/>
  <c r="CU57" i="1"/>
  <c r="CU58" i="1" s="1"/>
  <c r="CU394" i="1"/>
  <c r="CU116" i="1"/>
  <c r="CT256" i="1"/>
  <c r="CT257" i="1" s="1"/>
  <c r="CU317" i="1"/>
  <c r="CU448" i="1"/>
  <c r="CV129" i="1"/>
  <c r="CV130" i="1" s="1"/>
  <c r="CU410" i="1"/>
  <c r="CU390" i="1"/>
  <c r="CV149" i="1"/>
  <c r="CT406" i="1"/>
  <c r="CU275" i="1"/>
  <c r="CT385" i="1"/>
  <c r="CT386" i="1" s="1"/>
  <c r="CV406" i="1"/>
  <c r="CV397" i="1"/>
  <c r="CU256" i="1"/>
  <c r="CU257" i="1" s="1"/>
  <c r="CU391" i="1"/>
  <c r="CU449" i="1"/>
  <c r="CV76" i="1"/>
  <c r="CU445" i="1"/>
  <c r="CT17" i="1"/>
  <c r="CU359" i="1"/>
  <c r="CV14" i="1"/>
  <c r="CV256" i="1"/>
  <c r="CV257" i="1" s="1"/>
  <c r="CT442" i="1"/>
  <c r="CT443" i="1" s="1"/>
  <c r="CW414" i="1"/>
  <c r="CX455" i="1"/>
  <c r="CW323" i="1"/>
  <c r="CX410" i="1"/>
  <c r="CW369" i="1"/>
  <c r="CX409" i="1"/>
  <c r="CW14" i="1"/>
  <c r="CV11" i="1"/>
  <c r="CX73" i="1"/>
  <c r="CX359" i="1"/>
  <c r="CW449" i="1"/>
  <c r="CX414" i="1"/>
  <c r="CV396" i="1"/>
  <c r="CX397" i="1"/>
  <c r="CX129" i="1"/>
  <c r="CX449" i="1"/>
  <c r="CX406" i="1"/>
  <c r="CX14" i="1"/>
  <c r="CW393" i="1"/>
  <c r="CX403" i="1"/>
  <c r="CW445" i="1"/>
  <c r="CX11" i="1"/>
  <c r="CX12" i="1" s="1"/>
  <c r="CX78" i="1"/>
  <c r="CX149" i="1"/>
  <c r="CX369" i="1"/>
  <c r="CX156" i="1"/>
  <c r="CX317" i="1"/>
  <c r="CW156" i="1"/>
  <c r="CW400" i="1"/>
  <c r="CW395" i="1"/>
  <c r="CW8" i="1"/>
  <c r="CX390" i="1"/>
  <c r="CW75" i="1"/>
  <c r="CX444" i="1"/>
  <c r="CX450" i="1"/>
  <c r="CX399" i="1"/>
  <c r="CW174" i="1"/>
  <c r="CX229" i="1"/>
  <c r="CX174" i="1"/>
  <c r="CW405" i="1"/>
  <c r="CW444" i="1"/>
  <c r="CW165" i="1"/>
  <c r="CW166" i="1" s="1"/>
  <c r="CX72" i="1"/>
  <c r="CW57" i="1"/>
  <c r="CW58" i="1" s="1"/>
  <c r="CW73" i="1"/>
  <c r="CW409" i="1"/>
  <c r="CW385" i="1"/>
  <c r="CW386" i="1" s="1"/>
  <c r="CW229" i="1"/>
  <c r="CW396" i="1"/>
  <c r="CW129" i="1"/>
  <c r="CW130" i="1" s="1"/>
  <c r="CX108" i="1"/>
  <c r="CW108" i="1"/>
  <c r="CW450" i="1"/>
  <c r="CX447" i="1" s="1"/>
  <c r="CX116" i="1"/>
  <c r="CX117" i="1" s="1"/>
  <c r="CW11" i="1"/>
  <c r="CW74" i="1"/>
  <c r="CX17" i="1"/>
  <c r="CW391" i="1"/>
  <c r="CW442" i="1"/>
  <c r="CW443" i="1" s="1"/>
  <c r="CX74" i="1"/>
  <c r="CX385" i="1"/>
  <c r="CX57" i="1"/>
  <c r="CW93" i="1"/>
  <c r="CW94" i="1" s="1"/>
  <c r="CX411" i="1"/>
  <c r="CX405" i="1"/>
  <c r="CX396" i="1"/>
  <c r="CW76" i="1"/>
  <c r="CX442" i="1"/>
  <c r="CX443" i="1" s="1"/>
  <c r="CW410" i="1"/>
  <c r="CW398" i="1"/>
  <c r="CW448" i="1"/>
  <c r="CX311" i="1"/>
  <c r="CX256" i="1"/>
  <c r="CX257" i="1" s="1"/>
  <c r="CW404" i="1"/>
  <c r="CX395" i="1"/>
  <c r="CW455" i="1"/>
  <c r="CW149" i="1"/>
  <c r="CX445" i="1"/>
  <c r="CW252" i="1"/>
  <c r="CX448" i="1"/>
  <c r="CX329" i="1"/>
  <c r="CW72" i="1"/>
  <c r="CW359" i="1"/>
  <c r="CV317" i="1"/>
  <c r="CX76" i="1"/>
  <c r="CW69" i="1"/>
  <c r="CX20" i="1"/>
  <c r="CX87" i="1"/>
  <c r="CX394" i="1"/>
  <c r="CW399" i="1"/>
  <c r="CW311" i="1"/>
  <c r="CX252" i="1"/>
  <c r="CX162" i="1"/>
  <c r="CW136" i="1"/>
  <c r="CX323" i="1"/>
  <c r="CW20" i="1"/>
  <c r="CX165" i="1"/>
  <c r="CX166" i="1" s="1"/>
  <c r="CX400" i="1"/>
  <c r="CX408" i="1"/>
  <c r="CX75" i="1"/>
  <c r="CW411" i="1"/>
  <c r="CX69" i="1"/>
  <c r="CX70" i="1" s="1"/>
  <c r="CW77" i="1"/>
  <c r="CX93" i="1"/>
  <c r="CX398" i="1"/>
  <c r="CW394" i="1"/>
  <c r="CW168" i="1"/>
  <c r="CW169" i="1" s="1"/>
  <c r="CV162" i="1"/>
  <c r="CV163" i="1" s="1"/>
  <c r="CX275" i="1"/>
  <c r="CX404" i="1"/>
  <c r="CX391" i="1"/>
  <c r="CW397" i="1"/>
  <c r="CX136" i="1"/>
  <c r="CW256" i="1"/>
  <c r="CW329" i="1"/>
  <c r="CW87" i="1"/>
  <c r="CX168" i="1"/>
  <c r="CX169" i="1" s="1"/>
  <c r="CW162" i="1"/>
  <c r="CW163" i="1" s="1"/>
  <c r="CW17" i="1"/>
  <c r="CW275" i="1"/>
  <c r="CX8" i="1"/>
  <c r="CW390" i="1"/>
  <c r="CX77" i="1"/>
  <c r="CW408" i="1"/>
  <c r="CW317" i="1"/>
  <c r="CW78" i="1"/>
  <c r="CW18" i="1" l="1"/>
  <c r="CS18" i="1"/>
  <c r="CV21" i="1"/>
  <c r="CR12" i="1"/>
  <c r="CT426" i="1"/>
  <c r="CW21" i="1"/>
  <c r="CQ18" i="1"/>
  <c r="CQ21" i="1"/>
  <c r="CT21" i="1"/>
  <c r="CV12" i="1"/>
  <c r="CW12" i="1"/>
  <c r="CU18" i="1"/>
  <c r="CS12" i="1"/>
  <c r="CT254" i="1"/>
  <c r="CT253" i="1"/>
  <c r="CR9" i="1"/>
  <c r="CR23" i="1"/>
  <c r="CN238" i="1"/>
  <c r="CN51" i="1"/>
  <c r="CJ469" i="1"/>
  <c r="CJ471" i="1" s="1"/>
  <c r="CI469" i="1"/>
  <c r="CI471" i="1" s="1"/>
  <c r="CU94" i="1"/>
  <c r="CS157" i="1"/>
  <c r="CT234" i="1"/>
  <c r="CT235" i="1"/>
  <c r="CT230" i="1"/>
  <c r="CQ416" i="1"/>
  <c r="CQ415" i="1"/>
  <c r="CQ24" i="1"/>
  <c r="CQ15" i="1"/>
  <c r="CR331" i="1"/>
  <c r="CR332" i="1"/>
  <c r="CR338" i="1"/>
  <c r="CR330" i="1"/>
  <c r="CO169" i="1"/>
  <c r="CP355" i="1"/>
  <c r="CP345" i="1"/>
  <c r="CP343" i="1"/>
  <c r="CP344" i="1" s="1"/>
  <c r="CO166" i="1"/>
  <c r="CN332" i="1"/>
  <c r="CN338" i="1"/>
  <c r="CN331" i="1"/>
  <c r="CN330" i="1"/>
  <c r="CP330" i="1"/>
  <c r="CP332" i="1"/>
  <c r="CP331" i="1"/>
  <c r="CP338" i="1"/>
  <c r="CO150" i="1"/>
  <c r="CO153" i="1"/>
  <c r="CN18" i="1"/>
  <c r="CN24" i="1"/>
  <c r="CO465" i="1"/>
  <c r="CO467" i="1" s="1"/>
  <c r="CN462" i="1"/>
  <c r="CL292" i="1"/>
  <c r="CL295" i="1"/>
  <c r="CL291" i="1"/>
  <c r="CL294" i="1"/>
  <c r="CK320" i="1"/>
  <c r="CK318" i="1"/>
  <c r="CK319" i="1"/>
  <c r="CK325" i="1"/>
  <c r="CK326" i="1"/>
  <c r="CK324" i="1"/>
  <c r="CK416" i="1"/>
  <c r="CK415" i="1"/>
  <c r="CJ326" i="1"/>
  <c r="CJ325" i="1"/>
  <c r="CJ324" i="1"/>
  <c r="CT137" i="1"/>
  <c r="CT133" i="1"/>
  <c r="CS326" i="1"/>
  <c r="CS324" i="1"/>
  <c r="CS325" i="1"/>
  <c r="CS465" i="1"/>
  <c r="CS467" i="1" s="1"/>
  <c r="CR462" i="1"/>
  <c r="CP150" i="1"/>
  <c r="CP153" i="1"/>
  <c r="CP154" i="1" s="1"/>
  <c r="CM326" i="1"/>
  <c r="CM325" i="1"/>
  <c r="CM324" i="1"/>
  <c r="CX314" i="1"/>
  <c r="CX313" i="1"/>
  <c r="CM314" i="1"/>
  <c r="CM312" i="1"/>
  <c r="CM313" i="1"/>
  <c r="CL418" i="1"/>
  <c r="CK365" i="1"/>
  <c r="CK366" i="1"/>
  <c r="CK363" i="1"/>
  <c r="CK364" i="1" s="1"/>
  <c r="CX21" i="1"/>
  <c r="CX325" i="1"/>
  <c r="CX326" i="1"/>
  <c r="CV23" i="1"/>
  <c r="CV9" i="1"/>
  <c r="CS295" i="1"/>
  <c r="CS294" i="1"/>
  <c r="CS292" i="1"/>
  <c r="CS291" i="1"/>
  <c r="CT320" i="1"/>
  <c r="CT319" i="1"/>
  <c r="CS254" i="1"/>
  <c r="CS253" i="1"/>
  <c r="CT166" i="1"/>
  <c r="CQ418" i="1"/>
  <c r="CQ419" i="1"/>
  <c r="CR363" i="1"/>
  <c r="CR366" i="1"/>
  <c r="CR365" i="1"/>
  <c r="CS469" i="1"/>
  <c r="CS471" i="1" s="1"/>
  <c r="CP24" i="1"/>
  <c r="CP15" i="1"/>
  <c r="CP386" i="1"/>
  <c r="CP378" i="1"/>
  <c r="CO343" i="1"/>
  <c r="CO345" i="1"/>
  <c r="CO355" i="1"/>
  <c r="CO18" i="1"/>
  <c r="CO24" i="1"/>
  <c r="CN312" i="1"/>
  <c r="CN314" i="1"/>
  <c r="CN313" i="1"/>
  <c r="CN124" i="1"/>
  <c r="CM254" i="1"/>
  <c r="CM253" i="1"/>
  <c r="CM415" i="1"/>
  <c r="CM416" i="1"/>
  <c r="CM463" i="1"/>
  <c r="CO463" i="1"/>
  <c r="CK294" i="1"/>
  <c r="CK295" i="1"/>
  <c r="CK291" i="1"/>
  <c r="CK292" i="1"/>
  <c r="CK332" i="1"/>
  <c r="CK330" i="1"/>
  <c r="CK331" i="1"/>
  <c r="CK238" i="1"/>
  <c r="CK51" i="1"/>
  <c r="CL469" i="1"/>
  <c r="CL471" i="1" s="1"/>
  <c r="CJ366" i="1"/>
  <c r="CJ363" i="1"/>
  <c r="CJ365" i="1"/>
  <c r="CI434" i="1"/>
  <c r="CI435" i="1" s="1"/>
  <c r="CI428" i="1"/>
  <c r="CI427" i="1"/>
  <c r="CI430" i="1"/>
  <c r="CN157" i="1"/>
  <c r="CN159" i="1"/>
  <c r="CL278" i="1"/>
  <c r="CL261" i="1"/>
  <c r="CL260" i="1"/>
  <c r="CJ416" i="1"/>
  <c r="CJ415" i="1"/>
  <c r="CW88" i="1"/>
  <c r="CW91" i="1"/>
  <c r="CW92" i="1" s="1"/>
  <c r="CW157" i="1"/>
  <c r="CU60" i="1"/>
  <c r="CU109" i="1"/>
  <c r="CP254" i="1"/>
  <c r="CP253" i="1"/>
  <c r="CM291" i="1"/>
  <c r="CM293" i="1" s="1"/>
  <c r="CM295" i="1"/>
  <c r="CM292" i="1"/>
  <c r="CM294" i="1"/>
  <c r="CL360" i="1"/>
  <c r="CJ386" i="1"/>
  <c r="CV15" i="1"/>
  <c r="CV24" i="1"/>
  <c r="CV415" i="1"/>
  <c r="CX94" i="1"/>
  <c r="CW70" i="1"/>
  <c r="CX415" i="1"/>
  <c r="CT18" i="1"/>
  <c r="CV325" i="1"/>
  <c r="CV326" i="1"/>
  <c r="CV254" i="1"/>
  <c r="CV253" i="1"/>
  <c r="CW117" i="1"/>
  <c r="CU12" i="1"/>
  <c r="CU130" i="1"/>
  <c r="CS153" i="1"/>
  <c r="CS150" i="1"/>
  <c r="CV235" i="1"/>
  <c r="CV230" i="1"/>
  <c r="CV234" i="1"/>
  <c r="CS23" i="1"/>
  <c r="CS9" i="1"/>
  <c r="CR91" i="1"/>
  <c r="CR88" i="1"/>
  <c r="CR137" i="1"/>
  <c r="CR133" i="1"/>
  <c r="CQ462" i="1"/>
  <c r="CR465" i="1"/>
  <c r="CR467" i="1" s="1"/>
  <c r="CQ23" i="1"/>
  <c r="CQ9" i="1"/>
  <c r="CR238" i="1"/>
  <c r="CR51" i="1"/>
  <c r="CR426" i="1"/>
  <c r="CO324" i="1"/>
  <c r="CO325" i="1"/>
  <c r="CO326" i="1"/>
  <c r="CP117" i="1"/>
  <c r="CO332" i="1"/>
  <c r="CO338" i="1"/>
  <c r="CO331" i="1"/>
  <c r="CO330" i="1"/>
  <c r="CN360" i="1"/>
  <c r="CM319" i="1"/>
  <c r="CM318" i="1"/>
  <c r="CM320" i="1"/>
  <c r="CN81" i="1"/>
  <c r="CM84" i="1"/>
  <c r="CM81" i="1" s="1"/>
  <c r="CP463" i="1"/>
  <c r="CM373" i="1"/>
  <c r="CN465" i="1"/>
  <c r="CN467" i="1" s="1"/>
  <c r="CM462" i="1"/>
  <c r="CN419" i="1"/>
  <c r="CM365" i="1"/>
  <c r="CM363" i="1"/>
  <c r="CM366" i="1"/>
  <c r="CL257" i="1"/>
  <c r="CK343" i="1"/>
  <c r="CK345" i="1"/>
  <c r="CV133" i="1"/>
  <c r="CV134" i="1" s="1"/>
  <c r="CV137" i="1"/>
  <c r="CS137" i="1"/>
  <c r="CS133" i="1"/>
  <c r="CS134" i="1" s="1"/>
  <c r="CJ319" i="1"/>
  <c r="CJ318" i="1"/>
  <c r="CJ320" i="1"/>
  <c r="CX91" i="1"/>
  <c r="CX92" i="1" s="1"/>
  <c r="CX88" i="1"/>
  <c r="CU234" i="1"/>
  <c r="CU230" i="1"/>
  <c r="CU235" i="1"/>
  <c r="CO23" i="1"/>
  <c r="CO9" i="1"/>
  <c r="CN117" i="1"/>
  <c r="CL319" i="1"/>
  <c r="CL320" i="1"/>
  <c r="CL318" i="1"/>
  <c r="CL465" i="1"/>
  <c r="CL467" i="1" s="1"/>
  <c r="CK462" i="1"/>
  <c r="CI366" i="1"/>
  <c r="CI365" i="1"/>
  <c r="CI363" i="1"/>
  <c r="CI373" i="1"/>
  <c r="CW331" i="1"/>
  <c r="CW332" i="1"/>
  <c r="CX319" i="1"/>
  <c r="CX320" i="1"/>
  <c r="CU153" i="1"/>
  <c r="CU150" i="1"/>
  <c r="CW257" i="1"/>
  <c r="CX58" i="1"/>
  <c r="CX157" i="1"/>
  <c r="CX137" i="1"/>
  <c r="CX133" i="1"/>
  <c r="CX134" i="1" s="1"/>
  <c r="CW253" i="1"/>
  <c r="CW254" i="1"/>
  <c r="CW109" i="1"/>
  <c r="CW60" i="1"/>
  <c r="CX15" i="1"/>
  <c r="CX24" i="1"/>
  <c r="CX23" i="1"/>
  <c r="CX9" i="1"/>
  <c r="CW133" i="1"/>
  <c r="CW137" i="1"/>
  <c r="CX386" i="1"/>
  <c r="CX109" i="1"/>
  <c r="CX60" i="1"/>
  <c r="CX61" i="1" s="1"/>
  <c r="CX153" i="1"/>
  <c r="CX150" i="1"/>
  <c r="CW326" i="1"/>
  <c r="CW325" i="1"/>
  <c r="CU117" i="1"/>
  <c r="CV94" i="1"/>
  <c r="CU157" i="1"/>
  <c r="CV313" i="1"/>
  <c r="CV314" i="1"/>
  <c r="CU386" i="1"/>
  <c r="CU325" i="1"/>
  <c r="CU326" i="1"/>
  <c r="CV332" i="1"/>
  <c r="CV331" i="1"/>
  <c r="CS386" i="1"/>
  <c r="CS418" i="1"/>
  <c r="CS313" i="1"/>
  <c r="CS312" i="1"/>
  <c r="CS314" i="1"/>
  <c r="CQ312" i="1"/>
  <c r="CQ313" i="1"/>
  <c r="CQ314" i="1"/>
  <c r="CR378" i="1"/>
  <c r="CR443" i="1"/>
  <c r="CQ443" i="1"/>
  <c r="CR343" i="1"/>
  <c r="CR345" i="1"/>
  <c r="CR355" i="1"/>
  <c r="CP238" i="1"/>
  <c r="CP51" i="1"/>
  <c r="CO365" i="1"/>
  <c r="CO366" i="1"/>
  <c r="CO363" i="1"/>
  <c r="CO364" i="1" s="1"/>
  <c r="CR130" i="1"/>
  <c r="CN415" i="1"/>
  <c r="CN416" i="1"/>
  <c r="CO314" i="1"/>
  <c r="CO312" i="1"/>
  <c r="CO313" i="1"/>
  <c r="CN418" i="1"/>
  <c r="CM418" i="1"/>
  <c r="CN319" i="1"/>
  <c r="CN320" i="1"/>
  <c r="CN318" i="1"/>
  <c r="CN295" i="1"/>
  <c r="CN292" i="1"/>
  <c r="CN291" i="1"/>
  <c r="CN294" i="1"/>
  <c r="CP166" i="1"/>
  <c r="CL373" i="1"/>
  <c r="CL330" i="1"/>
  <c r="CL332" i="1"/>
  <c r="CL331" i="1"/>
  <c r="CJ430" i="1"/>
  <c r="CJ427" i="1"/>
  <c r="CJ434" i="1"/>
  <c r="CJ435" i="1" s="1"/>
  <c r="CJ428" i="1"/>
  <c r="CQ137" i="1"/>
  <c r="CQ133" i="1"/>
  <c r="CX331" i="1"/>
  <c r="CX332" i="1"/>
  <c r="CW23" i="1"/>
  <c r="CW9" i="1"/>
  <c r="CV153" i="1"/>
  <c r="CV154" i="1" s="1"/>
  <c r="CV150" i="1"/>
  <c r="CT12" i="1"/>
  <c r="CU15" i="1"/>
  <c r="CU24" i="1"/>
  <c r="CV157" i="1"/>
  <c r="CV169" i="1"/>
  <c r="CU443" i="1"/>
  <c r="CS24" i="1"/>
  <c r="CS15" i="1"/>
  <c r="CS88" i="1"/>
  <c r="CS91" i="1"/>
  <c r="CS92" i="1" s="1"/>
  <c r="CR254" i="1"/>
  <c r="CR253" i="1"/>
  <c r="CS360" i="1"/>
  <c r="CQ320" i="1"/>
  <c r="CQ318" i="1"/>
  <c r="CQ319" i="1"/>
  <c r="CR58" i="1"/>
  <c r="CR153" i="1"/>
  <c r="CR150" i="1"/>
  <c r="CQ287" i="1"/>
  <c r="CQ288" i="1"/>
  <c r="CQ157" i="1"/>
  <c r="CT415" i="1"/>
  <c r="CP130" i="1"/>
  <c r="CP426" i="1"/>
  <c r="CP169" i="1"/>
  <c r="CN287" i="1"/>
  <c r="CN288" i="1"/>
  <c r="CM330" i="1"/>
  <c r="CM332" i="1"/>
  <c r="CM331" i="1"/>
  <c r="CO416" i="1"/>
  <c r="CO415" i="1"/>
  <c r="CN91" i="1"/>
  <c r="CN92" i="1" s="1"/>
  <c r="CN88" i="1"/>
  <c r="CN58" i="1"/>
  <c r="CP465" i="1"/>
  <c r="CP467" i="1" s="1"/>
  <c r="CO462" i="1"/>
  <c r="CL415" i="1"/>
  <c r="CL416" i="1"/>
  <c r="CL253" i="1"/>
  <c r="CL254" i="1"/>
  <c r="CK312" i="1"/>
  <c r="CK314" i="1"/>
  <c r="CK313" i="1"/>
  <c r="CJ278" i="1"/>
  <c r="CJ261" i="1"/>
  <c r="CJ260" i="1"/>
  <c r="CJ314" i="1"/>
  <c r="CJ313" i="1"/>
  <c r="CJ312" i="1"/>
  <c r="CJ238" i="1"/>
  <c r="CJ51" i="1"/>
  <c r="CT130" i="1"/>
  <c r="CQ360" i="1"/>
  <c r="CP23" i="1"/>
  <c r="CP9" i="1"/>
  <c r="CU331" i="1"/>
  <c r="CU332" i="1"/>
  <c r="CW465" i="1"/>
  <c r="CW467" i="1" s="1"/>
  <c r="CV60" i="1"/>
  <c r="CV61" i="1" s="1"/>
  <c r="CV109" i="1"/>
  <c r="CV465" i="1"/>
  <c r="CV467" i="1" s="1"/>
  <c r="CS363" i="1"/>
  <c r="CS364" i="1" s="1"/>
  <c r="CS366" i="1"/>
  <c r="CS365" i="1"/>
  <c r="CS260" i="1"/>
  <c r="CS261" i="1"/>
  <c r="CS271" i="1"/>
  <c r="CS27" i="1"/>
  <c r="CR320" i="1"/>
  <c r="CR319" i="1"/>
  <c r="CR318" i="1"/>
  <c r="CR416" i="1"/>
  <c r="CR415" i="1"/>
  <c r="CP462" i="1"/>
  <c r="CQ465" i="1"/>
  <c r="CQ467" i="1" s="1"/>
  <c r="CP314" i="1"/>
  <c r="CP313" i="1"/>
  <c r="CP312" i="1"/>
  <c r="CP287" i="1"/>
  <c r="CP288" i="1"/>
  <c r="CO159" i="1"/>
  <c r="CO157" i="1"/>
  <c r="CO130" i="1"/>
  <c r="CN139" i="1"/>
  <c r="CN137" i="1"/>
  <c r="CN133" i="1"/>
  <c r="CN134" i="1" s="1"/>
  <c r="CN378" i="1"/>
  <c r="CN23" i="1"/>
  <c r="CN9" i="1"/>
  <c r="CN254" i="1"/>
  <c r="CN253" i="1"/>
  <c r="CN434" i="1"/>
  <c r="CN428" i="1"/>
  <c r="CN430" i="1"/>
  <c r="CN427" i="1"/>
  <c r="CM238" i="1"/>
  <c r="CM51" i="1"/>
  <c r="CK386" i="1"/>
  <c r="CK426" i="1"/>
  <c r="CJ254" i="1"/>
  <c r="CJ253" i="1"/>
  <c r="CJ463" i="1"/>
  <c r="CI462" i="1"/>
  <c r="CI465" i="1"/>
  <c r="CI467" i="1" s="1"/>
  <c r="CJ465" i="1"/>
  <c r="CJ467" i="1" s="1"/>
  <c r="CJ291" i="1"/>
  <c r="CJ294" i="1"/>
  <c r="CT153" i="1"/>
  <c r="CT154" i="1" s="1"/>
  <c r="CT150" i="1"/>
  <c r="CT157" i="1"/>
  <c r="CP320" i="1"/>
  <c r="CP319" i="1"/>
  <c r="CP318" i="1"/>
  <c r="CR157" i="1"/>
  <c r="CP416" i="1"/>
  <c r="CP415" i="1"/>
  <c r="CN271" i="1"/>
  <c r="CN261" i="1"/>
  <c r="CN260" i="1"/>
  <c r="CN27" i="1"/>
  <c r="CX163" i="1"/>
  <c r="CV320" i="1"/>
  <c r="CV319" i="1"/>
  <c r="CX465" i="1"/>
  <c r="CX467" i="1" s="1"/>
  <c r="CW230" i="1"/>
  <c r="CW235" i="1"/>
  <c r="CW234" i="1"/>
  <c r="CW415" i="1"/>
  <c r="CT325" i="1"/>
  <c r="CT326" i="1"/>
  <c r="CV58" i="1"/>
  <c r="CT58" i="1"/>
  <c r="CV177" i="1"/>
  <c r="CS320" i="1"/>
  <c r="CS318" i="1"/>
  <c r="CS319" i="1"/>
  <c r="CT332" i="1"/>
  <c r="CT331" i="1"/>
  <c r="CT338" i="1"/>
  <c r="CT24" i="1"/>
  <c r="CT15" i="1"/>
  <c r="CQ245" i="1"/>
  <c r="CT430" i="1"/>
  <c r="CT427" i="1"/>
  <c r="CT434" i="1"/>
  <c r="CQ12" i="1"/>
  <c r="CP137" i="1"/>
  <c r="CP133" i="1"/>
  <c r="CP261" i="1"/>
  <c r="CP260" i="1"/>
  <c r="CP271" i="1"/>
  <c r="CP27" i="1"/>
  <c r="CP163" i="1"/>
  <c r="CP418" i="1"/>
  <c r="CP325" i="1"/>
  <c r="CP324" i="1"/>
  <c r="CP326" i="1"/>
  <c r="CO117" i="1"/>
  <c r="CQ469" i="1"/>
  <c r="CQ471" i="1" s="1"/>
  <c r="CO320" i="1"/>
  <c r="CO318" i="1"/>
  <c r="CO319" i="1"/>
  <c r="CM343" i="1"/>
  <c r="CM345" i="1"/>
  <c r="CO419" i="1"/>
  <c r="CN94" i="1"/>
  <c r="CL426" i="1"/>
  <c r="CM427" i="1" s="1"/>
  <c r="CJ360" i="1"/>
  <c r="CJ418" i="1"/>
  <c r="CU313" i="1"/>
  <c r="CU314" i="1"/>
  <c r="CQ271" i="1"/>
  <c r="CQ261" i="1"/>
  <c r="CQ260" i="1"/>
  <c r="CQ27" i="1"/>
  <c r="CP363" i="1"/>
  <c r="CP366" i="1"/>
  <c r="CP365" i="1"/>
  <c r="CU320" i="1"/>
  <c r="CU319" i="1"/>
  <c r="CT9" i="1"/>
  <c r="CT23" i="1"/>
  <c r="CQ238" i="1"/>
  <c r="CQ51" i="1"/>
  <c r="CQ52" i="1" s="1"/>
  <c r="CO360" i="1"/>
  <c r="CP12" i="1"/>
  <c r="CX253" i="1"/>
  <c r="CX254" i="1"/>
  <c r="CV166" i="1"/>
  <c r="CV18" i="1"/>
  <c r="CU253" i="1"/>
  <c r="CU254" i="1"/>
  <c r="CU415" i="1"/>
  <c r="CU88" i="1"/>
  <c r="CU91" i="1"/>
  <c r="CS416" i="1"/>
  <c r="CS415" i="1"/>
  <c r="CT117" i="1"/>
  <c r="CT314" i="1"/>
  <c r="CT313" i="1"/>
  <c r="CS163" i="1"/>
  <c r="CS230" i="1"/>
  <c r="CR94" i="1"/>
  <c r="CQ253" i="1"/>
  <c r="CQ254" i="1"/>
  <c r="CQ426" i="1"/>
  <c r="CP159" i="1"/>
  <c r="CQ159" i="1" s="1"/>
  <c r="CR159" i="1" s="1"/>
  <c r="CS159" i="1" s="1"/>
  <c r="CT159" i="1" s="1"/>
  <c r="CU159" i="1" s="1"/>
  <c r="CV159" i="1" s="1"/>
  <c r="CW159" i="1" s="1"/>
  <c r="CX159" i="1" s="1"/>
  <c r="CP157" i="1"/>
  <c r="CR169" i="1"/>
  <c r="CP94" i="1"/>
  <c r="CO139" i="1"/>
  <c r="CO140" i="1" s="1"/>
  <c r="CO137" i="1"/>
  <c r="CO133" i="1"/>
  <c r="CO134" i="1" s="1"/>
  <c r="CO238" i="1"/>
  <c r="CO51" i="1"/>
  <c r="CN363" i="1"/>
  <c r="CN366" i="1"/>
  <c r="CN365" i="1"/>
  <c r="CP21" i="1"/>
  <c r="CR271" i="1"/>
  <c r="CR261" i="1"/>
  <c r="CR260" i="1"/>
  <c r="CR27" i="1"/>
  <c r="CR326" i="1"/>
  <c r="CR324" i="1"/>
  <c r="CR325" i="1"/>
  <c r="CO373" i="1"/>
  <c r="CK253" i="1"/>
  <c r="CK254" i="1"/>
  <c r="CK260" i="1"/>
  <c r="CK261" i="1"/>
  <c r="CK278" i="1"/>
  <c r="CJ331" i="1"/>
  <c r="CJ330" i="1"/>
  <c r="CJ332" i="1"/>
  <c r="CI463" i="1"/>
  <c r="CI416" i="1"/>
  <c r="CI415" i="1"/>
  <c r="CR24" i="1"/>
  <c r="CR15" i="1"/>
  <c r="CT91" i="1"/>
  <c r="CT88" i="1"/>
  <c r="CS428" i="1"/>
  <c r="CS434" i="1"/>
  <c r="CS430" i="1"/>
  <c r="CS427" i="1"/>
  <c r="CQ345" i="1"/>
  <c r="CQ355" i="1"/>
  <c r="CQ343" i="1"/>
  <c r="CQ344" i="1" s="1"/>
  <c r="CP91" i="1"/>
  <c r="CP92" i="1" s="1"/>
  <c r="CP88" i="1"/>
  <c r="CW153" i="1"/>
  <c r="CW150" i="1"/>
  <c r="CW320" i="1"/>
  <c r="CW319" i="1"/>
  <c r="CW314" i="1"/>
  <c r="CW313" i="1"/>
  <c r="CX18" i="1"/>
  <c r="CX230" i="1"/>
  <c r="CX235" i="1"/>
  <c r="CX234" i="1"/>
  <c r="CW24" i="1"/>
  <c r="CW15" i="1"/>
  <c r="CU169" i="1"/>
  <c r="CT109" i="1"/>
  <c r="CT60" i="1"/>
  <c r="CS238" i="1"/>
  <c r="CS51" i="1"/>
  <c r="CS52" i="1" s="1"/>
  <c r="CS338" i="1"/>
  <c r="CS332" i="1"/>
  <c r="CS330" i="1"/>
  <c r="CS331" i="1"/>
  <c r="CS287" i="1"/>
  <c r="CS288" i="1"/>
  <c r="CS419" i="1"/>
  <c r="CQ292" i="1"/>
  <c r="CQ291" i="1"/>
  <c r="CQ294" i="1"/>
  <c r="CQ295" i="1"/>
  <c r="CR110" i="1"/>
  <c r="CS110" i="1" s="1"/>
  <c r="CT110" i="1" s="1"/>
  <c r="CU110" i="1" s="1"/>
  <c r="CV110" i="1" s="1"/>
  <c r="CW110" i="1" s="1"/>
  <c r="CX110" i="1" s="1"/>
  <c r="CR109" i="1"/>
  <c r="CR60" i="1"/>
  <c r="CR61" i="1" s="1"/>
  <c r="CQ331" i="1"/>
  <c r="CQ332" i="1"/>
  <c r="CQ330" i="1"/>
  <c r="CQ338" i="1"/>
  <c r="CQ326" i="1"/>
  <c r="CQ324" i="1"/>
  <c r="CQ325" i="1"/>
  <c r="CQ363" i="1"/>
  <c r="CQ364" i="1" s="1"/>
  <c r="CQ365" i="1"/>
  <c r="CQ366" i="1"/>
  <c r="CR314" i="1"/>
  <c r="CR312" i="1"/>
  <c r="CR313" i="1"/>
  <c r="CR291" i="1"/>
  <c r="CR294" i="1"/>
  <c r="CR295" i="1"/>
  <c r="CR292" i="1"/>
  <c r="CO426" i="1"/>
  <c r="CP230" i="1"/>
  <c r="CM430" i="1"/>
  <c r="CM428" i="1"/>
  <c r="CM434" i="1"/>
  <c r="CN153" i="1"/>
  <c r="CN154" i="1" s="1"/>
  <c r="CN150" i="1"/>
  <c r="CM261" i="1"/>
  <c r="CM260" i="1"/>
  <c r="CM87" i="1"/>
  <c r="CP373" i="1"/>
  <c r="CN230" i="1"/>
  <c r="CO469" i="1"/>
  <c r="CO471" i="1" s="1"/>
  <c r="CN386" i="1"/>
  <c r="CL326" i="1"/>
  <c r="CL324" i="1"/>
  <c r="CL325" i="1"/>
  <c r="CL312" i="1"/>
  <c r="CL314" i="1"/>
  <c r="CL313" i="1"/>
  <c r="CL419" i="1"/>
  <c r="CK373" i="1"/>
  <c r="CK465" i="1"/>
  <c r="CK467" i="1" s="1"/>
  <c r="CJ462" i="1"/>
  <c r="CJ378" i="1"/>
  <c r="CN278" i="1"/>
  <c r="CN280" i="1"/>
  <c r="CN279" i="1"/>
  <c r="CN324" i="1"/>
  <c r="CN325" i="1"/>
  <c r="CN326" i="1"/>
  <c r="CL345" i="1"/>
  <c r="CL343" i="1"/>
  <c r="CU137" i="1"/>
  <c r="CU133" i="1"/>
  <c r="CU134" i="1" s="1"/>
  <c r="CO261" i="1"/>
  <c r="CO260" i="1"/>
  <c r="CO271" i="1"/>
  <c r="CO27" i="1"/>
  <c r="CW177" i="1"/>
  <c r="CX177" i="1" s="1"/>
  <c r="CX130" i="1"/>
  <c r="CV88" i="1"/>
  <c r="CV91" i="1"/>
  <c r="CU465" i="1"/>
  <c r="CU467" i="1" s="1"/>
  <c r="CU23" i="1"/>
  <c r="CU9" i="1"/>
  <c r="CR18" i="1"/>
  <c r="CS443" i="1"/>
  <c r="CS355" i="1"/>
  <c r="CS345" i="1"/>
  <c r="CS343" i="1"/>
  <c r="CS344" i="1" s="1"/>
  <c r="CS109" i="1"/>
  <c r="CS60" i="1"/>
  <c r="CS61" i="1" s="1"/>
  <c r="CS166" i="1"/>
  <c r="CS462" i="1"/>
  <c r="CT465" i="1"/>
  <c r="CT467" i="1" s="1"/>
  <c r="CS245" i="1"/>
  <c r="CQ150" i="1"/>
  <c r="CQ153" i="1"/>
  <c r="CQ154" i="1" s="1"/>
  <c r="CR21" i="1"/>
  <c r="CQ91" i="1"/>
  <c r="CQ88" i="1"/>
  <c r="CR257" i="1"/>
  <c r="CQ373" i="1"/>
  <c r="CP294" i="1"/>
  <c r="CP295" i="1"/>
  <c r="CP292" i="1"/>
  <c r="CP291" i="1"/>
  <c r="CO253" i="1"/>
  <c r="CO254" i="1"/>
  <c r="CO291" i="1"/>
  <c r="CO292" i="1"/>
  <c r="CO294" i="1"/>
  <c r="CO295" i="1"/>
  <c r="CO91" i="1"/>
  <c r="CO88" i="1"/>
  <c r="CO287" i="1"/>
  <c r="CO288" i="1"/>
  <c r="CR287" i="1"/>
  <c r="CR288" i="1"/>
  <c r="CM278" i="1"/>
  <c r="CM279" i="1"/>
  <c r="CM280" i="1"/>
  <c r="CP360" i="1"/>
  <c r="CN373" i="1"/>
  <c r="CN163" i="1"/>
  <c r="CN343" i="1"/>
  <c r="CN344" i="1" s="1"/>
  <c r="CN345" i="1"/>
  <c r="CN355" i="1"/>
  <c r="CM469" i="1"/>
  <c r="CM471" i="1" s="1"/>
  <c r="CL462" i="1"/>
  <c r="CM465" i="1"/>
  <c r="CM467" i="1" s="1"/>
  <c r="CL238" i="1"/>
  <c r="CL51" i="1"/>
  <c r="CL365" i="1"/>
  <c r="CL366" i="1"/>
  <c r="CL363" i="1"/>
  <c r="CL364" i="1" s="1"/>
  <c r="CJ343" i="1"/>
  <c r="CJ344" i="1" s="1"/>
  <c r="CJ345" i="1"/>
  <c r="CI238" i="1"/>
  <c r="CI51" i="1"/>
  <c r="CR339" i="1" l="1"/>
  <c r="CR340" i="1"/>
  <c r="CN82" i="1"/>
  <c r="CL293" i="1"/>
  <c r="AG63" i="1"/>
  <c r="AG54" i="1" s="1"/>
  <c r="AH63" i="1"/>
  <c r="AH54" i="1" s="1"/>
  <c r="AF63" i="1"/>
  <c r="AF54" i="1" s="1"/>
  <c r="AE63" i="1"/>
  <c r="AE54" i="1" s="1"/>
  <c r="CM54" i="1" s="1"/>
  <c r="CN55" i="1" s="1"/>
  <c r="CK344" i="1"/>
  <c r="CN85" i="1"/>
  <c r="CR92" i="1"/>
  <c r="CK427" i="1"/>
  <c r="CK430" i="1"/>
  <c r="CK428" i="1"/>
  <c r="CK434" i="1"/>
  <c r="CK435" i="1" s="1"/>
  <c r="CP139" i="1"/>
  <c r="CJ437" i="1"/>
  <c r="CJ431" i="1"/>
  <c r="CJ432" i="1"/>
  <c r="AR63" i="1"/>
  <c r="CP52" i="1"/>
  <c r="AS63" i="1"/>
  <c r="AT63" i="1"/>
  <c r="AQ63" i="1"/>
  <c r="CR434" i="1"/>
  <c r="CR430" i="1"/>
  <c r="CR427" i="1"/>
  <c r="CR428" i="1"/>
  <c r="CU61" i="1"/>
  <c r="CI437" i="1"/>
  <c r="CI438" i="1" s="1"/>
  <c r="CI431" i="1"/>
  <c r="CI432" i="1"/>
  <c r="CR293" i="1"/>
  <c r="CR308" i="1"/>
  <c r="CR309" i="1" s="1"/>
  <c r="CO92" i="1"/>
  <c r="CQ92" i="1"/>
  <c r="CS357" i="1"/>
  <c r="CS356" i="1"/>
  <c r="CO273" i="1"/>
  <c r="CO272" i="1"/>
  <c r="CS432" i="1"/>
  <c r="CS437" i="1"/>
  <c r="CS431" i="1"/>
  <c r="CN273" i="1"/>
  <c r="CN272" i="1"/>
  <c r="CX154" i="1"/>
  <c r="CW61" i="1"/>
  <c r="CU154" i="1"/>
  <c r="CR52" i="1"/>
  <c r="CS293" i="1"/>
  <c r="CS308" i="1"/>
  <c r="CS309" i="1" s="1"/>
  <c r="CN339" i="1"/>
  <c r="CN340" i="1"/>
  <c r="CN52" i="1"/>
  <c r="CT340" i="1"/>
  <c r="CT339" i="1"/>
  <c r="CO308" i="1"/>
  <c r="CO309" i="1" s="1"/>
  <c r="CO293" i="1"/>
  <c r="CM431" i="1"/>
  <c r="CM432" i="1"/>
  <c r="CM437" i="1"/>
  <c r="CT61" i="1"/>
  <c r="CS435" i="1"/>
  <c r="CR273" i="1"/>
  <c r="CR272" i="1"/>
  <c r="CT435" i="1"/>
  <c r="CN437" i="1"/>
  <c r="CN438" i="1" s="1"/>
  <c r="CN431" i="1"/>
  <c r="CN432" i="1"/>
  <c r="CR356" i="1"/>
  <c r="CR357" i="1"/>
  <c r="CM364" i="1"/>
  <c r="CK293" i="1"/>
  <c r="CS339" i="1"/>
  <c r="CS340" i="1"/>
  <c r="CL428" i="1"/>
  <c r="CL430" i="1"/>
  <c r="CL427" i="1"/>
  <c r="CL434" i="1"/>
  <c r="CL435" i="1" s="1"/>
  <c r="CR364" i="1"/>
  <c r="CP134" i="1"/>
  <c r="CQ434" i="1"/>
  <c r="CQ435" i="1" s="1"/>
  <c r="CQ430" i="1"/>
  <c r="CQ428" i="1"/>
  <c r="CQ427" i="1"/>
  <c r="CT431" i="1"/>
  <c r="CT437" i="1"/>
  <c r="CN435" i="1"/>
  <c r="CR344" i="1"/>
  <c r="CQ273" i="1"/>
  <c r="CQ272" i="1"/>
  <c r="CR154" i="1"/>
  <c r="CO434" i="1"/>
  <c r="CO435" i="1" s="1"/>
  <c r="CO428" i="1"/>
  <c r="CO427" i="1"/>
  <c r="CO430" i="1"/>
  <c r="CT92" i="1"/>
  <c r="CU92" i="1"/>
  <c r="CP364" i="1"/>
  <c r="CS273" i="1"/>
  <c r="CS272" i="1"/>
  <c r="CJ364" i="1"/>
  <c r="CO357" i="1"/>
  <c r="CO356" i="1"/>
  <c r="CO154" i="1"/>
  <c r="CQ293" i="1"/>
  <c r="CQ308" i="1"/>
  <c r="CQ309" i="1" s="1"/>
  <c r="CW154" i="1"/>
  <c r="CP434" i="1"/>
  <c r="CP428" i="1"/>
  <c r="CP430" i="1"/>
  <c r="CP427" i="1"/>
  <c r="CQ134" i="1"/>
  <c r="CO339" i="1"/>
  <c r="CO340" i="1"/>
  <c r="CS154" i="1"/>
  <c r="CP357" i="1"/>
  <c r="CP356" i="1"/>
  <c r="CN356" i="1"/>
  <c r="CN357" i="1"/>
  <c r="CQ356" i="1"/>
  <c r="CQ357" i="1"/>
  <c r="CL54" i="1"/>
  <c r="AC63" i="1"/>
  <c r="AC54" i="1" s="1"/>
  <c r="AB63" i="1"/>
  <c r="AB54" i="1" s="1"/>
  <c r="AD63" i="1"/>
  <c r="AD54" i="1" s="1"/>
  <c r="AA63" i="1"/>
  <c r="AA54" i="1" s="1"/>
  <c r="CP293" i="1"/>
  <c r="CP308" i="1"/>
  <c r="CP309" i="1" s="1"/>
  <c r="CL344" i="1"/>
  <c r="CQ340" i="1"/>
  <c r="CQ339" i="1"/>
  <c r="CN364" i="1"/>
  <c r="CV92" i="1"/>
  <c r="CO52" i="1"/>
  <c r="AO63" i="1"/>
  <c r="AP63" i="1"/>
  <c r="AN63" i="1"/>
  <c r="AM63" i="1"/>
  <c r="CM344" i="1"/>
  <c r="CP272" i="1"/>
  <c r="CP273" i="1"/>
  <c r="CN308" i="1"/>
  <c r="CN309" i="1" s="1"/>
  <c r="CN293" i="1"/>
  <c r="CW134" i="1"/>
  <c r="CR134" i="1"/>
  <c r="CO344" i="1"/>
  <c r="CT134" i="1"/>
  <c r="CP339" i="1"/>
  <c r="CP340" i="1"/>
  <c r="AS64" i="1" l="1"/>
  <c r="AS84" i="1"/>
  <c r="AS54" i="1"/>
  <c r="AS55" i="1" s="1"/>
  <c r="AQ84" i="1"/>
  <c r="AQ64" i="1"/>
  <c r="AQ54" i="1"/>
  <c r="AP84" i="1"/>
  <c r="AP64" i="1"/>
  <c r="AP54" i="1"/>
  <c r="AP55" i="1" s="1"/>
  <c r="AO84" i="1"/>
  <c r="AO64" i="1"/>
  <c r="AO54" i="1"/>
  <c r="AO55" i="1" s="1"/>
  <c r="CL437" i="1"/>
  <c r="CL431" i="1"/>
  <c r="CL432" i="1"/>
  <c r="CJ438" i="1"/>
  <c r="AR84" i="1"/>
  <c r="AR64" i="1"/>
  <c r="AR54" i="1"/>
  <c r="AR55" i="1" s="1"/>
  <c r="AT64" i="1"/>
  <c r="AT84" i="1"/>
  <c r="AT54" i="1"/>
  <c r="CM435" i="1"/>
  <c r="CP140" i="1"/>
  <c r="CQ139" i="1"/>
  <c r="CQ432" i="1"/>
  <c r="CQ437" i="1"/>
  <c r="CQ431" i="1"/>
  <c r="AM64" i="1"/>
  <c r="AM84" i="1"/>
  <c r="AM54" i="1"/>
  <c r="AN84" i="1"/>
  <c r="AN64" i="1"/>
  <c r="AN54" i="1"/>
  <c r="AN55" i="1" s="1"/>
  <c r="CS438" i="1"/>
  <c r="CP432" i="1"/>
  <c r="CP431" i="1"/>
  <c r="CP437" i="1"/>
  <c r="CP438" i="1" s="1"/>
  <c r="CT438" i="1"/>
  <c r="CP435" i="1"/>
  <c r="CR437" i="1"/>
  <c r="CR432" i="1"/>
  <c r="CR431" i="1"/>
  <c r="CO432" i="1"/>
  <c r="CO437" i="1"/>
  <c r="CO438" i="1" s="1"/>
  <c r="CO431" i="1"/>
  <c r="CM438" i="1"/>
  <c r="CR435" i="1"/>
  <c r="CK437" i="1"/>
  <c r="CK438" i="1" s="1"/>
  <c r="CK431" i="1"/>
  <c r="CK432" i="1"/>
  <c r="CQ438" i="1" l="1"/>
  <c r="AP65" i="1"/>
  <c r="AP81" i="1"/>
  <c r="AP85" i="1"/>
  <c r="AQ81" i="1"/>
  <c r="AU84" i="1"/>
  <c r="AQ65" i="1"/>
  <c r="AQ85" i="1"/>
  <c r="CP84" i="1"/>
  <c r="AT55" i="1"/>
  <c r="AN81" i="1"/>
  <c r="AN85" i="1"/>
  <c r="AN65" i="1"/>
  <c r="AT65" i="1"/>
  <c r="AT85" i="1"/>
  <c r="AT81" i="1"/>
  <c r="AX85" i="1"/>
  <c r="AR81" i="1"/>
  <c r="AV84" i="1"/>
  <c r="AR65" i="1"/>
  <c r="AR85" i="1"/>
  <c r="AQ55" i="1"/>
  <c r="CP54" i="1"/>
  <c r="CP55" i="1" s="1"/>
  <c r="CQ140" i="1"/>
  <c r="CR139" i="1"/>
  <c r="AM55" i="1"/>
  <c r="CO54" i="1"/>
  <c r="CO55" i="1" s="1"/>
  <c r="AO81" i="1"/>
  <c r="AO85" i="1"/>
  <c r="AO65" i="1"/>
  <c r="AW85" i="1"/>
  <c r="AS65" i="1"/>
  <c r="AS85" i="1"/>
  <c r="AS81" i="1"/>
  <c r="CL438" i="1"/>
  <c r="CR438" i="1"/>
  <c r="AM85" i="1"/>
  <c r="AM81" i="1"/>
  <c r="AM65" i="1"/>
  <c r="CO84" i="1"/>
  <c r="AS275" i="1" l="1"/>
  <c r="AS277" i="1" s="1"/>
  <c r="AS82" i="1"/>
  <c r="AW82" i="1"/>
  <c r="AS197" i="1"/>
  <c r="AN275" i="1"/>
  <c r="AN277" i="1" s="1"/>
  <c r="AN82" i="1"/>
  <c r="AN197" i="1"/>
  <c r="AV81" i="1"/>
  <c r="AV65" i="1"/>
  <c r="AZ84" i="1"/>
  <c r="AQ66" i="1"/>
  <c r="CP65" i="1"/>
  <c r="CP66" i="1" s="1"/>
  <c r="AQ67" i="1"/>
  <c r="AS66" i="1"/>
  <c r="AW66" i="1"/>
  <c r="AS67" i="1"/>
  <c r="AR66" i="1"/>
  <c r="AR67" i="1"/>
  <c r="AU65" i="1"/>
  <c r="AY84" i="1"/>
  <c r="AU81" i="1"/>
  <c r="CQ84" i="1"/>
  <c r="AP275" i="1"/>
  <c r="AP277" i="1" s="1"/>
  <c r="AP82" i="1"/>
  <c r="AP197" i="1"/>
  <c r="CO85" i="1"/>
  <c r="CO81" i="1"/>
  <c r="CO82" i="1" s="1"/>
  <c r="AO275" i="1"/>
  <c r="AO277" i="1" s="1"/>
  <c r="AO82" i="1"/>
  <c r="AO197" i="1"/>
  <c r="AM66" i="1"/>
  <c r="CO65" i="1"/>
  <c r="CO66" i="1" s="1"/>
  <c r="AM67" i="1"/>
  <c r="AT66" i="1"/>
  <c r="AX66" i="1"/>
  <c r="AT67" i="1"/>
  <c r="AP66" i="1"/>
  <c r="AP67" i="1"/>
  <c r="CP85" i="1"/>
  <c r="CP81" i="1"/>
  <c r="CP82" i="1" s="1"/>
  <c r="AO66" i="1"/>
  <c r="AO67" i="1"/>
  <c r="AR275" i="1"/>
  <c r="AR277" i="1" s="1"/>
  <c r="AR82" i="1"/>
  <c r="AR197" i="1"/>
  <c r="AQ275" i="1"/>
  <c r="AQ82" i="1"/>
  <c r="AQ197" i="1"/>
  <c r="AT275" i="1"/>
  <c r="AT277" i="1" s="1"/>
  <c r="AT82" i="1"/>
  <c r="AT197" i="1"/>
  <c r="AX82" i="1"/>
  <c r="AM275" i="1"/>
  <c r="AM82" i="1"/>
  <c r="AM197" i="1"/>
  <c r="CR140" i="1"/>
  <c r="CS139" i="1"/>
  <c r="AN66" i="1"/>
  <c r="AN67" i="1"/>
  <c r="CQ81" i="1" l="1"/>
  <c r="CQ82" i="1" s="1"/>
  <c r="CQ85" i="1"/>
  <c r="AZ81" i="1"/>
  <c r="AZ65" i="1"/>
  <c r="AY65" i="1"/>
  <c r="AY81" i="1"/>
  <c r="CR84" i="1"/>
  <c r="AV275" i="1"/>
  <c r="AV277" i="1" s="1"/>
  <c r="AV82" i="1"/>
  <c r="AV197" i="1"/>
  <c r="AP281" i="1"/>
  <c r="AP280" i="1"/>
  <c r="AP279" i="1"/>
  <c r="AP278" i="1"/>
  <c r="AT68" i="1"/>
  <c r="AT146" i="1"/>
  <c r="CS140" i="1"/>
  <c r="CT139" i="1"/>
  <c r="AU275" i="1"/>
  <c r="AU82" i="1"/>
  <c r="AU197" i="1"/>
  <c r="AR146" i="1"/>
  <c r="AR68" i="1"/>
  <c r="AN146" i="1"/>
  <c r="AN68" i="1"/>
  <c r="AM146" i="1"/>
  <c r="AM68" i="1"/>
  <c r="CO67" i="1"/>
  <c r="CO68" i="1" s="1"/>
  <c r="AV66" i="1"/>
  <c r="AU66" i="1"/>
  <c r="CQ65" i="1"/>
  <c r="CQ66" i="1" s="1"/>
  <c r="AM277" i="1"/>
  <c r="CO275" i="1"/>
  <c r="AO279" i="1"/>
  <c r="AO278" i="1"/>
  <c r="AO280" i="1"/>
  <c r="AO281" i="1"/>
  <c r="AS146" i="1"/>
  <c r="AS68" i="1"/>
  <c r="AQ277" i="1"/>
  <c r="CP275" i="1"/>
  <c r="AR280" i="1"/>
  <c r="AR279" i="1"/>
  <c r="AR278" i="1"/>
  <c r="AN280" i="1"/>
  <c r="AN278" i="1"/>
  <c r="AN279" i="1"/>
  <c r="AO146" i="1"/>
  <c r="AO68" i="1"/>
  <c r="AP146" i="1"/>
  <c r="AP68" i="1"/>
  <c r="AT279" i="1"/>
  <c r="AT280" i="1"/>
  <c r="AT281" i="1"/>
  <c r="AT278" i="1"/>
  <c r="AX279" i="1"/>
  <c r="AX280" i="1"/>
  <c r="AQ146" i="1"/>
  <c r="AQ68" i="1"/>
  <c r="CP67" i="1"/>
  <c r="CP68" i="1" s="1"/>
  <c r="AS281" i="1"/>
  <c r="AS279" i="1"/>
  <c r="AS280" i="1"/>
  <c r="AS278" i="1"/>
  <c r="AW280" i="1"/>
  <c r="AW279" i="1"/>
  <c r="AM278" i="1" l="1"/>
  <c r="AM279" i="1"/>
  <c r="AM281" i="1"/>
  <c r="AM280" i="1"/>
  <c r="CO277" i="1"/>
  <c r="AQ279" i="1"/>
  <c r="AQ280" i="1"/>
  <c r="AQ281" i="1"/>
  <c r="AQ278" i="1"/>
  <c r="CP277" i="1"/>
  <c r="AN281" i="1"/>
  <c r="AQ147" i="1"/>
  <c r="AQ143" i="1"/>
  <c r="AU146" i="1"/>
  <c r="AQ126" i="1"/>
  <c r="CP146" i="1"/>
  <c r="CR81" i="1"/>
  <c r="CR82" i="1" s="1"/>
  <c r="CR85" i="1"/>
  <c r="AY275" i="1"/>
  <c r="BC81" i="1"/>
  <c r="AY82" i="1"/>
  <c r="AY197" i="1"/>
  <c r="AY66" i="1"/>
  <c r="CR65" i="1"/>
  <c r="CR66" i="1" s="1"/>
  <c r="AO126" i="1"/>
  <c r="AO127" i="1" s="1"/>
  <c r="AO143" i="1"/>
  <c r="AO147" i="1"/>
  <c r="AV280" i="1"/>
  <c r="AV279" i="1"/>
  <c r="AV278" i="1"/>
  <c r="AW281" i="1"/>
  <c r="AT143" i="1"/>
  <c r="AX146" i="1"/>
  <c r="AT147" i="1"/>
  <c r="AT126" i="1"/>
  <c r="AM147" i="1"/>
  <c r="AM143" i="1"/>
  <c r="AM126" i="1"/>
  <c r="CO146" i="1"/>
  <c r="CO147" i="1" s="1"/>
  <c r="AZ66" i="1"/>
  <c r="AU277" i="1"/>
  <c r="CQ275" i="1"/>
  <c r="AS143" i="1"/>
  <c r="AW146" i="1"/>
  <c r="AS126" i="1"/>
  <c r="AS147" i="1"/>
  <c r="AZ275" i="1"/>
  <c r="AZ277" i="1" s="1"/>
  <c r="BD81" i="1"/>
  <c r="AZ82" i="1"/>
  <c r="AZ197" i="1"/>
  <c r="AR147" i="1"/>
  <c r="AR143" i="1"/>
  <c r="AV146" i="1"/>
  <c r="AR126" i="1"/>
  <c r="AR127" i="1" s="1"/>
  <c r="CT140" i="1"/>
  <c r="CU139" i="1"/>
  <c r="AN147" i="1"/>
  <c r="AN143" i="1"/>
  <c r="AN126" i="1"/>
  <c r="AN127" i="1" s="1"/>
  <c r="AP126" i="1"/>
  <c r="AP127" i="1" s="1"/>
  <c r="AP147" i="1"/>
  <c r="AP143" i="1"/>
  <c r="AR281" i="1"/>
  <c r="CP278" i="1" l="1"/>
  <c r="CP279" i="1"/>
  <c r="CP280" i="1"/>
  <c r="AV143" i="1"/>
  <c r="AZ146" i="1"/>
  <c r="AV126" i="1"/>
  <c r="AV127" i="1" s="1"/>
  <c r="AV67" i="1"/>
  <c r="AU279" i="1"/>
  <c r="AU278" i="1"/>
  <c r="AU281" i="1"/>
  <c r="AU280" i="1"/>
  <c r="CQ277" i="1"/>
  <c r="AV281" i="1"/>
  <c r="BC275" i="1"/>
  <c r="BC84" i="1"/>
  <c r="BC197" i="1"/>
  <c r="AR144" i="1"/>
  <c r="AR123" i="1"/>
  <c r="AR198" i="1"/>
  <c r="AR196" i="1" s="1"/>
  <c r="AY277" i="1"/>
  <c r="CR275" i="1"/>
  <c r="CP147" i="1"/>
  <c r="CO279" i="1"/>
  <c r="CO278" i="1"/>
  <c r="CO280" i="1"/>
  <c r="AO123" i="1"/>
  <c r="AO124" i="1" s="1"/>
  <c r="AO144" i="1"/>
  <c r="AO198" i="1"/>
  <c r="AO196" i="1" s="1"/>
  <c r="AZ278" i="1"/>
  <c r="AZ279" i="1"/>
  <c r="AZ280" i="1"/>
  <c r="BA281" i="1"/>
  <c r="AT144" i="1"/>
  <c r="AT123" i="1"/>
  <c r="AT124" i="1" s="1"/>
  <c r="AT198" i="1"/>
  <c r="AT196" i="1" s="1"/>
  <c r="AQ144" i="1"/>
  <c r="AQ123" i="1"/>
  <c r="AQ198" i="1"/>
  <c r="AQ196" i="1" s="1"/>
  <c r="CP143" i="1"/>
  <c r="AS144" i="1"/>
  <c r="AS123" i="1"/>
  <c r="AS124" i="1" s="1"/>
  <c r="AS198" i="1"/>
  <c r="AS196" i="1" s="1"/>
  <c r="AP144" i="1"/>
  <c r="AP123" i="1"/>
  <c r="AP124" i="1" s="1"/>
  <c r="AP198" i="1"/>
  <c r="AP196" i="1" s="1"/>
  <c r="AM127" i="1"/>
  <c r="CO126" i="1"/>
  <c r="CO127" i="1" s="1"/>
  <c r="AM123" i="1"/>
  <c r="AM144" i="1"/>
  <c r="AM198" i="1"/>
  <c r="AM196" i="1" s="1"/>
  <c r="CO143" i="1"/>
  <c r="CO144" i="1" s="1"/>
  <c r="AQ127" i="1"/>
  <c r="CP126" i="1"/>
  <c r="CP127" i="1" s="1"/>
  <c r="AU143" i="1"/>
  <c r="AY146" i="1"/>
  <c r="AU67" i="1"/>
  <c r="AU126" i="1"/>
  <c r="CQ146" i="1"/>
  <c r="CQ147" i="1" s="1"/>
  <c r="AN123" i="1"/>
  <c r="AN124" i="1" s="1"/>
  <c r="AN144" i="1"/>
  <c r="AN198" i="1"/>
  <c r="AN196" i="1" s="1"/>
  <c r="AS127" i="1"/>
  <c r="BD275" i="1"/>
  <c r="BD277" i="1" s="1"/>
  <c r="BD84" i="1"/>
  <c r="BD197" i="1"/>
  <c r="AT127" i="1"/>
  <c r="CU140" i="1"/>
  <c r="CV139" i="1"/>
  <c r="BA146" i="1"/>
  <c r="AW126" i="1"/>
  <c r="AW127" i="1" s="1"/>
  <c r="AW143" i="1"/>
  <c r="AW67" i="1"/>
  <c r="BB146" i="1"/>
  <c r="AX126" i="1"/>
  <c r="AX127" i="1" s="1"/>
  <c r="AX67" i="1"/>
  <c r="AX143" i="1"/>
  <c r="AU68" i="1" l="1"/>
  <c r="CQ67" i="1"/>
  <c r="CQ68" i="1" s="1"/>
  <c r="AU63" i="1"/>
  <c r="AY281" i="1"/>
  <c r="AY280" i="1"/>
  <c r="AY278" i="1"/>
  <c r="AY279" i="1"/>
  <c r="CR277" i="1"/>
  <c r="AU144" i="1"/>
  <c r="AU123" i="1"/>
  <c r="AU198" i="1"/>
  <c r="AU196" i="1" s="1"/>
  <c r="CQ143" i="1"/>
  <c r="CQ144" i="1" s="1"/>
  <c r="AV68" i="1"/>
  <c r="AV63" i="1"/>
  <c r="BA126" i="1"/>
  <c r="BA127" i="1" s="1"/>
  <c r="BA67" i="1"/>
  <c r="BA143" i="1"/>
  <c r="BC146" i="1"/>
  <c r="AY67" i="1"/>
  <c r="AY143" i="1"/>
  <c r="AY126" i="1"/>
  <c r="CR146" i="1"/>
  <c r="CR147" i="1" s="1"/>
  <c r="BD85" i="1"/>
  <c r="BH84" i="1"/>
  <c r="BD65" i="1"/>
  <c r="AR124" i="1"/>
  <c r="AX68" i="1"/>
  <c r="AX63" i="1"/>
  <c r="BD280" i="1"/>
  <c r="BD278" i="1"/>
  <c r="BD279" i="1"/>
  <c r="BH280" i="1"/>
  <c r="BH279" i="1"/>
  <c r="BE281" i="1"/>
  <c r="BD146" i="1"/>
  <c r="AZ143" i="1"/>
  <c r="AZ67" i="1"/>
  <c r="AZ126" i="1"/>
  <c r="AZ127" i="1" s="1"/>
  <c r="CP144" i="1"/>
  <c r="AV144" i="1"/>
  <c r="AV123" i="1"/>
  <c r="AV124" i="1" s="1"/>
  <c r="AV198" i="1"/>
  <c r="AV196" i="1" s="1"/>
  <c r="BB126" i="1"/>
  <c r="BB127" i="1" s="1"/>
  <c r="BB67" i="1"/>
  <c r="BB143" i="1"/>
  <c r="BF146" i="1"/>
  <c r="BC85" i="1"/>
  <c r="BG84" i="1"/>
  <c r="BC65" i="1"/>
  <c r="CS84" i="1"/>
  <c r="AU127" i="1"/>
  <c r="CQ126" i="1"/>
  <c r="CQ127" i="1" s="1"/>
  <c r="AZ281" i="1"/>
  <c r="AW68" i="1"/>
  <c r="AW63" i="1"/>
  <c r="BC277" i="1"/>
  <c r="CS275" i="1"/>
  <c r="CV140" i="1"/>
  <c r="CW139" i="1"/>
  <c r="AX123" i="1"/>
  <c r="AX124" i="1" s="1"/>
  <c r="AX144" i="1"/>
  <c r="AX198" i="1"/>
  <c r="AX196" i="1" s="1"/>
  <c r="AQ124" i="1"/>
  <c r="CP123" i="1"/>
  <c r="CP124" i="1" s="1"/>
  <c r="AW123" i="1"/>
  <c r="AW124" i="1" s="1"/>
  <c r="AW144" i="1"/>
  <c r="AW198" i="1"/>
  <c r="AW196" i="1" s="1"/>
  <c r="AM124" i="1"/>
  <c r="CO123" i="1"/>
  <c r="CO124" i="1" s="1"/>
  <c r="CQ280" i="1"/>
  <c r="CQ279" i="1"/>
  <c r="CQ278" i="1"/>
  <c r="AW64" i="1" l="1"/>
  <c r="AW54" i="1"/>
  <c r="AW55" i="1" s="1"/>
  <c r="AY127" i="1"/>
  <c r="CR126" i="1"/>
  <c r="CR127" i="1" s="1"/>
  <c r="BB123" i="1"/>
  <c r="BB124" i="1" s="1"/>
  <c r="BB144" i="1"/>
  <c r="BB198" i="1"/>
  <c r="BB196" i="1" s="1"/>
  <c r="BC281" i="1"/>
  <c r="BC280" i="1"/>
  <c r="BC279" i="1"/>
  <c r="BC278" i="1"/>
  <c r="BG279" i="1"/>
  <c r="BG280" i="1"/>
  <c r="CS277" i="1"/>
  <c r="BB68" i="1"/>
  <c r="BB63" i="1"/>
  <c r="AU124" i="1"/>
  <c r="CQ123" i="1"/>
  <c r="CQ124" i="1" s="1"/>
  <c r="AY123" i="1"/>
  <c r="AY144" i="1"/>
  <c r="AY198" i="1"/>
  <c r="AY196" i="1" s="1"/>
  <c r="CR143" i="1"/>
  <c r="CR144" i="1" s="1"/>
  <c r="AY68" i="1"/>
  <c r="CR67" i="1"/>
  <c r="CR68" i="1" s="1"/>
  <c r="AY63" i="1"/>
  <c r="BD281" i="1"/>
  <c r="BC143" i="1"/>
  <c r="BG146" i="1"/>
  <c r="BC126" i="1"/>
  <c r="BC67" i="1"/>
  <c r="CR278" i="1"/>
  <c r="CR279" i="1"/>
  <c r="CR280" i="1"/>
  <c r="BA123" i="1"/>
  <c r="BA124" i="1" s="1"/>
  <c r="BE143" i="1"/>
  <c r="BA144" i="1"/>
  <c r="BA198" i="1"/>
  <c r="BA196" i="1" s="1"/>
  <c r="CS81" i="1"/>
  <c r="CS82" i="1" s="1"/>
  <c r="CS85" i="1"/>
  <c r="AX64" i="1"/>
  <c r="AX54" i="1"/>
  <c r="AX55" i="1" s="1"/>
  <c r="BA68" i="1"/>
  <c r="BA63" i="1"/>
  <c r="BC66" i="1"/>
  <c r="BC63" i="1"/>
  <c r="CS65" i="1"/>
  <c r="CS66" i="1" s="1"/>
  <c r="BG65" i="1"/>
  <c r="BK84" i="1"/>
  <c r="BG81" i="1"/>
  <c r="BG82" i="1" s="1"/>
  <c r="CT84" i="1"/>
  <c r="AZ68" i="1"/>
  <c r="AZ63" i="1"/>
  <c r="AV64" i="1"/>
  <c r="AV54" i="1"/>
  <c r="AV55" i="1" s="1"/>
  <c r="AU64" i="1"/>
  <c r="AU54" i="1"/>
  <c r="CQ63" i="1"/>
  <c r="CQ64" i="1" s="1"/>
  <c r="CW140" i="1"/>
  <c r="CX139" i="1"/>
  <c r="CX140" i="1" s="1"/>
  <c r="AZ123" i="1"/>
  <c r="AZ124" i="1" s="1"/>
  <c r="AZ144" i="1"/>
  <c r="AZ198" i="1"/>
  <c r="AZ196" i="1" s="1"/>
  <c r="BD66" i="1"/>
  <c r="BJ146" i="1"/>
  <c r="BF126" i="1"/>
  <c r="BF127" i="1" s="1"/>
  <c r="BF143" i="1"/>
  <c r="BF67" i="1"/>
  <c r="BD143" i="1"/>
  <c r="BD126" i="1"/>
  <c r="BD127" i="1" s="1"/>
  <c r="BD67" i="1"/>
  <c r="BD68" i="1" s="1"/>
  <c r="BH146" i="1"/>
  <c r="BL84" i="1"/>
  <c r="BH65" i="1"/>
  <c r="BH81" i="1"/>
  <c r="BH82" i="1" s="1"/>
  <c r="BA64" i="1" l="1"/>
  <c r="BA54" i="1"/>
  <c r="BA55" i="1" s="1"/>
  <c r="AU55" i="1"/>
  <c r="CQ54" i="1"/>
  <c r="CQ55" i="1" s="1"/>
  <c r="BF144" i="1"/>
  <c r="BF123" i="1"/>
  <c r="BF124" i="1" s="1"/>
  <c r="BF198" i="1"/>
  <c r="BF196" i="1" s="1"/>
  <c r="AY124" i="1"/>
  <c r="CR123" i="1"/>
  <c r="CR124" i="1" s="1"/>
  <c r="BN146" i="1"/>
  <c r="BJ143" i="1"/>
  <c r="BJ126" i="1"/>
  <c r="BJ127" i="1" s="1"/>
  <c r="BJ67" i="1"/>
  <c r="BC68" i="1"/>
  <c r="AZ64" i="1"/>
  <c r="AZ54" i="1"/>
  <c r="AZ55" i="1" s="1"/>
  <c r="BC127" i="1"/>
  <c r="BE146" i="1"/>
  <c r="BE123" i="1"/>
  <c r="BE124" i="1" s="1"/>
  <c r="BE198" i="1"/>
  <c r="BE196" i="1" s="1"/>
  <c r="BD63" i="1"/>
  <c r="CT85" i="1"/>
  <c r="CT81" i="1"/>
  <c r="CT82" i="1" s="1"/>
  <c r="BC123" i="1"/>
  <c r="BC144" i="1"/>
  <c r="BC198" i="1"/>
  <c r="BC196" i="1" s="1"/>
  <c r="CS143" i="1"/>
  <c r="CS144" i="1" s="1"/>
  <c r="BC64" i="1"/>
  <c r="BC54" i="1"/>
  <c r="BF68" i="1"/>
  <c r="BF63" i="1"/>
  <c r="BG143" i="1"/>
  <c r="BK146" i="1"/>
  <c r="BG67" i="1"/>
  <c r="BG126" i="1"/>
  <c r="BB64" i="1"/>
  <c r="BB54" i="1"/>
  <c r="BB55" i="1" s="1"/>
  <c r="BH66" i="1"/>
  <c r="BL65" i="1"/>
  <c r="BL81" i="1"/>
  <c r="BL82" i="1" s="1"/>
  <c r="BP84" i="1"/>
  <c r="BG63" i="1"/>
  <c r="BG66" i="1"/>
  <c r="CT65" i="1"/>
  <c r="CT66" i="1" s="1"/>
  <c r="BD144" i="1"/>
  <c r="BD123" i="1"/>
  <c r="BD124" i="1" s="1"/>
  <c r="BD198" i="1"/>
  <c r="BD196" i="1" s="1"/>
  <c r="CS280" i="1"/>
  <c r="CS279" i="1"/>
  <c r="CS278" i="1"/>
  <c r="BH143" i="1"/>
  <c r="BL146" i="1"/>
  <c r="BH67" i="1"/>
  <c r="BH68" i="1" s="1"/>
  <c r="BH126" i="1"/>
  <c r="BH127" i="1" s="1"/>
  <c r="BK65" i="1"/>
  <c r="BK81" i="1"/>
  <c r="BK82" i="1" s="1"/>
  <c r="BO84" i="1"/>
  <c r="CU84" i="1"/>
  <c r="AY64" i="1"/>
  <c r="AY54" i="1"/>
  <c r="CR63" i="1"/>
  <c r="CR64" i="1" s="1"/>
  <c r="BN126" i="1" l="1"/>
  <c r="BN127" i="1" s="1"/>
  <c r="BR146" i="1"/>
  <c r="BN67" i="1"/>
  <c r="BN143" i="1"/>
  <c r="BH144" i="1"/>
  <c r="BH123" i="1"/>
  <c r="BH124" i="1" s="1"/>
  <c r="BG144" i="1"/>
  <c r="BG123" i="1"/>
  <c r="BL126" i="1"/>
  <c r="BL127" i="1" s="1"/>
  <c r="BP146" i="1"/>
  <c r="BL67" i="1"/>
  <c r="BL68" i="1" s="1"/>
  <c r="BL143" i="1"/>
  <c r="BH63" i="1"/>
  <c r="BO146" i="1"/>
  <c r="BK126" i="1"/>
  <c r="BK143" i="1"/>
  <c r="BK67" i="1"/>
  <c r="BD64" i="1"/>
  <c r="BD54" i="1"/>
  <c r="BD55" i="1" s="1"/>
  <c r="BP81" i="1"/>
  <c r="BP82" i="1" s="1"/>
  <c r="BT84" i="1"/>
  <c r="BP65" i="1"/>
  <c r="CU81" i="1"/>
  <c r="CU82" i="1" s="1"/>
  <c r="CU85" i="1"/>
  <c r="BK66" i="1"/>
  <c r="CU65" i="1"/>
  <c r="CU66" i="1" s="1"/>
  <c r="BG64" i="1"/>
  <c r="BG54" i="1"/>
  <c r="BJ144" i="1"/>
  <c r="BJ123" i="1"/>
  <c r="BJ124" i="1" s="1"/>
  <c r="BF64" i="1"/>
  <c r="BF54" i="1"/>
  <c r="BL66" i="1"/>
  <c r="BG127" i="1"/>
  <c r="BE147" i="1"/>
  <c r="BI146" i="1"/>
  <c r="BE126" i="1"/>
  <c r="BE67" i="1"/>
  <c r="CS146" i="1"/>
  <c r="CS147" i="1" s="1"/>
  <c r="BC55" i="1"/>
  <c r="AY55" i="1"/>
  <c r="CR54" i="1"/>
  <c r="CR55" i="1" s="1"/>
  <c r="BO81" i="1"/>
  <c r="BO82" i="1" s="1"/>
  <c r="BO65" i="1"/>
  <c r="BS84" i="1"/>
  <c r="CV84" i="1"/>
  <c r="BC124" i="1"/>
  <c r="CS123" i="1"/>
  <c r="CS124" i="1" s="1"/>
  <c r="BG68" i="1"/>
  <c r="BJ68" i="1"/>
  <c r="BJ63" i="1"/>
  <c r="BG124" i="1" l="1"/>
  <c r="BE127" i="1"/>
  <c r="CS126" i="1"/>
  <c r="CS127" i="1" s="1"/>
  <c r="BI143" i="1"/>
  <c r="BI67" i="1"/>
  <c r="BI126" i="1"/>
  <c r="BM146" i="1"/>
  <c r="CT146" i="1"/>
  <c r="CT147" i="1" s="1"/>
  <c r="CV81" i="1"/>
  <c r="CV82" i="1" s="1"/>
  <c r="CV85" i="1"/>
  <c r="BK68" i="1"/>
  <c r="BK123" i="1"/>
  <c r="BK144" i="1"/>
  <c r="BE68" i="1"/>
  <c r="BE63" i="1"/>
  <c r="CS67" i="1"/>
  <c r="CS68" i="1" s="1"/>
  <c r="BN144" i="1"/>
  <c r="BN123" i="1"/>
  <c r="BN124" i="1" s="1"/>
  <c r="BJ64" i="1"/>
  <c r="BJ51" i="1"/>
  <c r="BF55" i="1"/>
  <c r="BJ55" i="1"/>
  <c r="BT65" i="1"/>
  <c r="BX84" i="1"/>
  <c r="BT81" i="1"/>
  <c r="BT82" i="1" s="1"/>
  <c r="BK54" i="1"/>
  <c r="BG55" i="1"/>
  <c r="CT54" i="1"/>
  <c r="BS65" i="1"/>
  <c r="BS81" i="1"/>
  <c r="BS82" i="1" s="1"/>
  <c r="BW84" i="1"/>
  <c r="CW84" i="1"/>
  <c r="BP66" i="1"/>
  <c r="BP63" i="1"/>
  <c r="BP143" i="1"/>
  <c r="BP67" i="1"/>
  <c r="BP68" i="1" s="1"/>
  <c r="BP126" i="1"/>
  <c r="BP127" i="1" s="1"/>
  <c r="BT146" i="1"/>
  <c r="BR143" i="1"/>
  <c r="BR126" i="1"/>
  <c r="BR127" i="1" s="1"/>
  <c r="BV146" i="1"/>
  <c r="BR67" i="1"/>
  <c r="BO66" i="1"/>
  <c r="BO63" i="1"/>
  <c r="CV65" i="1"/>
  <c r="CV66" i="1" s="1"/>
  <c r="BK63" i="1"/>
  <c r="BK127" i="1"/>
  <c r="BO143" i="1"/>
  <c r="BS146" i="1"/>
  <c r="BO67" i="1"/>
  <c r="BO126" i="1"/>
  <c r="BN68" i="1"/>
  <c r="BN63" i="1"/>
  <c r="BL63" i="1"/>
  <c r="BL64" i="1" s="1"/>
  <c r="BH64" i="1"/>
  <c r="BH54" i="1"/>
  <c r="BL123" i="1"/>
  <c r="BL124" i="1" s="1"/>
  <c r="BL144" i="1"/>
  <c r="BO64" i="1" l="1"/>
  <c r="BN64" i="1"/>
  <c r="BN51" i="1"/>
  <c r="BR68" i="1"/>
  <c r="BR63" i="1"/>
  <c r="BZ146" i="1"/>
  <c r="BV143" i="1"/>
  <c r="BV126" i="1"/>
  <c r="BV127" i="1" s="1"/>
  <c r="BV67" i="1"/>
  <c r="BS63" i="1"/>
  <c r="BS66" i="1"/>
  <c r="CW65" i="1"/>
  <c r="CW66" i="1" s="1"/>
  <c r="BM126" i="1"/>
  <c r="BQ146" i="1"/>
  <c r="BM67" i="1"/>
  <c r="BM143" i="1"/>
  <c r="CU146" i="1"/>
  <c r="CU147" i="1" s="1"/>
  <c r="BJ237" i="1"/>
  <c r="BJ52" i="1"/>
  <c r="BI127" i="1"/>
  <c r="CT126" i="1"/>
  <c r="CT127" i="1" s="1"/>
  <c r="BO127" i="1"/>
  <c r="BR144" i="1"/>
  <c r="BR123" i="1"/>
  <c r="BR124" i="1" s="1"/>
  <c r="BE64" i="1"/>
  <c r="BE54" i="1"/>
  <c r="CS63" i="1"/>
  <c r="CS64" i="1" s="1"/>
  <c r="BI68" i="1"/>
  <c r="BI63" i="1"/>
  <c r="CT67" i="1"/>
  <c r="CT68" i="1" s="1"/>
  <c r="BO68" i="1"/>
  <c r="BS143" i="1"/>
  <c r="BW146" i="1"/>
  <c r="BS126" i="1"/>
  <c r="BS67" i="1"/>
  <c r="BX146" i="1"/>
  <c r="BT126" i="1"/>
  <c r="BT127" i="1" s="1"/>
  <c r="BT143" i="1"/>
  <c r="BT67" i="1"/>
  <c r="BT68" i="1" s="1"/>
  <c r="BK51" i="1"/>
  <c r="BO54" i="1"/>
  <c r="BK55" i="1"/>
  <c r="CU54" i="1"/>
  <c r="CU55" i="1" s="1"/>
  <c r="BI144" i="1"/>
  <c r="BI123" i="1"/>
  <c r="CT143" i="1"/>
  <c r="CT144" i="1" s="1"/>
  <c r="BX81" i="1"/>
  <c r="BX82" i="1" s="1"/>
  <c r="CB84" i="1"/>
  <c r="BX65" i="1"/>
  <c r="CA84" i="1"/>
  <c r="BW65" i="1"/>
  <c r="BW81" i="1"/>
  <c r="BW82" i="1" s="1"/>
  <c r="CX84" i="1"/>
  <c r="BO123" i="1"/>
  <c r="BO144" i="1"/>
  <c r="BP123" i="1"/>
  <c r="BP124" i="1" s="1"/>
  <c r="BP144" i="1"/>
  <c r="BT66" i="1"/>
  <c r="BT63" i="1"/>
  <c r="BT64" i="1" s="1"/>
  <c r="BK124" i="1"/>
  <c r="CW85" i="1"/>
  <c r="CW81" i="1"/>
  <c r="CW82" i="1" s="1"/>
  <c r="BL54" i="1"/>
  <c r="BH55" i="1"/>
  <c r="BK64" i="1"/>
  <c r="BP64" i="1"/>
  <c r="BS144" i="1" l="1"/>
  <c r="BS123" i="1"/>
  <c r="BO124" i="1"/>
  <c r="BS64" i="1"/>
  <c r="BL51" i="1"/>
  <c r="BP54" i="1"/>
  <c r="BL55" i="1"/>
  <c r="BK237" i="1"/>
  <c r="BK52" i="1"/>
  <c r="CX85" i="1"/>
  <c r="CX81" i="1"/>
  <c r="CX82" i="1" s="1"/>
  <c r="BO55" i="1"/>
  <c r="BS54" i="1"/>
  <c r="BO51" i="1"/>
  <c r="CV54" i="1"/>
  <c r="CV55" i="1" s="1"/>
  <c r="BV68" i="1"/>
  <c r="BV63" i="1"/>
  <c r="BW66" i="1"/>
  <c r="BW63" i="1"/>
  <c r="CX65" i="1"/>
  <c r="CX66" i="1" s="1"/>
  <c r="BV144" i="1"/>
  <c r="BV123" i="1"/>
  <c r="BV124" i="1" s="1"/>
  <c r="CA81" i="1"/>
  <c r="CA82" i="1" s="1"/>
  <c r="CA65" i="1"/>
  <c r="BT123" i="1"/>
  <c r="BT124" i="1" s="1"/>
  <c r="BT144" i="1"/>
  <c r="BI64" i="1"/>
  <c r="BI51" i="1"/>
  <c r="CT63" i="1"/>
  <c r="CT64" i="1" s="1"/>
  <c r="BJ242" i="1"/>
  <c r="BJ238" i="1"/>
  <c r="BJ241" i="1"/>
  <c r="BJ244" i="1"/>
  <c r="BZ126" i="1"/>
  <c r="BZ127" i="1" s="1"/>
  <c r="BZ67" i="1"/>
  <c r="CD146" i="1"/>
  <c r="BZ143" i="1"/>
  <c r="BX66" i="1"/>
  <c r="BR64" i="1"/>
  <c r="BR51" i="1"/>
  <c r="BX143" i="1"/>
  <c r="BX126" i="1"/>
  <c r="BX127" i="1" s="1"/>
  <c r="CB146" i="1"/>
  <c r="BX67" i="1"/>
  <c r="BX68" i="1" s="1"/>
  <c r="BM123" i="1"/>
  <c r="BM144" i="1"/>
  <c r="CU143" i="1"/>
  <c r="CU144" i="1" s="1"/>
  <c r="BI55" i="1"/>
  <c r="BE55" i="1"/>
  <c r="CS54" i="1"/>
  <c r="BM68" i="1"/>
  <c r="BM63" i="1"/>
  <c r="CU67" i="1"/>
  <c r="CU68" i="1" s="1"/>
  <c r="BN237" i="1"/>
  <c r="BN52" i="1"/>
  <c r="CB81" i="1"/>
  <c r="CB82" i="1" s="1"/>
  <c r="CB65" i="1"/>
  <c r="BS68" i="1"/>
  <c r="BQ143" i="1"/>
  <c r="BQ126" i="1"/>
  <c r="BU146" i="1"/>
  <c r="BQ67" i="1"/>
  <c r="CV146" i="1"/>
  <c r="CV147" i="1" s="1"/>
  <c r="BI124" i="1"/>
  <c r="CT123" i="1"/>
  <c r="CT124" i="1" s="1"/>
  <c r="BS127" i="1"/>
  <c r="BM127" i="1"/>
  <c r="CU126" i="1"/>
  <c r="CU127" i="1" s="1"/>
  <c r="CA146" i="1"/>
  <c r="BW143" i="1"/>
  <c r="BW126" i="1"/>
  <c r="BW67" i="1"/>
  <c r="BX123" i="1" l="1"/>
  <c r="BX124" i="1" s="1"/>
  <c r="BX144" i="1"/>
  <c r="BP51" i="1"/>
  <c r="BP55" i="1"/>
  <c r="BT54" i="1"/>
  <c r="BN241" i="1"/>
  <c r="BN244" i="1"/>
  <c r="BN242" i="1"/>
  <c r="BN238" i="1"/>
  <c r="BW64" i="1"/>
  <c r="BV64" i="1"/>
  <c r="BV51" i="1"/>
  <c r="BL237" i="1"/>
  <c r="BL52" i="1"/>
  <c r="BJ249" i="1"/>
  <c r="BJ250" i="1"/>
  <c r="BJ245" i="1"/>
  <c r="BJ259" i="1"/>
  <c r="CB143" i="1"/>
  <c r="CB126" i="1"/>
  <c r="CB127" i="1" s="1"/>
  <c r="CB67" i="1"/>
  <c r="CB68" i="1" s="1"/>
  <c r="BR237" i="1"/>
  <c r="BR52" i="1"/>
  <c r="BK241" i="1"/>
  <c r="BK242" i="1"/>
  <c r="BK238" i="1"/>
  <c r="BK244" i="1"/>
  <c r="CS55" i="1"/>
  <c r="CT55" i="1"/>
  <c r="BX63" i="1"/>
  <c r="BX64" i="1" s="1"/>
  <c r="BW127" i="1"/>
  <c r="BQ127" i="1"/>
  <c r="CV126" i="1"/>
  <c r="CV127" i="1" s="1"/>
  <c r="BO237" i="1"/>
  <c r="BO52" i="1"/>
  <c r="BW144" i="1"/>
  <c r="BW123" i="1"/>
  <c r="BQ144" i="1"/>
  <c r="BQ123" i="1"/>
  <c r="CV143" i="1"/>
  <c r="CV144" i="1" s="1"/>
  <c r="BZ123" i="1"/>
  <c r="BZ124" i="1" s="1"/>
  <c r="BZ144" i="1"/>
  <c r="BW54" i="1"/>
  <c r="BS55" i="1"/>
  <c r="BS51" i="1"/>
  <c r="CW54" i="1"/>
  <c r="CW55" i="1" s="1"/>
  <c r="BM64" i="1"/>
  <c r="BM51" i="1"/>
  <c r="CU63" i="1"/>
  <c r="CU64" i="1" s="1"/>
  <c r="CD143" i="1"/>
  <c r="CD67" i="1"/>
  <c r="CD126" i="1"/>
  <c r="CD127" i="1" s="1"/>
  <c r="CA63" i="1"/>
  <c r="CA64" i="1" s="1"/>
  <c r="CA66" i="1"/>
  <c r="BQ68" i="1"/>
  <c r="BQ63" i="1"/>
  <c r="CV67" i="1"/>
  <c r="CV68" i="1" s="1"/>
  <c r="BI237" i="1"/>
  <c r="BI52" i="1"/>
  <c r="BW68" i="1"/>
  <c r="BU143" i="1"/>
  <c r="BY146" i="1"/>
  <c r="BU67" i="1"/>
  <c r="BU126" i="1"/>
  <c r="CW146" i="1"/>
  <c r="CW147" i="1" s="1"/>
  <c r="CA143" i="1"/>
  <c r="CA126" i="1"/>
  <c r="CA127" i="1" s="1"/>
  <c r="CA67" i="1"/>
  <c r="CA68" i="1" s="1"/>
  <c r="BZ68" i="1"/>
  <c r="BZ63" i="1"/>
  <c r="BS124" i="1"/>
  <c r="CB66" i="1"/>
  <c r="BM124" i="1"/>
  <c r="CU123" i="1"/>
  <c r="CU124" i="1" s="1"/>
  <c r="BU127" i="1" l="1"/>
  <c r="CW126" i="1"/>
  <c r="CW127" i="1" s="1"/>
  <c r="CB144" i="1"/>
  <c r="CB123" i="1"/>
  <c r="CB124" i="1" s="1"/>
  <c r="BU68" i="1"/>
  <c r="BU63" i="1"/>
  <c r="CW67" i="1"/>
  <c r="CW68" i="1" s="1"/>
  <c r="CB63" i="1"/>
  <c r="CB64" i="1" s="1"/>
  <c r="BY126" i="1"/>
  <c r="BY67" i="1"/>
  <c r="CC146" i="1"/>
  <c r="BY143" i="1"/>
  <c r="CX146" i="1"/>
  <c r="CX147" i="1" s="1"/>
  <c r="CD68" i="1"/>
  <c r="CD63" i="1"/>
  <c r="BQ124" i="1"/>
  <c r="CV123" i="1"/>
  <c r="CV124" i="1" s="1"/>
  <c r="BJ418" i="1"/>
  <c r="BJ416" i="1"/>
  <c r="BJ266" i="1"/>
  <c r="BJ290" i="1"/>
  <c r="BJ271" i="1"/>
  <c r="BJ260" i="1"/>
  <c r="BJ360" i="1"/>
  <c r="BJ261" i="1"/>
  <c r="BJ265" i="1"/>
  <c r="BJ419" i="1"/>
  <c r="BJ312" i="1"/>
  <c r="BJ318" i="1"/>
  <c r="BJ324" i="1"/>
  <c r="BJ330" i="1"/>
  <c r="BN250" i="1"/>
  <c r="BN245" i="1"/>
  <c r="BN249" i="1"/>
  <c r="BN259" i="1"/>
  <c r="BU144" i="1"/>
  <c r="BU123" i="1"/>
  <c r="CW143" i="1"/>
  <c r="CW144" i="1" s="1"/>
  <c r="CD144" i="1"/>
  <c r="CD123" i="1"/>
  <c r="CD124" i="1" s="1"/>
  <c r="BW51" i="1"/>
  <c r="CA54" i="1"/>
  <c r="BW55" i="1"/>
  <c r="CX54" i="1"/>
  <c r="CX55" i="1" s="1"/>
  <c r="BR238" i="1"/>
  <c r="BR244" i="1"/>
  <c r="BR242" i="1"/>
  <c r="BR241" i="1"/>
  <c r="BX54" i="1"/>
  <c r="BT51" i="1"/>
  <c r="BT55" i="1"/>
  <c r="BQ64" i="1"/>
  <c r="BQ51" i="1"/>
  <c r="CV63" i="1"/>
  <c r="CV64" i="1" s="1"/>
  <c r="CA144" i="1"/>
  <c r="CA123" i="1"/>
  <c r="CA124" i="1" s="1"/>
  <c r="BK250" i="1"/>
  <c r="BK245" i="1"/>
  <c r="BK249" i="1"/>
  <c r="BK259" i="1"/>
  <c r="BM237" i="1"/>
  <c r="BM52" i="1"/>
  <c r="BW124" i="1"/>
  <c r="BZ64" i="1"/>
  <c r="BZ51" i="1"/>
  <c r="BP237" i="1"/>
  <c r="BP52" i="1"/>
  <c r="BL241" i="1"/>
  <c r="BL244" i="1"/>
  <c r="BL242" i="1"/>
  <c r="BL238" i="1"/>
  <c r="BI244" i="1"/>
  <c r="BI242" i="1"/>
  <c r="BI238" i="1"/>
  <c r="BI241" i="1"/>
  <c r="CT237" i="1"/>
  <c r="BS237" i="1"/>
  <c r="BS52" i="1"/>
  <c r="BO242" i="1"/>
  <c r="BO241" i="1"/>
  <c r="BO244" i="1"/>
  <c r="BO238" i="1"/>
  <c r="BV237" i="1"/>
  <c r="BV52" i="1"/>
  <c r="BR245" i="1" l="1"/>
  <c r="BR250" i="1"/>
  <c r="BR249" i="1"/>
  <c r="BR259" i="1"/>
  <c r="BP241" i="1"/>
  <c r="BP244" i="1"/>
  <c r="BP238" i="1"/>
  <c r="BP242" i="1"/>
  <c r="BJ299" i="1"/>
  <c r="BJ295" i="1"/>
  <c r="BJ294" i="1"/>
  <c r="BJ292" i="1"/>
  <c r="BJ300" i="1"/>
  <c r="BJ276" i="1"/>
  <c r="BJ342" i="1"/>
  <c r="BY68" i="1"/>
  <c r="BY63" i="1"/>
  <c r="CX67" i="1"/>
  <c r="CX68" i="1" s="1"/>
  <c r="BS244" i="1"/>
  <c r="BS238" i="1"/>
  <c r="BZ237" i="1"/>
  <c r="BZ52" i="1"/>
  <c r="BY127" i="1"/>
  <c r="CX126" i="1"/>
  <c r="CX127" i="1" s="1"/>
  <c r="CA55" i="1"/>
  <c r="CA51" i="1"/>
  <c r="BY123" i="1"/>
  <c r="BY144" i="1"/>
  <c r="CX143" i="1"/>
  <c r="CX144" i="1" s="1"/>
  <c r="BQ237" i="1"/>
  <c r="BQ52" i="1"/>
  <c r="BW237" i="1"/>
  <c r="BW52" i="1"/>
  <c r="BU64" i="1"/>
  <c r="BU51" i="1"/>
  <c r="CW63" i="1"/>
  <c r="CW64" i="1" s="1"/>
  <c r="BJ272" i="1"/>
  <c r="BJ273" i="1"/>
  <c r="CC126" i="1"/>
  <c r="CC127" i="1" s="1"/>
  <c r="CC67" i="1"/>
  <c r="CC143" i="1"/>
  <c r="BV244" i="1"/>
  <c r="BV238" i="1"/>
  <c r="BX51" i="1"/>
  <c r="CB54" i="1"/>
  <c r="BX55" i="1"/>
  <c r="BU124" i="1"/>
  <c r="CW123" i="1"/>
  <c r="CW124" i="1" s="1"/>
  <c r="CD64" i="1"/>
  <c r="CD51" i="1"/>
  <c r="CT238" i="1"/>
  <c r="CT242" i="1"/>
  <c r="CT241" i="1"/>
  <c r="CT51" i="1"/>
  <c r="CT52" i="1" s="1"/>
  <c r="BI250" i="1"/>
  <c r="BI249" i="1"/>
  <c r="BI245" i="1"/>
  <c r="BI259" i="1"/>
  <c r="CT244" i="1"/>
  <c r="BM241" i="1"/>
  <c r="BM244" i="1"/>
  <c r="BM242" i="1"/>
  <c r="BM238" i="1"/>
  <c r="CU237" i="1"/>
  <c r="BT237" i="1"/>
  <c r="BT52" i="1"/>
  <c r="BK418" i="1"/>
  <c r="BK360" i="1"/>
  <c r="BK265" i="1"/>
  <c r="BK312" i="1"/>
  <c r="BK266" i="1"/>
  <c r="BK260" i="1"/>
  <c r="BK261" i="1"/>
  <c r="BK290" i="1" s="1"/>
  <c r="BK262" i="1"/>
  <c r="BK419" i="1"/>
  <c r="BK318" i="1"/>
  <c r="BK416" i="1"/>
  <c r="BK324" i="1"/>
  <c r="BK330" i="1"/>
  <c r="BO245" i="1"/>
  <c r="BO250" i="1"/>
  <c r="BO249" i="1"/>
  <c r="BO259" i="1"/>
  <c r="BL250" i="1"/>
  <c r="BL245" i="1"/>
  <c r="BL249" i="1"/>
  <c r="BL259" i="1"/>
  <c r="BN419" i="1"/>
  <c r="BN418" i="1"/>
  <c r="BN360" i="1"/>
  <c r="BN266" i="1"/>
  <c r="BN261" i="1"/>
  <c r="BN290" i="1" s="1"/>
  <c r="BN265" i="1"/>
  <c r="BN260" i="1"/>
  <c r="BN416" i="1"/>
  <c r="BN312" i="1"/>
  <c r="BN318" i="1"/>
  <c r="BN324" i="1"/>
  <c r="BN330" i="1"/>
  <c r="BN300" i="1" l="1"/>
  <c r="BN294" i="1"/>
  <c r="BN291" i="1"/>
  <c r="BN299" i="1"/>
  <c r="BN295" i="1"/>
  <c r="BN276" i="1"/>
  <c r="BN277" i="1" s="1"/>
  <c r="BN342" i="1"/>
  <c r="BL418" i="1"/>
  <c r="BL360" i="1"/>
  <c r="BO423" i="1"/>
  <c r="BL262" i="1"/>
  <c r="BL260" i="1"/>
  <c r="BL261" i="1"/>
  <c r="BL290" i="1" s="1"/>
  <c r="BL265" i="1"/>
  <c r="BL266" i="1"/>
  <c r="BL419" i="1"/>
  <c r="BL318" i="1"/>
  <c r="BL324" i="1"/>
  <c r="BL312" i="1"/>
  <c r="BL330" i="1"/>
  <c r="BL416" i="1"/>
  <c r="BM423" i="1"/>
  <c r="BV249" i="1"/>
  <c r="BV250" i="1"/>
  <c r="BV245" i="1"/>
  <c r="BV259" i="1"/>
  <c r="BQ242" i="1"/>
  <c r="BQ244" i="1"/>
  <c r="BQ238" i="1"/>
  <c r="BQ241" i="1"/>
  <c r="CV237" i="1"/>
  <c r="BS250" i="1"/>
  <c r="BS249" i="1"/>
  <c r="BS245" i="1"/>
  <c r="BS259" i="1"/>
  <c r="CB51" i="1"/>
  <c r="CB55" i="1"/>
  <c r="CU242" i="1"/>
  <c r="CU238" i="1"/>
  <c r="CU51" i="1"/>
  <c r="CU52" i="1" s="1"/>
  <c r="CU241" i="1"/>
  <c r="CC68" i="1"/>
  <c r="CC63" i="1"/>
  <c r="BY64" i="1"/>
  <c r="BY51" i="1"/>
  <c r="CX63" i="1"/>
  <c r="CX64" i="1" s="1"/>
  <c r="BY124" i="1"/>
  <c r="CX123" i="1"/>
  <c r="CX124" i="1" s="1"/>
  <c r="BP249" i="1"/>
  <c r="BP245" i="1"/>
  <c r="BP250" i="1"/>
  <c r="BP259" i="1"/>
  <c r="BZ238" i="1"/>
  <c r="BZ244" i="1"/>
  <c r="BT238" i="1"/>
  <c r="BT244" i="1"/>
  <c r="CC144" i="1"/>
  <c r="CC123" i="1"/>
  <c r="CC124" i="1" s="1"/>
  <c r="BK296" i="1"/>
  <c r="BK300" i="1"/>
  <c r="BK291" i="1"/>
  <c r="BK294" i="1"/>
  <c r="BK299" i="1"/>
  <c r="BK295" i="1"/>
  <c r="BO290" i="1"/>
  <c r="BK276" i="1"/>
  <c r="BK342" i="1"/>
  <c r="CD237" i="1"/>
  <c r="CD52" i="1"/>
  <c r="CA237" i="1"/>
  <c r="CA52" i="1"/>
  <c r="BJ350" i="1"/>
  <c r="BJ345" i="1"/>
  <c r="BJ362" i="1"/>
  <c r="BJ349" i="1"/>
  <c r="BJ355" i="1"/>
  <c r="BJ343" i="1"/>
  <c r="BJ344" i="1" s="1"/>
  <c r="BJ370" i="1"/>
  <c r="BJ372" i="1" s="1"/>
  <c r="BJ375" i="1" s="1"/>
  <c r="BW238" i="1"/>
  <c r="BW244" i="1"/>
  <c r="BO418" i="1"/>
  <c r="BO360" i="1"/>
  <c r="BO265" i="1"/>
  <c r="BO261" i="1"/>
  <c r="BO262" i="1"/>
  <c r="BO266" i="1"/>
  <c r="BO260" i="1"/>
  <c r="BO312" i="1"/>
  <c r="BO419" i="1"/>
  <c r="BO318" i="1"/>
  <c r="BO324" i="1"/>
  <c r="BO416" i="1"/>
  <c r="BO330" i="1"/>
  <c r="BM250" i="1"/>
  <c r="BM245" i="1"/>
  <c r="BM249" i="1"/>
  <c r="BM259" i="1"/>
  <c r="CU244" i="1"/>
  <c r="BR418" i="1"/>
  <c r="BR266" i="1"/>
  <c r="BR261" i="1"/>
  <c r="BR290" i="1" s="1"/>
  <c r="BR360" i="1"/>
  <c r="BR265" i="1"/>
  <c r="BR260" i="1"/>
  <c r="BR419" i="1"/>
  <c r="BR416" i="1"/>
  <c r="BR312" i="1"/>
  <c r="BR318" i="1"/>
  <c r="BR324" i="1"/>
  <c r="BR330" i="1"/>
  <c r="BJ286" i="1"/>
  <c r="BJ277" i="1"/>
  <c r="CT249" i="1"/>
  <c r="CT245" i="1"/>
  <c r="CT250" i="1"/>
  <c r="BU237" i="1"/>
  <c r="BU52" i="1"/>
  <c r="BX237" i="1"/>
  <c r="BX52" i="1"/>
  <c r="BL423" i="1"/>
  <c r="BI418" i="1"/>
  <c r="BI416" i="1"/>
  <c r="BI360" i="1"/>
  <c r="BI265" i="1"/>
  <c r="BI261" i="1"/>
  <c r="BI290" i="1"/>
  <c r="BI262" i="1"/>
  <c r="BI271" i="1"/>
  <c r="BI266" i="1"/>
  <c r="BI260" i="1"/>
  <c r="BI312" i="1"/>
  <c r="BI419" i="1"/>
  <c r="BI318" i="1"/>
  <c r="BK423" i="1"/>
  <c r="BJ423" i="1"/>
  <c r="BI423" i="1"/>
  <c r="BI324" i="1"/>
  <c r="BI330" i="1"/>
  <c r="CT259" i="1"/>
  <c r="BJ262" i="1"/>
  <c r="BR295" i="1" l="1"/>
  <c r="BR299" i="1"/>
  <c r="BR300" i="1"/>
  <c r="BR291" i="1"/>
  <c r="BR294" i="1"/>
  <c r="BR276" i="1"/>
  <c r="BR277" i="1" s="1"/>
  <c r="BR342" i="1"/>
  <c r="CV238" i="1"/>
  <c r="CV242" i="1"/>
  <c r="CV241" i="1"/>
  <c r="CV51" i="1"/>
  <c r="CV52" i="1" s="1"/>
  <c r="BN343" i="1"/>
  <c r="BN344" i="1" s="1"/>
  <c r="BN362" i="1"/>
  <c r="BN345" i="1"/>
  <c r="BN350" i="1"/>
  <c r="BN349" i="1"/>
  <c r="BN370" i="1"/>
  <c r="BN372" i="1" s="1"/>
  <c r="BN375" i="1" s="1"/>
  <c r="BY237" i="1"/>
  <c r="BY52" i="1"/>
  <c r="BT249" i="1"/>
  <c r="BT250" i="1"/>
  <c r="BT245" i="1"/>
  <c r="BT259" i="1"/>
  <c r="BK346" i="1"/>
  <c r="BK345" i="1"/>
  <c r="BK349" i="1"/>
  <c r="BK350" i="1"/>
  <c r="BK362" i="1"/>
  <c r="BK343" i="1"/>
  <c r="BK344" i="1" s="1"/>
  <c r="BK370" i="1"/>
  <c r="BJ356" i="1"/>
  <c r="BJ357" i="1"/>
  <c r="BZ250" i="1"/>
  <c r="BZ245" i="1"/>
  <c r="BZ249" i="1"/>
  <c r="BZ259" i="1"/>
  <c r="BO299" i="1"/>
  <c r="BO294" i="1"/>
  <c r="BO295" i="1"/>
  <c r="BO296" i="1"/>
  <c r="BO276" i="1"/>
  <c r="BO300" i="1"/>
  <c r="BS290" i="1"/>
  <c r="BO291" i="1"/>
  <c r="BO342" i="1"/>
  <c r="BN280" i="1"/>
  <c r="BN279" i="1"/>
  <c r="BN278" i="1"/>
  <c r="BX238" i="1"/>
  <c r="BX244" i="1"/>
  <c r="BM418" i="1"/>
  <c r="BP423" i="1"/>
  <c r="BM261" i="1"/>
  <c r="BM290" i="1" s="1"/>
  <c r="BM262" i="1"/>
  <c r="BM360" i="1"/>
  <c r="BM260" i="1"/>
  <c r="BM265" i="1"/>
  <c r="BM266" i="1"/>
  <c r="BM419" i="1"/>
  <c r="BM416" i="1"/>
  <c r="BM312" i="1"/>
  <c r="BM318" i="1"/>
  <c r="BM324" i="1"/>
  <c r="BM330" i="1"/>
  <c r="CU259" i="1"/>
  <c r="BN262" i="1"/>
  <c r="BN423" i="1"/>
  <c r="BK277" i="1"/>
  <c r="BI273" i="1"/>
  <c r="BI272" i="1"/>
  <c r="BU244" i="1"/>
  <c r="BU238" i="1"/>
  <c r="CW237" i="1"/>
  <c r="BJ365" i="1"/>
  <c r="BJ459" i="1"/>
  <c r="BJ366" i="1"/>
  <c r="BJ363" i="1"/>
  <c r="BJ364" i="1" s="1"/>
  <c r="BS423" i="1"/>
  <c r="BP418" i="1"/>
  <c r="BP265" i="1"/>
  <c r="BP260" i="1"/>
  <c r="BP419" i="1"/>
  <c r="BP262" i="1"/>
  <c r="BP360" i="1"/>
  <c r="BP261" i="1"/>
  <c r="BP290" i="1" s="1"/>
  <c r="BP266" i="1"/>
  <c r="BP318" i="1"/>
  <c r="BP324" i="1"/>
  <c r="BP312" i="1"/>
  <c r="BP330" i="1"/>
  <c r="BP416" i="1"/>
  <c r="BQ423" i="1"/>
  <c r="CD238" i="1"/>
  <c r="CD244" i="1"/>
  <c r="BJ377" i="1"/>
  <c r="BJ389" i="1"/>
  <c r="BJ401" i="1" s="1"/>
  <c r="BJ426" i="1" s="1"/>
  <c r="BQ245" i="1"/>
  <c r="BQ249" i="1"/>
  <c r="BQ250" i="1"/>
  <c r="BQ259" i="1"/>
  <c r="CV244" i="1"/>
  <c r="BM421" i="1"/>
  <c r="BM422" i="1"/>
  <c r="CT266" i="1"/>
  <c r="CT260" i="1"/>
  <c r="CT271" i="1"/>
  <c r="CT265" i="1"/>
  <c r="CT261" i="1"/>
  <c r="CT419" i="1"/>
  <c r="CT428" i="1"/>
  <c r="CT324" i="1"/>
  <c r="CT312" i="1"/>
  <c r="CT360" i="1"/>
  <c r="CT418" i="1"/>
  <c r="CT330" i="1"/>
  <c r="CT318" i="1"/>
  <c r="CT416" i="1"/>
  <c r="CT432" i="1"/>
  <c r="BI292" i="1"/>
  <c r="BI295" i="1"/>
  <c r="BI300" i="1"/>
  <c r="BI299" i="1"/>
  <c r="BI296" i="1"/>
  <c r="BI276" i="1"/>
  <c r="BI294" i="1"/>
  <c r="BI342" i="1"/>
  <c r="CT290" i="1"/>
  <c r="BJ296" i="1"/>
  <c r="BR423" i="1"/>
  <c r="BK303" i="1"/>
  <c r="BK293" i="1"/>
  <c r="BV419" i="1"/>
  <c r="BV418" i="1"/>
  <c r="BV360" i="1"/>
  <c r="BV261" i="1"/>
  <c r="BV290" i="1" s="1"/>
  <c r="BV265" i="1"/>
  <c r="BV266" i="1"/>
  <c r="BV260" i="1"/>
  <c r="BV416" i="1"/>
  <c r="BV324" i="1"/>
  <c r="BV312" i="1"/>
  <c r="BV318" i="1"/>
  <c r="BV330" i="1"/>
  <c r="CU249" i="1"/>
  <c r="CU245" i="1"/>
  <c r="CU250" i="1"/>
  <c r="BJ278" i="1"/>
  <c r="BJ280" i="1"/>
  <c r="BJ279" i="1"/>
  <c r="CB237" i="1"/>
  <c r="CB52" i="1"/>
  <c r="BL291" i="1"/>
  <c r="BL294" i="1"/>
  <c r="BL295" i="1"/>
  <c r="BL300" i="1"/>
  <c r="BL296" i="1"/>
  <c r="BL299" i="1"/>
  <c r="BL276" i="1"/>
  <c r="BL277" i="1" s="1"/>
  <c r="BL342" i="1"/>
  <c r="BN303" i="1"/>
  <c r="BN293" i="1"/>
  <c r="CC64" i="1"/>
  <c r="CC51" i="1"/>
  <c r="BI421" i="1"/>
  <c r="BI422" i="1"/>
  <c r="BJ422" i="1"/>
  <c r="BJ421" i="1"/>
  <c r="BJ288" i="1"/>
  <c r="BJ287" i="1"/>
  <c r="CA244" i="1"/>
  <c r="CA238" i="1"/>
  <c r="CW244" i="1"/>
  <c r="BO421" i="1"/>
  <c r="BO422" i="1"/>
  <c r="BL421" i="1"/>
  <c r="BL422" i="1"/>
  <c r="BK421" i="1"/>
  <c r="BK422" i="1"/>
  <c r="BW250" i="1"/>
  <c r="BW245" i="1"/>
  <c r="BW249" i="1"/>
  <c r="BW259" i="1"/>
  <c r="BS418" i="1"/>
  <c r="BS360" i="1"/>
  <c r="BS262" i="1"/>
  <c r="BS419" i="1"/>
  <c r="BS260" i="1"/>
  <c r="BS265" i="1"/>
  <c r="BS266" i="1"/>
  <c r="BS261" i="1"/>
  <c r="BS312" i="1"/>
  <c r="BS318" i="1"/>
  <c r="BS324" i="1"/>
  <c r="BS416" i="1"/>
  <c r="BS330" i="1"/>
  <c r="BM294" i="1" l="1"/>
  <c r="BM300" i="1"/>
  <c r="BM291" i="1"/>
  <c r="BM299" i="1"/>
  <c r="BM296" i="1"/>
  <c r="BM276" i="1"/>
  <c r="BM295" i="1"/>
  <c r="BM342" i="1"/>
  <c r="BN296" i="1"/>
  <c r="CU290" i="1"/>
  <c r="BV299" i="1"/>
  <c r="BV295" i="1"/>
  <c r="BV291" i="1"/>
  <c r="BV294" i="1"/>
  <c r="BV276" i="1"/>
  <c r="BV277" i="1" s="1"/>
  <c r="BV342" i="1"/>
  <c r="BP276" i="1"/>
  <c r="BP277" i="1" s="1"/>
  <c r="BP299" i="1"/>
  <c r="BP295" i="1"/>
  <c r="BP296" i="1"/>
  <c r="BP291" i="1"/>
  <c r="BP300" i="1"/>
  <c r="BP294" i="1"/>
  <c r="BP342" i="1"/>
  <c r="CC52" i="1"/>
  <c r="CC237" i="1"/>
  <c r="BL293" i="1"/>
  <c r="BL303" i="1"/>
  <c r="BJ427" i="1"/>
  <c r="BJ434" i="1"/>
  <c r="BJ435" i="1" s="1"/>
  <c r="BJ428" i="1"/>
  <c r="BJ430" i="1"/>
  <c r="BO277" i="1"/>
  <c r="BK372" i="1"/>
  <c r="BY238" i="1"/>
  <c r="BY244" i="1"/>
  <c r="CX237" i="1"/>
  <c r="BR362" i="1"/>
  <c r="BR349" i="1"/>
  <c r="BR345" i="1"/>
  <c r="BR343" i="1"/>
  <c r="BR344" i="1" s="1"/>
  <c r="BR350" i="1"/>
  <c r="BR370" i="1"/>
  <c r="BR372" i="1" s="1"/>
  <c r="BR375" i="1" s="1"/>
  <c r="CW242" i="1"/>
  <c r="CW241" i="1"/>
  <c r="CW238" i="1"/>
  <c r="CW51" i="1"/>
  <c r="CW52" i="1" s="1"/>
  <c r="BX250" i="1"/>
  <c r="BX245" i="1"/>
  <c r="BX249" i="1"/>
  <c r="BX259" i="1"/>
  <c r="BN377" i="1"/>
  <c r="BN389" i="1"/>
  <c r="BN401" i="1" s="1"/>
  <c r="BN426" i="1" s="1"/>
  <c r="BR280" i="1"/>
  <c r="BR279" i="1"/>
  <c r="BR278" i="1"/>
  <c r="BO293" i="1"/>
  <c r="BO303" i="1"/>
  <c r="CB244" i="1"/>
  <c r="CB238" i="1"/>
  <c r="BR421" i="1"/>
  <c r="BR422" i="1"/>
  <c r="CT273" i="1"/>
  <c r="CT272" i="1"/>
  <c r="CD249" i="1"/>
  <c r="CD245" i="1"/>
  <c r="CD250" i="1"/>
  <c r="CD259" i="1"/>
  <c r="BK459" i="1"/>
  <c r="BK367" i="1"/>
  <c r="BK365" i="1"/>
  <c r="BK366" i="1"/>
  <c r="BK363" i="1"/>
  <c r="BK364" i="1" s="1"/>
  <c r="CW249" i="1"/>
  <c r="CW245" i="1"/>
  <c r="CW250" i="1"/>
  <c r="BU250" i="1"/>
  <c r="BU249" i="1"/>
  <c r="BU245" i="1"/>
  <c r="BU259" i="1"/>
  <c r="BS299" i="1"/>
  <c r="BS294" i="1"/>
  <c r="BS296" i="1"/>
  <c r="BS276" i="1"/>
  <c r="BW290" i="1"/>
  <c r="BS291" i="1"/>
  <c r="BS295" i="1"/>
  <c r="BS342" i="1"/>
  <c r="CT294" i="1"/>
  <c r="CT299" i="1"/>
  <c r="CT291" i="1"/>
  <c r="CT300" i="1"/>
  <c r="CT295" i="1"/>
  <c r="CT292" i="1"/>
  <c r="BQ421" i="1"/>
  <c r="BQ422" i="1"/>
  <c r="BR293" i="1"/>
  <c r="BR303" i="1"/>
  <c r="BL362" i="1"/>
  <c r="BL350" i="1"/>
  <c r="BL346" i="1"/>
  <c r="BL345" i="1"/>
  <c r="BL349" i="1"/>
  <c r="BL343" i="1"/>
  <c r="BL344" i="1" s="1"/>
  <c r="BL370" i="1"/>
  <c r="BL372" i="1" s="1"/>
  <c r="BL375" i="1" s="1"/>
  <c r="BW418" i="1"/>
  <c r="BW360" i="1"/>
  <c r="BW266" i="1"/>
  <c r="BW265" i="1"/>
  <c r="BW262" i="1"/>
  <c r="BW260" i="1"/>
  <c r="BW261" i="1"/>
  <c r="BW419" i="1"/>
  <c r="BW312" i="1"/>
  <c r="BW318" i="1"/>
  <c r="BW324" i="1"/>
  <c r="BW416" i="1"/>
  <c r="BW330" i="1"/>
  <c r="CA245" i="1"/>
  <c r="CA250" i="1"/>
  <c r="CA249" i="1"/>
  <c r="CA259" i="1"/>
  <c r="BL281" i="1"/>
  <c r="BL280" i="1"/>
  <c r="BL279" i="1"/>
  <c r="BL278" i="1"/>
  <c r="BI355" i="1"/>
  <c r="BI345" i="1"/>
  <c r="BI349" i="1"/>
  <c r="BI350" i="1"/>
  <c r="BI343" i="1"/>
  <c r="BI344" i="1" s="1"/>
  <c r="BI346" i="1"/>
  <c r="BI362" i="1"/>
  <c r="BI370" i="1"/>
  <c r="CT342" i="1"/>
  <c r="BJ346" i="1"/>
  <c r="BZ418" i="1"/>
  <c r="BZ360" i="1"/>
  <c r="BZ419" i="1"/>
  <c r="BZ260" i="1"/>
  <c r="BZ266" i="1"/>
  <c r="BZ261" i="1"/>
  <c r="BZ290" i="1" s="1"/>
  <c r="BZ265" i="1"/>
  <c r="BZ416" i="1"/>
  <c r="BZ324" i="1"/>
  <c r="BZ312" i="1"/>
  <c r="BZ318" i="1"/>
  <c r="BZ330" i="1"/>
  <c r="BN459" i="1"/>
  <c r="BN363" i="1"/>
  <c r="BN364" i="1" s="1"/>
  <c r="BN366" i="1"/>
  <c r="BN365" i="1"/>
  <c r="CU266" i="1"/>
  <c r="CU265" i="1"/>
  <c r="CU260" i="1"/>
  <c r="CU261" i="1"/>
  <c r="CU330" i="1"/>
  <c r="CU416" i="1"/>
  <c r="CU418" i="1"/>
  <c r="CU318" i="1"/>
  <c r="CU312" i="1"/>
  <c r="CU419" i="1"/>
  <c r="CU324" i="1"/>
  <c r="CU360" i="1"/>
  <c r="BJ378" i="1"/>
  <c r="BJ383" i="1"/>
  <c r="BJ382" i="1"/>
  <c r="BP421" i="1"/>
  <c r="BP422" i="1"/>
  <c r="BT266" i="1"/>
  <c r="BT418" i="1"/>
  <c r="BT262" i="1"/>
  <c r="BT261" i="1"/>
  <c r="BT290" i="1" s="1"/>
  <c r="BT360" i="1"/>
  <c r="BT265" i="1"/>
  <c r="BT260" i="1"/>
  <c r="BT419" i="1"/>
  <c r="BT318" i="1"/>
  <c r="BT324" i="1"/>
  <c r="BT312" i="1"/>
  <c r="BT330" i="1"/>
  <c r="BT416" i="1"/>
  <c r="BU423" i="1"/>
  <c r="CV245" i="1"/>
  <c r="CV250" i="1"/>
  <c r="CV249" i="1"/>
  <c r="BS421" i="1"/>
  <c r="BS422" i="1"/>
  <c r="BK279" i="1"/>
  <c r="BK281" i="1"/>
  <c r="BK280" i="1"/>
  <c r="BK278" i="1"/>
  <c r="BI277" i="1"/>
  <c r="BI286" i="1"/>
  <c r="CT276" i="1"/>
  <c r="CT286" i="1" s="1"/>
  <c r="BX423" i="1"/>
  <c r="BT423" i="1"/>
  <c r="BQ418" i="1"/>
  <c r="BQ419" i="1"/>
  <c r="BQ360" i="1"/>
  <c r="BQ262" i="1"/>
  <c r="BQ260" i="1"/>
  <c r="BQ266" i="1"/>
  <c r="BQ265" i="1"/>
  <c r="BQ261" i="1"/>
  <c r="BQ290" i="1" s="1"/>
  <c r="BQ416" i="1"/>
  <c r="BQ312" i="1"/>
  <c r="BQ324" i="1"/>
  <c r="BQ318" i="1"/>
  <c r="BQ330" i="1"/>
  <c r="CV259" i="1"/>
  <c r="BR262" i="1"/>
  <c r="BN421" i="1"/>
  <c r="BN422" i="1"/>
  <c r="BO346" i="1"/>
  <c r="BO350" i="1"/>
  <c r="BO362" i="1"/>
  <c r="BO345" i="1"/>
  <c r="BO349" i="1"/>
  <c r="BO343" i="1"/>
  <c r="BO344" i="1" s="1"/>
  <c r="BO370" i="1"/>
  <c r="BZ291" i="1" l="1"/>
  <c r="BZ294" i="1"/>
  <c r="BZ299" i="1"/>
  <c r="BZ295" i="1"/>
  <c r="BZ276" i="1"/>
  <c r="BZ277" i="1" s="1"/>
  <c r="BZ342" i="1"/>
  <c r="BX290" i="1"/>
  <c r="BT296" i="1"/>
  <c r="BT294" i="1"/>
  <c r="BT295" i="1"/>
  <c r="BT299" i="1"/>
  <c r="BT291" i="1"/>
  <c r="BT276" i="1"/>
  <c r="BT277" i="1" s="1"/>
  <c r="BT342" i="1"/>
  <c r="BQ296" i="1"/>
  <c r="BQ276" i="1"/>
  <c r="BQ299" i="1"/>
  <c r="BQ295" i="1"/>
  <c r="BQ300" i="1"/>
  <c r="BU290" i="1"/>
  <c r="BQ291" i="1"/>
  <c r="BQ294" i="1"/>
  <c r="BQ342" i="1"/>
  <c r="BR296" i="1"/>
  <c r="CV290" i="1"/>
  <c r="CB250" i="1"/>
  <c r="CB249" i="1"/>
  <c r="CB245" i="1"/>
  <c r="CB259" i="1"/>
  <c r="CX241" i="1"/>
  <c r="CX242" i="1"/>
  <c r="CX238" i="1"/>
  <c r="CX51" i="1"/>
  <c r="CX52" i="1" s="1"/>
  <c r="BP280" i="1"/>
  <c r="BP281" i="1"/>
  <c r="BP279" i="1"/>
  <c r="BP278" i="1"/>
  <c r="BM362" i="1"/>
  <c r="BM346" i="1"/>
  <c r="BM345" i="1"/>
  <c r="BM350" i="1"/>
  <c r="BM349" i="1"/>
  <c r="BM343" i="1"/>
  <c r="BM344" i="1" s="1"/>
  <c r="BM370" i="1"/>
  <c r="BM372" i="1" s="1"/>
  <c r="BM375" i="1" s="1"/>
  <c r="BN346" i="1"/>
  <c r="CU342" i="1"/>
  <c r="BL377" i="1"/>
  <c r="BL389" i="1"/>
  <c r="BL401" i="1" s="1"/>
  <c r="BL426" i="1" s="1"/>
  <c r="BY250" i="1"/>
  <c r="BY245" i="1"/>
  <c r="BY249" i="1"/>
  <c r="BY259" i="1"/>
  <c r="CX244" i="1"/>
  <c r="CC244" i="1"/>
  <c r="CC238" i="1"/>
  <c r="BX360" i="1"/>
  <c r="BX418" i="1"/>
  <c r="BX265" i="1"/>
  <c r="BX266" i="1"/>
  <c r="BX262" i="1"/>
  <c r="BX260" i="1"/>
  <c r="BX261" i="1"/>
  <c r="BX419" i="1"/>
  <c r="BX312" i="1"/>
  <c r="BX324" i="1"/>
  <c r="BX318" i="1"/>
  <c r="BX416" i="1"/>
  <c r="BX330" i="1"/>
  <c r="BR366" i="1"/>
  <c r="BR459" i="1"/>
  <c r="BR363" i="1"/>
  <c r="BR364" i="1" s="1"/>
  <c r="BR365" i="1"/>
  <c r="CA423" i="1"/>
  <c r="CT308" i="1"/>
  <c r="CT309" i="1" s="1"/>
  <c r="CT293" i="1"/>
  <c r="CT303" i="1"/>
  <c r="BU419" i="1"/>
  <c r="BU418" i="1"/>
  <c r="BU360" i="1"/>
  <c r="BU266" i="1"/>
  <c r="BU265" i="1"/>
  <c r="BU262" i="1"/>
  <c r="BU260" i="1"/>
  <c r="BU261" i="1"/>
  <c r="BU416" i="1"/>
  <c r="BU312" i="1"/>
  <c r="BU324" i="1"/>
  <c r="BU318" i="1"/>
  <c r="BU330" i="1"/>
  <c r="CW259" i="1"/>
  <c r="BV262" i="1"/>
  <c r="BW423" i="1"/>
  <c r="BV423" i="1"/>
  <c r="BV349" i="1"/>
  <c r="BV343" i="1"/>
  <c r="BV344" i="1" s="1"/>
  <c r="BV362" i="1"/>
  <c r="BV345" i="1"/>
  <c r="BV350" i="1"/>
  <c r="BV370" i="1"/>
  <c r="BV372" i="1" s="1"/>
  <c r="BV375" i="1" s="1"/>
  <c r="BM277" i="1"/>
  <c r="CU276" i="1"/>
  <c r="BX422" i="1"/>
  <c r="BX421" i="1"/>
  <c r="BW295" i="1"/>
  <c r="BW294" i="1"/>
  <c r="BW299" i="1"/>
  <c r="BW296" i="1"/>
  <c r="BW291" i="1"/>
  <c r="BW276" i="1"/>
  <c r="BW342" i="1"/>
  <c r="BO366" i="1"/>
  <c r="BO459" i="1"/>
  <c r="BO367" i="1"/>
  <c r="BO363" i="1"/>
  <c r="BO364" i="1" s="1"/>
  <c r="BO365" i="1"/>
  <c r="BI281" i="1"/>
  <c r="BI278" i="1"/>
  <c r="BI279" i="1"/>
  <c r="BI280" i="1"/>
  <c r="CT277" i="1"/>
  <c r="BJ281" i="1"/>
  <c r="BU421" i="1"/>
  <c r="BU422" i="1"/>
  <c r="BI357" i="1"/>
  <c r="BI356" i="1"/>
  <c r="CD418" i="1"/>
  <c r="CD360" i="1"/>
  <c r="CD261" i="1"/>
  <c r="CD290" i="1" s="1"/>
  <c r="CD260" i="1"/>
  <c r="CD266" i="1"/>
  <c r="CD265" i="1"/>
  <c r="CD419" i="1"/>
  <c r="CD416" i="1"/>
  <c r="CD324" i="1"/>
  <c r="CD318" i="1"/>
  <c r="CD312" i="1"/>
  <c r="CD330" i="1"/>
  <c r="BV278" i="1"/>
  <c r="BV279" i="1"/>
  <c r="BV280" i="1"/>
  <c r="CU292" i="1"/>
  <c r="CU299" i="1"/>
  <c r="CU291" i="1"/>
  <c r="CU294" i="1"/>
  <c r="CU295" i="1"/>
  <c r="CU300" i="1"/>
  <c r="CT349" i="1"/>
  <c r="CT343" i="1"/>
  <c r="CT344" i="1" s="1"/>
  <c r="CT345" i="1"/>
  <c r="CT350" i="1"/>
  <c r="CT355" i="1"/>
  <c r="BK375" i="1"/>
  <c r="BS277" i="1"/>
  <c r="BP350" i="1"/>
  <c r="BP362" i="1"/>
  <c r="BP349" i="1"/>
  <c r="BP345" i="1"/>
  <c r="BP343" i="1"/>
  <c r="BP344" i="1" s="1"/>
  <c r="BP346" i="1"/>
  <c r="BP370" i="1"/>
  <c r="BP372" i="1" s="1"/>
  <c r="BP375" i="1" s="1"/>
  <c r="BM293" i="1"/>
  <c r="BM303" i="1"/>
  <c r="CV261" i="1"/>
  <c r="CV260" i="1"/>
  <c r="CV266" i="1"/>
  <c r="CV265" i="1"/>
  <c r="CV419" i="1"/>
  <c r="CV318" i="1"/>
  <c r="CV324" i="1"/>
  <c r="CV418" i="1"/>
  <c r="CV312" i="1"/>
  <c r="CV360" i="1"/>
  <c r="CV416" i="1"/>
  <c r="CV330" i="1"/>
  <c r="BI459" i="1"/>
  <c r="BI365" i="1"/>
  <c r="BI366" i="1"/>
  <c r="BI363" i="1"/>
  <c r="BI364" i="1" s="1"/>
  <c r="BI367" i="1"/>
  <c r="CT362" i="1"/>
  <c r="BJ367" i="1"/>
  <c r="BL459" i="1"/>
  <c r="BL367" i="1"/>
  <c r="BL363" i="1"/>
  <c r="BL364" i="1" s="1"/>
  <c r="BL365" i="1"/>
  <c r="BL366" i="1"/>
  <c r="BS362" i="1"/>
  <c r="BS343" i="1"/>
  <c r="BS344" i="1" s="1"/>
  <c r="BS350" i="1"/>
  <c r="BS345" i="1"/>
  <c r="BS349" i="1"/>
  <c r="BS346" i="1"/>
  <c r="BS370" i="1"/>
  <c r="BO279" i="1"/>
  <c r="BO280" i="1"/>
  <c r="BO278" i="1"/>
  <c r="BO281" i="1"/>
  <c r="BV293" i="1"/>
  <c r="BV300" i="1" s="1"/>
  <c r="BV303" i="1"/>
  <c r="CT287" i="1"/>
  <c r="CT288" i="1"/>
  <c r="BR389" i="1"/>
  <c r="BR401" i="1" s="1"/>
  <c r="BR426" i="1" s="1"/>
  <c r="BR377" i="1"/>
  <c r="BN428" i="1"/>
  <c r="BN427" i="1"/>
  <c r="BN430" i="1"/>
  <c r="BN434" i="1"/>
  <c r="BN435" i="1" s="1"/>
  <c r="BJ432" i="1"/>
  <c r="BJ437" i="1"/>
  <c r="BJ438" i="1" s="1"/>
  <c r="BJ431" i="1"/>
  <c r="BI288" i="1"/>
  <c r="BI287" i="1"/>
  <c r="BI372" i="1"/>
  <c r="CT370" i="1"/>
  <c r="CA418" i="1"/>
  <c r="CA360" i="1"/>
  <c r="CA260" i="1"/>
  <c r="CA262" i="1"/>
  <c r="CA266" i="1"/>
  <c r="CA261" i="1"/>
  <c r="CA290" i="1" s="1"/>
  <c r="CA265" i="1"/>
  <c r="CA419" i="1"/>
  <c r="CA312" i="1"/>
  <c r="CA318" i="1"/>
  <c r="CA324" i="1"/>
  <c r="CA416" i="1"/>
  <c r="CA330" i="1"/>
  <c r="BO372" i="1"/>
  <c r="BT421" i="1"/>
  <c r="BT422" i="1"/>
  <c r="BS303" i="1"/>
  <c r="BS293" i="1"/>
  <c r="BS300" i="1" s="1"/>
  <c r="BN383" i="1"/>
  <c r="BN378" i="1"/>
  <c r="BN382" i="1"/>
  <c r="BP303" i="1"/>
  <c r="BP293" i="1"/>
  <c r="CA294" i="1" l="1"/>
  <c r="CA291" i="1"/>
  <c r="CA299" i="1"/>
  <c r="CA295" i="1"/>
  <c r="CA296" i="1"/>
  <c r="CA276" i="1"/>
  <c r="CA277" i="1" s="1"/>
  <c r="CA342" i="1"/>
  <c r="CD299" i="1"/>
  <c r="CD276" i="1"/>
  <c r="CD277" i="1" s="1"/>
  <c r="CD294" i="1"/>
  <c r="CD295" i="1"/>
  <c r="CD291" i="1"/>
  <c r="CD342" i="1"/>
  <c r="CU370" i="1"/>
  <c r="BY418" i="1"/>
  <c r="BY360" i="1"/>
  <c r="BY261" i="1"/>
  <c r="BY265" i="1"/>
  <c r="BY262" i="1"/>
  <c r="BY260" i="1"/>
  <c r="BY266" i="1"/>
  <c r="BY419" i="1"/>
  <c r="BY416" i="1"/>
  <c r="BY312" i="1"/>
  <c r="BY318" i="1"/>
  <c r="BY324" i="1"/>
  <c r="BY330" i="1"/>
  <c r="BZ262" i="1"/>
  <c r="CX259" i="1"/>
  <c r="BX291" i="1"/>
  <c r="BX296" i="1"/>
  <c r="BX299" i="1"/>
  <c r="BX295" i="1"/>
  <c r="CB290" i="1"/>
  <c r="BX276" i="1"/>
  <c r="BX277" i="1" s="1"/>
  <c r="BX294" i="1"/>
  <c r="BX342" i="1"/>
  <c r="CX245" i="1"/>
  <c r="CX250" i="1"/>
  <c r="CX249" i="1"/>
  <c r="CT366" i="1"/>
  <c r="CT363" i="1"/>
  <c r="CT364" i="1" s="1"/>
  <c r="CT365" i="1"/>
  <c r="CA421" i="1"/>
  <c r="CA422" i="1"/>
  <c r="CB419" i="1"/>
  <c r="CB418" i="1"/>
  <c r="CB265" i="1"/>
  <c r="CB260" i="1"/>
  <c r="CB360" i="1"/>
  <c r="CB262" i="1"/>
  <c r="CB261" i="1"/>
  <c r="CB266" i="1"/>
  <c r="CB318" i="1"/>
  <c r="CB312" i="1"/>
  <c r="CB324" i="1"/>
  <c r="CB330" i="1"/>
  <c r="CB416" i="1"/>
  <c r="BZ423" i="1"/>
  <c r="BR378" i="1"/>
  <c r="BR382" i="1"/>
  <c r="BR383" i="1"/>
  <c r="BS372" i="1"/>
  <c r="BR427" i="1"/>
  <c r="BR430" i="1"/>
  <c r="BR428" i="1"/>
  <c r="BR434" i="1"/>
  <c r="BR435" i="1" s="1"/>
  <c r="BI375" i="1"/>
  <c r="CT372" i="1"/>
  <c r="CT373" i="1" s="1"/>
  <c r="BQ277" i="1"/>
  <c r="CV276" i="1"/>
  <c r="BZ345" i="1"/>
  <c r="BZ350" i="1"/>
  <c r="BZ349" i="1"/>
  <c r="BZ343" i="1"/>
  <c r="BZ344" i="1" s="1"/>
  <c r="BZ362" i="1"/>
  <c r="BZ370" i="1"/>
  <c r="BZ372" i="1" s="1"/>
  <c r="BZ375" i="1" s="1"/>
  <c r="BP363" i="1"/>
  <c r="BP364" i="1" s="1"/>
  <c r="BP459" i="1"/>
  <c r="BP366" i="1"/>
  <c r="BP365" i="1"/>
  <c r="BP367" i="1"/>
  <c r="BZ278" i="1"/>
  <c r="BZ280" i="1"/>
  <c r="BZ279" i="1"/>
  <c r="BU276" i="1"/>
  <c r="BU291" i="1"/>
  <c r="BY290" i="1"/>
  <c r="BU294" i="1"/>
  <c r="BU299" i="1"/>
  <c r="BU296" i="1"/>
  <c r="BU295" i="1"/>
  <c r="BU342" i="1"/>
  <c r="BV296" i="1"/>
  <c r="CU303" i="1"/>
  <c r="CU293" i="1"/>
  <c r="BV422" i="1"/>
  <c r="BV421" i="1"/>
  <c r="BM459" i="1"/>
  <c r="BP460" i="1" s="1"/>
  <c r="BP462" i="1" s="1"/>
  <c r="BM365" i="1"/>
  <c r="BM366" i="1"/>
  <c r="BM367" i="1"/>
  <c r="BM363" i="1"/>
  <c r="BM364" i="1" s="1"/>
  <c r="BN367" i="1"/>
  <c r="CU362" i="1"/>
  <c r="CW290" i="1"/>
  <c r="CC245" i="1"/>
  <c r="CC250" i="1"/>
  <c r="CC249" i="1"/>
  <c r="CC259" i="1"/>
  <c r="BW422" i="1"/>
  <c r="BW421" i="1"/>
  <c r="BL430" i="1"/>
  <c r="BL434" i="1"/>
  <c r="BL435" i="1" s="1"/>
  <c r="BL427" i="1"/>
  <c r="BL428" i="1"/>
  <c r="CV291" i="1"/>
  <c r="CV299" i="1"/>
  <c r="CV294" i="1"/>
  <c r="CV300" i="1"/>
  <c r="CV295" i="1"/>
  <c r="CV292" i="1"/>
  <c r="BT362" i="1"/>
  <c r="BT349" i="1"/>
  <c r="BT343" i="1"/>
  <c r="BT344" i="1" s="1"/>
  <c r="BT346" i="1"/>
  <c r="BT345" i="1"/>
  <c r="BT350" i="1"/>
  <c r="BT370" i="1"/>
  <c r="BT372" i="1" s="1"/>
  <c r="BT375" i="1" s="1"/>
  <c r="BV365" i="1"/>
  <c r="BV459" i="1"/>
  <c r="BV363" i="1"/>
  <c r="BV364" i="1" s="1"/>
  <c r="BV366" i="1"/>
  <c r="CU372" i="1"/>
  <c r="CU373" i="1" s="1"/>
  <c r="BM278" i="1"/>
  <c r="BM279" i="1"/>
  <c r="BM281" i="1"/>
  <c r="BM280" i="1"/>
  <c r="BN281" i="1"/>
  <c r="CU277" i="1"/>
  <c r="BL383" i="1"/>
  <c r="BL382" i="1"/>
  <c r="BL378" i="1"/>
  <c r="BT280" i="1"/>
  <c r="BT278" i="1"/>
  <c r="BT279" i="1"/>
  <c r="BT281" i="1"/>
  <c r="BO375" i="1"/>
  <c r="BO460" i="1"/>
  <c r="BO462" i="1" s="1"/>
  <c r="CT279" i="1"/>
  <c r="CT280" i="1"/>
  <c r="CT278" i="1"/>
  <c r="BW362" i="1"/>
  <c r="BW349" i="1"/>
  <c r="BW343" i="1"/>
  <c r="BW344" i="1" s="1"/>
  <c r="BW350" i="1"/>
  <c r="BW346" i="1"/>
  <c r="BW345" i="1"/>
  <c r="BW370" i="1"/>
  <c r="BV389" i="1"/>
  <c r="BV401" i="1" s="1"/>
  <c r="BV426" i="1" s="1"/>
  <c r="BV377" i="1"/>
  <c r="CW266" i="1"/>
  <c r="CW261" i="1"/>
  <c r="CW260" i="1"/>
  <c r="CW265" i="1"/>
  <c r="CW419" i="1"/>
  <c r="CW330" i="1"/>
  <c r="CW312" i="1"/>
  <c r="CW324" i="1"/>
  <c r="CW360" i="1"/>
  <c r="CW318" i="1"/>
  <c r="CW418" i="1"/>
  <c r="CW416" i="1"/>
  <c r="CC423" i="1"/>
  <c r="BY423" i="1"/>
  <c r="BQ350" i="1"/>
  <c r="BQ345" i="1"/>
  <c r="BQ362" i="1"/>
  <c r="BQ349" i="1"/>
  <c r="BQ343" i="1"/>
  <c r="BQ344" i="1" s="1"/>
  <c r="BQ346" i="1"/>
  <c r="BQ370" i="1"/>
  <c r="CV342" i="1"/>
  <c r="BR346" i="1"/>
  <c r="BT303" i="1"/>
  <c r="BT293" i="1"/>
  <c r="BT300" i="1" s="1"/>
  <c r="BM377" i="1"/>
  <c r="BM389" i="1"/>
  <c r="BM401" i="1" s="1"/>
  <c r="BM426" i="1" s="1"/>
  <c r="BK389" i="1"/>
  <c r="BK377" i="1"/>
  <c r="CU375" i="1"/>
  <c r="CT356" i="1"/>
  <c r="CT357" i="1"/>
  <c r="BW277" i="1"/>
  <c r="CU349" i="1"/>
  <c r="CU345" i="1"/>
  <c r="CU350" i="1"/>
  <c r="CU343" i="1"/>
  <c r="CU344" i="1" s="1"/>
  <c r="BS279" i="1"/>
  <c r="BS280" i="1"/>
  <c r="BS278" i="1"/>
  <c r="BS281" i="1"/>
  <c r="BS366" i="1"/>
  <c r="BS365" i="1"/>
  <c r="BS459" i="1"/>
  <c r="BS367" i="1"/>
  <c r="BS363" i="1"/>
  <c r="BS364" i="1" s="1"/>
  <c r="BL460" i="1"/>
  <c r="BL462" i="1" s="1"/>
  <c r="BI460" i="1"/>
  <c r="BI462" i="1" s="1"/>
  <c r="BJ460" i="1"/>
  <c r="BJ462" i="1" s="1"/>
  <c r="BK460" i="1"/>
  <c r="BK462" i="1" s="1"/>
  <c r="CT459" i="1"/>
  <c r="CT460" i="1" s="1"/>
  <c r="CT462" i="1" s="1"/>
  <c r="BN437" i="1"/>
  <c r="BN438" i="1" s="1"/>
  <c r="BN431" i="1"/>
  <c r="BN432" i="1"/>
  <c r="BP377" i="1"/>
  <c r="BP389" i="1"/>
  <c r="BP401" i="1" s="1"/>
  <c r="BP426" i="1" s="1"/>
  <c r="BW293" i="1"/>
  <c r="BW300" i="1" s="1"/>
  <c r="BW303" i="1"/>
  <c r="CB423" i="1"/>
  <c r="BQ303" i="1"/>
  <c r="BQ293" i="1"/>
  <c r="BZ303" i="1"/>
  <c r="BZ293" i="1"/>
  <c r="BZ300" i="1" s="1"/>
  <c r="BM383" i="1" l="1"/>
  <c r="BM382" i="1"/>
  <c r="BM379" i="1"/>
  <c r="BN379" i="1"/>
  <c r="BY294" i="1"/>
  <c r="BY291" i="1"/>
  <c r="BY299" i="1"/>
  <c r="BY295" i="1"/>
  <c r="BY296" i="1"/>
  <c r="BY276" i="1"/>
  <c r="BY342" i="1"/>
  <c r="CX290" i="1"/>
  <c r="BZ296" i="1"/>
  <c r="CU280" i="1"/>
  <c r="CU279" i="1"/>
  <c r="CU278" i="1"/>
  <c r="BT389" i="1"/>
  <c r="BT401" i="1" s="1"/>
  <c r="BT426" i="1" s="1"/>
  <c r="BT377" i="1"/>
  <c r="CV293" i="1"/>
  <c r="CV303" i="1"/>
  <c r="BU277" i="1"/>
  <c r="CW276" i="1"/>
  <c r="BZ459" i="1"/>
  <c r="BZ363" i="1"/>
  <c r="BZ364" i="1" s="1"/>
  <c r="BZ366" i="1"/>
  <c r="BZ365" i="1"/>
  <c r="CB299" i="1"/>
  <c r="CB294" i="1"/>
  <c r="CB291" i="1"/>
  <c r="CB296" i="1"/>
  <c r="CB276" i="1"/>
  <c r="CB277" i="1" s="1"/>
  <c r="CB295" i="1"/>
  <c r="CB342" i="1"/>
  <c r="BU293" i="1"/>
  <c r="BU300" i="1" s="1"/>
  <c r="BU303" i="1"/>
  <c r="BV378" i="1"/>
  <c r="BV383" i="1"/>
  <c r="BV382" i="1"/>
  <c r="CW299" i="1"/>
  <c r="CW291" i="1"/>
  <c r="CW294" i="1"/>
  <c r="CW300" i="1"/>
  <c r="CW292" i="1"/>
  <c r="CW295" i="1"/>
  <c r="BR431" i="1"/>
  <c r="BR437" i="1"/>
  <c r="BR438" i="1" s="1"/>
  <c r="BR432" i="1"/>
  <c r="CD280" i="1"/>
  <c r="CD278" i="1"/>
  <c r="CD279" i="1"/>
  <c r="CU365" i="1"/>
  <c r="CU366" i="1"/>
  <c r="CU363" i="1"/>
  <c r="CU364" i="1" s="1"/>
  <c r="BX293" i="1"/>
  <c r="BX300" i="1" s="1"/>
  <c r="BX303" i="1"/>
  <c r="CX260" i="1"/>
  <c r="CX265" i="1"/>
  <c r="CX261" i="1"/>
  <c r="CX266" i="1"/>
  <c r="CX324" i="1"/>
  <c r="CX416" i="1"/>
  <c r="CX330" i="1"/>
  <c r="CX318" i="1"/>
  <c r="CX312" i="1"/>
  <c r="CX419" i="1"/>
  <c r="CX360" i="1"/>
  <c r="CX418" i="1"/>
  <c r="CA346" i="1"/>
  <c r="CA349" i="1"/>
  <c r="CA345" i="1"/>
  <c r="CA362" i="1"/>
  <c r="CA343" i="1"/>
  <c r="CA344" i="1" s="1"/>
  <c r="CA350" i="1"/>
  <c r="CA370" i="1"/>
  <c r="CA372" i="1" s="1"/>
  <c r="CA375" i="1" s="1"/>
  <c r="BY421" i="1"/>
  <c r="BY422" i="1"/>
  <c r="BI377" i="1"/>
  <c r="BI389" i="1"/>
  <c r="CT375" i="1"/>
  <c r="BZ377" i="1"/>
  <c r="BZ389" i="1"/>
  <c r="BZ401" i="1" s="1"/>
  <c r="BZ426" i="1" s="1"/>
  <c r="BL432" i="1"/>
  <c r="BL437" i="1"/>
  <c r="BL438" i="1" s="1"/>
  <c r="BL431" i="1"/>
  <c r="BS375" i="1"/>
  <c r="CA281" i="1"/>
  <c r="CA280" i="1"/>
  <c r="CA279" i="1"/>
  <c r="CA278" i="1"/>
  <c r="BQ372" i="1"/>
  <c r="CV370" i="1"/>
  <c r="BO389" i="1"/>
  <c r="BO377" i="1"/>
  <c r="BU345" i="1"/>
  <c r="BU349" i="1"/>
  <c r="BU343" i="1"/>
  <c r="BU344" i="1" s="1"/>
  <c r="BU350" i="1"/>
  <c r="BU362" i="1"/>
  <c r="BU346" i="1"/>
  <c r="BU370" i="1"/>
  <c r="BV346" i="1"/>
  <c r="CW342" i="1"/>
  <c r="BN460" i="1"/>
  <c r="BN462" i="1" s="1"/>
  <c r="BW281" i="1"/>
  <c r="BW280" i="1"/>
  <c r="BW278" i="1"/>
  <c r="BW279" i="1"/>
  <c r="BW372" i="1"/>
  <c r="BK383" i="1"/>
  <c r="BK379" i="1"/>
  <c r="BK382" i="1"/>
  <c r="BK378" i="1"/>
  <c r="CU377" i="1"/>
  <c r="BQ459" i="1"/>
  <c r="BS460" i="1" s="1"/>
  <c r="BS462" i="1" s="1"/>
  <c r="BQ363" i="1"/>
  <c r="BQ364" i="1" s="1"/>
  <c r="BQ366" i="1"/>
  <c r="BQ365" i="1"/>
  <c r="BQ367" i="1"/>
  <c r="BR367" i="1"/>
  <c r="CV362" i="1"/>
  <c r="BQ280" i="1"/>
  <c r="BQ281" i="1"/>
  <c r="BQ279" i="1"/>
  <c r="BQ278" i="1"/>
  <c r="BR281" i="1"/>
  <c r="CV277" i="1"/>
  <c r="BX362" i="1"/>
  <c r="BX350" i="1"/>
  <c r="BX349" i="1"/>
  <c r="BX343" i="1"/>
  <c r="BX344" i="1" s="1"/>
  <c r="BX345" i="1"/>
  <c r="BX346" i="1"/>
  <c r="BX370" i="1"/>
  <c r="BX372" i="1" s="1"/>
  <c r="BX375" i="1" s="1"/>
  <c r="BM460" i="1"/>
  <c r="BM462" i="1" s="1"/>
  <c r="CB422" i="1"/>
  <c r="CB421" i="1"/>
  <c r="BP428" i="1"/>
  <c r="BP430" i="1"/>
  <c r="BP434" i="1"/>
  <c r="BP435" i="1" s="1"/>
  <c r="BP427" i="1"/>
  <c r="BV434" i="1"/>
  <c r="BV435" i="1" s="1"/>
  <c r="BV430" i="1"/>
  <c r="BV427" i="1"/>
  <c r="BV428" i="1"/>
  <c r="BP379" i="1"/>
  <c r="BP378" i="1"/>
  <c r="BP383" i="1"/>
  <c r="BP382" i="1"/>
  <c r="BT459" i="1"/>
  <c r="BT365" i="1"/>
  <c r="BT367" i="1"/>
  <c r="BT366" i="1"/>
  <c r="BT363" i="1"/>
  <c r="BT364" i="1" s="1"/>
  <c r="BK401" i="1"/>
  <c r="CU389" i="1"/>
  <c r="CU459" i="1"/>
  <c r="CU460" i="1" s="1"/>
  <c r="CU462" i="1" s="1"/>
  <c r="CD350" i="1"/>
  <c r="CD349" i="1"/>
  <c r="CD343" i="1"/>
  <c r="CD344" i="1" s="1"/>
  <c r="CD362" i="1"/>
  <c r="CD345" i="1"/>
  <c r="CD370" i="1"/>
  <c r="CD372" i="1" s="1"/>
  <c r="CD375" i="1" s="1"/>
  <c r="CA293" i="1"/>
  <c r="CA300" i="1" s="1"/>
  <c r="CA303" i="1"/>
  <c r="CC421" i="1"/>
  <c r="CC422" i="1"/>
  <c r="CV345" i="1"/>
  <c r="CV343" i="1"/>
  <c r="CV344" i="1" s="1"/>
  <c r="CV350" i="1"/>
  <c r="CV349" i="1"/>
  <c r="BM434" i="1"/>
  <c r="BM428" i="1"/>
  <c r="BM430" i="1"/>
  <c r="BW367" i="1"/>
  <c r="BW365" i="1"/>
  <c r="BW363" i="1"/>
  <c r="BW364" i="1" s="1"/>
  <c r="BW459" i="1"/>
  <c r="BW366" i="1"/>
  <c r="BL379" i="1"/>
  <c r="CC419" i="1"/>
  <c r="CC418" i="1"/>
  <c r="CC360" i="1"/>
  <c r="CC265" i="1"/>
  <c r="CC266" i="1"/>
  <c r="CC260" i="1"/>
  <c r="CC262" i="1"/>
  <c r="CC261" i="1"/>
  <c r="CC290" i="1" s="1"/>
  <c r="CC416" i="1"/>
  <c r="CC312" i="1"/>
  <c r="CC324" i="1"/>
  <c r="CC318" i="1"/>
  <c r="CC330" i="1"/>
  <c r="CD423" i="1"/>
  <c r="CD262" i="1"/>
  <c r="BZ421" i="1"/>
  <c r="BZ422" i="1"/>
  <c r="BX279" i="1"/>
  <c r="BX281" i="1"/>
  <c r="BX280" i="1"/>
  <c r="BX278" i="1"/>
  <c r="CD303" i="1"/>
  <c r="CD293" i="1"/>
  <c r="CD300" i="1" s="1"/>
  <c r="CC296" i="1" l="1"/>
  <c r="CC276" i="1"/>
  <c r="CC277" i="1" s="1"/>
  <c r="CC291" i="1"/>
  <c r="CC294" i="1"/>
  <c r="CC295" i="1"/>
  <c r="CC299" i="1"/>
  <c r="CC342" i="1"/>
  <c r="CD296" i="1"/>
  <c r="BU460" i="1"/>
  <c r="BU462" i="1" s="1"/>
  <c r="BY277" i="1"/>
  <c r="CX276" i="1"/>
  <c r="BK426" i="1"/>
  <c r="CU401" i="1"/>
  <c r="CU426" i="1" s="1"/>
  <c r="BI382" i="1"/>
  <c r="BI378" i="1"/>
  <c r="BI383" i="1"/>
  <c r="BI379" i="1"/>
  <c r="CT377" i="1"/>
  <c r="BJ379" i="1"/>
  <c r="CB280" i="1"/>
  <c r="CB279" i="1"/>
  <c r="CB278" i="1"/>
  <c r="CB281" i="1"/>
  <c r="BU365" i="1"/>
  <c r="BU459" i="1"/>
  <c r="BW460" i="1" s="1"/>
  <c r="BW462" i="1" s="1"/>
  <c r="BU367" i="1"/>
  <c r="BU363" i="1"/>
  <c r="BU364" i="1" s="1"/>
  <c r="BU366" i="1"/>
  <c r="BV367" i="1"/>
  <c r="CW362" i="1"/>
  <c r="CB350" i="1"/>
  <c r="CB345" i="1"/>
  <c r="CB346" i="1"/>
  <c r="CB343" i="1"/>
  <c r="CB344" i="1" s="1"/>
  <c r="CB349" i="1"/>
  <c r="CB362" i="1"/>
  <c r="CB370" i="1"/>
  <c r="CB372" i="1" s="1"/>
  <c r="CB375" i="1" s="1"/>
  <c r="BV431" i="1"/>
  <c r="BV437" i="1"/>
  <c r="BV438" i="1" s="1"/>
  <c r="BV432" i="1"/>
  <c r="BW375" i="1"/>
  <c r="BI401" i="1"/>
  <c r="CT389" i="1"/>
  <c r="BU278" i="1"/>
  <c r="BU279" i="1"/>
  <c r="BU280" i="1"/>
  <c r="BU281" i="1"/>
  <c r="BV281" i="1"/>
  <c r="CW277" i="1"/>
  <c r="CD389" i="1"/>
  <c r="CD401" i="1" s="1"/>
  <c r="CD426" i="1" s="1"/>
  <c r="CD377" i="1"/>
  <c r="BX459" i="1"/>
  <c r="BX367" i="1"/>
  <c r="BX365" i="1"/>
  <c r="BX363" i="1"/>
  <c r="BX364" i="1" s="1"/>
  <c r="BX366" i="1"/>
  <c r="CW303" i="1"/>
  <c r="CW293" i="1"/>
  <c r="CB293" i="1"/>
  <c r="CB300" i="1" s="1"/>
  <c r="CB303" i="1"/>
  <c r="BT382" i="1"/>
  <c r="BT378" i="1"/>
  <c r="BT379" i="1"/>
  <c r="BT383" i="1"/>
  <c r="BY293" i="1"/>
  <c r="BY300" i="1" s="1"/>
  <c r="BY303" i="1"/>
  <c r="CV279" i="1"/>
  <c r="CV280" i="1"/>
  <c r="CV278" i="1"/>
  <c r="BX460" i="1"/>
  <c r="BX462" i="1" s="1"/>
  <c r="BT460" i="1"/>
  <c r="BT462" i="1" s="1"/>
  <c r="BQ460" i="1"/>
  <c r="BQ462" i="1" s="1"/>
  <c r="BR460" i="1"/>
  <c r="BR462" i="1" s="1"/>
  <c r="CV459" i="1"/>
  <c r="CV460" i="1" s="1"/>
  <c r="CV462" i="1" s="1"/>
  <c r="CA389" i="1"/>
  <c r="CA401" i="1" s="1"/>
  <c r="CA426" i="1" s="1"/>
  <c r="CA377" i="1"/>
  <c r="BT430" i="1"/>
  <c r="BT428" i="1"/>
  <c r="BT434" i="1"/>
  <c r="BT435" i="1" s="1"/>
  <c r="BT427" i="1"/>
  <c r="CU382" i="1"/>
  <c r="CU383" i="1"/>
  <c r="BS377" i="1"/>
  <c r="BS389" i="1"/>
  <c r="CD366" i="1"/>
  <c r="CD363" i="1"/>
  <c r="CD364" i="1" s="1"/>
  <c r="CD459" i="1"/>
  <c r="CD365" i="1"/>
  <c r="BO379" i="1"/>
  <c r="BO382" i="1"/>
  <c r="BO378" i="1"/>
  <c r="BO383" i="1"/>
  <c r="BM437" i="1"/>
  <c r="BM432" i="1"/>
  <c r="BP437" i="1"/>
  <c r="BP438" i="1" s="1"/>
  <c r="BP431" i="1"/>
  <c r="BP432" i="1"/>
  <c r="CW349" i="1"/>
  <c r="CW343" i="1"/>
  <c r="CW344" i="1" s="1"/>
  <c r="CW350" i="1"/>
  <c r="CW345" i="1"/>
  <c r="BO401" i="1"/>
  <c r="CA459" i="1"/>
  <c r="CA367" i="1"/>
  <c r="CA365" i="1"/>
  <c r="CA363" i="1"/>
  <c r="CA364" i="1" s="1"/>
  <c r="CA366" i="1"/>
  <c r="BM378" i="1"/>
  <c r="CD421" i="1"/>
  <c r="CD422" i="1"/>
  <c r="BX377" i="1"/>
  <c r="BX389" i="1"/>
  <c r="BX401" i="1" s="1"/>
  <c r="BX426" i="1" s="1"/>
  <c r="BU372" i="1"/>
  <c r="CW370" i="1"/>
  <c r="BQ375" i="1"/>
  <c r="CV372" i="1"/>
  <c r="CV373" i="1" s="1"/>
  <c r="BZ434" i="1"/>
  <c r="BZ435" i="1" s="1"/>
  <c r="BZ430" i="1"/>
  <c r="BZ427" i="1"/>
  <c r="BZ428" i="1"/>
  <c r="CX294" i="1"/>
  <c r="CX300" i="1"/>
  <c r="CX295" i="1"/>
  <c r="CX299" i="1"/>
  <c r="CX292" i="1"/>
  <c r="CX291" i="1"/>
  <c r="CV363" i="1"/>
  <c r="CV364" i="1" s="1"/>
  <c r="CV366" i="1"/>
  <c r="CV365" i="1"/>
  <c r="CW459" i="1"/>
  <c r="CW460" i="1" s="1"/>
  <c r="CW462" i="1" s="1"/>
  <c r="BZ382" i="1"/>
  <c r="BZ378" i="1"/>
  <c r="BZ383" i="1"/>
  <c r="BY362" i="1"/>
  <c r="BY346" i="1"/>
  <c r="BY345" i="1"/>
  <c r="BY350" i="1"/>
  <c r="BY343" i="1"/>
  <c r="BY344" i="1" s="1"/>
  <c r="BY349" i="1"/>
  <c r="BY370" i="1"/>
  <c r="CX342" i="1"/>
  <c r="BZ346" i="1"/>
  <c r="CX345" i="1" l="1"/>
  <c r="CX349" i="1"/>
  <c r="CX343" i="1"/>
  <c r="CX344" i="1" s="1"/>
  <c r="CX350" i="1"/>
  <c r="BQ389" i="1"/>
  <c r="BQ377" i="1"/>
  <c r="CV375" i="1"/>
  <c r="BI426" i="1"/>
  <c r="BI456" i="1"/>
  <c r="BT437" i="1"/>
  <c r="BT438" i="1" s="1"/>
  <c r="BT431" i="1"/>
  <c r="BT432" i="1"/>
  <c r="CC350" i="1"/>
  <c r="CC346" i="1"/>
  <c r="CC343" i="1"/>
  <c r="CC344" i="1" s="1"/>
  <c r="CC349" i="1"/>
  <c r="CC362" i="1"/>
  <c r="CC345" i="1"/>
  <c r="CC370" i="1"/>
  <c r="CC372" i="1" s="1"/>
  <c r="CC375" i="1" s="1"/>
  <c r="CD346" i="1"/>
  <c r="BY372" i="1"/>
  <c r="CX370" i="1"/>
  <c r="CT383" i="1"/>
  <c r="CT382" i="1"/>
  <c r="CT378" i="1"/>
  <c r="BK430" i="1"/>
  <c r="BK427" i="1"/>
  <c r="BK428" i="1"/>
  <c r="BK434" i="1"/>
  <c r="BK435" i="1" s="1"/>
  <c r="BZ432" i="1"/>
  <c r="BZ437" i="1"/>
  <c r="BZ438" i="1" s="1"/>
  <c r="BZ431" i="1"/>
  <c r="CW365" i="1"/>
  <c r="CW366" i="1"/>
  <c r="CW363" i="1"/>
  <c r="CW364" i="1" s="1"/>
  <c r="BY459" i="1"/>
  <c r="BY367" i="1"/>
  <c r="BY366" i="1"/>
  <c r="BY365" i="1"/>
  <c r="BY363" i="1"/>
  <c r="BY364" i="1" s="1"/>
  <c r="BZ367" i="1"/>
  <c r="CX362" i="1"/>
  <c r="BX430" i="1"/>
  <c r="BX427" i="1"/>
  <c r="BX428" i="1"/>
  <c r="BX434" i="1"/>
  <c r="BX435" i="1" s="1"/>
  <c r="BO426" i="1"/>
  <c r="BZ460" i="1"/>
  <c r="BZ462" i="1" s="1"/>
  <c r="CA428" i="1"/>
  <c r="CA434" i="1"/>
  <c r="CA430" i="1"/>
  <c r="CD383" i="1"/>
  <c r="CD382" i="1"/>
  <c r="CD378" i="1"/>
  <c r="BY281" i="1"/>
  <c r="BY280" i="1"/>
  <c r="BY278" i="1"/>
  <c r="BY279" i="1"/>
  <c r="BZ281" i="1"/>
  <c r="CX277" i="1"/>
  <c r="CX303" i="1"/>
  <c r="CX293" i="1"/>
  <c r="BU375" i="1"/>
  <c r="CW372" i="1"/>
  <c r="CW373" i="1" s="1"/>
  <c r="CD427" i="1"/>
  <c r="CD434" i="1"/>
  <c r="CD435" i="1" s="1"/>
  <c r="CD428" i="1"/>
  <c r="CD430" i="1"/>
  <c r="CA379" i="1"/>
  <c r="CA383" i="1"/>
  <c r="CA382" i="1"/>
  <c r="CA378" i="1"/>
  <c r="BX383" i="1"/>
  <c r="BX378" i="1"/>
  <c r="BX382" i="1"/>
  <c r="BX379" i="1"/>
  <c r="CW280" i="1"/>
  <c r="CW279" i="1"/>
  <c r="CW278" i="1"/>
  <c r="CC303" i="1"/>
  <c r="CC293" i="1"/>
  <c r="CC300" i="1" s="1"/>
  <c r="CB459" i="1"/>
  <c r="CB363" i="1"/>
  <c r="CB364" i="1" s="1"/>
  <c r="CB366" i="1"/>
  <c r="CB365" i="1"/>
  <c r="CB367" i="1"/>
  <c r="BS401" i="1"/>
  <c r="BS378" i="1"/>
  <c r="BS379" i="1"/>
  <c r="BS382" i="1"/>
  <c r="BS383" i="1"/>
  <c r="CC281" i="1"/>
  <c r="CC279" i="1"/>
  <c r="CC280" i="1"/>
  <c r="CC278" i="1"/>
  <c r="CD281" i="1"/>
  <c r="BW377" i="1"/>
  <c r="BW389" i="1"/>
  <c r="CU378" i="1"/>
  <c r="CB377" i="1"/>
  <c r="CB389" i="1"/>
  <c r="CB401" i="1" s="1"/>
  <c r="CB426" i="1" s="1"/>
  <c r="CB460" i="1"/>
  <c r="CB462" i="1" s="1"/>
  <c r="BV460" i="1"/>
  <c r="BV462" i="1" s="1"/>
  <c r="CU434" i="1"/>
  <c r="CU435" i="1" s="1"/>
  <c r="CU428" i="1"/>
  <c r="CU427" i="1"/>
  <c r="CU430" i="1"/>
  <c r="BJ469" i="1" l="1"/>
  <c r="BJ471" i="1" s="1"/>
  <c r="BJ456" i="1"/>
  <c r="BI457" i="1"/>
  <c r="BI463" i="1" s="1"/>
  <c r="BW383" i="1"/>
  <c r="BW382" i="1"/>
  <c r="BW379" i="1"/>
  <c r="BW378" i="1"/>
  <c r="BS426" i="1"/>
  <c r="BU389" i="1"/>
  <c r="BU377" i="1"/>
  <c r="CW375" i="1"/>
  <c r="BX432" i="1"/>
  <c r="BX437" i="1"/>
  <c r="BX438" i="1" s="1"/>
  <c r="BX431" i="1"/>
  <c r="CC389" i="1"/>
  <c r="CC401" i="1" s="1"/>
  <c r="CC426" i="1" s="1"/>
  <c r="CC377" i="1"/>
  <c r="BI430" i="1"/>
  <c r="BI427" i="1"/>
  <c r="BI434" i="1"/>
  <c r="BI428" i="1"/>
  <c r="BM427" i="1"/>
  <c r="CA432" i="1"/>
  <c r="CA437" i="1"/>
  <c r="CC459" i="1"/>
  <c r="CC363" i="1"/>
  <c r="CC364" i="1" s="1"/>
  <c r="CC366" i="1"/>
  <c r="CC367" i="1"/>
  <c r="CC365" i="1"/>
  <c r="CD367" i="1"/>
  <c r="BQ378" i="1"/>
  <c r="BQ379" i="1"/>
  <c r="BQ382" i="1"/>
  <c r="BQ383" i="1"/>
  <c r="BR379" i="1"/>
  <c r="CV377" i="1"/>
  <c r="BQ401" i="1"/>
  <c r="CV389" i="1"/>
  <c r="CX280" i="1"/>
  <c r="CX278" i="1"/>
  <c r="CX279" i="1"/>
  <c r="BY375" i="1"/>
  <c r="CX372" i="1"/>
  <c r="CX373" i="1" s="1"/>
  <c r="CU437" i="1"/>
  <c r="CU438" i="1" s="1"/>
  <c r="CU431" i="1"/>
  <c r="CU432" i="1"/>
  <c r="BK432" i="1"/>
  <c r="BK437" i="1"/>
  <c r="BK438" i="1" s="1"/>
  <c r="BK431" i="1"/>
  <c r="CX365" i="1"/>
  <c r="CX366" i="1"/>
  <c r="CX363" i="1"/>
  <c r="CX364" i="1" s="1"/>
  <c r="BW401" i="1"/>
  <c r="CX459" i="1"/>
  <c r="CX460" i="1" s="1"/>
  <c r="CX462" i="1" s="1"/>
  <c r="CA460" i="1"/>
  <c r="CA462" i="1" s="1"/>
  <c r="BY460" i="1"/>
  <c r="BY462" i="1" s="1"/>
  <c r="CB428" i="1"/>
  <c r="CB434" i="1"/>
  <c r="CB435" i="1" s="1"/>
  <c r="CB427" i="1"/>
  <c r="CB430" i="1"/>
  <c r="CD437" i="1"/>
  <c r="CD438" i="1" s="1"/>
  <c r="CD432" i="1"/>
  <c r="CD431" i="1"/>
  <c r="CB379" i="1"/>
  <c r="CB383" i="1"/>
  <c r="CB382" i="1"/>
  <c r="CB378" i="1"/>
  <c r="BO434" i="1"/>
  <c r="BO435" i="1" s="1"/>
  <c r="BO430" i="1"/>
  <c r="BO427" i="1"/>
  <c r="BO428" i="1"/>
  <c r="BI435" i="1" l="1"/>
  <c r="BM435" i="1"/>
  <c r="BS434" i="1"/>
  <c r="BS428" i="1"/>
  <c r="BS430" i="1"/>
  <c r="BS427" i="1"/>
  <c r="CA427" i="1"/>
  <c r="BU401" i="1"/>
  <c r="CW389" i="1"/>
  <c r="BI431" i="1"/>
  <c r="BI432" i="1"/>
  <c r="BI437" i="1"/>
  <c r="BM431" i="1"/>
  <c r="BU382" i="1"/>
  <c r="BU378" i="1"/>
  <c r="BU379" i="1"/>
  <c r="BU383" i="1"/>
  <c r="BV379" i="1"/>
  <c r="CW377" i="1"/>
  <c r="CC382" i="1"/>
  <c r="CC379" i="1"/>
  <c r="CC383" i="1"/>
  <c r="CC378" i="1"/>
  <c r="CD379" i="1"/>
  <c r="BQ426" i="1"/>
  <c r="CV401" i="1"/>
  <c r="CV426" i="1" s="1"/>
  <c r="BY377" i="1"/>
  <c r="BY389" i="1"/>
  <c r="CX375" i="1"/>
  <c r="BW426" i="1"/>
  <c r="CC434" i="1"/>
  <c r="CC430" i="1"/>
  <c r="CC428" i="1"/>
  <c r="CB431" i="1"/>
  <c r="CB432" i="1"/>
  <c r="CB437" i="1"/>
  <c r="CB438" i="1" s="1"/>
  <c r="CC460" i="1"/>
  <c r="CC462" i="1" s="1"/>
  <c r="CD460" i="1"/>
  <c r="CD462" i="1" s="1"/>
  <c r="CV382" i="1"/>
  <c r="CV383" i="1"/>
  <c r="CV378" i="1"/>
  <c r="BK469" i="1"/>
  <c r="BK471" i="1" s="1"/>
  <c r="BK456" i="1"/>
  <c r="BJ457" i="1"/>
  <c r="CT456" i="1"/>
  <c r="BO432" i="1"/>
  <c r="BO431" i="1"/>
  <c r="BO437" i="1"/>
  <c r="BO438" i="1" s="1"/>
  <c r="BJ463" i="1" l="1"/>
  <c r="CT457" i="1"/>
  <c r="CT463" i="1" s="1"/>
  <c r="BL469" i="1"/>
  <c r="BL471" i="1" s="1"/>
  <c r="BL456" i="1"/>
  <c r="BK457" i="1"/>
  <c r="BK463" i="1" s="1"/>
  <c r="BU426" i="1"/>
  <c r="CW401" i="1"/>
  <c r="CW426" i="1" s="1"/>
  <c r="CT469" i="1"/>
  <c r="CT471" i="1" s="1"/>
  <c r="BS437" i="1"/>
  <c r="BS431" i="1"/>
  <c r="BS432" i="1"/>
  <c r="CA431" i="1"/>
  <c r="BW430" i="1"/>
  <c r="BW427" i="1"/>
  <c r="BW434" i="1"/>
  <c r="BW435" i="1" s="1"/>
  <c r="BW428" i="1"/>
  <c r="CW378" i="1"/>
  <c r="CW383" i="1"/>
  <c r="CW382" i="1"/>
  <c r="BY383" i="1"/>
  <c r="BY378" i="1"/>
  <c r="BY382" i="1"/>
  <c r="BY379" i="1"/>
  <c r="BZ379" i="1"/>
  <c r="CX377" i="1"/>
  <c r="BS435" i="1"/>
  <c r="CA435" i="1"/>
  <c r="CV434" i="1"/>
  <c r="CV435" i="1" s="1"/>
  <c r="CV427" i="1"/>
  <c r="CV430" i="1"/>
  <c r="CV428" i="1"/>
  <c r="BI438" i="1"/>
  <c r="BM438" i="1"/>
  <c r="CC432" i="1"/>
  <c r="CC437" i="1"/>
  <c r="BY401" i="1"/>
  <c r="CX389" i="1"/>
  <c r="BQ427" i="1"/>
  <c r="BQ428" i="1"/>
  <c r="BQ434" i="1"/>
  <c r="BQ435" i="1" s="1"/>
  <c r="BQ430" i="1"/>
  <c r="CW430" i="1" l="1"/>
  <c r="CW427" i="1"/>
  <c r="CW434" i="1"/>
  <c r="CW435" i="1" s="1"/>
  <c r="CW428" i="1"/>
  <c r="BQ431" i="1"/>
  <c r="BQ437" i="1"/>
  <c r="BQ438" i="1" s="1"/>
  <c r="BQ432" i="1"/>
  <c r="BU428" i="1"/>
  <c r="BU434" i="1"/>
  <c r="BU427" i="1"/>
  <c r="BU430" i="1"/>
  <c r="CC427" i="1"/>
  <c r="CV431" i="1"/>
  <c r="CV432" i="1"/>
  <c r="CV437" i="1"/>
  <c r="CV438" i="1" s="1"/>
  <c r="BM469" i="1"/>
  <c r="BM471" i="1" s="1"/>
  <c r="BM456" i="1"/>
  <c r="BL457" i="1"/>
  <c r="BL463" i="1" s="1"/>
  <c r="CX378" i="1"/>
  <c r="CX383" i="1"/>
  <c r="CX382" i="1"/>
  <c r="BW432" i="1"/>
  <c r="BW437" i="1"/>
  <c r="BW438" i="1" s="1"/>
  <c r="BW431" i="1"/>
  <c r="BS438" i="1"/>
  <c r="CA438" i="1"/>
  <c r="BY426" i="1"/>
  <c r="CX401" i="1"/>
  <c r="CX426" i="1" s="1"/>
  <c r="BU437" i="1" l="1"/>
  <c r="BU432" i="1"/>
  <c r="BU431" i="1"/>
  <c r="CC431" i="1"/>
  <c r="BU435" i="1"/>
  <c r="CC435" i="1"/>
  <c r="BN456" i="1"/>
  <c r="BN469" i="1"/>
  <c r="BN471" i="1" s="1"/>
  <c r="BM457" i="1"/>
  <c r="BM463" i="1" s="1"/>
  <c r="BY430" i="1"/>
  <c r="BY427" i="1"/>
  <c r="BY434" i="1"/>
  <c r="BY435" i="1" s="1"/>
  <c r="BY428" i="1"/>
  <c r="CX427" i="1"/>
  <c r="CX434" i="1"/>
  <c r="CX435" i="1" s="1"/>
  <c r="CX430" i="1"/>
  <c r="CX428" i="1"/>
  <c r="CW437" i="1"/>
  <c r="CW438" i="1" s="1"/>
  <c r="CW432" i="1"/>
  <c r="CW431" i="1"/>
  <c r="BY432" i="1" l="1"/>
  <c r="BY437" i="1"/>
  <c r="BY438" i="1" s="1"/>
  <c r="BY431" i="1"/>
  <c r="BO456" i="1"/>
  <c r="BO469" i="1"/>
  <c r="BO471" i="1" s="1"/>
  <c r="BN457" i="1"/>
  <c r="CU456" i="1"/>
  <c r="CX432" i="1"/>
  <c r="CX437" i="1"/>
  <c r="CX438" i="1" s="1"/>
  <c r="CX431" i="1"/>
  <c r="BU438" i="1"/>
  <c r="CC438" i="1"/>
  <c r="BN463" i="1" l="1"/>
  <c r="CU457" i="1"/>
  <c r="CU463" i="1" s="1"/>
  <c r="CU469" i="1"/>
  <c r="CU471" i="1" s="1"/>
  <c r="BP456" i="1"/>
  <c r="BP469" i="1"/>
  <c r="BP471" i="1" s="1"/>
  <c r="BO457" i="1"/>
  <c r="BO463" i="1" s="1"/>
  <c r="BQ469" i="1" l="1"/>
  <c r="BQ471" i="1" s="1"/>
  <c r="BQ456" i="1"/>
  <c r="BP457" i="1"/>
  <c r="BP463" i="1" s="1"/>
  <c r="BR469" i="1" l="1"/>
  <c r="BR471" i="1" s="1"/>
  <c r="BR456" i="1"/>
  <c r="BQ457" i="1"/>
  <c r="BQ463" i="1" s="1"/>
  <c r="BW469" i="1" l="1"/>
  <c r="BW471" i="1" s="1"/>
  <c r="BS456" i="1"/>
  <c r="BS469" i="1"/>
  <c r="BS471" i="1" s="1"/>
  <c r="BW456" i="1"/>
  <c r="BR457" i="1"/>
  <c r="CV456" i="1"/>
  <c r="CV469" i="1" l="1"/>
  <c r="CV471" i="1" s="1"/>
  <c r="BT456" i="1"/>
  <c r="BT469" i="1"/>
  <c r="BT471" i="1" s="1"/>
  <c r="BS457" i="1"/>
  <c r="BS463" i="1" s="1"/>
  <c r="BR463" i="1"/>
  <c r="CV457" i="1"/>
  <c r="CV463" i="1" s="1"/>
  <c r="BX469" i="1"/>
  <c r="BX471" i="1" s="1"/>
  <c r="BX456" i="1"/>
  <c r="BW457" i="1"/>
  <c r="BW463" i="1" s="1"/>
  <c r="BY469" i="1" l="1"/>
  <c r="BY471" i="1" s="1"/>
  <c r="BY456" i="1"/>
  <c r="BX457" i="1"/>
  <c r="BX463" i="1" s="1"/>
  <c r="BU456" i="1"/>
  <c r="BU469" i="1"/>
  <c r="BU471" i="1" s="1"/>
  <c r="BT457" i="1"/>
  <c r="BT463" i="1" s="1"/>
  <c r="BV469" i="1" l="1"/>
  <c r="BV471" i="1" s="1"/>
  <c r="BV456" i="1"/>
  <c r="BU457" i="1"/>
  <c r="BU463" i="1" s="1"/>
  <c r="BZ469" i="1"/>
  <c r="BZ471" i="1" s="1"/>
  <c r="BZ456" i="1"/>
  <c r="BY457" i="1"/>
  <c r="BY463" i="1" s="1"/>
  <c r="CA469" i="1" l="1"/>
  <c r="CA471" i="1" s="1"/>
  <c r="CA456" i="1"/>
  <c r="BV457" i="1"/>
  <c r="CW456" i="1"/>
  <c r="BZ457" i="1"/>
  <c r="CX456" i="1"/>
  <c r="BZ463" i="1" l="1"/>
  <c r="CX457" i="1"/>
  <c r="CX463" i="1" s="1"/>
  <c r="BV463" i="1"/>
  <c r="CW457" i="1"/>
  <c r="CW463" i="1" s="1"/>
  <c r="CX469" i="1"/>
  <c r="CX471" i="1" s="1"/>
  <c r="CW469" i="1"/>
  <c r="CW471" i="1" s="1"/>
  <c r="CB456" i="1"/>
  <c r="CB469" i="1"/>
  <c r="CB471" i="1" s="1"/>
  <c r="CA457" i="1"/>
  <c r="CA463" i="1" s="1"/>
  <c r="CC456" i="1" l="1"/>
  <c r="CC469" i="1"/>
  <c r="CC471" i="1" s="1"/>
  <c r="CB457" i="1"/>
  <c r="CB463" i="1" s="1"/>
  <c r="CD469" i="1" l="1"/>
  <c r="CD471" i="1" s="1"/>
  <c r="CD456" i="1"/>
  <c r="CD457" i="1" s="1"/>
  <c r="CD463" i="1" s="1"/>
  <c r="CC457" i="1"/>
  <c r="CC463" i="1" s="1"/>
  <c r="E52" i="3" l="1"/>
  <c r="H30" i="3"/>
  <c r="H52" i="3"/>
  <c r="G30" i="3"/>
  <c r="G52" i="3"/>
  <c r="G53" i="3" s="1"/>
  <c r="F30" i="3"/>
  <c r="F31" i="3" s="1"/>
  <c r="F52" i="3"/>
  <c r="F53" i="3" s="1"/>
  <c r="E30" i="3"/>
  <c r="E31" i="3" s="1"/>
  <c r="F20" i="3"/>
  <c r="G20" i="3"/>
  <c r="E20" i="3"/>
  <c r="H58" i="3"/>
  <c r="G31" i="3" l="1"/>
  <c r="H53" i="3"/>
  <c r="L31" i="3"/>
  <c r="K31" i="3"/>
  <c r="H31" i="3"/>
  <c r="H23" i="3"/>
  <c r="H20" i="3"/>
  <c r="E53" i="3"/>
  <c r="L32" i="3" l="1"/>
  <c r="K3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Julien Whitter</author>
    <author>Cost, Matthew A (Research)</author>
    <author>Cost, Matthew (Research)</author>
  </authors>
  <commentList>
    <comment ref="AU1" authorId="0" shapeId="0" xr:uid="{446B7AB9-BF6E-4EE6-AE6D-BDC1E3AE583F}">
      <text>
        <r>
          <rPr>
            <b/>
            <sz val="9"/>
            <color indexed="81"/>
            <rFont val="Tahoma"/>
            <family val="2"/>
          </rPr>
          <t>Julien Whitter:</t>
        </r>
        <r>
          <rPr>
            <sz val="9"/>
            <color indexed="81"/>
            <rFont val="Tahoma"/>
            <family val="2"/>
          </rPr>
          <t xml:space="preserve">
Electronic Arts Completes Acquisition of Glu Mobile, Creating a New Global Leader in Mobile Gaming
APRIL 29, 2021
Acquisition brings together two leading mobile organizations with expert, mobile-first teams and complementary games across the sports, lifestyle, mid-core, and casual genres.
REDWOOD CITY, Calif.--(BUSINESS WIRE)-- Electronic Arts Inc. (NASDAQ: EA), a global leader in interactive entertainment, today announced the completion of its acquisition of Glu Mobile Inc. (NASDAQ: GLUU) for $2.1 billion in enterprise value.
The combination of Electronic Arts and Glu accelerates EA’s mobile portfolio growth and will fuel new experiences in mobile, the largest gaming platform in the world. The deal will add significant growth to EA’s mobile business, building on its network of 100 million monthly active players in mobile, and creating a market-leading portfolio of more than 15 top live services across multiple fast-growing genres.
“We’re thrilled to welcome Glu Mobile to our Electronic Arts family,” said Andrew Wilson, CEO of Electronic Arts. “The combination of our talented teams and powerful IP positions us as a leader in the largest gaming category in the world. We are forming a powerful growth engine that will expand our current games and deliver more amazing new experiences across sports, lifestyle, mid-core, and casual for players everywhere.”
“Today is an exciting day for Glu and our global community of players,” said Nick Earl, CEO of Glu Mobile. “Joining forces with EA will take growth games like Covet Fashion, Design Home, Kim Kardashian: Hollywood, and the MLB Tap Sports Baseball franchise to the next level, expanding their reach to even more global audiences. Together, we will accelerate a strategic mobile-first approach and drive innovation through creative leadership while delivering world-class interactive experiences to our players.”
Glu will bring more than 500 talented game developers (and nearly 800 total employees) to EA’s mobile-focused organization, deepening mobile-first talent and enabling EA to reach an even broader global audience across new regions and markets.
The acquisition of Glu Mobile is part of Electronic Arts’ growth strategy focused on delivering more exceptional experiences and top live services, and reaching more players on more platforms around the world.</t>
        </r>
      </text>
    </comment>
    <comment ref="BD1" authorId="0" shapeId="0" xr:uid="{AE29784B-667C-49F3-8AD8-0C96A3F90B59}">
      <text>
        <r>
          <rPr>
            <b/>
            <sz val="9"/>
            <color indexed="81"/>
            <rFont val="Tahoma"/>
            <family val="2"/>
          </rPr>
          <t>Julien Whitter:</t>
        </r>
        <r>
          <rPr>
            <sz val="9"/>
            <color indexed="81"/>
            <rFont val="Tahoma"/>
            <family val="2"/>
          </rPr>
          <t xml:space="preserve">
e transitioned our global football franchise to a new EA SPORTS FC brand in the second quarter of fiscal 2024. Our continued vision for the future of interactive football with EA SPORTS FC is to create the largest football club in the world, and we believe that we can continue delivering creativity and innovation across platforms, geographies, and business models to connect more fans on a global scale.</t>
        </r>
      </text>
    </comment>
    <comment ref="BF1" authorId="0" shapeId="0" xr:uid="{76959CF4-B32D-4597-8067-D7BEB56D8E6A}">
      <text>
        <r>
          <rPr>
            <b/>
            <sz val="9"/>
            <color indexed="81"/>
            <rFont val="Tahoma"/>
            <family val="2"/>
          </rPr>
          <t>Julien Whitter:</t>
        </r>
        <r>
          <rPr>
            <sz val="9"/>
            <color indexed="81"/>
            <rFont val="Tahoma"/>
            <family val="2"/>
          </rPr>
          <t xml:space="preserve">
Our Q1 FY '25 outlook reflects many of the trends we saw in Q4 2024 related to slate timing and atypical seasonality as we lap difficult comps year-over-year. We expect the quarter to be impacted by a 15 point headwind related to release and content timing versus prior year due to 3 additional title launches. Live services, including EA SPORTS FC and Apex Legends, will continue to face difficult comparable periods. As a reminder, Q1 FY '24 was the largest Q1 in company history for our global football franchise.</t>
        </r>
      </text>
    </comment>
    <comment ref="CQ1" authorId="0" shapeId="0" xr:uid="{35448584-2E3D-41E4-8FBE-5B07E773DBC8}">
      <text>
        <r>
          <rPr>
            <b/>
            <sz val="9"/>
            <color indexed="81"/>
            <rFont val="Tahoma"/>
            <family val="2"/>
          </rPr>
          <t>Julien Whitter:</t>
        </r>
        <r>
          <rPr>
            <sz val="9"/>
            <color indexed="81"/>
            <rFont val="Tahoma"/>
            <family val="2"/>
          </rPr>
          <t xml:space="preserve">
Electronic Arts Completes Acquisition of Glu Mobile, Creating a New Global Leader in Mobile Gaming
APRIL 29, 2021
Acquisition brings together two leading mobile organizations with expert, mobile-first teams and complementary games across the sports, lifestyle, mid-core, and casual genres.
REDWOOD CITY, Calif.--(BUSINESS WIRE)-- Electronic Arts Inc. (NASDAQ: EA), a global leader in interactive entertainment, today announced the completion of its acquisition of Glu Mobile Inc. (NASDAQ: GLUU) for $2.1 billion in enterprise value.
The combination of Electronic Arts and Glu accelerates EA’s mobile portfolio growth and will fuel new experiences in mobile, the largest gaming platform in the world. The deal will add significant growth to EA’s mobile business, building on its network of 100 million monthly active players in mobile, and creating a market-leading portfolio of more than 15 top live services across multiple fast-growing genres.
“We’re thrilled to welcome Glu Mobile to our Electronic Arts family,” said Andrew Wilson, CEO of Electronic Arts. “The combination of our talented teams and powerful IP positions us as a leader in the largest gaming category in the world. We are forming a powerful growth engine that will expand our current games and deliver more amazing new experiences across sports, lifestyle, mid-core, and casual for players everywhere.”
“Today is an exciting day for Glu and our global community of players,” said Nick Earl, CEO of Glu Mobile. “Joining forces with EA will take growth games like Covet Fashion, Design Home, Kim Kardashian: Hollywood, and the MLB Tap Sports Baseball franchise to the next level, expanding their reach to even more global audiences. Together, we will accelerate a strategic mobile-first approach and drive innovation through creative leadership while delivering world-class interactive experiences to our players.”
Glu will bring more than 500 talented game developers (and nearly 800 total employees) to EA’s mobile-focused organization, deepening mobile-first talent and enabling EA to reach an even broader global audience across new regions and markets.
The acquisition of Glu Mobile is part of Electronic Arts’ growth strategy focused on delivering more exceptional experiences and top live services, and reaching more players on more platforms around the world.</t>
        </r>
      </text>
    </comment>
    <comment ref="BF2" authorId="0" shapeId="0" xr:uid="{285C5D4C-6A43-46C6-97F8-9C05C3E11104}">
      <text>
        <r>
          <rPr>
            <b/>
            <sz val="9"/>
            <color indexed="81"/>
            <rFont val="Tahoma"/>
            <family val="2"/>
          </rPr>
          <t>Julien Whitter:</t>
        </r>
        <r>
          <rPr>
            <sz val="9"/>
            <color indexed="81"/>
            <rFont val="Tahoma"/>
            <family val="2"/>
          </rPr>
          <t xml:space="preserve">
Letter to employees from EA’s CEO, Andrew Wilson:
Subject: Continuing to evolve our business and teams
Team,
We are entertaining, inspiring, and connecting more people with more content and deeper experiences than ever before. Over the last year, we have organized our company to further empower our creative leaders to deliver our strategic priorities of entertaining massive online communities, telling blockbuster stories, and harnessing the power of community in and around our games. These actions have positioned us to build bigger, bolder experiences for hundreds of millions of players and fans around the world.
We are also leading through an accelerating industry transformation where player needs and motivations have changed significantly. Fans are increasingly engaging with the largest IP, and looking to us for broader experiences where they can play, watch, create content, and forge deeper connections. Our industry exists at the cutting edge of entertainment, and in today’s dynamic environment, we are advancing the way we work and continuing to evolve our business.
As a company full of creators and storytellers, we believe in the value of teams innovating together, and continue to learn and adopt new ways of collaborating to grow and serve our global communities. Given how and where we are working, we are continuing to optimize our global real estate footprint to best support our business. We are also sunsetting games and moving away from development of future licensed IP that we do not believe will be successful in our changing industry. This greater focus allows us to drive creativity, accelerate innovation, and double down on our biggest opportunities — including our owned IP, sports, and massive online communities — to deliver the entertainment players want today and tomorrow. Lastly, we are streamlining our company operations to deliver deeper, more connected experiences for fans everywhere that build community, shape culture, and grow fandom.
In this time of change, we expect these decisions to impact approximately 5 percent of our workforce. I understand this will create uncertainty and be challenging for many who have worked with such dedication and passion and have made important contributions to our company. While not every team will be impacted, this is the hardest part of these changes, and we have deeply considered every option to try and limit impacts to our teams. Our primary goal is to provide team members with opportunities to find new roles and paths to transition onto other projects. Where that’s not possible, we will support and work with each colleague with the utmost attention, care, and respect. Communicating these impacts has already begun and will be largely completed by early next quarter.
I want to extend my appreciation to everyone who has helped contribute to EA’s ongoing story. We are a team that leans into our values to lead the future of entertainment, and I look forward to what we will create together. Thank you for all that you do.
Andrew
</t>
        </r>
      </text>
    </comment>
    <comment ref="BI13" authorId="0" shapeId="0" xr:uid="{B678BF69-2B22-460B-9BF1-4DE84508B609}">
      <text>
        <r>
          <rPr>
            <b/>
            <sz val="9"/>
            <color indexed="81"/>
            <rFont val="Tahoma"/>
            <family val="2"/>
          </rPr>
          <t>Julien Whitter:</t>
        </r>
        <r>
          <rPr>
            <sz val="9"/>
            <color indexed="81"/>
            <rFont val="Tahoma"/>
            <family val="2"/>
          </rPr>
          <t xml:space="preserve">
$700 ASP
</t>
        </r>
      </text>
    </comment>
    <comment ref="AQ27" authorId="0" shapeId="0" xr:uid="{93AFD003-8226-460A-9D70-9794A1E85626}">
      <text>
        <r>
          <rPr>
            <b/>
            <sz val="9"/>
            <color indexed="81"/>
            <rFont val="Tahoma"/>
            <family val="2"/>
          </rPr>
          <t>Julien Whitter:</t>
        </r>
        <r>
          <rPr>
            <sz val="9"/>
            <color indexed="81"/>
            <rFont val="Tahoma"/>
            <family val="2"/>
          </rPr>
          <t xml:space="preserve">
Net bookings were $1,390 million for the three months ended June 30, 2020 driven by strength across our portfolio, particularly sales related to FIFA 20, The Sims 4, Apex Legends and Madden NFL 20 . Net bookings increased $608 million or 78 percent as compared to the three months ended June 30, 2019 due to broad-based strength across our portfolio, primarily from the FIFA, the Sims, Star Wars and Madden franchises, and Apex Legends , as we saw extraordinary levels of engagement as players spent more time at home as a result of the COVID-19 pandemic, partially offset by the Battlefield franchise . Live services and other net bookings were $1,103 million for the three months ended June 30, 2020, and increased $416 million or 61 percent as compared to the three months ended June 30, 2019. The increase in live services and other net bookings was primarily driven by sales of extra content for FIFA Ultimate Team, The Sims 4, Apex Legends and Madden Ultimate Team and growth in our mobile business . Full game net bookings were $287 million for the three months ended June 30, 2020, and increased $192 million or 202 percent as compared to the three months ended June 30, 2019 driven by catalog sales.
</t>
        </r>
      </text>
    </comment>
    <comment ref="AR27" authorId="0" shapeId="0" xr:uid="{D5A6EAF8-ED7C-4745-88AA-51EF027CB81D}">
      <text>
        <r>
          <rPr>
            <b/>
            <sz val="9"/>
            <color indexed="81"/>
            <rFont val="Tahoma"/>
            <family val="2"/>
          </rPr>
          <t>Julien Whitter:</t>
        </r>
        <r>
          <rPr>
            <sz val="9"/>
            <color indexed="81"/>
            <rFont val="Tahoma"/>
            <family val="2"/>
          </rPr>
          <t xml:space="preserve">
Net bookings were $910 million for the three months ended September 30, 2020 driven by sales related to Madden NFL 21, Apex Legends, The Sims 4 and FIFA Ultimate Team . Net bookings decreased $403 million or 31 percent as compared to the three months ended September 30, 2019 due primarily to year-over-year change in the launch date of our FIFA console title from the second quarter in fiscal year 2020 to the third quarter in fiscal year 2021, partially offset by the Star Wars franchise and UFC 4. Full game net bookings were $266 million for the three months ended September 30, 2020, and decreased $371 million or 58 percent as compared to the three months ended September 30, 2019 due primarily to year-over-year change in the launch date of our FIFA console title , partially offset by UFC 4 and the Star Wars franchise. Live services and other net bookings were $644 million for the three months ended September 30, 2020, and decreased $32 million or 5 percent as compared to the three months ended September 30, 2019. The decrease in live services and other net bookings was due primarily to a decrease in sales of extra content for FIFA Ultimate Team, partially offset by Apex Legends and Star Wars: Galaxy of Heroes.</t>
        </r>
      </text>
    </comment>
    <comment ref="AS27" authorId="0" shapeId="0" xr:uid="{856ADF92-779E-4DBC-AE4F-982843779E76}">
      <text>
        <r>
          <rPr>
            <b/>
            <sz val="9"/>
            <color indexed="81"/>
            <rFont val="Tahoma"/>
            <family val="2"/>
          </rPr>
          <t>Julien Whitter:</t>
        </r>
        <r>
          <rPr>
            <sz val="9"/>
            <color indexed="81"/>
            <rFont val="Tahoma"/>
            <family val="2"/>
          </rPr>
          <t xml:space="preserve">
Net bookings were $2,400 million for the three months ended December 31, 2020 driven by sales related to FIFA 21, Madden NFL 21, Apex Legends, and The Sims 4 . Net bookings increased $379 million or 19 percent as compared to the three months ended December 31, 2019 primarily driven by the FIFA franchise due to year-over-year change in the launch date of our FIFA console title from the second quarter in fiscal year 2020 to the third quarter in fiscal year 2021, Apex Legends , Star Wars: Squadrons, and the Madden franchise, partially offset by Star Wars Jedi: Fallen Order and Need for Speed Heat. Live services and other net bookings were $1,542 million for the three months ended December 31, 2020, and increased $301 million or 24 percent as compared to the three months ended December 31, 2019. The increase in live services and other net bookings was due primarily to an increase in sales of extra content for Ultimate Team and Apex Legends. Full game net bookings were $858 million for the three months ended December 31, 2020, and increased $78 million or 10 percent as compared to the three months ended December 31, 2019 due to FIFA 21, Star Wars: Squadrons, and NHL 21, partially offset by Star Wars Jedi: Fallen Order and Need for Speed Heat</t>
        </r>
      </text>
    </comment>
    <comment ref="AU27" authorId="0" shapeId="0" xr:uid="{82647A48-739B-4186-AE2D-B97CFDA32BE9}">
      <text>
        <r>
          <rPr>
            <b/>
            <sz val="9"/>
            <color indexed="81"/>
            <rFont val="Tahoma"/>
            <family val="2"/>
          </rPr>
          <t>Julien Whitter:</t>
        </r>
        <r>
          <rPr>
            <sz val="9"/>
            <color indexed="81"/>
            <rFont val="Tahoma"/>
            <family val="2"/>
          </rPr>
          <t xml:space="preserve">
Net bookings were $1,336 million for the three months ended June 30, 2021 driven by sales related to FIFA 21 , Apex Legends , The Sims 4 , Mass Effect Trilogy Remaster , and Star Wars: Galaxy of Heroes. Net bookings decreased $54 million or 4 percent as compared to the three months ended June 30, 2020. Live services and other net bookings were $1,054 million for the three months ended June 30, 2021, and decreased $49 million or 4 percent as compared to the three months ended June 30, 2020. Full game net bookings were $282 million for the three months ended June 30, 2021, and decreased $5 million or 2 percent as compared to the three months ended June 30, 2020. During the three months ended June 30, 2020, we saw extraordinary levels of engagement with our products and services as players spent more time at home as a result of the COVID-19 pandemic leading to slight year-over-year declines in total net bookings, live services and other net bookings and full game net bookings as players engaged with other forms of entertainment during the three months ended June 30, 2021. In addition, net bookings for the three months ended June 30, 2020 contained 14 weeks of performance in comparison to 13 weeks for three months ended June 30, 2021. These decreases were partially offset by the performance of recent releases of Mass Effect Trilogy Remaster and It Takes Two </t>
        </r>
      </text>
    </comment>
    <comment ref="AV27" authorId="0" shapeId="0" xr:uid="{FE6E6027-B8F8-4A4B-AB77-795BD4504CAB}">
      <text>
        <r>
          <rPr>
            <b/>
            <sz val="9"/>
            <color indexed="81"/>
            <rFont val="Tahoma"/>
            <family val="2"/>
          </rPr>
          <t>Julien Whitter:</t>
        </r>
        <r>
          <rPr>
            <sz val="9"/>
            <color indexed="81"/>
            <rFont val="Tahoma"/>
            <family val="2"/>
          </rPr>
          <t xml:space="preserve">
 Net revenue from extra content sales for Ultimate Team was $1,623 million, $1,491 million and $1,369 million during fiscal years 2021, 2020 and 2019, respectively, a substantial portion of which was derived from FIFA Ultimate Team.</t>
        </r>
      </text>
    </comment>
    <comment ref="AW27" authorId="0" shapeId="0" xr:uid="{D7421FFC-5802-4C65-A5CA-817BC51E29C1}">
      <text>
        <r>
          <rPr>
            <b/>
            <sz val="9"/>
            <color indexed="81"/>
            <rFont val="Tahoma"/>
            <family val="2"/>
          </rPr>
          <t>Julien Whitter:</t>
        </r>
        <r>
          <rPr>
            <sz val="9"/>
            <color indexed="81"/>
            <rFont val="Tahoma"/>
            <family val="2"/>
          </rPr>
          <t xml:space="preserve">
Net bookings were $2,577 million for the three months ended December 31, 2021 primarily driven by sales related to FIFA 22 , Battlefield 2042 , Apex Legends , and Madden NFL 22. Net bookings increased $177 million, or 7 percent, as compared to the three months ended December 31, 2020 primarily due to Battlefield 2042 , Apex Legends , and new games added to our portfolio through acquisitions activity, partially offset by the year-over-year change in the launch date of our FIFA console and PC title from the third quarter in fiscal year 2021 to the second quarter in fiscal year 2022 and the Star Wars franchise. Live services and other net bookings were $1,677 million for the three months ended December 31, 2021, and increased $135 million, or 9 percent, as compared to the three months ended December 31, 2020. The increase in live services and other net bookings was due primarily to an increase in sales of extra content for Apex Legends , new games added to our portfolio through acquisitions activity, and Battlefield 2042 , partially offset by The Sims 4 . Full game net bookings were $900 million for the three months ended December 31, 2021, and increased $42 million, or 5 percent, as compared to the three months ended December 31, 2020 primarily due to Battlefield 2042 , partially offset by year-over-year change in the launch date of our FIFA console and PC title from the third quarter in fiscal year 2021 to the second quarter in fiscal year 2022.</t>
        </r>
      </text>
    </comment>
    <comment ref="AY27" authorId="0" shapeId="0" xr:uid="{1BECCA02-BE9C-4F88-B983-B40E10A726E0}">
      <text>
        <r>
          <rPr>
            <b/>
            <sz val="9"/>
            <color indexed="81"/>
            <rFont val="Tahoma"/>
            <family val="2"/>
          </rPr>
          <t>Julien Whitter:</t>
        </r>
        <r>
          <rPr>
            <sz val="9"/>
            <color indexed="81"/>
            <rFont val="Tahoma"/>
            <family val="2"/>
          </rPr>
          <t xml:space="preserve">
Net bookings were $1,299 million for the three months ended June 30, 2022 primarily driven by sales related to our FIFA, Madden and Formula 1 franchises, Apex Legends , and The Sims 4. Net bookings decreased $37 million, or 3 percent, as compared to the three months ended June 30, 2021, primarily due to prior period releases of Mass Effect Trilogy Remaster and It Takes Two and decreased year-over-year sales of extra content for Star Wars: Galaxy of Heroes , partially offset by the year-over-year change in the launch date for our Formula 1 title from the second quarter in fiscal 2022 to the first quarter in fiscal 2023, the Playdemic acquisition, the release of Apex Legends Mobile, and strength in our FIFA franchise. Live services and other net bookings were $1,134 million for the three months ended June 30, 2022, and increased $80 million, or 8 percent, as compared to the three months ended June 30, 2021. The increase in live services and other net bookings was due primarily to increased year-over-year sales of extra content for Apex Legends, the release of Apex Legends Mobile, the Playdemic acquisition, and strength in our FIFA franchise, partially offset by decreased year-over-year sales of extra content for Star Wars: Galaxy of Heroes . Full game net bookings were $165 million for the three months ended June 30, 2022, and decreased $117 million, or 41 percent, as compared to the three months ended June 30, 2021 primarily due to prior period releases of Mass Effect Trilogy Remaster and It Takes Two, partially offset by the year-over-year change in the launch date for our Formula 1 title from the second quarter in fiscal 2022 to the first quarter in fiscal 2023</t>
        </r>
      </text>
    </comment>
    <comment ref="AZ27" authorId="0" shapeId="0" xr:uid="{E056B69D-4FBE-4A38-90DB-E787CBE749FA}">
      <text>
        <r>
          <rPr>
            <b/>
            <sz val="9"/>
            <color indexed="81"/>
            <rFont val="Tahoma"/>
            <family val="2"/>
          </rPr>
          <t>Julien Whitter:</t>
        </r>
        <r>
          <rPr>
            <sz val="9"/>
            <color indexed="81"/>
            <rFont val="Tahoma"/>
            <family val="2"/>
          </rPr>
          <t xml:space="preserve">
Net bookings were $1,754 million for the three months ended September 30, 2022 primarily driven by sales related to our FIFA franchise, Apex Legends , our Madden franchise, The Sims 4 , and our F1 franchise . Net bookings decreased $97 million, or 5 percent, as compared to the three months ended September 30, 2021, primarily due to a $51 million impact related to fluctuations in foreign exchange rates, net of hedging activities, decreased sales of extra content related to Apex Legends due to timing of in-game events, and the year-over-year change in the launch date of F1 from the second quarter in fiscal year 2022 to the first quarter in fiscal year 2023. The decreases were partially offset by sales of extra content from the addition of Golf Clash , and strength in our FIFA franchise. Live services and other net bookings were $1,119 million for the three months ended September 30, 2022, and decreased $36 million, or 3 percent, as compared to the three months ended September 30, 2021. The decrease in live services and other net bookings was primarily due to fluctuations in foreign exchange rates, net of hedging activities, decreased sales of extra content related to Apex Legends due to timing of in-game events, and The Sims 4, partially offset by sales of extra content from the addition of Golf Clash and strength in our FIFA franchise. Full game net bookings were $635 million for the three months ended September 30, 2022, and decreased $61 million, or 9 percent, as compared to the three months ended September 30, 2021 primarily due to the year-over-year change in the launch date of F1 from the second quarter in fiscal year 2022 to the first quarter in fiscal year 2023 and the fluctuations in foreign exchange rates, net of hedging activities.</t>
        </r>
      </text>
    </comment>
    <comment ref="BA27" authorId="0" shapeId="0" xr:uid="{7E8EC1F0-B44B-45A8-BBAF-4BF68D1B41C4}">
      <text>
        <r>
          <rPr>
            <b/>
            <sz val="9"/>
            <color indexed="81"/>
            <rFont val="Tahoma"/>
            <family val="2"/>
          </rPr>
          <t>Julien Whitter:</t>
        </r>
        <r>
          <rPr>
            <sz val="9"/>
            <color indexed="81"/>
            <rFont val="Tahoma"/>
            <family val="2"/>
          </rPr>
          <t xml:space="preserve">
Net bookings were $2,342 million for the three months ended December 31, 2022 primarily driven by sales related to our FIFA and Madden franchises, Apex Legends, and The Sims 4. Net bookings decreased $235 million, or 9 percent, as compared to the three months ended December 31, 2021, primarily due to the prior year release of Battlefield 2042, and a $97 million impact related to fluctuations in foreign exchange rates, net of hedging activities, partially offset by strength in our FIFA franchise. Live services and other net bookings were $1,655 million for the three months ended December 31, 2022, and decreased $22 million, or 1 percent, as compared to the three months ended December 31, 2021. The decrease in live services and other net bookings was primarily due to fluctuations in foreign exchange rates, net of hedging activities and decreased sales of extra content related to Apex Legends, partially offset by strength in our FIFA franchise. Full game net bookings were $687 million for the three months ended December 31, 2022, and decreased $213 million, or 24 percent, as compared to the three months ended December 31, 2021 primarily due to the prior year release of Battlefield 2042, partially offset by sales related to our FIFA franchise and the release of Need for Speed Unbound.
</t>
        </r>
      </text>
    </comment>
    <comment ref="BC27" authorId="0" shapeId="0" xr:uid="{2E134099-382D-4DC1-B0FD-A31360D30514}">
      <text>
        <r>
          <rPr>
            <b/>
            <sz val="9"/>
            <color indexed="81"/>
            <rFont val="Tahoma"/>
            <family val="2"/>
          </rPr>
          <t>Julien Whitter:</t>
        </r>
        <r>
          <rPr>
            <sz val="9"/>
            <color indexed="81"/>
            <rFont val="Tahoma"/>
            <family val="2"/>
          </rPr>
          <t xml:space="preserve">
et bookings were $1,578 million for the three months ended June 30, 2023 primarily driven by sales related to our FIFA franchise, the release of Star Wars Jedi: Survivor, Apex Legends, and The Sims 4. Net bookings increased $279 million, or 21 percent, as compared to the three months ended June 30, 2022, primarily due to strength in FIFA 23 and the release of Star Wars Jedi: Survivor, partially offset by decreased sales of extra content for Apex Legends, and fluctuations in foreign exchange rates, net of hedging activities. Live services and other net bookings were $1,177 million for the three months ended June 30, 2023, and increased $43 million, or 4 percent, as compared to the three months ended June 30, 2022. The increase in live services and other net bookings was primarily driven by sales of extra content for FIFA Ultimate Team, partially offset by decreased sales of extra content for Apex Legends, and fluctuations in foreign exchange rates, net of hedging activities. Full game net bookings were $401 million for the three months ended June 30, 2023, and increased $236 million, or 143 percent, as compared to the three months ended June 30, 2022 primarily due to the release of Star Wars Jedi: Survivor and FIFA 23.</t>
        </r>
      </text>
    </comment>
    <comment ref="BD27" authorId="0" shapeId="0" xr:uid="{E57B137A-AC7B-49F5-8F54-D59529FEBA9D}">
      <text>
        <r>
          <rPr>
            <b/>
            <sz val="9"/>
            <color indexed="81"/>
            <rFont val="Tahoma"/>
            <family val="2"/>
          </rPr>
          <t>Julien Whitter:</t>
        </r>
        <r>
          <rPr>
            <sz val="9"/>
            <color indexed="81"/>
            <rFont val="Tahoma"/>
            <family val="2"/>
          </rPr>
          <t xml:space="preserve">
Net bookings were $1,820 million for the three months ended September 30, 2023 primarily driven by sales related to EA SPORTS FC 24, EA SPORTS Madden NFL 24, FIFA 23, Apex Legends, and The Sims 4. Net bookings increased $66 million, or 4 percent, as compared to the three months ended September 30, 2022, primarily due to the release of EA SPORTS FC 24, partially offset by decreased sales of extra content for Apex Legends, a year-over-year decrease in the EA SPORTS F1 franchise, and fluctuations in foreign exchange rates, net of hedging activities. Live services and other net bookings were $1,129 million for the three months ended September 30, 2023, and increased $10 million, or 1 percent, as compared to the three months ended September 30, 2022. The increase in live services and other net bookings was primarily driven by sales of extra content for EA SPORTS FC Ultimate Team, partially offset by decreased sales of extra content for Apex Legends and fluctuations in foreign exchange rates, net of hedging activities. Full game net bookings were $691 million for the three months ended September 30, 2023, and increased $56 million, or 9 percent, as compared to the three months ended September 30, 2022 primarily due to the release of EA SPORTS FC 24, partially offset by a year-over-year decline in the EA SPORTS F1 franchise.
</t>
        </r>
      </text>
    </comment>
    <comment ref="BE27" authorId="0" shapeId="0" xr:uid="{E8DAB8CF-A608-45C0-96D8-7933A2ACBA83}">
      <text>
        <r>
          <rPr>
            <b/>
            <sz val="9"/>
            <color indexed="81"/>
            <rFont val="Tahoma"/>
            <family val="2"/>
          </rPr>
          <t>Julien Whitter:</t>
        </r>
        <r>
          <rPr>
            <sz val="9"/>
            <color indexed="81"/>
            <rFont val="Tahoma"/>
            <family val="2"/>
          </rPr>
          <t xml:space="preserve">
Net bookings were $2,366 million for the three months ended December 31, 2023 primarily driven by sales related to EA SPORTS FC 24, EA SPORTS Madden NFL 24, Apex Legends, and The Sims 4.</t>
        </r>
      </text>
    </comment>
    <comment ref="BG27" authorId="0" shapeId="0" xr:uid="{5C1BA7F8-2307-47B7-A562-C13F141E7577}">
      <text>
        <r>
          <rPr>
            <b/>
            <sz val="9"/>
            <color indexed="81"/>
            <rFont val="Tahoma"/>
            <family val="2"/>
          </rPr>
          <t>Julien Whitter:</t>
        </r>
        <r>
          <rPr>
            <sz val="9"/>
            <color indexed="81"/>
            <rFont val="Tahoma"/>
            <family val="2"/>
          </rPr>
          <t xml:space="preserve">
Net bookings were $1,262 million for the three months ended June 30, 2024 primarily driven by sales related to EA SPORTS FC 24, Apex Legends, EA SPORTS FC Mobile, EA SPORTS FC Online, and EA SPORTS Madden NFL 24. Net bookings decreased $316 million, or 20 percent, as compared to the three months ended June 30, 2023, primarily due to the prior year release of Star Wars Jedi: Survivor, a year-over-year decrease in sales related to our global football franchise, and decreased sales of extra content for Apex Legends, partially offset by increased sales of extra content for our EA SPORTS Madden NFL franchise. Live services and other net bookings were $1,094 million for the three months ended June 30, 2024, and decreased $83 million, or 7 percent, as compared to the three months ended June 30, 2023. The decrease in live services and other net bookings was primarily due to a year-over-year decrease in extra content sales for Ultimate Team within our global football franchise and decreased sales of extra content for Apex Legends, partially offset by an increase in extra content sales for Madden Ultimate Team. Full game net bookings were $168 million for the three months ended June 30, 2024, and decreased $233 million, or 58 percent, as compared to the three months ended June 30, 2023 primarily due to the prior year release of Star Wars Jedi: Survivor.
</t>
        </r>
      </text>
    </comment>
    <comment ref="CO27" authorId="0" shapeId="0" xr:uid="{A2763224-9949-4A2B-8E98-9755E8AE98AE}">
      <text>
        <r>
          <rPr>
            <b/>
            <sz val="9"/>
            <color indexed="81"/>
            <rFont val="Tahoma"/>
            <family val="2"/>
          </rPr>
          <t>Julien Whitter:</t>
        </r>
        <r>
          <rPr>
            <sz val="9"/>
            <color indexed="81"/>
            <rFont val="Tahoma"/>
            <family val="2"/>
          </rPr>
          <t xml:space="preserve">
Restated
(a) At the beginning of fiscal year 2021, we changed the way in which we present net bookings to align with GAAP net revenue measures. Net bookings from mobile platform partners are now presented gross of platform provider fees. Historically, we presented net bookings from these partners net of platform fees. Net bookings for the fiscal year ended March 31, 2020 has been recast for comparability.
Net bookings were $5,211 million for fiscal year 2020 driven by sales related to FIFA 20, Madden NFL 20 and Star Wars Jedi: Fallen Order . Net bookings increased $267 million or 5 percent as compared to fiscal year 2019 due primarily to Star Wars Jedi: Fallen Order, Apex Legends and Need for Speed Heat , partially offset by Battlefield V and Anthem. Digital net bookings were $4,052 million for fiscal year 2020, an increase of $330 million or 9 percent as compared to fiscal year 2019. The increase in digital net bookings was primarily driven by our live services which grew $372 million or 15 percent year-over-year, primarily due to sales of extra content for Apex Legends, FIFA Ultimate Team and Madden Ultimate Team; and full game downloads which grew $18 million or 2 percent due to net bookings associated with Star Wars Jedi: Fallen Order and Need for Speed Heat, partially offset by Battlefield V . These increases were partially offset by a decrease of $60 million or 10 percent in our mobile business due to declines from aging titles.</t>
        </r>
      </text>
    </comment>
    <comment ref="CP27" authorId="0" shapeId="0" xr:uid="{2B2FE945-1F61-42C9-AF0E-94174FD3E1E7}">
      <text>
        <r>
          <rPr>
            <b/>
            <sz val="9"/>
            <color indexed="81"/>
            <rFont val="Tahoma"/>
            <family val="2"/>
          </rPr>
          <t>Julien Whitter:</t>
        </r>
        <r>
          <rPr>
            <sz val="9"/>
            <color indexed="81"/>
            <rFont val="Tahoma"/>
            <family val="2"/>
          </rPr>
          <t xml:space="preserve">
Net bookings were $6,190 million for fiscal year 2021 driven by sales related to FIFA 21 , Apex Legends, FIFA 20, The Sims 4, and Madden NFL 21 . Net bookings increased $818 million or 15 percent as compared to fiscal year 2020 primarily driven by the FIFA franchise, Apex Legends, Star Wars: Galaxy of Heroes , The Sims 4 , and the Madden franchise, partially offset by Star Wars Jedi: Fallen Order, Battlefield V, and Need for Speed Heat. Live services and other net bookings were $4,592 million for fiscal year 2021, and increased $1,000 million or 28 percent as compared to fiscal year 2020. The increase in live services and other net bookings was due primarily to an increase in sales of extra content for Ultimate Team, Apex Legends, Star Wars: Galaxy of Heroes, and The Sims 4 . Full game net bookings were $1,598 million for fiscal year 2021, and decreased $182 million or 10 percent as compared to fiscal year 2020 due to Star Wars Jedi: Fallen Order , partially offset by Star Wars: Squadrons and UFC 4 .</t>
        </r>
      </text>
    </comment>
    <comment ref="CQ27" authorId="0" shapeId="0" xr:uid="{6113C164-6076-4543-99CD-07C17F7222B6}">
      <text>
        <r>
          <rPr>
            <b/>
            <sz val="9"/>
            <color indexed="81"/>
            <rFont val="Tahoma"/>
            <family val="2"/>
          </rPr>
          <t>Julien Whitter:</t>
        </r>
        <r>
          <rPr>
            <sz val="9"/>
            <color indexed="81"/>
            <rFont val="Tahoma"/>
            <family val="2"/>
          </rPr>
          <t xml:space="preserve">
Net bookings were $7,515 million for fiscal year 2022 primarily driven by sales related to our FIFA franchise, Apex Legends , Madden NFL 22 , and The Sims 4 . Net bookings increased $1,325 million or 21 percent as compared to fiscal year 2021 primarily due to increased year-over-year sales for Apex Legends and the FIFA franchise, and new games added to our portfolio through acquisitions activity, including F1 2021 and several mobile titles, partially offset by the Star Wars franchise and The Sims 4. Live services and other net bookings were $5,370 million for fiscal year 2022, and increased $778 million or 17 percent as compared to fiscal year 2021. The increase in live services and other net bookings was due primarily to an increase in sales of extra content for Apex Legends , sales of extra content for new games added to our mobile portfolio through acquisitions activity, and sales of extra content for FIFA Ultimate Team . Full game net bookings were $2,145 million for fiscal year 2022, and increased $547 million or 34 percent as compared to fiscal year 2021 primarily due to Battlefield 2042 , the FIFA franchise, and F1 2021 , partially offset by the Star Wars franchise and UFC 4 .</t>
        </r>
      </text>
    </comment>
    <comment ref="CR27" authorId="0" shapeId="0" xr:uid="{09FBFD31-611D-42C3-83B1-B752C31B7CAE}">
      <text>
        <r>
          <rPr>
            <b/>
            <sz val="9"/>
            <color indexed="81"/>
            <rFont val="Tahoma"/>
            <family val="2"/>
          </rPr>
          <t>Julien Whitter:</t>
        </r>
        <r>
          <rPr>
            <sz val="9"/>
            <color indexed="81"/>
            <rFont val="Tahoma"/>
            <family val="2"/>
          </rPr>
          <t xml:space="preserve">
Net bookings were $7,341 million for fiscal year 2023 primarily driven by sales related to our FIFA and Madden franchises, Apex Legends, and The Sims 4. Net bookings decreased $174 million or 2 percent as compared to fiscal year 2022 primarily due to the prior year release of Battlefield 2042, and a $244 million impact related to fluctuations in foreign exchange rates, net of hedging activities, partially offset by strength in our FIFA franchise. Live services and other net bookings were $5,530 million for fiscal year 2023, and increased $160 million or 3 percent as compared to fiscal year 2022. The increase in live services and other net bookings was due primarily to strength in our FIFA franchise across all platforms (console, PC, and mobile), and the addition of Golf Clash. This strength was partially offset by fluctuations in foreign exchange rates, net of hedging activities, and softness in sales of extra content within the rest of our mobile catalog portfolio. Full game net bookings were $1,811 million for fiscal year 2023, and decreased $334 million or 16 percent as compared to fiscal year 2022 primarily due to the prior year releases of Battlefield 2042 and Mass Effect Trilogy Remaster, partially offset by the release of Dead Space Remake and sales related to our FIFA franchise.</t>
        </r>
      </text>
    </comment>
    <comment ref="AL36" authorId="0" shapeId="0" xr:uid="{440126F4-585E-426C-A8E8-645095062B73}">
      <text>
        <r>
          <rPr>
            <b/>
            <sz val="9"/>
            <color indexed="81"/>
            <rFont val="Tahoma"/>
            <family val="2"/>
          </rPr>
          <t>Julien Whitter:</t>
        </r>
        <r>
          <rPr>
            <sz val="9"/>
            <color indexed="81"/>
            <rFont val="Tahoma"/>
            <family val="2"/>
          </rPr>
          <t xml:space="preserve">
ps4/xbox1</t>
        </r>
      </text>
    </comment>
    <comment ref="AT36" authorId="0" shapeId="0" xr:uid="{E30B753C-A47C-4FBA-8654-E22C36E15C75}">
      <text>
        <r>
          <rPr>
            <b/>
            <sz val="9"/>
            <color indexed="81"/>
            <rFont val="Tahoma"/>
            <family val="2"/>
          </rPr>
          <t>Julien Whitter:</t>
        </r>
        <r>
          <rPr>
            <sz val="9"/>
            <color indexed="81"/>
            <rFont val="Tahoma"/>
            <family val="2"/>
          </rPr>
          <t xml:space="preserve">
Nintendo</t>
        </r>
      </text>
    </comment>
    <comment ref="AX36" authorId="0" shapeId="0" xr:uid="{309947EE-59E9-4ABF-8B35-FA5AE62A8150}">
      <text>
        <r>
          <rPr>
            <b/>
            <sz val="9"/>
            <color indexed="81"/>
            <rFont val="Tahoma"/>
            <family val="2"/>
          </rPr>
          <t>Julien Whitter:</t>
        </r>
        <r>
          <rPr>
            <sz val="9"/>
            <color indexed="81"/>
            <rFont val="Tahoma"/>
            <family val="2"/>
          </rPr>
          <t xml:space="preserve">
ps5/xbox x + s</t>
        </r>
      </text>
    </comment>
    <comment ref="AY36" authorId="0" shapeId="0" xr:uid="{C4265115-6D90-40E4-B05E-14C668716855}">
      <text>
        <r>
          <rPr>
            <b/>
            <sz val="9"/>
            <color indexed="81"/>
            <rFont val="Tahoma"/>
            <family val="2"/>
          </rPr>
          <t>Julien Whitter:</t>
        </r>
        <r>
          <rPr>
            <sz val="9"/>
            <color indexed="81"/>
            <rFont val="Tahoma"/>
            <family val="2"/>
          </rPr>
          <t xml:space="preserve">
Mobile</t>
        </r>
      </text>
    </comment>
    <comment ref="BE48" authorId="0" shapeId="0" xr:uid="{BDFDD34E-DF9B-4D5D-B77E-8E7ECD5B84B4}">
      <text>
        <r>
          <rPr>
            <b/>
            <sz val="9"/>
            <color indexed="81"/>
            <rFont val="Tahoma"/>
            <family val="2"/>
          </rPr>
          <t>Julien Whitter:</t>
        </r>
        <r>
          <rPr>
            <sz val="9"/>
            <color indexed="81"/>
            <rFont val="Tahoma"/>
            <family val="2"/>
          </rPr>
          <t xml:space="preserve">
This story continues into Q3 as EA SPORTS NHL 24 and EA SPORTS UFC 5 have already launched to critical acclaim. The EA SPORTS WRC launch is also just 2 days away.</t>
        </r>
      </text>
    </comment>
    <comment ref="BH48" authorId="0" shapeId="0" xr:uid="{79CF65B7-11F8-4758-A0CB-FAE6D6F35666}">
      <text>
        <r>
          <rPr>
            <b/>
            <sz val="9"/>
            <color indexed="81"/>
            <rFont val="Tahoma"/>
            <family val="2"/>
          </rPr>
          <t>Julien Whitter:</t>
        </r>
        <r>
          <rPr>
            <sz val="9"/>
            <color indexed="81"/>
            <rFont val="Tahoma"/>
            <family val="2"/>
          </rPr>
          <t xml:space="preserve">
could be a needle mover BUT ONLY ON GEN 9 CONSOLE
---
Matthew Andrew Cost Morgan Stanley, Research Division – Research Analyst
Another game that you mentioned was the NCAA football game. I think a lot of fans are excited to see that come back after so long. Probably a lot of people at this conference are very excited to see it come back after so long. But what can you share around your expectations for that title? And how do you envision the longer-term opportunity and then how it interacts with Madden?
Andrew Wilson Electronic Arts Inc. – Chairman &amp; CEO
I mean, first, if anyone tracks football in this country, the NFL just had record viewership around the Super Bowl and all of the playoff games, like record, record viewership, extraordinary. In a world where it's getting harder and harder to figure out where to go watch stuff, people found the Super Bowl. What we're also seeing is College Football is on fire. And there's been a lot of moves and a lot of puts and takes around College Football, and of course, I didn't grow up here and go to a U.S. college, and so I've been watching all this happen, and some people are very excited about this, and some people are very disappointed about what this means for traditional college football. But net-net, College Football is on fire. And so the timing for us, we think, is truly extraordinary.
We're also starting to see more crossover in the community than we ever have. So when we built College Football before, there was very much a college -- an NCAA -- EA SPORTS NCAA community and an EA SPORTS Madden community. What we see today is we see a football community. And this is really -- you should think about it as an American Football platform. And we believe it is both complementary and will drive growth across the business.
We don't have exact expectations to share on college, but here's what I'd say, the team that building -- is building has been doing it for a number of years. The last time we launched a game was over a decade ago. At that time, regardless of what you may have read, there were not real players in the game. We opened up the portal. We got over 10,000 players sign up for the game in the first week. And I don't have the latest data, but I mean they're signing up every day. We've got -- we wanted a 100-plus kind of brand ambassadors, the very elite amongst college players and we've over 100 signed up. We've got 134 schools. We've got all of the balls. </t>
        </r>
        <r>
          <rPr>
            <b/>
            <sz val="9"/>
            <color indexed="81"/>
            <rFont val="Tahoma"/>
            <family val="2"/>
          </rPr>
          <t>This is the most comprehensive College Football game that's ever released at a time where College Football is on fire, at a time where College Football fans are more connected than they've ever been, and we've got more connection between the NFL fan base and the college fan base</t>
        </r>
        <r>
          <rPr>
            <sz val="9"/>
            <color indexed="81"/>
            <rFont val="Tahoma"/>
            <family val="2"/>
          </rPr>
          <t>.
So net-net, I think it will be an incredible product for us this year. What I'm more excited about is how do we replicate this FC platform concept across modalities of play, across geography, across business model, across platforms? How do we use college and NFL to do that together to really supercharge that business here and hopefully, over the course of time, internationally, where the sport is starting to grow.</t>
        </r>
      </text>
    </comment>
    <comment ref="BJ48" authorId="0" shapeId="0" xr:uid="{C810CFEB-91CA-4F9B-B641-BF477B93F2F0}">
      <text>
        <r>
          <rPr>
            <b/>
            <sz val="9"/>
            <color indexed="81"/>
            <rFont val="Tahoma"/>
            <family val="2"/>
          </rPr>
          <t>Julien Whitter:</t>
        </r>
        <r>
          <rPr>
            <sz val="9"/>
            <color indexed="81"/>
            <rFont val="Tahoma"/>
            <family val="2"/>
          </rPr>
          <t xml:space="preserve">
pretty small per Katie/IR
</t>
        </r>
      </text>
    </comment>
    <comment ref="BF51" authorId="0" shapeId="0" xr:uid="{B7D4E295-EE03-47CC-ACF6-386CEA54CCB1}">
      <text>
        <r>
          <rPr>
            <b/>
            <sz val="9"/>
            <color indexed="81"/>
            <rFont val="Tahoma"/>
            <family val="2"/>
          </rPr>
          <t>Julien Whitter:</t>
        </r>
        <r>
          <rPr>
            <sz val="9"/>
            <color indexed="81"/>
            <rFont val="Tahoma"/>
            <family val="2"/>
          </rPr>
          <t xml:space="preserve">
As a reminder, we expected Q4 net bookings to be impacted by 8 points related to slate timing. We also provided a wider guidance range to account for the dynamics of Apex Legends and EA SPORTS FC, which faced difficult comparable periods. In Apex Legends, we saw elevated engagement and monetization trends early in the quarter. As the quarter progressed, monetization returned to prior norms while player sentiment and engagement remains strong. FC Mobile and Online declined year-over-year as they faced record comparables in the prior year period fueled by World Cup tailwinds. However, FC Ultimate Team lapping a record 20% growth in Q4 FY '23, again grew year-over-year delivering low single-digit growth.</t>
        </r>
      </text>
    </comment>
    <comment ref="BD54" authorId="0" shapeId="0" xr:uid="{CC86C5D3-22F6-417D-BF76-583723BE3F92}">
      <text>
        <r>
          <rPr>
            <b/>
            <sz val="9"/>
            <color indexed="81"/>
            <rFont val="Tahoma"/>
            <family val="2"/>
          </rPr>
          <t>Julien Whitter:</t>
        </r>
        <r>
          <rPr>
            <sz val="9"/>
            <color indexed="81"/>
            <rFont val="Tahoma"/>
            <family val="2"/>
          </rPr>
          <t xml:space="preserve">
Just last month, we launched Season 6 for Battlefield 2042, and our community is responding positively driving record engagement on steam. This illustrates the strength today and long-term potential of the franchise. Through innovation and creativity, our teams continue to support this huge community of fans while building towards the future of Battlefield.</t>
        </r>
      </text>
    </comment>
    <comment ref="BG54" authorId="0" shapeId="0" xr:uid="{67220476-5832-47E1-BBC9-2D08874569D7}">
      <text>
        <r>
          <rPr>
            <b/>
            <sz val="9"/>
            <color indexed="81"/>
            <rFont val="Tahoma"/>
            <family val="2"/>
          </rPr>
          <t>Julien Whitter:</t>
        </r>
        <r>
          <rPr>
            <sz val="9"/>
            <color indexed="81"/>
            <rFont val="Tahoma"/>
            <family val="2"/>
          </rPr>
          <t xml:space="preserve">
Assume Jedi survivor sold 3-5m units </t>
        </r>
      </text>
    </comment>
    <comment ref="AT60" authorId="0" shapeId="0" xr:uid="{3DB9DD89-4545-4EB1-BB4F-0CD5FF972F5A}">
      <text>
        <r>
          <rPr>
            <b/>
            <sz val="9"/>
            <color indexed="81"/>
            <rFont val="Tahoma"/>
            <family val="2"/>
          </rPr>
          <t>Julien Whitter:</t>
        </r>
        <r>
          <rPr>
            <sz val="9"/>
            <color indexed="81"/>
            <rFont val="Tahoma"/>
            <family val="2"/>
          </rPr>
          <t xml:space="preserve">
https://twitter.com/PlayApex/status/1382378457808699396/video/1</t>
        </r>
      </text>
    </comment>
    <comment ref="CO60" authorId="0" shapeId="0" xr:uid="{37751D99-0F36-4CDB-942C-2EDCACB031E1}">
      <text>
        <r>
          <rPr>
            <b/>
            <sz val="9"/>
            <color indexed="81"/>
            <rFont val="Tahoma"/>
            <family val="2"/>
          </rPr>
          <t>Julien Whitter:</t>
        </r>
        <r>
          <rPr>
            <sz val="9"/>
            <color indexed="81"/>
            <rFont val="Tahoma"/>
            <family val="2"/>
          </rPr>
          <t xml:space="preserve">
Apex Legends delievered 1b net bookings LTD FYE21</t>
        </r>
      </text>
    </comment>
    <comment ref="CL63" authorId="0" shapeId="0" xr:uid="{D5B3B3D4-8597-4FBF-A2C4-347F0D09D349}">
      <text>
        <r>
          <rPr>
            <b/>
            <sz val="9"/>
            <color indexed="81"/>
            <rFont val="Tahoma"/>
            <family val="2"/>
          </rPr>
          <t>Julien Whitter:</t>
        </r>
        <r>
          <rPr>
            <sz val="9"/>
            <color indexed="81"/>
            <rFont val="Tahoma"/>
            <family val="2"/>
          </rPr>
          <t xml:space="preserve">
Net revenue from extra content sales for  Ultimate Team  was $1,369 million, $1,180 million and $867 million during fiscal years 2019, 2018 and 2017, respectively, a substantial portion of which was derived from  FIFA Ultimate Team . </t>
        </r>
      </text>
    </comment>
    <comment ref="CM63" authorId="0" shapeId="0" xr:uid="{A79CE121-E267-4936-9684-494EB4AD5B56}">
      <text>
        <r>
          <rPr>
            <b/>
            <sz val="9"/>
            <color indexed="81"/>
            <rFont val="Tahoma"/>
            <family val="2"/>
          </rPr>
          <t>Julien Whitter:</t>
        </r>
        <r>
          <rPr>
            <sz val="9"/>
            <color indexed="81"/>
            <rFont val="Tahoma"/>
            <family val="2"/>
          </rPr>
          <t xml:space="preserve">
Net revenue from extra content sales for  Ultimate Team  was $1,369 million, $1,180 million and $867 million during fiscal years 2019, 2018 and 2017, respectively, a substantial portion of which was derived from  FIFA Ultimate Team . </t>
        </r>
      </text>
    </comment>
    <comment ref="CN63" authorId="0" shapeId="0" xr:uid="{04C54904-6D4E-4283-938B-2CF10DF3B0A3}">
      <text>
        <r>
          <rPr>
            <b/>
            <sz val="9"/>
            <color indexed="81"/>
            <rFont val="Tahoma"/>
            <family val="2"/>
          </rPr>
          <t>Julien Whitter:</t>
        </r>
        <r>
          <rPr>
            <sz val="9"/>
            <color indexed="81"/>
            <rFont val="Tahoma"/>
            <family val="2"/>
          </rPr>
          <t xml:space="preserve">
Net revenue from extra content sales for  Ultimate Team  was $1,369 million, $1,180 million and $867 million during fiscal years 2019, 2018 and 2017, respectively, a substantial portion of which was derived from  FIFA Ultimate Team . </t>
        </r>
      </text>
    </comment>
    <comment ref="CO63" authorId="0" shapeId="0" xr:uid="{5A2000EC-FFBE-42A8-9A52-DD284F4A1308}">
      <text>
        <r>
          <rPr>
            <b/>
            <sz val="9"/>
            <color indexed="81"/>
            <rFont val="Tahoma"/>
            <family val="2"/>
          </rPr>
          <t>Julien Whitter:</t>
        </r>
        <r>
          <rPr>
            <sz val="9"/>
            <color indexed="81"/>
            <rFont val="Tahoma"/>
            <family val="2"/>
          </rPr>
          <t xml:space="preserve">
Net revenue from Ultimate Team represented approximately 27 percent, 28 percent and 23 percent of our total net revenue during fiscal year 2020, 2019 and 2018, respectively, a substantial portion of which was derived from FIFA Ultimate Team 
Net revenue from extra content sales for Ultimate Team was $1,491 million, $1,369 million and $1,180 million during fiscal years 2020, 2019 and 2018, respectively, a substantial portion of which was derived from FIFA Ultimate Team.</t>
        </r>
      </text>
    </comment>
    <comment ref="CP63" authorId="0" shapeId="0" xr:uid="{039E1486-C16E-4A0E-8194-BF0DB2C5ECDD}">
      <text>
        <r>
          <rPr>
            <b/>
            <sz val="9"/>
            <color indexed="81"/>
            <rFont val="Tahoma"/>
            <family val="2"/>
          </rPr>
          <t>Julien Whitter:</t>
        </r>
        <r>
          <rPr>
            <sz val="9"/>
            <color indexed="81"/>
            <rFont val="Tahoma"/>
            <family val="2"/>
          </rPr>
          <t xml:space="preserve">
 Net revenue from extra content sales for Ultimate Team was $1,623 million, $1,491 million and $1,369 million during fiscal years 2021, 2020 and 2019, respectively, a substantial portion of which was derived from FIFA Ultimate Team.
FIFA ultimate team now $1b+ with 30m players
</t>
        </r>
      </text>
    </comment>
    <comment ref="BD68" authorId="0" shapeId="0" xr:uid="{6EB04AAD-954B-481C-BCED-4E19E7B03E3E}">
      <text>
        <r>
          <rPr>
            <b/>
            <sz val="9"/>
            <color indexed="81"/>
            <rFont val="Tahoma"/>
            <family val="2"/>
          </rPr>
          <t>Julien Whitter:</t>
        </r>
        <r>
          <rPr>
            <sz val="9"/>
            <color indexed="81"/>
            <rFont val="Tahoma"/>
            <family val="2"/>
          </rPr>
          <t xml:space="preserve">
+6%
EA SPORTS Madden NFL
Net Bookings YoY</t>
        </r>
      </text>
    </comment>
    <comment ref="BE68" authorId="0" shapeId="0" xr:uid="{B644DC5D-3ED2-4834-83E2-E5A52E405886}">
      <text>
        <r>
          <rPr>
            <b/>
            <sz val="9"/>
            <color indexed="81"/>
            <rFont val="Tahoma"/>
            <family val="2"/>
          </rPr>
          <t>Julien Whitter:</t>
        </r>
        <r>
          <rPr>
            <sz val="9"/>
            <color indexed="81"/>
            <rFont val="Tahoma"/>
            <family val="2"/>
          </rPr>
          <t xml:space="preserve">
EA SPORTSTM Madden NFL 
grew Net Bookings +5%
year over year in Q3
</t>
        </r>
      </text>
    </comment>
    <comment ref="BC72" authorId="0" shapeId="0" xr:uid="{523232E0-67B6-4846-BDAF-44F7E6EF4EA5}">
      <text>
        <r>
          <rPr>
            <b/>
            <sz val="9"/>
            <color indexed="81"/>
            <rFont val="Tahoma"/>
            <family val="2"/>
          </rPr>
          <t>Julien Whitter:</t>
        </r>
        <r>
          <rPr>
            <sz val="9"/>
            <color indexed="81"/>
            <rFont val="Tahoma"/>
            <family val="2"/>
          </rPr>
          <t xml:space="preserve">
Our full game net bookings were $401 million, up 143% year-over-year or 152% in constant currency, primarily driven by the release of Star Wars Jedi: Survivor. As Andrew noted, the title was a critical success with performance in line with our expectations. Based on the strength of the IP, the engaging gameplay and new ways to bring the title to players, Star Wars Jedi: Survivor will continue to deliver long-term value.</t>
        </r>
      </text>
    </comment>
    <comment ref="BC73" authorId="0" shapeId="0" xr:uid="{1AF808AE-9607-48D8-B537-98D0A9795F7B}">
      <text>
        <r>
          <rPr>
            <b/>
            <sz val="9"/>
            <color indexed="81"/>
            <rFont val="Tahoma"/>
            <family val="2"/>
          </rPr>
          <t>Julien Whitter:</t>
        </r>
        <r>
          <rPr>
            <sz val="9"/>
            <color indexed="81"/>
            <rFont val="Tahoma"/>
            <family val="2"/>
          </rPr>
          <t xml:space="preserve">
Star Wars Launch
&gt;1m units
https://www.gamesindustry.biz/star-wars-jedi-survivor-takes-no1-but-sales-down-on-its-predecessor-uk-boxed-charts</t>
        </r>
      </text>
    </comment>
    <comment ref="BO73" authorId="0" shapeId="0" xr:uid="{B14F8A2D-827D-42B1-ABD0-81BF9E9D66BA}">
      <text>
        <r>
          <rPr>
            <b/>
            <sz val="9"/>
            <color indexed="81"/>
            <rFont val="Tahoma"/>
            <family val="2"/>
          </rPr>
          <t>Julien Whitter:</t>
        </r>
        <r>
          <rPr>
            <sz val="9"/>
            <color indexed="81"/>
            <rFont val="Tahoma"/>
            <family val="2"/>
          </rPr>
          <t xml:space="preserve">
unannounced new title</t>
        </r>
      </text>
    </comment>
    <comment ref="BH76" authorId="0" shapeId="0" xr:uid="{03EA5450-F3FE-4B17-B692-5B89F28F78A0}">
      <text>
        <r>
          <rPr>
            <b/>
            <sz val="9"/>
            <color indexed="81"/>
            <rFont val="Tahoma"/>
            <family val="2"/>
          </rPr>
          <t>Julien Whitter:</t>
        </r>
        <r>
          <rPr>
            <sz val="9"/>
            <color indexed="81"/>
            <rFont val="Tahoma"/>
            <family val="2"/>
          </rPr>
          <t xml:space="preserve">
College Football
6m x 40 asp (prior 3m)
------
 After the quarter ended, EA SPORTSTM College Football 25 welcomed </t>
        </r>
        <r>
          <rPr>
            <b/>
            <sz val="9"/>
            <color indexed="81"/>
            <rFont val="Tahoma"/>
            <family val="2"/>
          </rPr>
          <t>5 million unique players into
              the game through its first week, with over 500,000 more playing via the EA Play trial.</t>
        </r>
      </text>
    </comment>
    <comment ref="BI76" authorId="0" shapeId="0" xr:uid="{A27B5AE0-FB12-4795-A13B-82098BE4164B}">
      <text>
        <r>
          <rPr>
            <b/>
            <sz val="9"/>
            <color indexed="81"/>
            <rFont val="Tahoma"/>
            <family val="2"/>
          </rPr>
          <t>Julien Whitter:</t>
        </r>
        <r>
          <rPr>
            <sz val="9"/>
            <color indexed="81"/>
            <rFont val="Tahoma"/>
            <family val="2"/>
          </rPr>
          <t xml:space="preserve">
1m CFB</t>
        </r>
      </text>
    </comment>
    <comment ref="AW77" authorId="0" shapeId="0" xr:uid="{9474361A-584C-452D-8BFD-1F2C35592922}">
      <text>
        <r>
          <rPr>
            <b/>
            <sz val="9"/>
            <color indexed="81"/>
            <rFont val="Tahoma"/>
            <family val="2"/>
          </rPr>
          <t>Julien Whitter:</t>
        </r>
        <r>
          <rPr>
            <sz val="9"/>
            <color indexed="81"/>
            <rFont val="Tahoma"/>
            <family val="2"/>
          </rPr>
          <t xml:space="preserve">
   § Battlefield - 2042 underperformed expectations…but acquired &gt;25M players. 5B+ hours played
</t>
        </r>
      </text>
    </comment>
    <comment ref="BM77" authorId="0" shapeId="0" xr:uid="{E14AEC66-0F59-4591-8A64-A467E73FD16F}">
      <text>
        <r>
          <rPr>
            <b/>
            <sz val="9"/>
            <color indexed="81"/>
            <rFont val="Tahoma"/>
            <family val="2"/>
          </rPr>
          <t>Julien Whitter:</t>
        </r>
        <r>
          <rPr>
            <sz val="9"/>
            <color indexed="81"/>
            <rFont val="Tahoma"/>
            <family val="2"/>
          </rPr>
          <t xml:space="preserve">
Battlefield Launch
5m units x 60 ASP x 30% take-rate</t>
        </r>
      </text>
    </comment>
    <comment ref="BI78" authorId="0" shapeId="0" xr:uid="{C30340D0-5679-47FC-B94F-97845A19D0FC}">
      <text>
        <r>
          <rPr>
            <b/>
            <sz val="9"/>
            <color indexed="81"/>
            <rFont val="Tahoma"/>
            <family val="2"/>
          </rPr>
          <t>Julien Whitter:</t>
        </r>
        <r>
          <rPr>
            <sz val="9"/>
            <color indexed="81"/>
            <rFont val="Tahoma"/>
            <family val="2"/>
          </rPr>
          <t xml:space="preserve">
1.22.25
1.5M players below EA expectations 
Separately, Dragon Age engaged approximately 1.5 million players during the quarter, down nearly 50% from the company’s expectations.
///
1m titles of Dragon Age the Veilguard
10.31.24 release
</t>
        </r>
      </text>
    </comment>
    <comment ref="BJ78" authorId="0" shapeId="0" xr:uid="{35C23CAE-2DCE-411C-8759-5658C3D5D0AE}">
      <text>
        <r>
          <rPr>
            <b/>
            <sz val="9"/>
            <color indexed="81"/>
            <rFont val="Tahoma"/>
            <family val="2"/>
          </rPr>
          <t>Julien Whitter:</t>
        </r>
        <r>
          <rPr>
            <sz val="9"/>
            <color indexed="81"/>
            <rFont val="Tahoma"/>
            <family val="2"/>
          </rPr>
          <t xml:space="preserve">
.5m units</t>
        </r>
      </text>
    </comment>
    <comment ref="BG80" authorId="0" shapeId="0" xr:uid="{DD11DE43-AFF8-4D53-83F0-6F08E92B94B1}">
      <text>
        <r>
          <rPr>
            <b/>
            <sz val="9"/>
            <color indexed="81"/>
            <rFont val="Tahoma"/>
            <family val="2"/>
          </rPr>
          <t>Julien Whitter:</t>
        </r>
        <r>
          <rPr>
            <sz val="9"/>
            <color indexed="81"/>
            <rFont val="Tahoma"/>
            <family val="2"/>
          </rPr>
          <t xml:space="preserve">
Copa América
Jun 20, 2024 – Jul 14, 2024
UEFA Euro 2024
14 June – 14 July 2024</t>
        </r>
      </text>
    </comment>
    <comment ref="AS81" authorId="0" shapeId="0" xr:uid="{D4B6084A-35B6-4D63-AEA5-146FFE9FD6DF}">
      <text>
        <r>
          <rPr>
            <b/>
            <sz val="9"/>
            <color indexed="81"/>
            <rFont val="Tahoma"/>
            <family val="2"/>
          </rPr>
          <t>Julien Whitter:</t>
        </r>
        <r>
          <rPr>
            <sz val="9"/>
            <color indexed="81"/>
            <rFont val="Tahoma"/>
            <family val="2"/>
          </rPr>
          <t xml:space="preserve">
We set a new record of nearly 6 million daily active players in FIFA Ultimate Team in December, and FUT matches have grown a staggering 177% year-over-year.</t>
        </r>
      </text>
    </comment>
    <comment ref="AT81" authorId="0" shapeId="0" xr:uid="{F911289C-5E4A-474C-9C92-2B95C33EBF9E}">
      <text>
        <r>
          <rPr>
            <b/>
            <sz val="9"/>
            <color indexed="81"/>
            <rFont val="Tahoma"/>
            <family val="2"/>
          </rPr>
          <t>Julien Whitter:</t>
        </r>
        <r>
          <rPr>
            <sz val="9"/>
            <color indexed="81"/>
            <rFont val="Tahoma"/>
            <family val="2"/>
          </rPr>
          <t xml:space="preserve">
More than 20 million 
players played FIFA Ultimate Team in the last year, and FUT matches were up an incredible 
180%</t>
        </r>
      </text>
    </comment>
    <comment ref="AU81" authorId="0" shapeId="0" xr:uid="{10772F9A-48C5-4230-B19F-45ECF780D71E}">
      <text>
        <r>
          <rPr>
            <b/>
            <sz val="9"/>
            <color indexed="81"/>
            <rFont val="Tahoma"/>
            <family val="2"/>
          </rPr>
          <t>Julien Whitter:</t>
        </r>
        <r>
          <rPr>
            <sz val="9"/>
            <color indexed="81"/>
            <rFont val="Tahoma"/>
            <family val="2"/>
          </rPr>
          <t xml:space="preserve">
Over 31 million players have joined FIFA 21 on console and PC since launch, and FIFA Ultimate Team continues to engage more soccer fans, with FUT Matches up 48% year-over-year in Q1.
</t>
        </r>
      </text>
    </comment>
    <comment ref="AZ81" authorId="0" shapeId="0" xr:uid="{920EF0E9-59D7-48E8-AC0C-80A241DD65CF}">
      <text>
        <r>
          <rPr>
            <b/>
            <sz val="9"/>
            <color indexed="81"/>
            <rFont val="Tahoma"/>
            <family val="2"/>
          </rPr>
          <t>Julien Whitter:</t>
        </r>
        <r>
          <rPr>
            <sz val="9"/>
            <color indexed="81"/>
            <rFont val="Tahoma"/>
            <family val="2"/>
          </rPr>
          <t xml:space="preserve">
FIFA net bookings grew 6% in constant currency, and
In the first four weeks, FIFA 23 sell-through unit sales were up 10% versus the comparable period for FIFA 22 , and FUT players are up 6%.</t>
        </r>
      </text>
    </comment>
    <comment ref="BA81" authorId="0" shapeId="0" xr:uid="{A33475DF-0BB0-4DC2-9228-1387446E5136}">
      <text>
        <r>
          <rPr>
            <b/>
            <sz val="9"/>
            <color indexed="81"/>
            <rFont val="Tahoma"/>
            <family val="2"/>
          </rPr>
          <t>Julien Whitter:</t>
        </r>
        <r>
          <rPr>
            <sz val="9"/>
            <color indexed="81"/>
            <rFont val="Tahoma"/>
            <family val="2"/>
          </rPr>
          <t xml:space="preserve">
Year-to-date net bookings from a FIFA franchise has grown 4% or 15% at constant currency.
</t>
        </r>
      </text>
    </comment>
    <comment ref="BB81" authorId="0" shapeId="0" xr:uid="{B76D299C-BCFA-431C-85A8-4C8DFF2841F0}">
      <text>
        <r>
          <rPr>
            <b/>
            <sz val="9"/>
            <color indexed="81"/>
            <rFont val="Tahoma"/>
            <family val="2"/>
          </rPr>
          <t>Julien Whitter:</t>
        </r>
        <r>
          <rPr>
            <sz val="9"/>
            <color indexed="81"/>
            <rFont val="Tahoma"/>
            <family val="2"/>
          </rPr>
          <t xml:space="preserve">
Console, mobile and PC both premium and free-to-play, delivered double-digit growth in net bookings, and FIFA 23 became the best-selling title in franchise history.
EA SPORTS FIFA significantly outperformed as net bookings grew 31% year-over-year or up 37% in constant currency.
---
We expect EA SPORTS FC to deliver low single-digit net bookings growth, building on its momentum growing again on top of a record fiscal year 2023.</t>
        </r>
      </text>
    </comment>
    <comment ref="BD81" authorId="0" shapeId="0" xr:uid="{3218E771-A93A-4B7F-82F0-277171D62D6B}">
      <text>
        <r>
          <rPr>
            <b/>
            <sz val="9"/>
            <color indexed="81"/>
            <rFont val="Tahoma"/>
            <family val="2"/>
          </rPr>
          <t>Julien Whitter:</t>
        </r>
        <r>
          <rPr>
            <sz val="9"/>
            <color indexed="81"/>
            <rFont val="Tahoma"/>
            <family val="2"/>
          </rPr>
          <t xml:space="preserve">
In Q2, our total global football business significantly exceeded our expectations. N</t>
        </r>
        <r>
          <rPr>
            <b/>
            <sz val="9"/>
            <color indexed="81"/>
            <rFont val="Tahoma"/>
            <family val="2"/>
          </rPr>
          <t>et bookings grew 41% year-over-year driven by continue</t>
        </r>
        <r>
          <rPr>
            <sz val="9"/>
            <color indexed="81"/>
            <rFont val="Tahoma"/>
            <family val="2"/>
          </rPr>
          <t>d momentum of FIFA 23, including triple-digit Mobile net bookings growth and strong demand for the release of EA SPORTS FC 24. The launch had a tremendous start highlighted by healthy retention of our core cohort, strong acquisition of new and reactivated players, greater demand for Deluxe Editions of FC 24 and the benefit of 4 extra days of early access.
---
Benjamin Soff Deutsche Bank AG, Research Division – Research Associate
Another one on FC again, really strong launch so far, so that's encouraging. I'm wondering if you anticipate that the pacing of sales for this game will be similar to prior years. Or if you'd expect any changes to that trend as a result of the rebrand, maybe either more front-end loaded because of some excitement or longer tail because it might take time for some of the marketing to reach people.
Andrew Wilson Electronic Arts Inc. – Chairman &amp; CEO
Yes. I think Stuart can kind of talk about how we're planning that. I think what we're doing right now is we're planning for both of those potential outcomes. We feel very good about the launch so far. We've certainly brought in a meaningful amount of net new fans and net new players in the ecosystem, which is always an incredible sign and prediction for the future. We also know we still have a meaningful amount of people playing the previous game.
And as we're starting to see, and it's less about the FC transition and more about our live service business in general. As we think about live services, we're seeing the transition from one launch to the next be a little bit more organic. And certainly, as we have supported the live services right up until the new launch. There's often very good reason for people to continue playing the previous game. And so I do believe that we brought in new fans through an incredible game experience and incredible marketing, but we also recognize that we still have a meaningful population playing the previous game, and we're now working very deliberately and diligently to bring those over to FC and continue to grow the base of FC on a go-forward basis.</t>
        </r>
      </text>
    </comment>
    <comment ref="BE81" authorId="0" shapeId="0" xr:uid="{D09E5E2E-06B1-4256-BD99-EAD8F8904953}">
      <text>
        <r>
          <rPr>
            <b/>
            <sz val="9"/>
            <color indexed="81"/>
            <rFont val="Tahoma"/>
            <family val="2"/>
          </rPr>
          <t>Julien Whitter:</t>
        </r>
        <r>
          <rPr>
            <sz val="9"/>
            <color indexed="81"/>
            <rFont val="Tahoma"/>
            <family val="2"/>
          </rPr>
          <t xml:space="preserve">
“EA SPORTS FC outperformed expectations again this quarter, delivering 7% year-over-year net bookings growth, as momentum continued through the FC brand transition,” said Stuart Canfield, CFO of EA. “We will continue to build upon the strength within our portfolio, while prioritizing investments in our largest opportunities for multi-year growth.”</t>
        </r>
      </text>
    </comment>
    <comment ref="BG81" authorId="0" shapeId="0" xr:uid="{CCF97718-8D44-4164-BF7A-CEB35215D0AA}">
      <text>
        <r>
          <rPr>
            <b/>
            <sz val="9"/>
            <color indexed="81"/>
            <rFont val="Tahoma"/>
            <family val="2"/>
          </rPr>
          <t>Julien Whitter:</t>
        </r>
        <r>
          <rPr>
            <sz val="9"/>
            <color indexed="81"/>
            <rFont val="Tahoma"/>
            <family val="2"/>
          </rPr>
          <t xml:space="preserve">
Turning to the EA SPORTS FC franchise. </t>
        </r>
        <r>
          <rPr>
            <b/>
            <sz val="9"/>
            <color indexed="81"/>
            <rFont val="Tahoma"/>
            <family val="2"/>
          </rPr>
          <t>Results came in better than expected, but down for the quarter against double-digit growth in the prior-year period, which benefited from tailwinds relating to the World Cup.</t>
        </r>
        <r>
          <rPr>
            <sz val="9"/>
            <color indexed="81"/>
            <rFont val="Tahoma"/>
            <family val="2"/>
          </rPr>
          <t xml:space="preserve"> It's worth noting that, life-to-date, our new EA SPORTS FC franchise is up mid-single-digits versus the prior version.</t>
        </r>
      </text>
    </comment>
    <comment ref="BH81" authorId="0" shapeId="0" xr:uid="{0D7E1B0C-468D-46C0-9C50-76BD376F48B6}">
      <text>
        <r>
          <rPr>
            <b/>
            <sz val="9"/>
            <color indexed="81"/>
            <rFont val="Tahoma"/>
            <family val="2"/>
          </rPr>
          <t>Julien Whitter:</t>
        </r>
        <r>
          <rPr>
            <sz val="9"/>
            <color indexed="81"/>
            <rFont val="Tahoma"/>
            <family val="2"/>
          </rPr>
          <t xml:space="preserve">
Global Football saw live service growth across all platforms in Q2, and total franchise net
bookings in FY25 are on track to grow over a record FY24.</t>
        </r>
      </text>
    </comment>
    <comment ref="BI81" authorId="0" shapeId="0" xr:uid="{7D27B4F2-7592-44D7-B38D-800541A82DDE}">
      <text>
        <r>
          <rPr>
            <b/>
            <sz val="9"/>
            <color indexed="81"/>
            <rFont val="Tahoma"/>
            <family val="2"/>
          </rPr>
          <t>Julien Whitter:</t>
        </r>
        <r>
          <rPr>
            <sz val="9"/>
            <color indexed="81"/>
            <rFont val="Tahoma"/>
            <family val="2"/>
          </rPr>
          <t xml:space="preserve">
REDWOOD CITY, CA – January 22, 2025 – Electronic Arts Inc. (NASDAQ: EA) today announced preliminary results for the third fiscal quarter and a revised outlook for the fiscal year ending March 31, 2025.
Business Outlook as of January 22, 2025
EA’s initial guidance for fiscal year 2025 anticipated mid-single-digit growth in live services net bookings1. However, the company now projects a mid-single-digit decline, with Global Football accounting for the majority of the change.
Global Football had experienced two consecutive fiscal years of double-digit net bookings growth. However, the franchise experienced a slowdown as early momentum in the fiscal third quarter did not sustain through to the end. As a result, EA revises its outlook for Global Football to end the fiscal year down mid-single-digit at the midpoint of the new outlook. Separately, Dragon Age engaged approximately 1.5 million players during the quarter, down nearly 50% from the company’s expectations.
As a result, EA is providing preliminary results for its third fiscal quarter and updating its fiscal year 2025 net bookings outlook.  It now expects net bookings of approximately $2.215 billion for the third fiscal quarter and an updated range of $7.000 billion to $7.150 billion for fiscal year 2025.  
For its third fiscal quarter, EA now expects GAAP net revenue to be approximately $1.883 billion and approximately $1.11 in GAAP diluted earnings per share.
“During Q3, we continued to deliver high-quality games and experiences across our portfolio; however, Dragon Age and EA SPORTS FC 25 underperformed our net bookings expectations,” said Andrew Wilson, CEO of EA. “This month, our teams delivered a comprehensive gameplay refresh in addition to our annual Team of the Year update in FC 25; positive player feedback and early results are encouraging. We remain confident in our long-term strategy and expect a return to growth in FY26, as we execute against our pipeline.”
“We continue to balance investment for future growth with operational discipline, and remain committed to EA’s long-term financial framework” said Stuart Canfield, CFO of EA. “As we look to FY26, we expect to grow as we launch more of our iconic franchises.”
EA will announce its results for the third fiscal quarter ending December 31, 2024 on February 4th, 2025 and will host a conference call at 2:00 pm PT (5:00 pm ET) to discuss its quarterly results and financial outlook. Listeners may access the conference call live via a dial-in number or audio webcast.</t>
        </r>
      </text>
    </comment>
    <comment ref="AZ82" authorId="0" shapeId="0" xr:uid="{03F79EC6-0FD8-48CD-993C-6C5E9F032187}">
      <text>
        <r>
          <rPr>
            <b/>
            <sz val="9"/>
            <color indexed="81"/>
            <rFont val="Tahoma"/>
            <family val="2"/>
          </rPr>
          <t>Julien Whitter:</t>
        </r>
        <r>
          <rPr>
            <sz val="9"/>
            <color indexed="81"/>
            <rFont val="Tahoma"/>
            <family val="2"/>
          </rPr>
          <t xml:space="preserve">
FIFA net bookings grew 6% in constant currency, and
In the first four weeks, FIFA 23 sell-through unit sales were up 10% versus the comparable period for FIFA 22 , and FUT players are up 6%.</t>
        </r>
      </text>
    </comment>
    <comment ref="BB82" authorId="0" shapeId="0" xr:uid="{25C841CA-8B63-42BB-B2A1-236917E70A6E}">
      <text>
        <r>
          <rPr>
            <b/>
            <sz val="9"/>
            <color indexed="81"/>
            <rFont val="Tahoma"/>
            <family val="2"/>
          </rPr>
          <t>Julien Whitter:</t>
        </r>
        <r>
          <rPr>
            <sz val="9"/>
            <color indexed="81"/>
            <rFont val="Tahoma"/>
            <family val="2"/>
          </rPr>
          <t xml:space="preserve">
Console, mobile and PC both premium and free-to-play, delivered double-digit growth in net bookings, and FIFA 23 became the best-selling title in franchise history.
EA SPORTS FIFA significantly outperformed as net bookings grew 31% year-over-year or up 37% in constant currency.
---
We expect EA SPORTS FC to deliver low single-digit net bookings growth, building on its momentum growing again on top of a record fiscal year 2023.</t>
        </r>
      </text>
    </comment>
    <comment ref="BC82" authorId="0" shapeId="0" xr:uid="{72B63211-1238-4FB9-BF31-0D9FB7BDE379}">
      <text>
        <r>
          <rPr>
            <b/>
            <sz val="9"/>
            <color indexed="81"/>
            <rFont val="Tahoma"/>
            <family val="2"/>
          </rPr>
          <t>Julien Whitter:</t>
        </r>
        <r>
          <rPr>
            <sz val="9"/>
            <color indexed="81"/>
            <rFont val="Tahoma"/>
            <family val="2"/>
          </rPr>
          <t xml:space="preserve">
 This is the second r</t>
        </r>
        <r>
          <rPr>
            <b/>
            <sz val="9"/>
            <color indexed="81"/>
            <rFont val="Tahoma"/>
            <family val="2"/>
          </rPr>
          <t>ecord quarter in a row for EA SPORTS FIFA, with year-over-year growth accelerating from Q4</t>
        </r>
        <r>
          <rPr>
            <sz val="9"/>
            <color indexed="81"/>
            <rFont val="Tahoma"/>
            <family val="2"/>
          </rPr>
          <t>, as this entire franchise continues to demonstrate the strategic potential of a connected massive online community.</t>
        </r>
      </text>
    </comment>
    <comment ref="BD82" authorId="0" shapeId="0" xr:uid="{4255BA00-0B96-42A6-97BC-A368ADCAEC96}">
      <text>
        <r>
          <rPr>
            <b/>
            <sz val="9"/>
            <color indexed="81"/>
            <rFont val="Tahoma"/>
            <family val="2"/>
          </rPr>
          <t>Julien Whitter:</t>
        </r>
        <r>
          <rPr>
            <sz val="9"/>
            <color indexed="81"/>
            <rFont val="Tahoma"/>
            <family val="2"/>
          </rPr>
          <t xml:space="preserve">
Matthew Andrew Cost Morgan Stanley, Research Division – Research Analyst
I guess, on the launch of EA FC, I guess what were the areas where you were most pleased with the launch versus last year and the areas where maybe you saw the room for the most improvement? And are you still on track to hit the low single-digit growth of the franchise year-on-year that you had spoken about at the beginning of the year?
Andrew Wilson Electronic Arts Inc. – Chairman &amp; CEO
Thanks for the question. I would tell you, we are almost universally happy with the launch. Taking on this launch was a big challenge for us, was a challenge for the nature of the game that our teams had to make across platforms, across console, PC, mobile and free-to-play game that's mostly in Asia. We wanted this to be a symbol of change, not just a change of symbol. And I think the teams have done an extraordinary job in delivering the most authentic, immersive, socially connected football experience ever, certainly that we've ever made.
I think our marketing teams have done a tremendous job in ensuring that the world's population of football fans understands the transition has happened, understands the benefits of that transition and understands why this represents not the end, but the very beginning. What is going to be an incredible journey of football fandom for our fans and for our partners globally. I think that if you really sat down with our developers or our marketers or our partners, there are always things we can do better, and we're always learning, but on balance, I would say we feel very, very proud of what we've achieved so far.
It's only early, but certainly, all the signs are incredibly positive, and the feedback is also incredibly positive. And we feel good about where we think the franchise is going from a performance standpoint. Stuart, do you have some more?
Stuart Canfield Electronic Arts Inc. – Executive VP &amp; CFO
Yes, Matt, I'll just add just to clarify. So yes, we remain track for the low single-digit growth that we represented. I think 2 important pieces of context. Yes, we're off to a great start to Andrew's point earlier, we obviously saw strength in Q2. And obviously, importantly, we're seeing -- we're up high single digits year-on-year through the first 4 weeks on our live service business. Caveat being, we remain prudent as we head into Q3 and Q4. As you remember from last year, we saw record Q4 across our business, up 31%, but we still feel confident and on track for low single-digit growth for the rest of the year.
</t>
        </r>
      </text>
    </comment>
    <comment ref="BE82" authorId="0" shapeId="0" xr:uid="{AD30926E-071F-4010-BA5B-5ABC424F3764}">
      <text>
        <r>
          <rPr>
            <b/>
            <sz val="9"/>
            <color indexed="81"/>
            <rFont val="Tahoma"/>
            <family val="2"/>
          </rPr>
          <t>Julien Whitter:</t>
        </r>
        <r>
          <rPr>
            <sz val="9"/>
            <color indexed="81"/>
            <rFont val="Tahoma"/>
            <family val="2"/>
          </rPr>
          <t xml:space="preserve">
“EA SPORTS FC outperformed expectations again this quarter, d</t>
        </r>
        <r>
          <rPr>
            <b/>
            <sz val="9"/>
            <color indexed="81"/>
            <rFont val="Tahoma"/>
            <family val="2"/>
          </rPr>
          <t xml:space="preserve">elivering 7% year-over-year net bookings growth, as momentum continued through the FC brand transition,” said Stuart Canfield, CFO of EA. </t>
        </r>
        <r>
          <rPr>
            <sz val="9"/>
            <color indexed="81"/>
            <rFont val="Tahoma"/>
            <family val="2"/>
          </rPr>
          <t>“We will continue to build upon the strength within our portfolio, while prioritizing investments in our largest opportunities for multi-year growth.”</t>
        </r>
      </text>
    </comment>
    <comment ref="CS82" authorId="0" shapeId="0" xr:uid="{B39C719F-A533-481D-B13B-63A15B91C874}">
      <text>
        <r>
          <rPr>
            <b/>
            <sz val="9"/>
            <color indexed="81"/>
            <rFont val="Tahoma"/>
            <family val="2"/>
          </rPr>
          <t>Julien Whitter:</t>
        </r>
        <r>
          <rPr>
            <sz val="9"/>
            <color indexed="81"/>
            <rFont val="Tahoma"/>
            <family val="2"/>
          </rPr>
          <t xml:space="preserve">
4Q24: Our global football franchise grew net bookings</t>
        </r>
        <r>
          <rPr>
            <b/>
            <sz val="9"/>
            <color indexed="81"/>
            <rFont val="Tahoma"/>
            <family val="2"/>
          </rPr>
          <t xml:space="preserve"> by high-teens percen</t>
        </r>
        <r>
          <rPr>
            <sz val="9"/>
            <color indexed="81"/>
            <rFont val="Tahoma"/>
            <family val="2"/>
          </rPr>
          <t>t in FY24
 Strength in live services was driven by high-teens growth year-over-year in our global football franchise, fueled by FC Ultimate Team and FC Mobile but was offset by declines in Apex Legends.
---
4Q23:</t>
        </r>
        <r>
          <rPr>
            <b/>
            <sz val="9"/>
            <color indexed="81"/>
            <rFont val="Tahoma"/>
            <family val="2"/>
          </rPr>
          <t xml:space="preserve"> We expect EA SPORTS FC to deliver low single-digit net bookings growth, building on its momentum growing again on top of a record fiscal year 2023.</t>
        </r>
        <r>
          <rPr>
            <sz val="9"/>
            <color indexed="81"/>
            <rFont val="Tahoma"/>
            <family val="2"/>
          </rPr>
          <t xml:space="preserve"> 
---</t>
        </r>
        <r>
          <rPr>
            <b/>
            <sz val="9"/>
            <color indexed="81"/>
            <rFont val="Tahoma"/>
            <family val="2"/>
          </rPr>
          <t xml:space="preserve">
3Q23: For the full year, we now expect EA SPORTS FC net bookings to grow mid- to high single digits, excluding FX</t>
        </r>
      </text>
    </comment>
    <comment ref="BH83" authorId="0" shapeId="0" xr:uid="{6E2DBEC9-5FDB-4D72-91D2-319D3F7D8EBE}">
      <text>
        <r>
          <rPr>
            <b/>
            <sz val="9"/>
            <color indexed="81"/>
            <rFont val="Tahoma"/>
            <family val="2"/>
          </rPr>
          <t>Julien Whitter:</t>
        </r>
        <r>
          <rPr>
            <sz val="9"/>
            <color indexed="81"/>
            <rFont val="Tahoma"/>
            <family val="2"/>
          </rPr>
          <t xml:space="preserve">
Global Football saw live service growth across all platforms in Q2, and total franchise net
bookings in FY25 are on track to grow over a record FY24.</t>
        </r>
      </text>
    </comment>
    <comment ref="AC84" authorId="0" shapeId="0" xr:uid="{9196F948-B001-4B02-8FF3-4506B3FB5E75}">
      <text>
        <r>
          <rPr>
            <b/>
            <sz val="9"/>
            <color indexed="81"/>
            <rFont val="Tahoma"/>
            <family val="2"/>
          </rPr>
          <t>Julien Whitter:</t>
        </r>
        <r>
          <rPr>
            <sz val="9"/>
            <color indexed="81"/>
            <rFont val="Tahoma"/>
            <family val="2"/>
          </rPr>
          <t xml:space="preserve">
Blake J. Jorgensen
Chief Financial Officer and Executive Vice President
Oh, Ultimate Team, yes. So we're now tracking close to $800 million a year on Ultimate Team between the 3 sports. Obviously, FIFA is the largest, followed by Madden and then followed by Hockey. And -- but it's very encouraging at the continued excitement around that business and our ability to continue to grow it despite its extremely large size already.</t>
        </r>
      </text>
    </comment>
    <comment ref="AK84" authorId="1" shapeId="0" xr:uid="{411DC99B-60C9-446D-9A2C-BFE8EC8EBC82}">
      <text>
        <r>
          <rPr>
            <b/>
            <sz val="9"/>
            <rFont val="Tahoma"/>
            <family val="2"/>
          </rPr>
          <t>Cost, Matthew A (Research):</t>
        </r>
        <r>
          <rPr>
            <sz val="9"/>
            <rFont val="Tahoma"/>
            <family val="2"/>
          </rPr>
          <t xml:space="preserve">
3Q:F19 Call
FIFA Ultimate Team delivered its best quarter ever, up 6% from last year's Q3 </t>
        </r>
      </text>
    </comment>
    <comment ref="AM84" authorId="1" shapeId="0" xr:uid="{F97F9C7B-CBA0-4CE3-8304-831EBDDE735B}">
      <text>
        <r>
          <rPr>
            <b/>
            <sz val="9"/>
            <rFont val="Tahoma"/>
            <family val="2"/>
          </rPr>
          <t>Cost, Matthew A (Research):</t>
        </r>
        <r>
          <rPr>
            <sz val="9"/>
            <rFont val="Tahoma"/>
            <family val="2"/>
          </rPr>
          <t xml:space="preserve">
1Q:F20 Call: FIFA Ultimate Team was up 11% year-on-year at a constant currency, or 5% at actual exchange rates.
</t>
        </r>
      </text>
    </comment>
    <comment ref="AN84" authorId="1" shapeId="0" xr:uid="{1D82B1B1-B3A6-4990-959F-33E7F5F76464}">
      <text>
        <r>
          <rPr>
            <b/>
            <sz val="9"/>
            <rFont val="Tahoma"/>
            <family val="2"/>
          </rPr>
          <t>Cost, Matthew A (Research):</t>
        </r>
        <r>
          <rPr>
            <sz val="9"/>
            <rFont val="Tahoma"/>
            <family val="2"/>
          </rPr>
          <t xml:space="preserve">
2Q:F20 Call: [For FUT] I will say that the double-digit growth is healthy double-digit growth. So I'm not talking about 11% here or 10%</t>
        </r>
      </text>
    </comment>
    <comment ref="AO84" authorId="1" shapeId="0" xr:uid="{ED380949-FF46-4AC7-BCCC-169287FC9B9B}">
      <text>
        <r>
          <rPr>
            <b/>
            <sz val="9"/>
            <rFont val="Tahoma"/>
            <family val="2"/>
          </rPr>
          <t>Cost, Matthew A (Research):</t>
        </r>
        <r>
          <rPr>
            <sz val="9"/>
            <rFont val="Tahoma"/>
            <family val="2"/>
          </rPr>
          <t xml:space="preserve">
3Q:F20 Call: double-digit growth in FIFA and Madden Ultimate Teams</t>
        </r>
      </text>
    </comment>
    <comment ref="AQ84" authorId="2" shapeId="0" xr:uid="{66A5C947-D618-4C6B-AACD-BFE3E221B6B0}">
      <text>
        <r>
          <rPr>
            <b/>
            <sz val="9"/>
            <rFont val="Tahoma"/>
            <family val="2"/>
          </rPr>
          <t>Cost, Matthew (Research):</t>
        </r>
        <r>
          <rPr>
            <sz val="9"/>
            <rFont val="Tahoma"/>
            <family val="2"/>
          </rPr>
          <t xml:space="preserve">
Ultimate Team was up 70% on a
like-for-like basis, adjusting for the timing of Ultimate Team events, for the extra week in the quarter, and for currency</t>
        </r>
      </text>
    </comment>
    <comment ref="AS84" authorId="0" shapeId="0" xr:uid="{696A2EE6-1FB2-48A8-B472-9C78B952708A}">
      <text>
        <r>
          <rPr>
            <b/>
            <sz val="9"/>
            <color indexed="81"/>
            <rFont val="Tahoma"/>
            <family val="2"/>
          </rPr>
          <t>Julien Whitter:</t>
        </r>
        <r>
          <rPr>
            <sz val="9"/>
            <color indexed="81"/>
            <rFont val="Tahoma"/>
            <family val="2"/>
          </rPr>
          <t xml:space="preserve">
FIFA Ultimate Team TM had a record of nearly 6 million daily active players in December.</t>
        </r>
      </text>
    </comment>
    <comment ref="BB84" authorId="0" shapeId="0" xr:uid="{C1E8A795-7C7F-4DE3-90B2-9421127C51D8}">
      <text>
        <r>
          <rPr>
            <b/>
            <sz val="9"/>
            <color indexed="81"/>
            <rFont val="Tahoma"/>
            <family val="2"/>
          </rPr>
          <t>Julien Whitter:</t>
        </r>
        <r>
          <rPr>
            <sz val="9"/>
            <color indexed="81"/>
            <rFont val="Tahoma"/>
            <family val="2"/>
          </rPr>
          <t xml:space="preserve">
FIFA Ultimate Team net bookings grew 20% year-over-year or up 26% in constant currency and saw all-time high engagement.</t>
        </r>
      </text>
    </comment>
    <comment ref="BC84" authorId="0" shapeId="0" xr:uid="{87A221F0-E36E-4F74-BFA9-D7B4CBCA6A38}">
      <text>
        <r>
          <rPr>
            <b/>
            <sz val="9"/>
            <color indexed="81"/>
            <rFont val="Tahoma"/>
            <family val="2"/>
          </rPr>
          <t>Julien Whitter:</t>
        </r>
        <r>
          <rPr>
            <sz val="9"/>
            <color indexed="81"/>
            <rFont val="Tahoma"/>
            <family val="2"/>
          </rPr>
          <t xml:space="preserve">
FIFA Ultimate Team engaged tens of millions of fans and daily average users grew 15 %.</t>
        </r>
      </text>
    </comment>
    <comment ref="BD84" authorId="0" shapeId="0" xr:uid="{9019EC64-0531-49A6-8E78-039F1D14AEE1}">
      <text>
        <r>
          <rPr>
            <b/>
            <sz val="9"/>
            <color indexed="81"/>
            <rFont val="Tahoma"/>
            <family val="2"/>
          </rPr>
          <t>Julien Whitter:</t>
        </r>
        <r>
          <rPr>
            <sz val="9"/>
            <color indexed="81"/>
            <rFont val="Tahoma"/>
            <family val="2"/>
          </rPr>
          <t xml:space="preserve">
up y/y
in the first 4 weeks, FC Ultimate Team was up high single digits on a year-on-year basis
---
the increase in live services and other net bookings was primarily driven by sales of extra content for EA SPORTS FC Ultimate Team, partially offset by decreased sales of extra content for Apex Legends and fluctuations in foreign exchange rates, net of hedging activities.
---
</t>
        </r>
      </text>
    </comment>
    <comment ref="BE84" authorId="0" shapeId="0" xr:uid="{5ED6A158-3EE0-435E-8E9F-58DC13740055}">
      <text>
        <r>
          <rPr>
            <b/>
            <sz val="9"/>
            <color indexed="81"/>
            <rFont val="Tahoma"/>
            <family val="2"/>
          </rPr>
          <t>Julien Whitter:</t>
        </r>
        <r>
          <rPr>
            <sz val="9"/>
            <color indexed="81"/>
            <rFont val="Tahoma"/>
            <family val="2"/>
          </rPr>
          <t xml:space="preserve">
up y/y
In Q3, players dove into Ultimate Team, driving double-digit net bookings growth and delivering the franchise's biggest net bookings week ever. FC Mobile also generated deep engagement with daily active users up by 29% year-over-year, while FC Online grew new players by 20% year-over-year. In calendar 2023, Madden NFL was the best-selling sports game in North America and continues to grow. Madden NFL 24 is engaging more players year-over-year through new innovative gameplay features and compelling live services. In Q3, net bookings grew an engagement with Ultimate Team increased 19%. Madden Mobile also saw an increase in players during the quarter, generating double-digit growth across the community.
---
he increase in live services and other net bookings was primarily due to a year-over-year increase in extra content sales for Ultimate Team within our global football franchise, driven by EA SPORTS FC 24, partially offset by decreased sales of extra content for Apex Legends. </t>
        </r>
      </text>
    </comment>
    <comment ref="BF84" authorId="0" shapeId="0" xr:uid="{7BFFDEF0-42B0-4854-B12B-9620DDC7C712}">
      <text>
        <r>
          <rPr>
            <b/>
            <sz val="9"/>
            <color indexed="81"/>
            <rFont val="Tahoma"/>
            <family val="2"/>
          </rPr>
          <t>Julien Whitter:</t>
        </r>
        <r>
          <rPr>
            <sz val="9"/>
            <color indexed="81"/>
            <rFont val="Tahoma"/>
            <family val="2"/>
          </rPr>
          <t xml:space="preserve">
FC Mobile and Online declined year-over-year as they faced record comparables in the prior year period, fueled by World Cup tailwinds. However, FC Ultimate Team, lapping a record 20% growth in Q4 FY '23, again, grew year-over-year, delivering low-single-digit growth. We delivered net revenue of $1.78 billion, down 5% year-over-year. </t>
        </r>
      </text>
    </comment>
    <comment ref="CP84" authorId="0" shapeId="0" xr:uid="{E455D11A-0BD8-460F-BF83-A6812B19BCEF}">
      <text>
        <r>
          <rPr>
            <b/>
            <sz val="9"/>
            <color indexed="81"/>
            <rFont val="Tahoma"/>
            <family val="2"/>
          </rPr>
          <t>Julien Whitter:</t>
        </r>
        <r>
          <rPr>
            <sz val="9"/>
            <color indexed="81"/>
            <rFont val="Tahoma"/>
            <family val="2"/>
          </rPr>
          <t xml:space="preserve">
20min players
More than 20 million players played FIFA Ultimate Team in the last year, and FIFA Ultimate Team matches were up an incredible 180%. </t>
        </r>
      </text>
    </comment>
    <comment ref="AU85" authorId="0" shapeId="0" xr:uid="{8C3AEEAD-C98D-49DE-8D49-AFD1AB6AF639}">
      <text>
        <r>
          <rPr>
            <b/>
            <sz val="9"/>
            <color indexed="81"/>
            <rFont val="Tahoma"/>
            <family val="2"/>
          </rPr>
          <t>Julien Whitter:</t>
        </r>
        <r>
          <rPr>
            <sz val="9"/>
            <color indexed="81"/>
            <rFont val="Tahoma"/>
            <family val="2"/>
          </rPr>
          <t xml:space="preserve">
up y/y
Live services and other net revenue for the three months ended June 30, 2021 increased $129 million, or 12 percent, as compared to the three months ended June 30, 2020. This increase was primarily driven by sales of extra content for Apex Legends and FIFA Ultimate Team, and partially offset by The Sims 4.</t>
        </r>
      </text>
    </comment>
    <comment ref="BB85" authorId="0" shapeId="0" xr:uid="{35F7D9AF-069C-4603-9495-19747E56152A}">
      <text>
        <r>
          <rPr>
            <b/>
            <sz val="9"/>
            <color indexed="81"/>
            <rFont val="Tahoma"/>
            <family val="2"/>
          </rPr>
          <t>Julien Whitter:</t>
        </r>
        <r>
          <rPr>
            <sz val="9"/>
            <color indexed="81"/>
            <rFont val="Tahoma"/>
            <family val="2"/>
          </rPr>
          <t xml:space="preserve">
FIFA Ultimate Team net bookings grew 20% year-over-year or up 26% in constant currency and saw all-time high engagement.</t>
        </r>
      </text>
    </comment>
    <comment ref="BF85" authorId="0" shapeId="0" xr:uid="{BF4E218B-85D1-4BCA-89F6-F2DE78078BA4}">
      <text>
        <r>
          <rPr>
            <b/>
            <sz val="9"/>
            <color indexed="81"/>
            <rFont val="Tahoma"/>
            <family val="2"/>
          </rPr>
          <t>Julien Whitter:</t>
        </r>
        <r>
          <rPr>
            <sz val="9"/>
            <color indexed="81"/>
            <rFont val="Tahoma"/>
            <family val="2"/>
          </rPr>
          <t xml:space="preserve">
lsd growth
FC Mobile and Online declined year-over-year as they faced record comparables in the prior year period, fueled by World Cup tailwinds. However, FC Ultimate Team, lapping a record 20% growth in Q4 FY '23, again, grew year-over-year, delivering low-single-digit growth. We delivered net revenue of $1.78 billion, down 5% year-over-year. </t>
        </r>
      </text>
    </comment>
    <comment ref="BG85" authorId="0" shapeId="0" xr:uid="{B0C27E13-582F-4180-9201-F9F7A62E0685}">
      <text>
        <r>
          <rPr>
            <b/>
            <sz val="9"/>
            <color indexed="81"/>
            <rFont val="Tahoma"/>
            <family val="2"/>
          </rPr>
          <t>Julien Whitter:</t>
        </r>
        <r>
          <rPr>
            <sz val="9"/>
            <color indexed="81"/>
            <rFont val="Tahoma"/>
            <family val="2"/>
          </rPr>
          <t xml:space="preserve">
Live services and other net bookings were $1,094 million for the three months ended June 30, 2024, and decreased $83 million, or 7 percent, as compared to the three months ended June 30, 2023. </t>
        </r>
        <r>
          <rPr>
            <b/>
            <sz val="9"/>
            <color indexed="81"/>
            <rFont val="Tahoma"/>
            <family val="2"/>
          </rPr>
          <t xml:space="preserve">The decrease in live services and other net bookings was primarily due to a year-over-year decrease in extra content sales for Ultimate Team within our global football franchise and decreased sales of extra content for Apex Legends, partially offset </t>
        </r>
        <r>
          <rPr>
            <sz val="9"/>
            <color indexed="81"/>
            <rFont val="Tahoma"/>
            <family val="2"/>
          </rPr>
          <t>by an increase in extra content sales for Madden Ultimate Team.</t>
        </r>
      </text>
    </comment>
    <comment ref="BI86" authorId="0" shapeId="0" xr:uid="{52621F9A-C177-4341-8A13-02BE9408AB38}">
      <text>
        <r>
          <rPr>
            <b/>
            <sz val="9"/>
            <color indexed="81"/>
            <rFont val="Tahoma"/>
            <family val="2"/>
          </rPr>
          <t>Julien Whitter:</t>
        </r>
        <r>
          <rPr>
            <sz val="9"/>
            <color indexed="81"/>
            <rFont val="Tahoma"/>
            <family val="2"/>
          </rPr>
          <t xml:space="preserve">
1.23.25 negative pre
REDWOOD CITY, CA – January 22, 2025 – Electronic Arts Inc. (NASDAQ: EA) today announced preliminary results for the third fiscal quarter and a revised outlook for the fiscal year ending March 31, 2025.
Business Outlook as of January 22, 2025
EA’s initial guidance for fiscal year 2025 anticipated mid-single-digit growth in live services net bookings1. </t>
        </r>
        <r>
          <rPr>
            <b/>
            <sz val="9"/>
            <color indexed="81"/>
            <rFont val="Tahoma"/>
            <family val="2"/>
          </rPr>
          <t>However, the company now projects a mid-single-digit decline, with Global Football accounting for the majority of the change.</t>
        </r>
        <r>
          <rPr>
            <sz val="9"/>
            <color indexed="81"/>
            <rFont val="Tahoma"/>
            <family val="2"/>
          </rPr>
          <t xml:space="preserve">
Global Football had experienced two consecutive fiscal years of double-digit net bookings growth. However, the franchise experienced a slowdown as early momentum in the fiscal third quarter did not sustain through to the end. </t>
        </r>
        <r>
          <rPr>
            <b/>
            <sz val="9"/>
            <color indexed="81"/>
            <rFont val="Tahoma"/>
            <family val="2"/>
          </rPr>
          <t xml:space="preserve">As a result, EA revises its outlook for Global Football to end the fiscal year down mid-single-digit at the midpoint of the new outlook. 
</t>
        </r>
        <r>
          <rPr>
            <sz val="9"/>
            <color indexed="81"/>
            <rFont val="Tahoma"/>
            <family val="2"/>
          </rPr>
          <t xml:space="preserve">Separately, Dragon Age engaged approximately 1.5 million players during the quarter, down nearly 50% from the company’s expectations.
As a result, EA is providing preliminary results for its third fiscal quarter and updating its fiscal year 2025 net bookings outlook.  It now expects net bookings of approximately $2.215 billion for the third fiscal quarter and an updated range of $7.000 billion to $7.150 billion for fiscal year 2025.  
For its third fiscal quarter, EA now expects GAAP net revenue to be approximately $1.883 billion and approximately $1.11 in GAAP diluted earnings per share.
“During Q3, we continued to deliver high-quality games and experiences across our portfolio; however, </t>
        </r>
        <r>
          <rPr>
            <b/>
            <sz val="9"/>
            <color indexed="81"/>
            <rFont val="Tahoma"/>
            <family val="2"/>
          </rPr>
          <t>Dragon Age and EA SPORTS FC 25 underperformed our net bookings expectations,</t>
        </r>
        <r>
          <rPr>
            <sz val="9"/>
            <color indexed="81"/>
            <rFont val="Tahoma"/>
            <family val="2"/>
          </rPr>
          <t>” said Andrew Wilson, CEO of EA. “This month, our teams delivered a comprehensive gameplay refresh in addition to our annual Team of the Year update in FC 25; positive player feedback and early results are encouraging. We remain confident in our long-term strategy and expect a return to growth in FY26, as we execute against our pipeline.”
“We continue to balance investment for future growth with operational discipline, and remain committed to EA’s long-term financial framework” said Stuart Canfield, CFO of EA. “As we look to FY26, we expect to grow as we launch more of our iconic franchises.”
EA will announce its results for the third fiscal quarter ending December 31, 2024 on February 4th, 2025 and will host a conference call at 2:00 pm PT (5:00 pm ET) to discuss its quarterly results and financial outlook. Listeners may access the conference call live via a dial-in number or audio webcast.</t>
        </r>
      </text>
    </comment>
    <comment ref="CM87" authorId="0" shapeId="0" xr:uid="{053A5DB9-E14B-4B74-A473-8771B48F708C}">
      <text>
        <r>
          <rPr>
            <b/>
            <sz val="9"/>
            <color indexed="81"/>
            <rFont val="Tahoma"/>
            <family val="2"/>
          </rPr>
          <t>Julien Whitter:</t>
        </r>
        <r>
          <rPr>
            <sz val="9"/>
            <color indexed="81"/>
            <rFont val="Tahoma"/>
            <family val="2"/>
          </rPr>
          <t xml:space="preserve">
Net revenue from FIFA 20 , FIFA 19 , and FIFA 18 represented approximately 12 percent of our total net revenue in fiscal year 2020, approximately 14 percent of our total net revenue in fiscal year 2019 and approximately 11 percent of our total net revenue in fiscal year 2018, respectively.</t>
        </r>
      </text>
    </comment>
    <comment ref="CN87" authorId="0" shapeId="0" xr:uid="{D40C1E84-67AE-4D82-A9EC-0A0312F465E1}">
      <text>
        <r>
          <rPr>
            <b/>
            <sz val="9"/>
            <color indexed="81"/>
            <rFont val="Tahoma"/>
            <family val="2"/>
          </rPr>
          <t>Julien Whitter:</t>
        </r>
        <r>
          <rPr>
            <sz val="9"/>
            <color indexed="81"/>
            <rFont val="Tahoma"/>
            <family val="2"/>
          </rPr>
          <t xml:space="preserve">
Net revenue from FIFA 20 , FIFA 19 , and FIFA 18 represented approximately 12 percent of our total net revenue in fiscal year 2020, approximately 14 percent of our total net revenue in fiscal year 2019 and approximately 11 percent of our total net revenue in fiscal year 2018, respectively.</t>
        </r>
      </text>
    </comment>
    <comment ref="CO87" authorId="0" shapeId="0" xr:uid="{5534DD61-C3BC-495E-B9C2-000BFD769C34}">
      <text>
        <r>
          <rPr>
            <b/>
            <sz val="9"/>
            <color indexed="81"/>
            <rFont val="Tahoma"/>
            <family val="2"/>
          </rPr>
          <t>Julien Whitter:</t>
        </r>
        <r>
          <rPr>
            <sz val="9"/>
            <color indexed="81"/>
            <rFont val="Tahoma"/>
            <family val="2"/>
          </rPr>
          <t xml:space="preserve">
Net revenue from FIFA 20 , FIFA 19 , and FIFA 18 represented approximately 12 percent of our total net revenue in fiscal year 2020, approximately 14 percent of our total net revenue in fiscal year 2019 and approximately 11 percent of our total net revenue in fiscal year 2018, respectively.</t>
        </r>
      </text>
    </comment>
    <comment ref="AJ93" authorId="0" shapeId="0" xr:uid="{DCEA15DD-B8D1-4AAD-806D-23139E2F851A}">
      <text>
        <r>
          <rPr>
            <b/>
            <sz val="9"/>
            <color indexed="81"/>
            <rFont val="Tahoma"/>
            <family val="2"/>
          </rPr>
          <t>Julien Whitter:</t>
        </r>
        <r>
          <rPr>
            <sz val="9"/>
            <color indexed="81"/>
            <rFont val="Tahoma"/>
            <family val="2"/>
          </rPr>
          <t xml:space="preserve">
Business Wire
EA SPORTS FIFA 18 Reaches Milestone of Over 24 Million Copies Sold Worldwide and over 260 Million Copies Sold Across the FIFA Franchise To Date
FIFA Mobile Surpasses 193 Million Installs Worldwide
REDWOOD CITY, Calif.--(BUSINESS WIRE)-- Playing across consoles, PC, mobile and competitive experiences, from all corners of the globe, players are making EA SPORTSTM FIFA the world's favorite sports game. Since EA SPORTS™ FIFA 18 launched 11 months ago, players from all over the world have been playing the game more than ever before in franchise history.</t>
        </r>
      </text>
    </comment>
    <comment ref="AL93" authorId="0" shapeId="0" xr:uid="{BE3065C0-B892-4F4D-8D59-C43BA474E865}">
      <text>
        <r>
          <rPr>
            <b/>
            <sz val="9"/>
            <color indexed="81"/>
            <rFont val="Tahoma"/>
            <family val="2"/>
          </rPr>
          <t>Julien Whitter:</t>
        </r>
        <r>
          <rPr>
            <sz val="9"/>
            <color indexed="81"/>
            <rFont val="Tahoma"/>
            <family val="2"/>
          </rPr>
          <t xml:space="preserve">
Fiscal year to date sales for FIFA 19 are approximately 20 million units, and we’ve 
also sold over 3 million units of FIFA 18 this fiscal year. And, as Andrew said, 
FIFA 19 was the best- selling console game in Europe in calendar 2018</t>
        </r>
      </text>
    </comment>
    <comment ref="AR93" authorId="0" shapeId="0" xr:uid="{EECEA2F0-C9C1-4AE2-BE7C-1CBF36CAE214}">
      <text>
        <r>
          <rPr>
            <b/>
            <sz val="9"/>
            <color indexed="81"/>
            <rFont val="Tahoma"/>
            <family val="2"/>
          </rPr>
          <t>Julien Whitter:</t>
        </r>
        <r>
          <rPr>
            <sz val="9"/>
            <color indexed="81"/>
            <rFont val="Tahoma"/>
            <family val="2"/>
          </rPr>
          <t xml:space="preserve">
Life to date, FIFA 20 has reached nearly 35 million players on console and PC.</t>
        </r>
      </text>
    </comment>
    <comment ref="BD93" authorId="0" shapeId="0" xr:uid="{98EEEEC4-E625-4F7C-B060-E32C99AC0847}">
      <text>
        <r>
          <rPr>
            <b/>
            <sz val="9"/>
            <color indexed="81"/>
            <rFont val="Tahoma"/>
            <family val="2"/>
          </rPr>
          <t>Julien Whitter:</t>
        </r>
        <r>
          <rPr>
            <sz val="9"/>
            <color indexed="81"/>
            <rFont val="Tahoma"/>
            <family val="2"/>
          </rPr>
          <t xml:space="preserve">
Fan reception of FC has been extraordinary, expanding our already thriving global football community. Within the first 4 weeks after worldwide launch, over 14.5 million fans have played FC 24 on console and premium PC, including double-digit growth in new players. </t>
        </r>
      </text>
    </comment>
    <comment ref="CR93" authorId="0" shapeId="0" xr:uid="{B6738FD6-3510-4110-AF05-C5939560DAFC}">
      <text>
        <r>
          <rPr>
            <b/>
            <sz val="9"/>
            <color indexed="81"/>
            <rFont val="Tahoma"/>
            <family val="2"/>
          </rPr>
          <t>Julien Whitter:</t>
        </r>
        <r>
          <rPr>
            <sz val="9"/>
            <color indexed="81"/>
            <rFont val="Tahoma"/>
            <family val="2"/>
          </rPr>
          <t xml:space="preserve">
EA SPORTS FIFA 23 most 
successful franchise launch 
in history, surpassing life time sales of EA SPORTS 
FIFA 22</t>
        </r>
      </text>
    </comment>
    <comment ref="AP96" authorId="0" shapeId="0" xr:uid="{56040E02-9283-4506-A18E-216922CFDB9B}">
      <text>
        <r>
          <rPr>
            <b/>
            <sz val="9"/>
            <color indexed="81"/>
            <rFont val="Tahoma"/>
            <family val="2"/>
          </rPr>
          <t>Julien Whitter:</t>
        </r>
        <r>
          <rPr>
            <sz val="9"/>
            <color indexed="81"/>
            <rFont val="Tahoma"/>
            <family val="2"/>
          </rPr>
          <t xml:space="preserve">
FIFA 20 has more than 25 million unique players to date.
</t>
        </r>
      </text>
    </comment>
    <comment ref="AR96" authorId="0" shapeId="0" xr:uid="{93EB5236-5C9B-4603-87B1-80D70CCCCF71}">
      <text>
        <r>
          <rPr>
            <b/>
            <sz val="9"/>
            <color indexed="81"/>
            <rFont val="Tahoma"/>
            <family val="2"/>
          </rPr>
          <t>Julien Whitter:</t>
        </r>
        <r>
          <rPr>
            <sz val="9"/>
            <color indexed="81"/>
            <rFont val="Tahoma"/>
            <family val="2"/>
          </rPr>
          <t xml:space="preserve">
Life to date, FIFA 20 has reached nearly 35 million players on console and PC.</t>
        </r>
      </text>
    </comment>
    <comment ref="S97" authorId="0" shapeId="0" xr:uid="{B6254746-9960-4A9F-BA30-4AA7BD83DE7A}">
      <text>
        <r>
          <rPr>
            <b/>
            <sz val="9"/>
            <color indexed="81"/>
            <rFont val="Tahoma"/>
            <family val="2"/>
          </rPr>
          <t>Julien Whitter:</t>
        </r>
        <r>
          <rPr>
            <sz val="9"/>
            <color indexed="81"/>
            <rFont val="Tahoma"/>
            <family val="2"/>
          </rPr>
          <t xml:space="preserve">
100m for FIFA 11 extrapolated to F15
Electronic Arts Inc. (NASDAQ: ERTS) today announced that sales of its EA 
SPORTS FIFA Soccer franchise surpassed 100 million units lifetime* during the launch of 
FIFA Soccer 11
. 
The best-selling 
sports videogame franchise in the world, now in its 18
th
year, sold a record-breaking 2.6 million copies in the first five days after 
launching 
FIFA Soccer 11 
to become the fastest selling sports videogame of all time. 
FIFA Soccer 11 
sales are up 20%^ versus 
last year on a comparable basis with sell-in approaching 8 million units</t>
        </r>
      </text>
    </comment>
    <comment ref="AK97" authorId="0" shapeId="0" xr:uid="{754E8DED-DF8A-4677-8DB6-2FF3D0E558E7}">
      <text>
        <r>
          <rPr>
            <b/>
            <sz val="9"/>
            <color indexed="81"/>
            <rFont val="Tahoma"/>
            <family val="2"/>
          </rPr>
          <t>Julien Whitter:</t>
        </r>
        <r>
          <rPr>
            <sz val="9"/>
            <color indexed="81"/>
            <rFont val="Tahoma"/>
            <family val="2"/>
          </rPr>
          <t xml:space="preserve">
9.5.18
EA SPORTS FIFA 18 Reaches Milestone of Over 24 Million Copies Sold Worldwide and over 260 Million Copies Sold Across the FIFA Franchise To Date</t>
        </r>
      </text>
    </comment>
    <comment ref="AT97" authorId="0" shapeId="0" xr:uid="{4C7DD35C-6132-4199-BA72-49DDD9C37640}">
      <text>
        <r>
          <rPr>
            <b/>
            <sz val="9"/>
            <color indexed="81"/>
            <rFont val="Tahoma"/>
            <family val="2"/>
          </rPr>
          <t>Julien Whitter:</t>
        </r>
        <r>
          <rPr>
            <sz val="9"/>
            <color indexed="81"/>
            <rFont val="Tahoma"/>
            <family val="2"/>
          </rPr>
          <t xml:space="preserve">
325m
This expansion builds on the continued growth and success of the EA SPORTS FIFA franchise. EA SPORTS FIFA 21 was the best-selling game in the United Kingdom in 2020, it is continually one of the most popular games worldwide, and the EA SPORTS FIFA franchise has now sold more than 325 million units over its lifetime. Additionally, there are more players playing EA SPORTS FIFA 21 than the eventual record-breaking EA SPORTS FIFA 20 at this point in their respective product cycles, illustrating fan interest continues to grow.
https://research.alpha-sense.com?docid=PR-fa0bfe43daf201b7e3a8d764754d2671fc04729c&amp;utm_source=alphasense%20platform&amp;utm_medium=document%20share&amp;utm_content=PR-fa0bfe43daf201b7e3a8d764754d2671fc04729c&amp;utm_campaign=1715360017993&amp;utm_doc_id=PR-fa0bfe43daf201b7e3a8d764754d2671fc04729c&amp;utm_doc_type=PR</t>
        </r>
      </text>
    </comment>
    <comment ref="BC98" authorId="0" shapeId="0" xr:uid="{8A2D9A9C-B28F-4721-AE3D-B147A2025E73}">
      <text>
        <r>
          <rPr>
            <b/>
            <sz val="9"/>
            <color indexed="81"/>
            <rFont val="Tahoma"/>
            <family val="2"/>
          </rPr>
          <t>Julien Whitter:</t>
        </r>
        <r>
          <rPr>
            <sz val="9"/>
            <color indexed="81"/>
            <rFont val="Tahoma"/>
            <family val="2"/>
          </rPr>
          <t xml:space="preserve">
Mobile Users
EA SPORTS FIFA had the 
biggest Q1 in our company’s history
. 
The franchise continues to 
deliver compelling content to our growing community, driving strong engagement and 
accelerating net bookings growth. 
FIFA Ultimate Team engaged tens of millions of fans and 
daily average users grew 15 %. 
FIFA Mobile attracted over 65 million new players in the quarter 
alone. 
FIFA Online produced double-digit growth across monthly, weekly and daily average 
users. 
These remarkable results are a testament to our incredible teams executing against our 
strategy sharpened by 30 years of passion, innovation, and leadership in interactive football.</t>
        </r>
      </text>
    </comment>
    <comment ref="CQ98" authorId="0" shapeId="0" xr:uid="{F9CFF332-78A2-4658-8A3C-3EF9A34944B3}">
      <text>
        <r>
          <rPr>
            <b/>
            <sz val="9"/>
            <color indexed="81"/>
            <rFont val="Tahoma"/>
            <family val="2"/>
          </rPr>
          <t>Julien Whitter:</t>
        </r>
        <r>
          <rPr>
            <sz val="9"/>
            <color indexed="81"/>
            <rFont val="Tahoma"/>
            <family val="2"/>
          </rPr>
          <t xml:space="preserve">
Slide 3
https://s22.q4cdn.com/894350492/files/doc_financials/2022/q4/Q4-FY22-Earnings-Slides-Final.pdf</t>
        </r>
      </text>
    </comment>
    <comment ref="AF100" authorId="0" shapeId="0" xr:uid="{2D1DE456-F3A1-4D1F-B17E-569C033CDC7F}">
      <text>
        <r>
          <rPr>
            <b/>
            <sz val="9"/>
            <color indexed="81"/>
            <rFont val="Tahoma"/>
            <family val="2"/>
          </rPr>
          <t>Julien Whitter:</t>
        </r>
        <r>
          <rPr>
            <sz val="9"/>
            <color indexed="81"/>
            <rFont val="Tahoma"/>
            <family val="2"/>
          </rPr>
          <t xml:space="preserve">
Release 
WW: 11 October 2016
EA Sports FC Mobile:</t>
        </r>
      </text>
    </comment>
    <comment ref="AY101" authorId="0" shapeId="0" xr:uid="{4D82B6F2-20D9-4A8B-BC7A-42CA471EC72E}">
      <text>
        <r>
          <rPr>
            <b/>
            <sz val="9"/>
            <color indexed="81"/>
            <rFont val="Tahoma"/>
            <family val="2"/>
          </rPr>
          <t>Julien Whitter:</t>
        </r>
        <r>
          <rPr>
            <sz val="9"/>
            <color indexed="81"/>
            <rFont val="Tahoma"/>
            <family val="2"/>
          </rPr>
          <t xml:space="preserve">
In Q1, FIFA Mobile delivered the highest net bookings quarter in history, with record high DAUs, up 10% from last quarter.</t>
        </r>
      </text>
    </comment>
    <comment ref="BB101" authorId="0" shapeId="0" xr:uid="{AD0353BA-443F-4107-ABAE-4A06D70176DE}">
      <text>
        <r>
          <rPr>
            <b/>
            <sz val="9"/>
            <color indexed="81"/>
            <rFont val="Tahoma"/>
            <family val="2"/>
          </rPr>
          <t>Julien Whitter:</t>
        </r>
        <r>
          <rPr>
            <sz val="9"/>
            <color indexed="81"/>
            <rFont val="Tahoma"/>
            <family val="2"/>
          </rPr>
          <t xml:space="preserve">
Console, mobile and PC both premium and free-to-play, delivered double-digit growth in net bookings, and FIFA 23 became the best-selling title in franchise history.
View in Doc
</t>
        </r>
      </text>
    </comment>
    <comment ref="BF101" authorId="0" shapeId="0" xr:uid="{C360593F-B61A-4D6B-AD72-08F6D4DA5E02}">
      <text>
        <r>
          <rPr>
            <b/>
            <sz val="9"/>
            <color indexed="81"/>
            <rFont val="Tahoma"/>
            <family val="2"/>
          </rPr>
          <t>Julien Whitter:</t>
        </r>
        <r>
          <rPr>
            <sz val="9"/>
            <color indexed="81"/>
            <rFont val="Tahoma"/>
            <family val="2"/>
          </rPr>
          <t xml:space="preserve">
FC Mobile and Online declined year over year as they faced record comparables in the prior year period, fueled by World Cup tailwinds.</t>
        </r>
      </text>
    </comment>
    <comment ref="BG101" authorId="0" shapeId="0" xr:uid="{AEC22099-DC47-4047-A3EF-A48F2BF78645}">
      <text>
        <r>
          <rPr>
            <b/>
            <sz val="9"/>
            <color indexed="81"/>
            <rFont val="Tahoma"/>
            <family val="2"/>
          </rPr>
          <t>Julien Whitter:</t>
        </r>
        <r>
          <rPr>
            <sz val="9"/>
            <color indexed="81"/>
            <rFont val="Tahoma"/>
            <family val="2"/>
          </rPr>
          <t xml:space="preserve">
EA SPORTS FC Mobile delivered a record Q1 net bookings result, benefiting from double digit growth in spender acquisition as a result of gameplay improvements and real-life events. FC Mobile is the blueprint for our mobile strategy grounded in leveraging the expanded access points offered via the mobile platform to continue to grow our largest franchises.</t>
        </r>
      </text>
    </comment>
    <comment ref="AX102" authorId="0" shapeId="0" xr:uid="{CF590DBA-A86A-40F9-B498-C33ACD2B14BD}">
      <text>
        <r>
          <rPr>
            <b/>
            <sz val="9"/>
            <color indexed="81"/>
            <rFont val="Tahoma"/>
            <family val="2"/>
          </rPr>
          <t>Julien Whitter:</t>
        </r>
        <r>
          <rPr>
            <sz val="9"/>
            <color indexed="81"/>
            <rFont val="Tahoma"/>
            <family val="2"/>
          </rPr>
          <t xml:space="preserve">
. FIFA Mobile recorded its biggest quarter ever with unique new players surging nearly 80% year-over-year, and Apex Legends is amongst the top live service games in the industry. As we look ahead, we're investing in ways for fans to have amazing shared experiences together, whether that's by playing, watching or creating. Through our console, PC and mobile live services; through esports; through other original content; and with the tools that unleash the creativity of our players, we will grow what are already some of the world's largest and most engaged entertainment communities.</t>
        </r>
      </text>
    </comment>
    <comment ref="AY102" authorId="0" shapeId="0" xr:uid="{A56CE423-93F3-4C6F-B383-6F498098CDA0}">
      <text>
        <r>
          <rPr>
            <b/>
            <sz val="9"/>
            <color indexed="81"/>
            <rFont val="Tahoma"/>
            <family val="2"/>
          </rPr>
          <t>Julien Whitter:</t>
        </r>
        <r>
          <rPr>
            <sz val="9"/>
            <color indexed="81"/>
            <rFont val="Tahoma"/>
            <family val="2"/>
          </rPr>
          <t xml:space="preserve">
In Q1, FIFA Mobile delivered the highest net bookings quarter in history, with record high DAUs, up 10% from last quarter.</t>
        </r>
      </text>
    </comment>
    <comment ref="AZ102" authorId="0" shapeId="0" xr:uid="{54571094-617F-4B80-B9D1-318CB2D9283B}">
      <text>
        <r>
          <rPr>
            <b/>
            <sz val="9"/>
            <color indexed="81"/>
            <rFont val="Tahoma"/>
            <family val="2"/>
          </rPr>
          <t>Julien Whitter:</t>
        </r>
        <r>
          <rPr>
            <sz val="9"/>
            <color indexed="81"/>
            <rFont val="Tahoma"/>
            <family val="2"/>
          </rPr>
          <t xml:space="preserve">
In addition, in FIFA Mobile, daily, weekly and monthly active players were up more than 100% year-over-year.</t>
        </r>
      </text>
    </comment>
    <comment ref="BA102" authorId="0" shapeId="0" xr:uid="{CC12A420-C514-49AC-A42C-DA533DEF5B0C}">
      <text>
        <r>
          <rPr>
            <b/>
            <sz val="9"/>
            <color indexed="81"/>
            <rFont val="Tahoma"/>
            <family val="2"/>
          </rPr>
          <t>Julien Whitter:</t>
        </r>
        <r>
          <rPr>
            <sz val="9"/>
            <color indexed="81"/>
            <rFont val="Tahoma"/>
            <family val="2"/>
          </rPr>
          <t xml:space="preserve">
FIFA Mobile engagement was up triple digits in Q3, and FIFA Online in Asia is hitting the highest monthly active users in years.</t>
        </r>
      </text>
    </comment>
    <comment ref="BC102" authorId="0" shapeId="0" xr:uid="{588D838B-DD8E-4E47-9B02-ECD0CE7E0804}">
      <text>
        <r>
          <rPr>
            <b/>
            <sz val="9"/>
            <color indexed="81"/>
            <rFont val="Tahoma"/>
            <family val="2"/>
          </rPr>
          <t>Julien Whitter:</t>
        </r>
        <r>
          <rPr>
            <sz val="9"/>
            <color indexed="81"/>
            <rFont val="Tahoma"/>
            <family val="2"/>
          </rPr>
          <t xml:space="preserve">
Mobile Users
EA SPORTS FIFA had the 
biggest Q1 in our company’s history
. 
The franchise continues to 
deliver compelling content to our growing community, driving strong engagement and 
accelerating net bookings growth. 
FIFA Ultimate Team engaged tens of millions of fans and 
daily average users grew 15 %. 
FIFA Mobile attracted over 65 million new players in the quarter 
alone. 
FIFA Online produced double-digit growth across monthly, weekly and daily average 
users. 
These remarkable results are a testament to our incredible teams executing against our 
strategy sharpened by 30 years of passion, innovation, and leadership in interactive football.</t>
        </r>
      </text>
    </comment>
    <comment ref="BD102" authorId="0" shapeId="0" xr:uid="{F2859D27-6E5D-4BE2-903F-B2BF85A93EAF}">
      <text>
        <r>
          <rPr>
            <b/>
            <sz val="9"/>
            <color indexed="81"/>
            <rFont val="Tahoma"/>
            <family val="2"/>
          </rPr>
          <t>Julien Whitter:</t>
        </r>
        <r>
          <rPr>
            <sz val="9"/>
            <color indexed="81"/>
            <rFont val="Tahoma"/>
            <family val="2"/>
          </rPr>
          <t xml:space="preserve">
FC Mobile has established new franchise records with over 2 million people installing the game on the first day, over $5 million in the first 3 days and over $11 million in the first 10 days. FC Online continues to grow across all engagement metrics, while players have truly embraced FC Pro with a record number of registrations. FC represents a giant leap forward as we aspire to more deeply connect and grow the world's largest football community to 1 billion fans and beyond.</t>
        </r>
      </text>
    </comment>
    <comment ref="BE102" authorId="0" shapeId="0" xr:uid="{F59BCDC2-3648-44AE-9FBE-3E803DAC3E5C}">
      <text>
        <r>
          <rPr>
            <b/>
            <sz val="9"/>
            <color indexed="81"/>
            <rFont val="Tahoma"/>
            <family val="2"/>
          </rPr>
          <t>Julien Whitter:</t>
        </r>
        <r>
          <rPr>
            <sz val="9"/>
            <color indexed="81"/>
            <rFont val="Tahoma"/>
            <family val="2"/>
          </rPr>
          <t xml:space="preserve">
FC Mobile also generated deep engagement with daily active users up 
by 29 percent year-over-year, while FC Online grew new players by 20 percent year-over-year.</t>
        </r>
      </text>
    </comment>
    <comment ref="B105" authorId="0" shapeId="0" xr:uid="{7ACFBBE3-860A-45A3-ACBC-9EA4DAA56984}">
      <text>
        <r>
          <rPr>
            <b/>
            <sz val="9"/>
            <color indexed="81"/>
            <rFont val="Tahoma"/>
            <family val="2"/>
          </rPr>
          <t>Julien Whitter:</t>
        </r>
        <r>
          <rPr>
            <sz val="9"/>
            <color indexed="81"/>
            <rFont val="Tahoma"/>
            <family val="2"/>
          </rPr>
          <t xml:space="preserve">
Product in China</t>
        </r>
      </text>
    </comment>
    <comment ref="BB105" authorId="0" shapeId="0" xr:uid="{0DB778B2-CC37-4450-8609-CB0FC4C1A558}">
      <text>
        <r>
          <rPr>
            <b/>
            <sz val="9"/>
            <color indexed="81"/>
            <rFont val="Tahoma"/>
            <family val="2"/>
          </rPr>
          <t>Julien Whitter:</t>
        </r>
        <r>
          <rPr>
            <sz val="9"/>
            <color indexed="81"/>
            <rFont val="Tahoma"/>
            <family val="2"/>
          </rPr>
          <t xml:space="preserve">
FIFA Online 4 was up 62% or 71% in constant currency, and FIFA Mobile grew triple digits year-over-year and reached its first $100 million net bookings quarter.</t>
        </r>
      </text>
    </comment>
    <comment ref="BC105" authorId="0" shapeId="0" xr:uid="{B883F242-4614-412B-8E57-DBE042E3627B}">
      <text>
        <r>
          <rPr>
            <b/>
            <sz val="9"/>
            <color indexed="81"/>
            <rFont val="Tahoma"/>
            <family val="2"/>
          </rPr>
          <t>Julien Whitter:</t>
        </r>
        <r>
          <rPr>
            <sz val="9"/>
            <color indexed="81"/>
            <rFont val="Tahoma"/>
            <family val="2"/>
          </rPr>
          <t xml:space="preserve">
FIFA Online produced double-digit growth across monthly, weekly and daily average users.</t>
        </r>
      </text>
    </comment>
    <comment ref="BG105" authorId="0" shapeId="0" xr:uid="{B1C70239-59FD-42B8-87FB-621F53AE91A8}">
      <text>
        <r>
          <rPr>
            <b/>
            <sz val="9"/>
            <color indexed="81"/>
            <rFont val="Tahoma"/>
            <family val="2"/>
          </rPr>
          <t>Julien Whitter:</t>
        </r>
        <r>
          <rPr>
            <sz val="9"/>
            <color indexed="81"/>
            <rFont val="Tahoma"/>
            <family val="2"/>
          </rPr>
          <t xml:space="preserve">
EA SPORTS FC Mobile delivered a record Q1 net bookings result, benefiting from double digit growth in spender acquisition as a result of gameplay improvements and real-life events. FC Mobile is the blueprint for our mobile strategy grounded in leveraging the expanded access points offered via the mobile platform to continue to grow our largest franchises.</t>
        </r>
      </text>
    </comment>
    <comment ref="BH107" authorId="0" shapeId="0" xr:uid="{A7235B08-6D03-4610-847A-9C40FD6E28D8}">
      <text>
        <r>
          <rPr>
            <b/>
            <sz val="9"/>
            <color indexed="81"/>
            <rFont val="Tahoma"/>
            <family val="2"/>
          </rPr>
          <t>Julien Whitter:</t>
        </r>
        <r>
          <rPr>
            <sz val="9"/>
            <color indexed="81"/>
            <rFont val="Tahoma"/>
            <family val="2"/>
          </rPr>
          <t xml:space="preserve">
https://www.ea.com/games/apex-legends/news/battle-pass-update
Whilst EA presents the new pricing as "improved value", maintaining a Battle Pass for the duration of a three-month season has effectively doubled. The Season 21 price was 950 Apex Coins (1,000 costing $9.99), vs. the Season 22 price of $9.99 (real-life currency) for each of two splits (i.e., ~$20 in total). EA argues each new half season offers more rewards (Apex Coins, virtual items, cosmetic items) than the former entire season. EA is also looking to make the top rewards more accessible, after progressing 60 levels in each half season (vs. 110 in a full season before), attempting to increase payer ratios. The Premium Bundle was replaced with Premium+, also more than doubling of total available rewards/season but with a more modest price increase (2,800 Apex Coins, or ~$30 per season; vs. $20 per half season or $40 per season). With prices generally doubling, EA will likely squeeze bookings growth out of a combination of 1) loyal players paying ~2x per season, 2) more than half of existing Battle Pass subscribers opting for at least one "split" of the new seasons, and 3) the prospect of more rewards earned quicker, increasing the "payer ratio" of all other Apex players. This recovery in bookings will not likely be seen near term, given EA is running a promotion to earn the first Season 22 "split" by completing challenges in its first two weeks. Any financial impact would show up from EA's Dec. quarter (3Q24), when the second "split" of Season 22 is released. See EA: A Dip in Form (Jun. '24) for details.</t>
        </r>
      </text>
    </comment>
    <comment ref="AM108" authorId="0" shapeId="0" xr:uid="{BC2ED0C9-1318-4858-8F90-39C542EB5C1A}">
      <text>
        <r>
          <rPr>
            <b/>
            <sz val="9"/>
            <color indexed="81"/>
            <rFont val="Tahoma"/>
            <family val="2"/>
          </rPr>
          <t>Julien Whitter:</t>
        </r>
        <r>
          <rPr>
            <sz val="9"/>
            <color indexed="81"/>
            <rFont val="Tahoma"/>
            <family val="2"/>
          </rPr>
          <t xml:space="preserve">
Our plan is to bring Apex Legends to China and a worldwide mobile launch are also on course, and we will share more on our plans in the future.</t>
        </r>
      </text>
    </comment>
    <comment ref="AU108" authorId="0" shapeId="0" xr:uid="{89294E52-FF92-40BB-B16D-862E6C411798}">
      <text>
        <r>
          <rPr>
            <b/>
            <sz val="9"/>
            <color indexed="81"/>
            <rFont val="Tahoma"/>
            <family val="2"/>
          </rPr>
          <t>Julien Whitter:</t>
        </r>
        <r>
          <rPr>
            <sz val="9"/>
            <color indexed="81"/>
            <rFont val="Tahoma"/>
            <family val="2"/>
          </rPr>
          <t xml:space="preserve">
s. The extra week last year Q1 alone is worth more than the year-on-year difference. Notably, even against the unique circumstances of a year ago, Apex Legends grew strongly in the quarter and remains on track to grow organically more than 20% this year with the mobile launch as an upside.</t>
        </r>
      </text>
    </comment>
    <comment ref="AV108" authorId="0" shapeId="0" xr:uid="{5B3FDA73-B369-4A01-864D-3882EF1D71B3}">
      <text>
        <r>
          <rPr>
            <b/>
            <sz val="9"/>
            <color indexed="81"/>
            <rFont val="Tahoma"/>
            <family val="2"/>
          </rPr>
          <t>Julien Whitter:</t>
        </r>
        <r>
          <rPr>
            <sz val="9"/>
            <color indexed="81"/>
            <rFont val="Tahoma"/>
            <family val="2"/>
          </rPr>
          <t xml:space="preserve">
Apex Legends continues to grow as one of the top franchises in the industry, a brand-new IP that has scaled to more than </t>
        </r>
        <r>
          <rPr>
            <b/>
            <sz val="9"/>
            <color indexed="81"/>
            <rFont val="Tahoma"/>
            <family val="2"/>
          </rPr>
          <t>100 million players and is closing in on $1 billion in net bookings annually</t>
        </r>
        <r>
          <rPr>
            <sz val="9"/>
            <color indexed="81"/>
            <rFont val="Tahoma"/>
            <family val="2"/>
          </rPr>
          <t>. Season 9 and Season 10 each respectively set new marks for the highest active players in Season 1, and Q2 was the biggest quarter of in-game spending in Apex that we've had to date</t>
        </r>
      </text>
    </comment>
    <comment ref="AZ108" authorId="0" shapeId="0" xr:uid="{D1EF64DF-E10D-4B25-97AB-EEF50CE96BF5}">
      <text>
        <r>
          <rPr>
            <b/>
            <sz val="9"/>
            <color indexed="81"/>
            <rFont val="Tahoma"/>
            <family val="2"/>
          </rPr>
          <t>Julien Whitter:</t>
        </r>
        <r>
          <rPr>
            <sz val="9"/>
            <color indexed="81"/>
            <rFont val="Tahoma"/>
            <family val="2"/>
          </rPr>
          <t xml:space="preserve">
 Apex Legends, our Madden franchise, The Sims 4, and our F1 franchise. Net bookings decreased $97 million, or 5 percent, as compared to the three months ended September 30, 2021, primarily due to a $51 million impact related to fluctuations in foreign exchange rates, net of hedging activities, decreased sales of extra content related to Apex Legends due to timing of in-game events</t>
        </r>
      </text>
    </comment>
    <comment ref="BA108" authorId="0" shapeId="0" xr:uid="{1B7CC5DB-8A15-426B-B295-FC3F681C7359}">
      <text>
        <r>
          <rPr>
            <b/>
            <sz val="9"/>
            <color indexed="81"/>
            <rFont val="Tahoma"/>
            <family val="2"/>
          </rPr>
          <t>Julien Whitter:</t>
        </r>
        <r>
          <rPr>
            <sz val="9"/>
            <color indexed="81"/>
            <rFont val="Tahoma"/>
            <family val="2"/>
          </rPr>
          <t xml:space="preserve">
Apex Legends' net bookings continues to grow at an extraordinary rate and will deliver close to $1 billion for the year. </t>
        </r>
      </text>
    </comment>
    <comment ref="BC108" authorId="0" shapeId="0" xr:uid="{D8B85C1E-ACAA-412E-AC23-76FC50DCF3DF}">
      <text>
        <r>
          <rPr>
            <b/>
            <sz val="9"/>
            <color indexed="81"/>
            <rFont val="Tahoma"/>
            <family val="2"/>
          </rPr>
          <t>Julien Whitter:</t>
        </r>
        <r>
          <rPr>
            <sz val="9"/>
            <color indexed="81"/>
            <rFont val="Tahoma"/>
            <family val="2"/>
          </rPr>
          <t xml:space="preserve">
Weak 1Q24. S17 below expects
Apex Legends is a highly successful original IP for EA with a strong community of loyal core players. This quarter, net bookings were below expectations largely driven by underperformance from Season 17. As an evergreen live service that is constantly evolving, our teams continue to innovate on content and introduce new modes of play to engage a broader base of players across different geographies. To echo Andrew, we will continue to invest behind the talented team at Respawn to drive long-term expansion and growth of the franchise.
Apex Legends is one of the strongest franchises and live services in the industry with 18 million active monthly players and an impressive retention rate of over 70%. After a highly successful 16th season, we launched Season 17 in May with new variations of gameplay and monetization. While this new season did not meet our financial expectations, the team has implied important learnings including new game mechanics to engage and retain players, which are already generating momentum. We will continue to reinforce the strength of this franchise by introducing new modes of play and investing in regional marketing as well as culturalization in key markets.
------
Andrew Paul Uerkwitz Jefferies LLC, Research Division – Equity Analyst
I just have one short-term, one long-term question. On the short-term side, you called out A</t>
        </r>
        <r>
          <rPr>
            <b/>
            <sz val="9"/>
            <color indexed="81"/>
            <rFont val="Tahoma"/>
            <family val="2"/>
          </rPr>
          <t xml:space="preserve">pex' weakness here quite substantially in your prepared remarks, but you kept your full year guide. Is something else kind of making up for </t>
        </r>
        <r>
          <rPr>
            <sz val="9"/>
            <color indexed="81"/>
            <rFont val="Tahoma"/>
            <family val="2"/>
          </rPr>
          <t>it? Or is the weakness just not that bad? But just any comment there on how to reconcile the comments around Apex and the yearly guide.
Andrew Wilson Electronic Arts Inc. – Chairman &amp; CEO
Yes. So first, let me talk about Apex a little bit, and Laura can probably even provide some more detail. Again, this is this extraordinary franchise, which has continued to grow and is one of the great franchise in our industry right now and has its ebbs and flows, and we've seen its ebbs and flows. And again, if I go back to my previous comment, as a company that has been running live services at scale now for nearly 2 decades, we launched our first live service with FIFA Online back in 2006, we've seen these ebbs and flows in and around our live services. And certainly, we've seen that in the context of Apex.
A</t>
        </r>
        <r>
          <rPr>
            <b/>
            <sz val="9"/>
            <color indexed="81"/>
            <rFont val="Tahoma"/>
            <family val="2"/>
          </rPr>
          <t xml:space="preserve">nd so we come off a record level Season 16, the team made some really interesting and creative and innovative changes in 17. </t>
        </r>
        <r>
          <rPr>
            <sz val="9"/>
            <color indexed="81"/>
            <rFont val="Tahoma"/>
            <family val="2"/>
          </rPr>
          <t>That didn't meet our expectations.</t>
        </r>
        <r>
          <rPr>
            <b/>
            <sz val="9"/>
            <color indexed="81"/>
            <rFont val="Tahoma"/>
            <family val="2"/>
          </rPr>
          <t xml:space="preserve"> It's also relevant to note that we went into a very competitive quarter. We -- a few things are happening now. One is the team has worked diligently to make very quick changes and respond to community feedback and community reaction and the performance of Season 17</t>
        </r>
        <r>
          <rPr>
            <sz val="9"/>
            <color indexed="81"/>
            <rFont val="Tahoma"/>
            <family val="2"/>
          </rPr>
          <t>, and we're already starting to see momentum as we go through our current quarter.
But this is the nature of our business today, is that we will continue to innovate at the very cutting edge of entertainment. Many of those things will work. And by virtue of the collective learning of our organization, we will almost certainly learn faster than others in the industry. But that doesn't mean that there won't be some ebbs and flows. And as we think about the long-term day of the franchise, we factor that in.
Laura Miele Electronic Arts Inc. – President of EA Entertainment, Technology &amp; Central Development
Thank you, Andrew, for the question. Just to add on to what Andrew was saying, I think he covered it well as far as how we think about live services, experimentation, learning and responding to players. We also -- as we talked about in the opening statement, we have one of the most premier shooter developers in Respawn and in our ability and their strength in optimizing for the shooter audience. That huge strength we have has also provided a pretty significant opportunity for us as we think about new game modes and more accessibility for a broader player base.
So think about us being incredibly strong with core shooter players. Again, 18 million active monthly players, over 70% retention, and we have a runway with more players around the world as the team thinks about more accessible modes, bringing in things such as bots to help new player experience and first-time player experiences. So there's a big focus on that.
The second area, I would say, on Apex that the team is really focused on is just the geographic expansion. So we've had success in North America and Asia, and we are going to continue to evolve our strength there and look at culturalization, marketing areas of focus in other parts of the world to continue our growth. So again, good success and then more to come in that area.
And then -- and we have opportunity in the third part of monetization and converting within the gameplay still. So even though we're 17 seasons in and 4.5 years in, we still see opportunity on monetization in areas such as IP integration, brand partnerships, evolving some of these heirlooms we have for the legends are specific to individual legends and we are looking at creating opportunities for these heirlooms and artifacts to span across all legends to appeal to broader players. So we see still significant opportunity and growth in the franchise. And I think the team has a really good grasp and have their head around where we're prioritizing and what their focus is.</t>
        </r>
      </text>
    </comment>
    <comment ref="BF108" authorId="0" shapeId="0" xr:uid="{8C830551-70F3-4047-887F-9FED7530108D}">
      <text>
        <r>
          <rPr>
            <b/>
            <sz val="9"/>
            <color indexed="81"/>
            <rFont val="Tahoma"/>
            <family val="2"/>
          </rPr>
          <t>Julien Whitter:</t>
        </r>
        <r>
          <rPr>
            <sz val="9"/>
            <color indexed="81"/>
            <rFont val="Tahoma"/>
            <family val="2"/>
          </rPr>
          <t xml:space="preserve">
Lapping record Apex quarter
--
Andrew Paul Uerkwitz Jefferies LLC, Research Division – Equity Analyst
One tactical, one long term. On the tactical one, it looks like the fourth quarter and full year guidance ranges are pretty wide, relative to what you normally do. Just curious one if that's correct. And two, why is that? It seems like a lot of Live Service are outperforming?
Unknown Executive
Andrew, this is Joe. I'll take that. Yes. First of all, the range as we look forward, will continue to be broader in this case in the quarter in part for two reasons. One, it's a more dynamic quarter for us, as you referenced on our core Live Services, and the range that reflects both strength and opportunity we see. So we're lapping a record World Cup comp for FC and also is a fiscal high quarter for Apex. The second part I'd also flag as a reminder on the prepared remarks is that we have 8 points of headwind as well from timing of content released in the prior year. So hence, the spread between the top and the bottom is based around the biggest dynamic service that we have in the quarter, particularly FC and Apex.</t>
        </r>
      </text>
    </comment>
    <comment ref="BG108" authorId="0" shapeId="0" xr:uid="{DF609FE6-AB14-4E37-BD9F-0A359ED48D0D}">
      <text>
        <r>
          <rPr>
            <b/>
            <sz val="9"/>
            <color indexed="81"/>
            <rFont val="Tahoma"/>
            <family val="2"/>
          </rPr>
          <t>Julien Whitter:</t>
        </r>
        <r>
          <rPr>
            <sz val="9"/>
            <color indexed="81"/>
            <rFont val="Tahoma"/>
            <family val="2"/>
          </rPr>
          <t xml:space="preserve">
Apex Legends is an important part of our story. Q1 was largely in line with our expectations and our commitment to evolving and learning is a foundational part of our strategy to return Apex Legends to growth. During the quarter, our teams continue to introduce changes to this multi-billion-dollar franchise as they test and iterate in the lead up to season 22, 23 and beyond, where they will deliver even more content and bigger advancements spread across geographies and new modes of play.</t>
        </r>
      </text>
    </comment>
    <comment ref="CO108" authorId="0" shapeId="0" xr:uid="{28F44024-B266-407B-859E-EA105D31F27F}">
      <text>
        <r>
          <rPr>
            <b/>
            <sz val="9"/>
            <color indexed="81"/>
            <rFont val="Tahoma"/>
            <family val="2"/>
          </rPr>
          <t>Julien Whitter:</t>
        </r>
        <r>
          <rPr>
            <sz val="9"/>
            <color indexed="81"/>
            <rFont val="Tahoma"/>
            <family val="2"/>
          </rPr>
          <t xml:space="preserve">
guided to 300-400m in 4Q19
Apex Legends is easily the fastest-growing franchise we've ever had, and we hope to build the live service that entertains players for years to come. Given the exceptional nature of the game, it is appropriate to take a cautious approach to financial modeling. Thus, we are forecasting net bookings in the range of $300 million to $400 million. Note that this assumes no contributions this year from any future mobile versions or a game in the Chinese market. As you build your model, remember that although the game is free to play, we incur costs for all players. As a result, you should model gross margin in the low 80 percentage range. As a live service, contribution margins are expected to be in the low 60%, above our corporate average.</t>
        </r>
      </text>
    </comment>
    <comment ref="CP108" authorId="0" shapeId="0" xr:uid="{7171E9D7-6E3D-43EE-8125-61387143A7FD}">
      <text>
        <r>
          <rPr>
            <b/>
            <sz val="9"/>
            <color indexed="81"/>
            <rFont val="Tahoma"/>
            <family val="2"/>
          </rPr>
          <t>Julien Whitter:</t>
        </r>
        <r>
          <rPr>
            <sz val="9"/>
            <color indexed="81"/>
            <rFont val="Tahoma"/>
            <family val="2"/>
          </rPr>
          <t xml:space="preserve">
4Q21
We are forecasting close to 20% year-over-year growth to $750 million in net bookings for Apex Legends in FY '22, with significant potential for upside this year and beyond as we launch the mobile game.
</t>
        </r>
        <r>
          <rPr>
            <b/>
            <sz val="9"/>
            <color indexed="81"/>
            <rFont val="Tahoma"/>
            <family val="2"/>
          </rPr>
          <t xml:space="preserve">
Apex Legends delivered over $600 million for the year, well above our original expectations of $300 million to $400 million.</t>
        </r>
        <r>
          <rPr>
            <sz val="9"/>
            <color indexed="81"/>
            <rFont val="Tahoma"/>
            <family val="2"/>
          </rPr>
          <t xml:space="preserve"> Importantly, Apex Legends steadily grew through the year. While Apex surely benefited from a stay-at-home tailwind, the upwards trajectory is driven by the game teams and the content they are delivering. That is the strength -- that is, this strength is structural, to the point Season 8 was the first season built by a new content team we put together in Vancouver, proving our ability to scale resources on our fastest-growing franchise.
----
2Q21
We started the year expecting Apex Legends to deliver $300 million to $400 million in net bookings, is now on track to deliver more than $500 million. That is Apex will have gone from $0 billion to about $1 billion in lifetime net bookings in just 2 years. With this velocity and the addition of mobile, we believe Apex has the potential to grow to $1 billion in net bookings every year.
---
</t>
        </r>
      </text>
    </comment>
    <comment ref="CQ108" authorId="0" shapeId="0" xr:uid="{D99DBBF0-DE0D-40B9-99B1-E1EE330B6751}">
      <text>
        <r>
          <rPr>
            <b/>
            <sz val="9"/>
            <color indexed="81"/>
            <rFont val="Tahoma"/>
            <family val="2"/>
          </rPr>
          <t>Julien Whitter:</t>
        </r>
        <r>
          <rPr>
            <sz val="9"/>
            <color indexed="81"/>
            <rFont val="Tahoma"/>
            <family val="2"/>
          </rPr>
          <t xml:space="preserve">
F3Q22
Apex Legends' net bookings continues to grow at an extraordinary rate and will deliver close to $1 billion for the year. </t>
        </r>
      </text>
    </comment>
    <comment ref="AR109" authorId="0" shapeId="0" xr:uid="{9FFEDC08-15FD-43DD-97D8-6C5E8D4A1B1F}">
      <text>
        <r>
          <rPr>
            <b/>
            <sz val="9"/>
            <color indexed="81"/>
            <rFont val="Tahoma"/>
            <family val="2"/>
          </rPr>
          <t>Julien Whitter:</t>
        </r>
        <r>
          <rPr>
            <sz val="9"/>
            <color indexed="81"/>
            <rFont val="Tahoma"/>
            <family val="2"/>
          </rPr>
          <t xml:space="preserve">
Credit is also due to the Respawn teams and the quality of the content that they have been adding to Apex Legends. Apex Legends net booking came in 24% above what we had last year and is off to an incredibly strong start in Q3. </t>
        </r>
      </text>
    </comment>
    <comment ref="AV109" authorId="0" shapeId="0" xr:uid="{54EFD2E9-A181-476F-9240-34CD2F1998D4}">
      <text>
        <r>
          <rPr>
            <b/>
            <sz val="9"/>
            <color indexed="81"/>
            <rFont val="Tahoma"/>
            <family val="2"/>
          </rPr>
          <t>Julien Whitter:</t>
        </r>
        <r>
          <rPr>
            <sz val="9"/>
            <color indexed="81"/>
            <rFont val="Tahoma"/>
            <family val="2"/>
          </rPr>
          <t xml:space="preserve">
Apex Legends net bookings were up over 150% year-on-year. There was some benefit from having 2 collection events this quarter, but even so, the underlying growth rate is clearly extremely strong. Apex has delivered over $1.6 billion in net bookings life-to-date and we're well ahead of our expectations for the year. To launch an original IP and steadily build it into a franchise of this magnitude is exceptional, and I'd like to recognize the Respawn team for their creativity, deep understanding of the player base and for their excellent execution, which can be seen again this week with the successful launch of Season 11.</t>
        </r>
      </text>
    </comment>
    <comment ref="AY109" authorId="0" shapeId="0" xr:uid="{E21DBB6E-754C-45B3-9A0E-083D634CD7B6}">
      <text>
        <r>
          <rPr>
            <b/>
            <sz val="9"/>
            <color indexed="81"/>
            <rFont val="Tahoma"/>
            <family val="2"/>
          </rPr>
          <t>Julien Whitter:</t>
        </r>
        <r>
          <rPr>
            <sz val="9"/>
            <color indexed="81"/>
            <rFont val="Tahoma"/>
            <family val="2"/>
          </rPr>
          <t xml:space="preserve">
Andrew highlighted the success of our owned IP games, exemplified by Apex Legends, which saw </t>
        </r>
        <r>
          <rPr>
            <b/>
            <sz val="9"/>
            <color indexed="81"/>
            <rFont val="Tahoma"/>
            <family val="2"/>
          </rPr>
          <t xml:space="preserve">double-digit net bookings growth again in Q1. </t>
        </r>
        <r>
          <rPr>
            <sz val="9"/>
            <color indexed="81"/>
            <rFont val="Tahoma"/>
            <family val="2"/>
          </rPr>
          <t xml:space="preserve">Apex Legends Mobile had a successful launch during the quarter, making Apex Legends, a leading multi-platform global franchise.
-----
Live services and other net bookings were $1,177 million for the three months ended June 30, 2023, and increased $43 million, or 4 percent, as compared to the three months ended June 30, 2022. The increase in live services and other net bookings was primarily driven by sales of extra content for FIFA Ultimate Team, partially offset by decreased sales of extra content for Apex Legends, and fluctuations in foreign exchange rates, net of hedging activities. </t>
        </r>
      </text>
    </comment>
    <comment ref="AZ109" authorId="0" shapeId="0" xr:uid="{2820F317-1D0E-426F-9A73-8B1F3CFE2313}">
      <text>
        <r>
          <rPr>
            <b/>
            <sz val="9"/>
            <color indexed="81"/>
            <rFont val="Tahoma"/>
            <family val="2"/>
          </rPr>
          <t>Julien Whitter:</t>
        </r>
        <r>
          <rPr>
            <sz val="9"/>
            <color indexed="81"/>
            <rFont val="Tahoma"/>
            <family val="2"/>
          </rPr>
          <t xml:space="preserve">
down y/y</t>
        </r>
      </text>
    </comment>
    <comment ref="BB109" authorId="0" shapeId="0" xr:uid="{917B3074-5A7E-4406-AB37-418DB3623D2C}">
      <text>
        <r>
          <rPr>
            <b/>
            <sz val="9"/>
            <color indexed="81"/>
            <rFont val="Tahoma"/>
            <family val="2"/>
          </rPr>
          <t>Julien Whitter:</t>
        </r>
        <r>
          <rPr>
            <sz val="9"/>
            <color indexed="81"/>
            <rFont val="Tahoma"/>
            <family val="2"/>
          </rPr>
          <t xml:space="preserve">
 Apex Legends saw improved performance following a competitive third quarter, rebounding to a low single-digit year-over-year growth quarter in constant currency. </t>
        </r>
      </text>
    </comment>
    <comment ref="BD109" authorId="0" shapeId="0" xr:uid="{803436E2-8BF6-419B-BA8F-B8404060C563}">
      <text>
        <r>
          <rPr>
            <b/>
            <sz val="9"/>
            <color indexed="81"/>
            <rFont val="Tahoma"/>
            <family val="2"/>
          </rPr>
          <t>Julien Whitter:</t>
        </r>
        <r>
          <rPr>
            <sz val="9"/>
            <color indexed="81"/>
            <rFont val="Tahoma"/>
            <family val="2"/>
          </rPr>
          <t xml:space="preserve">
down y/y
he increase in live services and other net bookings was primarily driven by sales of extra content for EA SPORTS FC Ultimate Team, partially offset by decreased sales of extra content for Apex Legends and fluctuations in foreign exchange rates, net of hedging activities.</t>
        </r>
      </text>
    </comment>
    <comment ref="BE109" authorId="0" shapeId="0" xr:uid="{05F3A216-FECF-4204-AF34-E6F9A9EA6C9B}">
      <text>
        <r>
          <rPr>
            <b/>
            <sz val="9"/>
            <color indexed="81"/>
            <rFont val="Tahoma"/>
            <family val="2"/>
          </rPr>
          <t>Julien Whitter:</t>
        </r>
        <r>
          <rPr>
            <sz val="9"/>
            <color indexed="81"/>
            <rFont val="Tahoma"/>
            <family val="2"/>
          </rPr>
          <t xml:space="preserve">
down y/y
he increase in live services and other net bookings was primarily due to a year-over-year increase in extra content sales for Ultimate Team within our global football franchise, driven by EA SPORTS FC 24, partially offset by decreased sales of extra content for Apex Legends. </t>
        </r>
      </text>
    </comment>
    <comment ref="BF109" authorId="0" shapeId="0" xr:uid="{914E6FA5-10D9-49ED-AC40-7EE78AFF5A2A}">
      <text>
        <r>
          <rPr>
            <b/>
            <sz val="9"/>
            <color indexed="81"/>
            <rFont val="Tahoma"/>
            <family val="2"/>
          </rPr>
          <t>Julien Whitter:</t>
        </r>
        <r>
          <rPr>
            <sz val="9"/>
            <color indexed="81"/>
            <rFont val="Tahoma"/>
            <family val="2"/>
          </rPr>
          <t xml:space="preserve">
decline in apex y/y</t>
        </r>
      </text>
    </comment>
    <comment ref="BG109" authorId="0" shapeId="0" xr:uid="{363E6394-6658-43E1-B4C1-35382815DDC6}">
      <text>
        <r>
          <rPr>
            <b/>
            <sz val="9"/>
            <color indexed="81"/>
            <rFont val="Tahoma"/>
            <family val="2"/>
          </rPr>
          <t>Julien Whitter:</t>
        </r>
        <r>
          <rPr>
            <sz val="9"/>
            <color indexed="81"/>
            <rFont val="Tahoma"/>
            <family val="2"/>
          </rPr>
          <t xml:space="preserve">
y/y improved q/q
Apex Legends' year-over-year decline improved sequentially and came in line with our expectations. The team remains focused on investing behind and delivering against a year-long strategy of meaningfully updating the experiences in Seasons 22, 23, and beyond.</t>
        </r>
      </text>
    </comment>
    <comment ref="CP109" authorId="0" shapeId="0" xr:uid="{F285D5A0-2ACF-4A72-86B1-67F3C99E7A2F}">
      <text>
        <r>
          <rPr>
            <b/>
            <sz val="9"/>
            <color indexed="81"/>
            <rFont val="Tahoma"/>
            <family val="2"/>
          </rPr>
          <t>Julien Whitter:</t>
        </r>
        <r>
          <rPr>
            <sz val="9"/>
            <color indexed="81"/>
            <rFont val="Tahoma"/>
            <family val="2"/>
          </rPr>
          <t xml:space="preserve">
1q22
e extra week last year Q1 alone is worth more than the year-on-year difference. Notably, even against the unique circumstances of a year ago, Apex Legends grew strongly in the quarter and remains on track to grow organically more than 20% this year with the mobile launch as an upside.</t>
        </r>
      </text>
    </comment>
    <comment ref="CQ109" authorId="0" shapeId="0" xr:uid="{FEFE4A83-C46C-4C6E-8167-1F7D2EAB4F03}">
      <text>
        <r>
          <rPr>
            <b/>
            <sz val="9"/>
            <color indexed="81"/>
            <rFont val="Tahoma"/>
            <family val="2"/>
          </rPr>
          <t>Julien Whitter:</t>
        </r>
        <r>
          <rPr>
            <sz val="9"/>
            <color indexed="81"/>
            <rFont val="Tahoma"/>
            <family val="2"/>
          </rPr>
          <t xml:space="preserve">
Our healthy live services growth was driven by strength across our broad-based portfolio, most notably by Apex Legends and FIFA.</t>
        </r>
        <r>
          <rPr>
            <b/>
            <sz val="9"/>
            <color indexed="81"/>
            <rFont val="Tahoma"/>
            <family val="2"/>
          </rPr>
          <t xml:space="preserve"> Apex Legends is up over 40% for the year, taking it past the $2 billion milestone in lifetime net bookings.</t>
        </r>
        <r>
          <rPr>
            <sz val="9"/>
            <color indexed="81"/>
            <rFont val="Tahoma"/>
            <family val="2"/>
          </rPr>
          <t xml:space="preserve"> Season 12 finished yesterday and was the most successful ever. And of course, Apex Legends Mobile is performing well in test and is close to launch. FIFA 22 is the most successful FIFA ever launched to date with net bookings up double digits.</t>
        </r>
      </text>
    </comment>
    <comment ref="AV110" authorId="0" shapeId="0" xr:uid="{11243196-C79D-4C74-B299-1EC83A0FC074}">
      <text>
        <r>
          <rPr>
            <b/>
            <sz val="9"/>
            <color indexed="81"/>
            <rFont val="Tahoma"/>
            <family val="2"/>
          </rPr>
          <t>Julien Whitter:</t>
        </r>
        <r>
          <rPr>
            <sz val="9"/>
            <color indexed="81"/>
            <rFont val="Tahoma"/>
            <family val="2"/>
          </rPr>
          <t xml:space="preserve">
Apex Legends net bookings were up over 150% year-on-year. There was some benefit from having 2 collection events this quarter, but even so, the underlying growth rate is clearly extremely strong. Apex has delivered over $1.6 billion in net bookings life-to-date and we're well ahead of our expectations for the year. To launch an original IP and steadily build it into a franchise of this magnitude is exceptional, and I'd like to recognize the Respawn team for their creativity, deep understanding of the player base and for their excellent execution, which can be seen again this week with the successful launch of Season 11.</t>
        </r>
      </text>
    </comment>
    <comment ref="AX110" authorId="0" shapeId="0" xr:uid="{213E910C-50A5-4C28-818F-371B9543866B}">
      <text>
        <r>
          <rPr>
            <b/>
            <sz val="9"/>
            <color indexed="81"/>
            <rFont val="Tahoma"/>
            <family val="2"/>
          </rPr>
          <t>Julien Whitter:</t>
        </r>
        <r>
          <rPr>
            <sz val="9"/>
            <color indexed="81"/>
            <rFont val="Tahoma"/>
            <family val="2"/>
          </rPr>
          <t xml:space="preserve">
Our healthy live services growth was driven by strength across our broad-based portfolio, most notably by Apex Legends and FIFA. Apex Legends is up over 40% for the year, taking it past the $2 billion milestone in lifetime net bookings. Season 12 finished yesterday and was the most successful ever. And of course, Apex Legends Mobile is performing well in test and is close to launch. FIFA 22 is the most successful FIFA ever launched to date with net bookings up double digits.</t>
        </r>
      </text>
    </comment>
    <comment ref="AZ110" authorId="0" shapeId="0" xr:uid="{0BBBEA01-1CB8-4421-8662-0F794A04A28B}">
      <text>
        <r>
          <rPr>
            <b/>
            <sz val="9"/>
            <color indexed="81"/>
            <rFont val="Tahoma"/>
            <family val="2"/>
          </rPr>
          <t>Julien Whitter:</t>
        </r>
        <r>
          <rPr>
            <sz val="9"/>
            <color indexed="81"/>
            <rFont val="Tahoma"/>
            <family val="2"/>
          </rPr>
          <t xml:space="preserve">
&gt;2b
You've got Apex Legends, which we start at what is just was a few years ago, not even 3 years ago, and has generated, I think, over $2 billion of revenue. I mean we're just getting started. There's a global community of 150 million players. What's really interesting to me is not only is it really powerful in the U.S. and really powerful in Europe, but we've unlocked the market in Japan that we've never had access to and we're starting to see exposure in Southeast Asia that we just haven't had any strength in our franchise with other than FIFA. And what we're starting to see in China is it's actually got a lot of pickup in China as well.</t>
        </r>
      </text>
    </comment>
    <comment ref="BF110" authorId="0" shapeId="0" xr:uid="{33D82BE5-E4E3-4AD2-8682-CF44BE543059}">
      <text>
        <r>
          <rPr>
            <b/>
            <sz val="9"/>
            <color indexed="81"/>
            <rFont val="Tahoma"/>
            <family val="2"/>
          </rPr>
          <t>Julien Whitter:</t>
        </r>
        <r>
          <rPr>
            <sz val="9"/>
            <color indexed="81"/>
            <rFont val="Tahoma"/>
            <family val="2"/>
          </rPr>
          <t xml:space="preserve">
 Since its surprise smash hit release in 2019, the HD title of Apex Legends has surpassed $3.4 billion in lifetime net bookings. In</t>
        </r>
      </text>
    </comment>
    <comment ref="CQ110" authorId="0" shapeId="0" xr:uid="{ADF4D1D5-5690-4FD2-8B94-A4041F1BAC4A}">
      <text>
        <r>
          <rPr>
            <b/>
            <sz val="9"/>
            <color indexed="81"/>
            <rFont val="Tahoma"/>
            <family val="2"/>
          </rPr>
          <t>Julien Whitter:</t>
        </r>
        <r>
          <rPr>
            <sz val="9"/>
            <color indexed="81"/>
            <rFont val="Tahoma"/>
            <family val="2"/>
          </rPr>
          <t xml:space="preserve">
Our healthy live services growth was driven by strength across our broad-based portfolio, most notably by Apex Legends and FIFA. Apex Legends is up over 40% for the year, taking it past the $2 billion milestone in lifetime net bookings. Season 12 finished yesterday and was the most successful ever. And of course, Apex Legends Mobile is performing well in test and is close to launch. FIFA 22 is the most successful FIFA ever launched to date with net bookings up double digits.</t>
        </r>
      </text>
    </comment>
    <comment ref="CS110" authorId="0" shapeId="0" xr:uid="{F90997BD-9270-40EF-A202-CEE06E7FD798}">
      <text>
        <r>
          <rPr>
            <b/>
            <sz val="9"/>
            <color indexed="81"/>
            <rFont val="Tahoma"/>
            <family val="2"/>
          </rPr>
          <t>Julien Whitter:</t>
        </r>
        <r>
          <rPr>
            <sz val="9"/>
            <color indexed="81"/>
            <rFont val="Tahoma"/>
            <family val="2"/>
          </rPr>
          <t xml:space="preserve">
 Since its surprise smash hit release in 2019, the HD title of Apex Legends has surpassed $3.4 billion in lifetime net bookings. In</t>
        </r>
      </text>
    </comment>
    <comment ref="AL111" authorId="0" shapeId="0" xr:uid="{4725F0D3-E672-4864-8811-A5EFE8FC343E}">
      <text>
        <r>
          <rPr>
            <b/>
            <sz val="9"/>
            <color indexed="81"/>
            <rFont val="Tahoma"/>
            <family val="2"/>
          </rPr>
          <t>Julien Whitter:</t>
        </r>
        <r>
          <rPr>
            <sz val="9"/>
            <color indexed="81"/>
            <rFont val="Tahoma"/>
            <family val="2"/>
          </rPr>
          <t xml:space="preserve">
g. Apex Legends is the fastest-growing new game we've ever had, quickly reaching a milestone 50 million players and millions more have continued to join. It has also helped us tap into new player audiences, as nearly 30% of Apex Legends players are new to EA</t>
        </r>
      </text>
    </comment>
    <comment ref="AN111" authorId="0" shapeId="0" xr:uid="{07A4DE03-4F85-4800-A2B9-E01B5ABA5136}">
      <text>
        <r>
          <rPr>
            <b/>
            <sz val="9"/>
            <color indexed="81"/>
            <rFont val="Tahoma"/>
            <family val="2"/>
          </rPr>
          <t>Julien Whitter:</t>
        </r>
        <r>
          <rPr>
            <sz val="9"/>
            <color indexed="81"/>
            <rFont val="Tahoma"/>
            <family val="2"/>
          </rPr>
          <t xml:space="preserve">
With the Apex Legends community now growing past 70 million players, we're focused on expanding the mobile new platforms and new geographies as well as launching an Apex-competitive gaming program that we'll share details on soon.</t>
        </r>
      </text>
    </comment>
    <comment ref="AT111" authorId="0" shapeId="0" xr:uid="{CEBFE5BD-8D4C-4C8F-9689-6152460FBD6F}">
      <text>
        <r>
          <rPr>
            <b/>
            <sz val="9"/>
            <color indexed="81"/>
            <rFont val="Tahoma"/>
            <family val="2"/>
          </rPr>
          <t>Julien Whitter:</t>
        </r>
        <r>
          <rPr>
            <sz val="9"/>
            <color indexed="81"/>
            <rFont val="Tahoma"/>
            <family val="2"/>
          </rPr>
          <t xml:space="preserve">
100m cumulative players
https://twitter.com/PlayApex/status/1382378457808699396</t>
        </r>
      </text>
    </comment>
    <comment ref="AW111" authorId="0" shapeId="0" xr:uid="{A4DCA3D8-868B-4293-9756-CAAC45088C43}">
      <text>
        <r>
          <rPr>
            <b/>
            <sz val="9"/>
            <color indexed="81"/>
            <rFont val="Tahoma"/>
            <family val="2"/>
          </rPr>
          <t>Julien Whitter:</t>
        </r>
        <r>
          <rPr>
            <sz val="9"/>
            <color indexed="81"/>
            <rFont val="Tahoma"/>
            <family val="2"/>
          </rPr>
          <t xml:space="preserve">
Apex Legends monthly active players are up more than 30% year-over-year in Q3. 
Average player investment in the game has grown significantly year-over-year, and we expect -- and we continue to expect net bookings for Apex to approach $1 billion in FY '22.</t>
        </r>
      </text>
    </comment>
    <comment ref="BC111" authorId="0" shapeId="0" xr:uid="{422096CD-7C27-48DE-B291-AEF1B1123A38}">
      <text>
        <r>
          <rPr>
            <b/>
            <sz val="9"/>
            <color indexed="81"/>
            <rFont val="Tahoma"/>
            <family val="2"/>
          </rPr>
          <t>Julien Whitter:</t>
        </r>
        <r>
          <rPr>
            <sz val="9"/>
            <color indexed="81"/>
            <rFont val="Tahoma"/>
            <family val="2"/>
          </rPr>
          <t xml:space="preserve">
Apex Legends is one of the strongest franchises and live services in the industry with 18 million active monthly players and an impressive retention rate of over 70%. After a highly successful 16th season, we launched Season 17 in May with new variations of gameplay and monetization. While this new season did not meet our financial expectations, the team has implied important learnings including new game mechanics to engage and retain players, which are already generating momentum. We will continue to reinforce the strength of this franchise by introducing new modes of play and investing in regional marketing as well as culturalization in key market</t>
        </r>
      </text>
    </comment>
    <comment ref="BG111" authorId="0" shapeId="0" xr:uid="{6BCA1B4E-86FA-4F36-8207-65E3CF4C60A7}">
      <text>
        <r>
          <rPr>
            <b/>
            <sz val="9"/>
            <color indexed="81"/>
            <rFont val="Tahoma"/>
            <family val="2"/>
          </rPr>
          <t>Julien Whitter:</t>
        </r>
        <r>
          <rPr>
            <sz val="9"/>
            <color indexed="81"/>
            <rFont val="Tahoma"/>
            <family val="2"/>
          </rPr>
          <t xml:space="preserve">
170m Players to date</t>
        </r>
      </text>
    </comment>
    <comment ref="CR111" authorId="0" shapeId="0" xr:uid="{12448625-F601-4D1F-839E-34BDFB0272C6}">
      <text>
        <r>
          <rPr>
            <b/>
            <sz val="9"/>
            <color indexed="81"/>
            <rFont val="Tahoma"/>
            <family val="2"/>
          </rPr>
          <t>Julien Whitter:</t>
        </r>
        <r>
          <rPr>
            <sz val="9"/>
            <color indexed="81"/>
            <rFont val="Tahoma"/>
            <family val="2"/>
          </rPr>
          <t xml:space="preserve">
Throughout fiscal year 2023, Apex entertained an average of 20 million monthly active users. This player loyalty is fueled by responsibility to continuously expand and improve the player experience.</t>
        </r>
      </text>
    </comment>
    <comment ref="AY112" authorId="0" shapeId="0" xr:uid="{EAA9E3AE-CE7B-4A4E-B776-D80B4F783B90}">
      <text>
        <r>
          <rPr>
            <b/>
            <sz val="9"/>
            <color indexed="81"/>
            <rFont val="Tahoma"/>
            <family val="2"/>
          </rPr>
          <t>Julien Whitter:</t>
        </r>
        <r>
          <rPr>
            <sz val="9"/>
            <color indexed="81"/>
            <rFont val="Tahoma"/>
            <family val="2"/>
          </rPr>
          <t xml:space="preserve">
Omar Dessouky BofA Securities, Research Division – Research Analyst
You mentioned that Apex Legends Mobile was successful versus your expectations. And I wanted to double-click on that. By what measures would you consider Apex Legends Mobile launch successful? And is bookings one of those measures?
And then have you launched Apex Legends Mobile in all the geographies that you've intended? And how should we think about the second half advertising intensity of Apex Legends Mobile compared to what we've seen so far, especially in light of your comments on a weaker mobile environment in the second half. And then I have a follow-up.
Laura Miele Electronic Arts Inc. – Executive VP &amp; COO
Omar, well, first, yes, we are pleased with the launch of the game that has met our expectations for the quarter. And what we saw with Apex Legends on console, as we all know, is it was a massive uptake in the beginning and then followed by stabilization and really steady growth over the life cycle of the game, and we expect the same of this title on mobile.
And in fact, this is the pattern seen by many mobile shooters. There are many years of revenue and return generation to be had, particularly when you look at the shooter category and we expect the same thing to be true for Apex Mobile.
And keep in mind, we are currently in week 8. So many years ahead, and we are in week 8, just getting started. One thing we know is we're very good at listening to our community, and we know how to respond to the needs of players and then the game dynamics that are required to respond.
And keep in mind as well, we have an incredible team on this. We have Respawn, who is just best in class in the business for shooters. We have a meaningful mobile infrastructure now to execute globally with the additions of Glu and Playdemic and our mobile organization. And we also have an exceptional partnership with Tencent. So we are -- we've met our expectations, we're encouraged and we also know we have a significant runway ahead of us on this title.
As it relates to advertising, we are again, looking at advertising as a dimension of our mobile business, though this is one that is primarily going to be focused on the internal game monetization. And that's how we're looking at the optimization of return on our investment in Apex.</t>
        </r>
      </text>
    </comment>
    <comment ref="AZ112" authorId="0" shapeId="0" xr:uid="{DB8754B7-331A-4798-8FEF-7B86D7713545}">
      <text>
        <r>
          <rPr>
            <b/>
            <sz val="9"/>
            <color indexed="81"/>
            <rFont val="Tahoma"/>
            <family val="2"/>
          </rPr>
          <t>Julien Whitter:</t>
        </r>
        <r>
          <rPr>
            <sz val="9"/>
            <color indexed="81"/>
            <rFont val="Tahoma"/>
            <family val="2"/>
          </rPr>
          <t xml:space="preserve">
Strong in lower-monetizing regions
X. Lu Barclays Bank PLC, Research Division – Research Analyst
Great. And then just a second one on mobile, specifically on Apex Mobile. Just curious how it's progressing versus your internal expectations. And are there any early learnings that could be applied to other franchises like Battlefield that will ultimately be brought to mobile as well?
Laura Miele Electronic Arts Inc. – Executive VP &amp; COO
Thanks for the question. As I mentioned in the mobile response earlier, mobile continues to contribute to the overall growth of some of our biggest franchises and brands. And that is certainly the case with Apex Mobile for the overall Apex brand. We're seeing player and geographic expansion in Southeast Asia, Middle East, Latin America. That is exactly how we had hoped for and what we were expecting.
Now we are 24 weeks into our launch. And while we've delivered a strong experience, the rating on the App Store is quite strong, and we're proud of the quality of the game. And our core players have connected with it quite well. We are now focused on improving our retention for our more casual players, and that is definitely an area of focus for us and an area of improvement. And this is very much a natural part of the cycle and process as we bring these games to market. And we believe and we know that Apex Mobile will continue to help us drive the growth for the overall Apex mobile brand and franchise in the coming years.</t>
        </r>
      </text>
    </comment>
    <comment ref="BA112" authorId="0" shapeId="0" xr:uid="{5FD30E84-6B5A-4825-80DD-91535BD5BF37}">
      <text>
        <r>
          <rPr>
            <b/>
            <sz val="9"/>
            <color indexed="81"/>
            <rFont val="Tahoma"/>
            <family val="2"/>
          </rPr>
          <t>Julien Whitter:</t>
        </r>
        <r>
          <rPr>
            <sz val="9"/>
            <color indexed="81"/>
            <rFont val="Tahoma"/>
            <family val="2"/>
          </rPr>
          <t xml:space="preserve">
We're also making strategic decisions around 2 mobile titles: Apex Legends Mobile won Game of the Year on both iPhone and Android. Despite this strong start, the ongoing experience was not going to meet the expectations of our players. After months of working with our development partner, we have made the mutual decision to sunset this version of the game. We've learned a great deal and have plans to reimagine a connected Apex Mobile experience in the future. It is through these learnings, combined with a clear franchise strategy, that we've also made the decision to stop the development of the current Battlefield mobile title. We know our community values a deeply connected ecosystem, and our team is focused on delivering the best unified cross-platform experience for our players. Everything we do is designed to inspire the world to play. As a company, our teams have demonstrated that with the culture of creativity, innovation and resilience, we can grow through transformative periods of change and lead the future of entertainment.</t>
        </r>
      </text>
    </comment>
    <comment ref="AY113" authorId="0" shapeId="0" xr:uid="{E4E8109F-D2C8-4C41-A0DA-DE9E35CCFCCA}">
      <text>
        <r>
          <rPr>
            <b/>
            <sz val="9"/>
            <color indexed="81"/>
            <rFont val="Tahoma"/>
            <family val="2"/>
          </rPr>
          <t>Julien Whitter:</t>
        </r>
        <r>
          <rPr>
            <sz val="9"/>
            <color indexed="81"/>
            <rFont val="Tahoma"/>
            <family val="2"/>
          </rPr>
          <t xml:space="preserve">
1Q24 would be up 3% excluding Apex impact
---
1Q24
In mobile, net bookings were up 3% year-over-year or 5% in constant currency, excluding the impact of lapping the sunset of Apex Mobile. We continue to make material progress across our portfolio as we manage our business for long-term profitability. FIFA Mobile delivered record Q1 net bookings, almost doubling from the prior year, driven by historic levels of player engagement and new player acquisition. And although early in our launch, initial metrics are promising for our new title, Lord of the Rings: Heroes of Middle-Earth.</t>
        </r>
      </text>
    </comment>
    <comment ref="AQ116" authorId="2" shapeId="0" xr:uid="{FBFEAFC7-0E2C-42FF-8C7B-75D4D1B57D1E}">
      <text>
        <r>
          <rPr>
            <b/>
            <sz val="9"/>
            <rFont val="Tahoma"/>
            <family val="2"/>
          </rPr>
          <t>Cost, Matthew (Research):</t>
        </r>
        <r>
          <rPr>
            <sz val="9"/>
            <rFont val="Tahoma"/>
            <family val="2"/>
          </rPr>
          <t xml:space="preserve">
Q1 net bookings more than doubled year on year</t>
        </r>
      </text>
    </comment>
    <comment ref="BC116" authorId="0" shapeId="0" xr:uid="{5459DEFE-FACA-44CE-8FC7-1D54222DB405}">
      <text>
        <r>
          <rPr>
            <b/>
            <sz val="9"/>
            <color indexed="81"/>
            <rFont val="Tahoma"/>
            <family val="2"/>
          </rPr>
          <t>Julien Whitter:</t>
        </r>
        <r>
          <rPr>
            <sz val="9"/>
            <color indexed="81"/>
            <rFont val="Tahoma"/>
            <family val="2"/>
          </rPr>
          <t xml:space="preserve">
Since going free to enter, the Sims 4 continues to reach a broader global audience, welcoming over 4 million new players in the quarter. </t>
        </r>
      </text>
    </comment>
    <comment ref="BH116" authorId="0" shapeId="0" xr:uid="{A4C47287-4921-4E9F-8DB1-2A8D59C05B7C}">
      <text>
        <r>
          <rPr>
            <b/>
            <sz val="9"/>
            <color indexed="81"/>
            <rFont val="Tahoma"/>
            <family val="2"/>
          </rPr>
          <t>Julien Whitter:</t>
        </r>
        <r>
          <rPr>
            <sz val="9"/>
            <color indexed="81"/>
            <rFont val="Tahoma"/>
            <family val="2"/>
          </rPr>
          <t xml:space="preserve">
The Sims™ 4 continues to expand, with more than 15 million players joining the game over the
past year. Increased engagement led to higher-than-expected net bookings for the franchise in
Q2</t>
        </r>
      </text>
    </comment>
    <comment ref="CO116" authorId="0" shapeId="0" xr:uid="{B905B518-0BA0-42A6-8186-E6EC718B22F2}">
      <text>
        <r>
          <rPr>
            <b/>
            <sz val="9"/>
            <color indexed="81"/>
            <rFont val="Tahoma"/>
            <family val="2"/>
          </rPr>
          <t>Julien Whitter:</t>
        </r>
        <r>
          <rPr>
            <sz val="9"/>
            <color indexed="81"/>
            <rFont val="Tahoma"/>
            <family val="2"/>
          </rPr>
          <t xml:space="preserve">
With regards to business drivers, we've raised our net bookings outlook for the year to $5.125 billion. Live services remain strong, and we continue to expect Apex Legends and The Sims to both deliver net bookings in the $300 million to $400 million range. </t>
        </r>
      </text>
    </comment>
    <comment ref="CS116" authorId="0" shapeId="0" xr:uid="{C6B7D8B5-84D8-4DD8-88A4-C204551BF462}">
      <text>
        <r>
          <rPr>
            <b/>
            <sz val="9"/>
            <color indexed="81"/>
            <rFont val="Tahoma"/>
            <family val="2"/>
          </rPr>
          <t>Julien Whitter:</t>
        </r>
        <r>
          <rPr>
            <sz val="9"/>
            <color indexed="81"/>
            <rFont val="Tahoma"/>
            <family val="2"/>
          </rPr>
          <t xml:space="preserve">
he passion of The Sims community remains strong as the franchise powers towards its 25th anniversary. Since its launch in 2014, The Sims 4 has surpassed 85 million players with FY '24 up double digits year-over-year. The Sims Online and The Sims Mobile combined have been downloaded over 500 million times. This is already one of the largest communities in the world, and we believe this hugely successful franchise has the potential to become one of the largest creative platforms in entertainment.</t>
        </r>
      </text>
    </comment>
    <comment ref="AN119" authorId="0" shapeId="0" xr:uid="{A72BE745-F9B1-4C0E-83DA-83B2D9275C96}">
      <text>
        <r>
          <rPr>
            <b/>
            <sz val="9"/>
            <color indexed="81"/>
            <rFont val="Tahoma"/>
            <family val="2"/>
          </rPr>
          <t>Julien Whitter:</t>
        </r>
        <r>
          <rPr>
            <sz val="9"/>
            <color indexed="81"/>
            <rFont val="Tahoma"/>
            <family val="2"/>
          </rPr>
          <t xml:space="preserve">
The Sims 4 also continues to be an incredible long-term live service with a growing audience. Monthly average players are up more than 40% year-over-year in The Sims 4, and engagement across the franchise has led The Sims to surpass $5 billion in lifetime sales. The Sims continues to be one of the great franchise in gaming, and we have plans to bring new experiences to its amazing players for a long time to come.</t>
        </r>
      </text>
    </comment>
    <comment ref="BE120" authorId="0" shapeId="0" xr:uid="{CAE7CF92-7B94-489F-8136-C2C77E543CA4}">
      <text>
        <r>
          <rPr>
            <b/>
            <sz val="9"/>
            <color indexed="81"/>
            <rFont val="Tahoma"/>
            <family val="2"/>
          </rPr>
          <t>Julien Whitter:</t>
        </r>
        <r>
          <rPr>
            <sz val="9"/>
            <color indexed="81"/>
            <rFont val="Tahoma"/>
            <family val="2"/>
          </rPr>
          <t xml:space="preserve">
125m LTD
The SimsTM 
franchise, the groundbreaking game series that allows players to create and live a virtual, simulated life on a 
computer, celebrated its ten year anniversary in 2010 with an impressive more than 125 million units sold since its launch in 
February 2000. 
N</t>
        </r>
      </text>
    </comment>
    <comment ref="BH123" authorId="0" shapeId="0" xr:uid="{039F626B-8ED4-4799-B9CB-3C4CAE49E8FE}">
      <text>
        <r>
          <rPr>
            <b/>
            <sz val="9"/>
            <color indexed="81"/>
            <rFont val="Tahoma"/>
            <family val="2"/>
          </rPr>
          <t>Julien Whitter:</t>
        </r>
        <r>
          <rPr>
            <sz val="9"/>
            <color indexed="81"/>
            <rFont val="Tahoma"/>
            <family val="2"/>
          </rPr>
          <t xml:space="preserve">
American Football is on track to exceed $1 billion in net bookings for FY25, with total hours played
in Q2 up over 140% year over year, and we also saw new players in the community more than
double year over year.
• Through September, College Football 25 was the best-selling HD title in North America and gives
EA three of the top ten HD bestsellers in North America</t>
        </r>
      </text>
    </comment>
    <comment ref="CT123" authorId="0" shapeId="0" xr:uid="{84F2AB6D-A91F-4EBE-AC40-F226103B0BA2}">
      <text>
        <r>
          <rPr>
            <b/>
            <sz val="9"/>
            <color indexed="81"/>
            <rFont val="Tahoma"/>
            <family val="2"/>
          </rPr>
          <t>Julien Whitter:</t>
        </r>
        <r>
          <rPr>
            <sz val="9"/>
            <color indexed="81"/>
            <rFont val="Tahoma"/>
            <family val="2"/>
          </rPr>
          <t xml:space="preserve">
2Q25:American Football is on track to exceed $1 billion in net bookings for FY25, with total hours played
in Q2 up over 140% year over year, and we also saw new players in the community more than
double year over year</t>
        </r>
      </text>
    </comment>
    <comment ref="BD143" authorId="0" shapeId="0" xr:uid="{A91E7291-043B-4165-A69E-FC45E1AEB4A2}">
      <text>
        <r>
          <rPr>
            <b/>
            <sz val="9"/>
            <color indexed="81"/>
            <rFont val="Tahoma"/>
            <family val="2"/>
          </rPr>
          <t>Julien Whitter:</t>
        </r>
        <r>
          <rPr>
            <sz val="9"/>
            <color indexed="81"/>
            <rFont val="Tahoma"/>
            <family val="2"/>
          </rPr>
          <t xml:space="preserve">
Madden NFL 24 is off to a strong start with almost 10% more players in the title year-over-year and driving over 10% growth in weekly average users. During the quarter, Madden Mobile had more players diving into the game year-over-year, growing the community over 20% and delivering double-digit growth in weekly active users.</t>
        </r>
      </text>
    </comment>
    <comment ref="BE143" authorId="0" shapeId="0" xr:uid="{B5E1356D-A0E4-48B8-969F-00E8E1E1AA54}">
      <text>
        <r>
          <rPr>
            <b/>
            <sz val="9"/>
            <color indexed="81"/>
            <rFont val="Tahoma"/>
            <family val="2"/>
          </rPr>
          <t>Julien Whitter:</t>
        </r>
        <r>
          <rPr>
            <sz val="9"/>
            <color indexed="81"/>
            <rFont val="Tahoma"/>
            <family val="2"/>
          </rPr>
          <t xml:space="preserve">
EA SPORTS Madden NFL also saw another strong quarter with net bookings up 5% year-over-year, highlighted by strong engagement trends across Full Game, Ultimate Team and Mobile. </t>
        </r>
      </text>
    </comment>
    <comment ref="BG143" authorId="0" shapeId="0" xr:uid="{CF4A8E59-B975-4E4F-B275-D18DDC34CAEB}">
      <text>
        <r>
          <rPr>
            <b/>
            <sz val="9"/>
            <color indexed="81"/>
            <rFont val="Tahoma"/>
            <family val="2"/>
          </rPr>
          <t>Julien Whitter:</t>
        </r>
        <r>
          <rPr>
            <sz val="9"/>
            <color indexed="81"/>
            <rFont val="Tahoma"/>
            <family val="2"/>
          </rPr>
          <t xml:space="preserve">
EA SPORTS™ Madden NFL delivered sustained momentum through the quarter, with weekly average users in Ultimate Team and total net bookings up double digits year-over-year.
The greater-than-expected results from EA SPORTS Madden NFL 24 are a strong proof point in the power of thriving community in and around our games. During the quarter, we saw sustained momentum late in the title cycle, with both weekly averages in Ultimate Team and total net bookings up double-digits year-over-year.</t>
        </r>
      </text>
    </comment>
    <comment ref="BD147" authorId="0" shapeId="0" xr:uid="{13516E87-A50B-4BCC-9A6D-54026FD8783F}">
      <text>
        <r>
          <rPr>
            <b/>
            <sz val="9"/>
            <color indexed="81"/>
            <rFont val="Tahoma"/>
            <family val="2"/>
          </rPr>
          <t>Julien Whitter:</t>
        </r>
        <r>
          <rPr>
            <sz val="9"/>
            <color indexed="81"/>
            <rFont val="Tahoma"/>
            <family val="2"/>
          </rPr>
          <t xml:space="preserve">
+6%
EA SPORTS Madden NFL
Net Bookings YoY</t>
        </r>
      </text>
    </comment>
    <comment ref="BE147" authorId="0" shapeId="0" xr:uid="{0D6E141F-0AF1-46C3-931A-F24EE5791943}">
      <text>
        <r>
          <rPr>
            <b/>
            <sz val="9"/>
            <color indexed="81"/>
            <rFont val="Tahoma"/>
            <family val="2"/>
          </rPr>
          <t>Julien Whitter:</t>
        </r>
        <r>
          <rPr>
            <sz val="9"/>
            <color indexed="81"/>
            <rFont val="Tahoma"/>
            <family val="2"/>
          </rPr>
          <t xml:space="preserve">
EA SPORTSTM Madden NFL 
grew Net Bookings +5%
year over year in Q3
</t>
        </r>
      </text>
    </comment>
    <comment ref="BG147" authorId="0" shapeId="0" xr:uid="{FAF30152-E089-4170-A88D-851BB642105C}">
      <text>
        <r>
          <rPr>
            <b/>
            <sz val="9"/>
            <color indexed="81"/>
            <rFont val="Tahoma"/>
            <family val="2"/>
          </rPr>
          <t>Julien Whitter:</t>
        </r>
        <r>
          <rPr>
            <sz val="9"/>
            <color indexed="81"/>
            <rFont val="Tahoma"/>
            <family val="2"/>
          </rPr>
          <t xml:space="preserve">
EA SPORTS™ Madden NFL delivered sustained momentum through the quarter, </t>
        </r>
        <r>
          <rPr>
            <b/>
            <sz val="9"/>
            <color indexed="81"/>
            <rFont val="Tahoma"/>
            <family val="2"/>
          </rPr>
          <t>with weekly average users in Ultimate Team and total net bookings up double digits year-over-year.</t>
        </r>
      </text>
    </comment>
    <comment ref="BD152" authorId="0" shapeId="0" xr:uid="{76D949BC-56F7-45E9-8330-811BA3526260}">
      <text>
        <r>
          <rPr>
            <b/>
            <sz val="9"/>
            <color indexed="81"/>
            <rFont val="Tahoma"/>
            <family val="2"/>
          </rPr>
          <t>Julien Whitter:</t>
        </r>
        <r>
          <rPr>
            <sz val="9"/>
            <color indexed="81"/>
            <rFont val="Tahoma"/>
            <family val="2"/>
          </rPr>
          <t xml:space="preserve">
from $60 to $70
https://psprices.com/region-us/game/6332593/madden-nfl-24
https://psprices.com/region-us/game/5414890/madden-nfl-23-ps4tm</t>
        </r>
      </text>
    </comment>
    <comment ref="BH162" authorId="0" shapeId="0" xr:uid="{525F4D41-8883-4FBF-8A42-A1D073024524}">
      <text>
        <r>
          <rPr>
            <b/>
            <sz val="9"/>
            <color indexed="81"/>
            <rFont val="Tahoma"/>
            <family val="2"/>
          </rPr>
          <t>Julien Whitter:</t>
        </r>
        <r>
          <rPr>
            <sz val="9"/>
            <color indexed="81"/>
            <rFont val="Tahoma"/>
            <family val="2"/>
          </rPr>
          <t xml:space="preserve">
Through September, College Football 25 was the best-selling HD title in North America and gives EA three of the top ten HD bestsellers in North America</t>
        </r>
      </text>
    </comment>
    <comment ref="BH174" authorId="0" shapeId="0" xr:uid="{26F0AAC0-BDE1-4AFF-8AD3-4CB00A4F538D}">
      <text>
        <r>
          <rPr>
            <b/>
            <sz val="9"/>
            <color indexed="81"/>
            <rFont val="Tahoma"/>
            <family val="2"/>
          </rPr>
          <t>Julien Whitter:</t>
        </r>
        <r>
          <rPr>
            <sz val="9"/>
            <color indexed="81"/>
            <rFont val="Tahoma"/>
            <family val="2"/>
          </rPr>
          <t xml:space="preserve">
College Football
6m x 40 asp (prior 3m)
------
 After the quarter ended, EA SPORTSTM College Football 25 welcomed </t>
        </r>
        <r>
          <rPr>
            <b/>
            <sz val="9"/>
            <color indexed="81"/>
            <rFont val="Tahoma"/>
            <family val="2"/>
          </rPr>
          <t>5 million unique players into
              the game through its first week, with over 500,000 more playing via the EA Play trial.</t>
        </r>
      </text>
    </comment>
    <comment ref="BI174" authorId="0" shapeId="0" xr:uid="{F0C17A4B-4A97-421E-A90E-2E72F136A684}">
      <text>
        <r>
          <rPr>
            <b/>
            <sz val="9"/>
            <color indexed="81"/>
            <rFont val="Tahoma"/>
            <family val="2"/>
          </rPr>
          <t>Julien Whitter:</t>
        </r>
        <r>
          <rPr>
            <sz val="9"/>
            <color indexed="81"/>
            <rFont val="Tahoma"/>
            <family val="2"/>
          </rPr>
          <t xml:space="preserve">
1m CFB</t>
        </r>
      </text>
    </comment>
    <comment ref="B211" authorId="0" shapeId="0" xr:uid="{8E63AE3F-3CD2-477E-B66F-22612C06A933}">
      <text>
        <r>
          <rPr>
            <b/>
            <sz val="9"/>
            <color indexed="81"/>
            <rFont val="Tahoma"/>
            <family val="2"/>
          </rPr>
          <t>Julien Whitter:</t>
        </r>
        <r>
          <rPr>
            <sz val="9"/>
            <color indexed="81"/>
            <rFont val="Tahoma"/>
            <family val="2"/>
          </rPr>
          <t xml:space="preserve">
Mscience is Digital only</t>
        </r>
      </text>
    </comment>
    <comment ref="BF228" authorId="0" shapeId="0" xr:uid="{DAA00E66-0B2C-4FF5-A91A-06AA65E60C5D}">
      <text>
        <r>
          <rPr>
            <b/>
            <sz val="9"/>
            <color indexed="81"/>
            <rFont val="Tahoma"/>
            <family val="2"/>
          </rPr>
          <t>Julien Whitter:</t>
        </r>
        <r>
          <rPr>
            <sz val="9"/>
            <color indexed="81"/>
            <rFont val="Tahoma"/>
            <family val="2"/>
          </rPr>
          <t xml:space="preserve">
Mar-24
Matthew Andrew Cost Morgan Stanley, Research Division – Research Analyst
There's a lot there and a lot to look forward to. But I do want to move on to mobile gaming because that's an area -- it's very interesting. It's been a challenging couple of years for the industry, for mobile gaming. And it feels like there's some signs of modest improvement so far this year, coming off of that tough couple of years preceding it.
I wonder if you could tell us about your view, EA's view of the current state of the mobile gaming market? And where does that fit into your broader strategy?
Andrew Wilson Electronic Arts Inc. – Chairman &amp; CEO
Yes. We're certainly seeing -- w</t>
        </r>
        <r>
          <rPr>
            <b/>
            <sz val="9"/>
            <color indexed="81"/>
            <rFont val="Tahoma"/>
            <family val="2"/>
          </rPr>
          <t>e expect mobile to be kind of low single digits growth this coming year. It's been kind of down. We expect HD, the console PC market to be relatively flat.</t>
        </r>
        <r>
          <rPr>
            <sz val="9"/>
            <color indexed="81"/>
            <rFont val="Tahoma"/>
            <family val="2"/>
          </rPr>
          <t xml:space="preserve"> That's kind of what the data would suggest.
And so net-net, there's a ray of sunshine in the mobile business that's been seemingly in decline for the last couple of years. As you unpack that a little bit more, though, you discover a few things. That -- much of that mobile growth is driven by the top 6 titles, at least in the western market, where we play most. Most of that mobile growth is driven by the top 6 titles. And of that top 6, only 2 of them launched in the last 5 years. And so -- and there's a couple of things that you get as you unpack this, and that is, that's still on balance, most mobile games, to get built lose money, that to get a successful mobile game, it's taking longer than ever. There's a mobile game in the market now that's doing incredibly well, but was in development for 7 or 8 years. That once you get to launch, there's probably 2 to 3 years of very, very aggressive user acquisition cost, and that's exponentially higher than it was as little as 5 years ago.
But that if you have a breakout title, that you spend the time to develop, you spend the time in the marketplace with user acquisition, losing money for the first couple of years, that if you can reach scale and reach kind of escape velocity, they're incredible businesses. And we see a few of those in the mobile market today, and they're the ones driving that growth that you see.</t>
        </r>
      </text>
    </comment>
    <comment ref="BC229" authorId="0" shapeId="0" xr:uid="{05BA91CE-8B15-47C6-92DD-392E21BA175D}">
      <text>
        <r>
          <rPr>
            <b/>
            <sz val="9"/>
            <color indexed="81"/>
            <rFont val="Tahoma"/>
            <family val="2"/>
          </rPr>
          <t>Julien Whitter:</t>
        </r>
        <r>
          <rPr>
            <sz val="9"/>
            <color indexed="81"/>
            <rFont val="Tahoma"/>
            <family val="2"/>
          </rPr>
          <t xml:space="preserve">
up 3% ex-Apex impact
In mobile, net bookings were up 3% year-over-year or 5% in constant currency, excluding the impact of lapping the sunset of Apex Mobile. We continue to make material progress across our portfolio as we manage our business for long-term profitability. FIFA Mobile delivered record Q1 net bookings, almost doubling from the prior year, driven by historic levels of player engagement and new player acquisition. And although early in our launch, initial metrics are promising for our new title, Lord of the Rings: Heroes of Middle-Earth.</t>
        </r>
      </text>
    </comment>
    <comment ref="BD229" authorId="0" shapeId="0" xr:uid="{4DA05298-469D-4B0C-B7D2-1B224D5D3D70}">
      <text>
        <r>
          <rPr>
            <b/>
            <sz val="9"/>
            <color indexed="81"/>
            <rFont val="Tahoma"/>
            <family val="2"/>
          </rPr>
          <t>Julien Whitter:</t>
        </r>
        <r>
          <rPr>
            <sz val="9"/>
            <color indexed="81"/>
            <rFont val="Tahoma"/>
            <family val="2"/>
          </rPr>
          <t xml:space="preserve">
FC Mobile has established new franchise records with over 2 million people installing the game on the first day, over $5 million in the first 3 days and over $11 million in the first 10 days. FC Online continues to grow across all engagement metrics, while players have truly embraced FC Pro with a record number of registrations. FC represents a giant leap forward as we aspire to more deeply connect and grow the world's largest football community to 1 billion fans and beyond.</t>
        </r>
      </text>
    </comment>
    <comment ref="CQ229" authorId="0" shapeId="0" xr:uid="{C9021531-AE7D-47E5-BB1A-F3E22B1B54CD}">
      <text>
        <r>
          <rPr>
            <b/>
            <sz val="9"/>
            <color indexed="81"/>
            <rFont val="Tahoma"/>
            <family val="2"/>
          </rPr>
          <t>Julien Whitter:</t>
        </r>
        <r>
          <rPr>
            <sz val="9"/>
            <color indexed="81"/>
            <rFont val="Tahoma"/>
            <family val="2"/>
          </rPr>
          <t xml:space="preserve">
GLU had 561/423m in bookings in CY20/19</t>
        </r>
      </text>
    </comment>
    <comment ref="CS229" authorId="0" shapeId="0" xr:uid="{DE68A1D3-D3B0-4BC5-9308-8328C6DA69D3}">
      <text>
        <r>
          <rPr>
            <b/>
            <sz val="9"/>
            <color indexed="81"/>
            <rFont val="Tahoma"/>
            <family val="2"/>
          </rPr>
          <t>Julien Whitter:</t>
        </r>
        <r>
          <rPr>
            <sz val="9"/>
            <color indexed="81"/>
            <rFont val="Tahoma"/>
            <family val="2"/>
          </rPr>
          <t xml:space="preserve">
4Q23 - expect to be down y/y b/c of sunset of Apex mobile title
----
Unknown Analyst
This is [ Joey ] on for Mario. Two, if I can. So is there any color you can provide on your mobile revenue outlook in fiscal '24 that's embedded within the guide? And then separately, for EA SPORTS FC, I appreciate the call-out on the slides that fiscal '24 bookings anticipates low single-digit growth for the title. Are you expecting any margin benefit that will flow down to the bottom line now that the FIFA license has gone?
Christopher Suh Electronic Arts Inc. – Executive VP &amp; CFO
Let me address your first question. I'll start there and then I sort of missed the first part of your second question, so if you could repeat that here in a second. But in terms of the mobile growth for next year, </t>
        </r>
        <r>
          <rPr>
            <b/>
            <sz val="9"/>
            <color indexed="81"/>
            <rFont val="Tahoma"/>
            <family val="2"/>
          </rPr>
          <t>our expectations are that mobile business in aggregate will be down year-on-year after FY '23, a large part of that related to the decision to sunset the Apex mobile title</t>
        </r>
        <r>
          <rPr>
            <sz val="9"/>
            <color indexed="81"/>
            <rFont val="Tahoma"/>
            <family val="2"/>
          </rPr>
          <t>, and so that obviously is in the comparable for '23. It won't be in the comparable for '24, and that's a big piece of the mobile business revenue performance expectation for '24. And can you go ahead and repeat your second question? I missed the first part of it.</t>
        </r>
      </text>
    </comment>
    <comment ref="BC230" authorId="0" shapeId="0" xr:uid="{6CB1A34E-BFF1-4F4C-ACF9-EC2E26B5546F}">
      <text>
        <r>
          <rPr>
            <b/>
            <sz val="9"/>
            <color indexed="81"/>
            <rFont val="Tahoma"/>
            <family val="2"/>
          </rPr>
          <t>Julien Whitter:</t>
        </r>
        <r>
          <rPr>
            <sz val="9"/>
            <color indexed="81"/>
            <rFont val="Tahoma"/>
            <family val="2"/>
          </rPr>
          <t xml:space="preserve">
Sunset Apex titles implies ~110M of annualized bookings
4Q24 ET
Live services net bookings was $5.43 billion, down 2% year-over-year or down 1% in constant currency. </t>
        </r>
        <r>
          <rPr>
            <b/>
            <sz val="9"/>
            <color indexed="81"/>
            <rFont val="Tahoma"/>
            <family val="2"/>
          </rPr>
          <t>Excluding the impact of the sunset of Apex Mobile, live service net bookings was about flat year-over-year. S</t>
        </r>
        <r>
          <rPr>
            <sz val="9"/>
            <color indexed="81"/>
            <rFont val="Tahoma"/>
            <family val="2"/>
          </rPr>
          <t xml:space="preserve">trength in live services was driven by high-teens growth year-over-year in our global football franchise, fueled by FC Ultimate Team and FC Mobile but was offset by declines in Apex Legends.
</t>
        </r>
      </text>
    </comment>
    <comment ref="CT230" authorId="0" shapeId="0" xr:uid="{21031872-4B8C-4863-B3C8-C45A645C33F6}">
      <text>
        <r>
          <rPr>
            <b/>
            <sz val="9"/>
            <color indexed="81"/>
            <rFont val="Tahoma"/>
            <family val="2"/>
          </rPr>
          <t>Julien Whitter:</t>
        </r>
        <r>
          <rPr>
            <sz val="9"/>
            <color indexed="81"/>
            <rFont val="Tahoma"/>
            <family val="2"/>
          </rPr>
          <t xml:space="preserve">
+lsd for F25
Excluding our sunset titles, we expect mobile to be up low single digit.
Sunset games ~4% of total mobile portfolio</t>
        </r>
      </text>
    </comment>
    <comment ref="CT237" authorId="0" shapeId="0" xr:uid="{F29F24E9-BDE9-45F9-B370-E5EC61447475}">
      <text>
        <r>
          <rPr>
            <b/>
            <sz val="9"/>
            <color indexed="81"/>
            <rFont val="Tahoma"/>
            <family val="2"/>
          </rPr>
          <t>Julien Whitter:</t>
        </r>
        <r>
          <rPr>
            <sz val="9"/>
            <color indexed="81"/>
            <rFont val="Tahoma"/>
            <family val="2"/>
          </rPr>
          <t xml:space="preserve">
+msd growth
Now moving to our outlook for FY '25. We expect fiscal year net bookings of $7.3 billion to $7.7 billion down 2% to up 4% year-over-year, with mid-single-digit growth in our core live services business, partially offset by fewer title launches, lighter catalog contributions and headwinds from our mobile business related to portfolio optimization decisions taken over the last 6 months. </t>
        </r>
      </text>
    </comment>
    <comment ref="AP239" authorId="0" shapeId="0" xr:uid="{CA3CD626-655D-4F79-9BFD-FA329227D7B0}">
      <text>
        <r>
          <rPr>
            <b/>
            <sz val="9"/>
            <color indexed="81"/>
            <rFont val="Tahoma"/>
            <family val="2"/>
          </rPr>
          <t>Julien Whitter:</t>
        </r>
        <r>
          <rPr>
            <sz val="9"/>
            <color indexed="81"/>
            <rFont val="Tahoma"/>
            <family val="2"/>
          </rPr>
          <t xml:space="preserve">
Andrew Edward Crum Stifel, Nicolaus &amp; Company, Incorporated, Research Division – Vice President
Blake, wondered if you could deconstruct the performance of live services during the quarter, understanding that the Apex comp was difficult. What were some of the puts and takes on the 7% decline? And I apologize if I missed any commentary on Ultimate Team. And then separately, can you just comment on your expectations for your mobile business to be up 1% in fiscal '21 against the market? You're forecasting to be up 7%.
Blake J. Jorgensen Electronic Arts Inc. – COO &amp; CFO
Yes. Sure. Thanks. Good questions. So on live services, almost all of the delta was driven by Apex Legends. And remember, we came out of the gate last -- or last February, excuse me, on fire, like you never would have believed, right? And so a massive business. And then we settled into a regular cadence, and we've been able to grow that each quarter through all the seasons that we've had, and we're feeling very good about that.
The second piece is we -- as the sports calendar shut down, we made the decision to move the -- what is the -- it's called the FUT Birthday, FIFA Ultimate Team Birthday event from the end of March into the first 2 weeks of April. And it was really driven by trying to pace out sports content knowing that there was no sports content in the world. And so -- but it's one of the biggest events of the year. And so you can imagine that also impacted the year as we went from Q4 compared to previous year Q4. Those were the 2 biggest drivers.
On the positive side, Madden both live service, the Ultimate Team has been on fire, which in the February, March time frame is rare because it's post the Super Bowl but it's been very strong. FIFA Online 4 in Korea was very strong. Remember, we -- I think we said in the last earnings call, we shut off FIFA Online 3 in Korea. We're still running both FIFA Online 3 and FIFA Online 4 in China at this point. But as we shut off FIFA Online 3 in Korea, we saw massive growth in FIFA Online 4. And so that's kind of the puts and takes. And then on top of that, I would say, Sims 4 continues to be the title that just doesn't stop. And I think as Andrew mentioned in his previous comments, it has continued to grow quarter after quarter after quarter. It is an incredible team, an incredible product and amazing engagement. And so you can say, put it all on the Apex last year, unbelievable benefit and then the FIFA move of the FUT birthday in the quarter.
Mobile, the way we've approached mobile for the year in terms of our guidance is we basically have assumed that mobile titles will stay in soft launch much longer than they have historically. And so we have relatively little new mobile growth from new products in the year. Our hope is that we can exceed that, but that's how we've built our guidance because we know the mobile industry continues to get harder and harder. And that means people are keeping mobile titles in soft launch for longer and longer to try to tune them.
The good news is that we still have a strong set of mobile titles today that are highly profitable. You look at Star Wars: Galaxy of Heroes, for example, continues to perform extremely well. Things like SimCity continue to perform extremely well. And while we're not growing dramatically, we're still extremely profitable across those titles, and our hope is the new titles that we have in the mix will get out of soft launch faster than we anticipate and possibly help us generate something above what we forecast for the year.</t>
        </r>
      </text>
    </comment>
    <comment ref="B244" authorId="0" shapeId="0" xr:uid="{72F64B0A-084F-4707-A4BB-350E53CA702A}">
      <text>
        <r>
          <rPr>
            <b/>
            <sz val="9"/>
            <color indexed="81"/>
            <rFont val="Tahoma"/>
            <family val="2"/>
          </rPr>
          <t>Julien Whitter:</t>
        </r>
        <r>
          <rPr>
            <sz val="9"/>
            <color indexed="81"/>
            <rFont val="Tahoma"/>
            <family val="2"/>
          </rPr>
          <t xml:space="preserve">
Live services and other net revenue primarily includes revenue from sales of extra content for console, PC, and mobile games, certain licensing revenue, subscriptions, and advertising.</t>
        </r>
      </text>
    </comment>
    <comment ref="AP244" authorId="0" shapeId="0" xr:uid="{98CDB26A-8AF4-47D2-A5C9-4B7747676CF8}">
      <text>
        <r>
          <rPr>
            <b/>
            <sz val="9"/>
            <color indexed="81"/>
            <rFont val="Tahoma"/>
            <family val="2"/>
          </rPr>
          <t>Julien Whitter:</t>
        </r>
        <r>
          <rPr>
            <sz val="9"/>
            <color indexed="81"/>
            <rFont val="Tahoma"/>
            <family val="2"/>
          </rPr>
          <t xml:space="preserve">
Andrew Edward Crum Stifel, Nicolaus &amp; Company, Incorporated, Research Division – Vice President
Blake, wondered if you could deconstruct the performance of live services during the quarter, understanding that the Apex comp was difficult. What were some of the puts and takes on the 7% decline? And I apologize if I missed any commentary on Ultimate Team. And then separately, can you just comment on your expectations for your mobile business to be up 1% in fiscal '21 against the market? You're forecasting to be up 7%.
Blake J. Jorgensen Electronic Arts Inc. – COO &amp; CFO
Yes. Sure. Thanks. Good questions. So on live services, almost all of the delta was driven by Apex Legends. And remember, we came out of the gate last -- or last February, excuse me, on fire, like you never would have believed, right? And so a massive business. And then we settled into a regular cadence, and we've been able to grow that each quarter through all the seasons that we've had, and we're feeling very good about that.
The second piece is we -- as the sports calendar shut down, we made the decision to move the -- what is the -- it's called the FUT Birthday, FIFA Ultimate Team Birthday event from the end of March into the first 2 weeks of April. And it was really driven by trying to pace out sports content knowing that there was no sports content in the world. And so -- but it's one of the biggest events of the year. And so you can imagine that also impacted the year as we went from Q4 compared to previous year Q4. Those were the 2 biggest drivers.
On the positive side, Madden both live service, the Ultimate Team has been on fire, which in the February, March time frame is rare because it's post the Super Bowl but it's been very strong. FIFA Online 4 in Korea was very strong. Remember, we -- I think we said in the last earnings call, we shut off FIFA Online 3 in Korea. We're still running both FIFA Online 3 and FIFA Online 4 in China at this point. But as we shut off FIFA Online 3 in Korea, we saw massive growth in FIFA Online 4. And so that's kind of the puts and takes. And then on top of that, I would say, Sims 4 continues to be the title that just doesn't stop. And I think as Andrew mentioned in his previous comments, it has continued to grow quarter after quarter after quarter. It is an incredible team, an incredible product and amazing engagement. And so you can say, put it all on the Apex last year, unbelievable benefit and then the FIFA move of the FUT birthday in the quarter.
Mobile, the way we've approached mobile for the year in terms of our guidance is we basically have assumed that mobile titles will stay in soft launch much longer than they have historically. And so we have relatively little new mobile growth from new products in the year. Our hope is that we can exceed that, but that's how we've built our guidance because we know the mobile industry continues to get harder and harder. And that means people are keeping mobile titles in soft launch for longer and longer to try to tune them.
The good news is that we still have a strong set of mobile titles today that are highly profitable. You look at Star Wars: Galaxy of Heroes, for example, continues to perform extremely well. Things like SimCity continue to perform extremely well. And while we're not growing dramatically, we're still extremely profitable across those titles, and our hope is the new titles that we have in the mix will get out of soft launch faster than we anticipate and possibly help us generate something above what we forecast for the year.</t>
        </r>
      </text>
    </comment>
    <comment ref="AZ244" authorId="0" shapeId="0" xr:uid="{BF6A8E2F-1AC0-4813-A3BF-409908CF32E6}">
      <text>
        <r>
          <rPr>
            <b/>
            <sz val="9"/>
            <color indexed="81"/>
            <rFont val="Tahoma"/>
            <family val="2"/>
          </rPr>
          <t>Julien Whitter:</t>
        </r>
        <r>
          <rPr>
            <sz val="9"/>
            <color indexed="81"/>
            <rFont val="Tahoma"/>
            <family val="2"/>
          </rPr>
          <t xml:space="preserve">
Our live services net bookings were also in line with our expectations, down 3% year on year, or flat in constant currency, due to the timing of the FIFA launch, offset by strength elsewhere in the business.</t>
        </r>
      </text>
    </comment>
    <comment ref="CS244" authorId="0" shapeId="0" xr:uid="{C8829E14-1893-4FE7-A59D-6D695C72F851}">
      <text>
        <r>
          <rPr>
            <b/>
            <sz val="9"/>
            <color indexed="81"/>
            <rFont val="Tahoma"/>
            <family val="2"/>
          </rPr>
          <t>Julien Whitter:</t>
        </r>
        <r>
          <rPr>
            <sz val="9"/>
            <color indexed="81"/>
            <rFont val="Tahoma"/>
            <family val="2"/>
          </rPr>
          <t xml:space="preserve">
Apex mobile shutdown was 100m impact
Live services net bookings was $5.43 billion, down 2% year-over-year or down 1% in constant currency. Excluding the impact of the sunset of Apex Mobile, live service net bookings was about flat year-over-year. Strength in live services was driven by high teens growth year-over-year in our global football franchise, fueled by FC Ultimate Team and FC Mobile was offset by declines in Apex Legends.</t>
        </r>
      </text>
    </comment>
    <comment ref="CM246" authorId="0" shapeId="0" xr:uid="{BAE550FB-2B39-4CA6-A99D-EBFFEB444492}">
      <text>
        <r>
          <rPr>
            <b/>
            <sz val="9"/>
            <color indexed="81"/>
            <rFont val="Tahoma"/>
            <family val="2"/>
          </rPr>
          <t>Julien Whitter:</t>
        </r>
        <r>
          <rPr>
            <sz val="9"/>
            <color indexed="81"/>
            <rFont val="Tahoma"/>
            <family val="2"/>
          </rPr>
          <t xml:space="preserve">
 Our net revenue attributable to digital live services for console and PC was $2,813 million, $2,216 million and $2,083 million during fiscal years 2020, 2019 and 2018, respectively, and we expect that live services net revenue will continue to be material to our business</t>
        </r>
      </text>
    </comment>
    <comment ref="CN246" authorId="0" shapeId="0" xr:uid="{70F72A5E-B1F3-440D-9E13-9D2F44A1E6DD}">
      <text>
        <r>
          <rPr>
            <b/>
            <sz val="9"/>
            <color indexed="81"/>
            <rFont val="Tahoma"/>
            <family val="2"/>
          </rPr>
          <t>Julien Whitter:</t>
        </r>
        <r>
          <rPr>
            <sz val="9"/>
            <color indexed="81"/>
            <rFont val="Tahoma"/>
            <family val="2"/>
          </rPr>
          <t xml:space="preserve">
 Our net revenue attributable to digital live services for console and PC was $2,813 million, $2,216 million and $2,083 million during fiscal years 2020, 2019 and 2018, respectively, and we expect that live services net revenue will continue to be material to our business</t>
        </r>
      </text>
    </comment>
    <comment ref="CO246" authorId="0" shapeId="0" xr:uid="{34A31F5D-3D1A-4310-8E9F-1EBFD9CDAAD0}">
      <text>
        <r>
          <rPr>
            <b/>
            <sz val="9"/>
            <color indexed="81"/>
            <rFont val="Tahoma"/>
            <family val="2"/>
          </rPr>
          <t>Julien Whitter:</t>
        </r>
        <r>
          <rPr>
            <sz val="9"/>
            <color indexed="81"/>
            <rFont val="Tahoma"/>
            <family val="2"/>
          </rPr>
          <t xml:space="preserve">
 Our net revenue attributable to digital live services for console and PC was $2,813 million, $2,216 million and $2,083 million during fiscal years 2020, 2019 and 2018, respectively, and we expect that live services net revenue will continue to be material to our business</t>
        </r>
      </text>
    </comment>
    <comment ref="AV252" authorId="0" shapeId="0" xr:uid="{1FED8E84-1B52-4234-B6F6-931B4B088615}">
      <text>
        <r>
          <rPr>
            <b/>
            <sz val="9"/>
            <color indexed="81"/>
            <rFont val="Tahoma"/>
            <family val="2"/>
          </rPr>
          <t>Julien Whitter:</t>
        </r>
        <r>
          <rPr>
            <sz val="9"/>
            <color indexed="81"/>
            <rFont val="Tahoma"/>
            <family val="2"/>
          </rPr>
          <t xml:space="preserve">
FIFA 22 launch at end of 2Q</t>
        </r>
      </text>
    </comment>
    <comment ref="BG252" authorId="0" shapeId="0" xr:uid="{D9DB57BA-16B9-49CF-9E07-E2A7C7A5D6DA}">
      <text>
        <r>
          <rPr>
            <b/>
            <sz val="9"/>
            <color indexed="81"/>
            <rFont val="Tahoma"/>
            <family val="2"/>
          </rPr>
          <t>Julien Whitter:</t>
        </r>
        <r>
          <rPr>
            <sz val="9"/>
            <color indexed="81"/>
            <rFont val="Tahoma"/>
            <family val="2"/>
          </rPr>
          <t xml:space="preserve">
s a reminder, our prior-year period benefited from more releases in a World Cup tailwind to our global football business. Full-game net bookings was $168 million as we compare to three full-game title releases from a year ago, Star Wars Jedi: Survivor, EA SPORTS PGA Tour, and Super Mega Baseball 4. </t>
        </r>
      </text>
    </comment>
    <comment ref="CO254" authorId="0" shapeId="0" xr:uid="{126E6D96-993A-4DA7-9BF0-A33AD2E8EDFC}">
      <text>
        <r>
          <rPr>
            <b/>
            <sz val="9"/>
            <color indexed="81"/>
            <rFont val="Tahoma"/>
            <family val="2"/>
          </rPr>
          <t>Julien Whitter:</t>
        </r>
        <r>
          <rPr>
            <sz val="9"/>
            <color indexed="81"/>
            <rFont val="Tahoma"/>
            <family val="2"/>
          </rPr>
          <t xml:space="preserve">
Our net revenue attributable to digital full game downloads was $809 million, $680 million and $707 million during fiscal years 2020, 2019 and 2018, r</t>
        </r>
      </text>
    </comment>
    <comment ref="CR254" authorId="0" shapeId="0" xr:uid="{4B223DCE-D1C0-418D-9DA1-841420F7C6D3}">
      <text>
        <r>
          <rPr>
            <b/>
            <sz val="9"/>
            <color indexed="81"/>
            <rFont val="Tahoma"/>
            <family val="2"/>
          </rPr>
          <t>Julien Whitter:</t>
        </r>
        <r>
          <rPr>
            <sz val="9"/>
            <color indexed="81"/>
            <rFont val="Tahoma"/>
            <family val="2"/>
          </rPr>
          <t xml:space="preserve">
Our net revenue attributable to digital full game downloads was $1,262 million, $1,282 million, and $918 million during fiscal years 2023, 2022, and 2021, respectively; while our net revenue attributable to packaged goods sales was $675 million, $711 million, and $695 million in fiscal year 2023, 2022, and 2021, respectively. In addition, as measured based on total units sold on Microsoft’s Xbox One and Xbox Series X and Sony’s PlayStation 4 and 5 rather than by net revenue, we estimate that 68 percent, 65 percent, and 62 percent of our total units sold during fiscal years 2023, 2022, and 2021 were sold digitally. Digital full game units are based on sales information provided by Microsoft and Sony; packaged goods units sold through are estimated by obtaining data from significant retail partners in North America, Europe and Asia, and applying internal sales estimates with respect to retail partners from which we do not obtain data. We believe that these percentages are reasonable estimates of the proportion of our games that are digitally downloaded in relation to our total number of units sold for the applicable period of measurement.</t>
        </r>
      </text>
    </comment>
    <comment ref="BA259" authorId="0" shapeId="0" xr:uid="{F5E1532E-CC3E-4880-BFAA-D4866C3EEC03}">
      <text>
        <r>
          <rPr>
            <b/>
            <sz val="9"/>
            <color indexed="81"/>
            <rFont val="Tahoma"/>
            <family val="2"/>
          </rPr>
          <t>Julien Whitter:</t>
        </r>
        <r>
          <rPr>
            <sz val="9"/>
            <color indexed="81"/>
            <rFont val="Tahoma"/>
            <family val="2"/>
          </rPr>
          <t xml:space="preserve">
Net bookings for the third quarter were $2.3 billion, down 9%, or 5% in constant currency, driven largely by a tough comp as we lap the launch of Battlefield 2042 and by Apex performance, partially offset by strength across the entire FIFA ecosystem and the launch of Need for Speed Unbound.</t>
        </r>
      </text>
    </comment>
    <comment ref="BF259" authorId="0" shapeId="0" xr:uid="{988BD11A-2103-4A7D-B1D7-720F7B037F64}">
      <text>
        <r>
          <rPr>
            <b/>
            <sz val="9"/>
            <color indexed="81"/>
            <rFont val="Tahoma"/>
            <family val="2"/>
          </rPr>
          <t>Julien Whitter:</t>
        </r>
        <r>
          <rPr>
            <sz val="9"/>
            <color indexed="81"/>
            <rFont val="Tahoma"/>
            <family val="2"/>
          </rPr>
          <t xml:space="preserve">
As a reminder, we expected Q4 net bookings to be impacted by 8 points related to slate timing. We also provided a wider guidance range to account for the dynamics of Apex Legends and EA SPORTS FC, which faced difficult comparable periods. In Apex Legends, we saw elevated engagement and monetization trends early in the quarter. As the quarter progressed, monetization returned to prior norms while player sentiment and engagement remains strong. FC Mobile and Online declined year-over-year as they faced record comparables in the prior year period fueled by World Cup tailwinds. However, FC Ultimate Team lapping a record 20% growth in Q4 FY '23, again grew year-over-year delivering low single-digit growth.</t>
        </r>
      </text>
    </comment>
    <comment ref="BG259" authorId="0" shapeId="0" xr:uid="{5997D516-9D33-43E7-8605-10D2EBE59B08}">
      <text>
        <r>
          <rPr>
            <b/>
            <sz val="9"/>
            <color indexed="81"/>
            <rFont val="Tahoma"/>
            <family val="2"/>
          </rPr>
          <t>Julien Whitter:</t>
        </r>
        <r>
          <rPr>
            <sz val="9"/>
            <color indexed="81"/>
            <rFont val="Tahoma"/>
            <family val="2"/>
          </rPr>
          <t xml:space="preserve">
Our Q1 FY '25 outlook reflects many of the trends we saw in Q4 2024 related to slate timing and atypical seasonality as we lap difficult comps year-over-year. We expect the quarter to be impacted by 15 point headwind related to release and content timing versus prior year due to three additional title launches.
Live services, including EA SPORTS FC and Apex Legends will continue to face difficult comparable periods. As a reminder, Q1 FY '24 was the largest Q1 in company history for our global football franchise. We expect net bookings for Q1 to be $1.15 billion to $1.25 billion, down 27% to down 21% year-over-year. We expect net revenue of $1.575 billion to $1.675 billion, cost of revenue to be $240 million to $250 million and operating expenses were approximately $1.065 billion to $1.085 billion, resulting in earnings per share of $0.73 to $0.90.</t>
        </r>
      </text>
    </comment>
    <comment ref="BC274" authorId="0" shapeId="0" xr:uid="{A034BC0E-96D8-4198-B66C-14A71253576B}">
      <text>
        <r>
          <rPr>
            <b/>
            <sz val="9"/>
            <color indexed="81"/>
            <rFont val="Tahoma"/>
            <family val="2"/>
          </rPr>
          <t>Julien Whitter:</t>
        </r>
        <r>
          <rPr>
            <sz val="9"/>
            <color indexed="81"/>
            <rFont val="Tahoma"/>
            <family val="2"/>
          </rPr>
          <t xml:space="preserve">
Also you should start to think about, to your point on FC, how we nuance the timing and recognition of revenue between Q2 and Q3. Worth noting that the licensing structure will transition back half of the year versus front half of the year. And obviously, we had a heavier launch slate last year in the back half of the year. So we can work through that with you all in the call downs, but just note there's definitely ebbs and flows in timing. And particularly point that to Q2, in particular, as you look at the EPS we put out and how that resonates year-on-year.</t>
        </r>
      </text>
    </comment>
    <comment ref="BC275" authorId="0" shapeId="0" xr:uid="{2BDAE877-8A6B-4EF4-A7FA-59D4DAF1F947}">
      <text>
        <r>
          <rPr>
            <b/>
            <sz val="9"/>
            <color indexed="81"/>
            <rFont val="Tahoma"/>
            <family val="2"/>
          </rPr>
          <t>Julien Whitter:</t>
        </r>
        <r>
          <rPr>
            <sz val="9"/>
            <color indexed="81"/>
            <rFont val="Tahoma"/>
            <family val="2"/>
          </rPr>
          <t xml:space="preserve">
Also you should start to think about, to your point on FC, how we nuance the timing and recognition of revenue between Q2 and Q3. Worth noting that the licensing structure will transition back half of the year versus front half of the year. And obviously, we had a heavier launch slate last year in the back half of the year. So we can work through that with you all in the call downs, but just note there's definitely ebbs and flows in timing. And particularly point that to Q2, in particular, as you look at the EPS we put out and how that resonates year-on-year.</t>
        </r>
      </text>
    </comment>
    <comment ref="B311" authorId="0" shapeId="0" xr:uid="{1E54FB7B-4CBF-4C3C-A006-4C44FFEBA27A}">
      <text>
        <r>
          <rPr>
            <b/>
            <sz val="9"/>
            <color indexed="81"/>
            <rFont val="Tahoma"/>
            <family val="2"/>
          </rPr>
          <t>Julien Whitter:</t>
        </r>
        <r>
          <rPr>
            <sz val="9"/>
            <color indexed="81"/>
            <rFont val="Tahoma"/>
            <family val="2"/>
          </rPr>
          <t xml:space="preserve">
EA expenses R&amp;D vs. capitalizing</t>
        </r>
      </text>
    </comment>
    <comment ref="BG323" authorId="0" shapeId="0" xr:uid="{E6016109-BB81-4AB4-9543-E883825622A6}">
      <text>
        <r>
          <rPr>
            <b/>
            <sz val="9"/>
            <color indexed="81"/>
            <rFont val="Tahoma"/>
            <family val="2"/>
          </rPr>
          <t>Julien Whitter:</t>
        </r>
        <r>
          <rPr>
            <sz val="9"/>
            <color indexed="81"/>
            <rFont val="Tahoma"/>
            <family val="2"/>
          </rPr>
          <t xml:space="preserve">
4m of Office space reductions</t>
        </r>
      </text>
    </comment>
    <comment ref="BF328" authorId="0" shapeId="0" xr:uid="{D19C54CE-B634-4252-A6C9-3C50BBB0FE55}">
      <text>
        <r>
          <rPr>
            <b/>
            <sz val="9"/>
            <color indexed="81"/>
            <rFont val="Tahoma"/>
            <family val="2"/>
          </rPr>
          <t>Julien Whitter:</t>
        </r>
        <r>
          <rPr>
            <sz val="9"/>
            <color indexed="81"/>
            <rFont val="Tahoma"/>
            <family val="2"/>
          </rPr>
          <t xml:space="preserve">
https://www.ea.com/news/continuing-to-evolve-our-business-and-teams</t>
        </r>
      </text>
    </comment>
    <comment ref="BD331" authorId="0" shapeId="0" xr:uid="{656F0FB1-BC65-445E-A626-9455799FB770}">
      <text>
        <r>
          <rPr>
            <b/>
            <sz val="9"/>
            <color indexed="81"/>
            <rFont val="Tahoma"/>
            <family val="2"/>
          </rPr>
          <t>Julien Whitter:</t>
        </r>
        <r>
          <rPr>
            <sz val="9"/>
            <color indexed="81"/>
            <rFont val="Tahoma"/>
            <family val="2"/>
          </rPr>
          <t xml:space="preserve">
OpEx was up 7%, primarily driven by the incremental investment behind the launch of EA SPORTS FC.</t>
        </r>
      </text>
    </comment>
    <comment ref="CT346" authorId="0" shapeId="0" xr:uid="{3C21627E-0C72-40AC-BC5A-4A2827337D54}">
      <text>
        <r>
          <rPr>
            <b/>
            <sz val="9"/>
            <color indexed="81"/>
            <rFont val="Tahoma"/>
            <family val="2"/>
          </rPr>
          <t>Julien Whitter:</t>
        </r>
        <r>
          <rPr>
            <sz val="9"/>
            <color indexed="81"/>
            <rFont val="Tahoma"/>
            <family val="2"/>
          </rPr>
          <t xml:space="preserve">
Slide 260
https://eainvestorday2024.q4ir.com/home/default.aspx</t>
        </r>
      </text>
    </comment>
    <comment ref="CS403" authorId="0" shapeId="0" xr:uid="{BAF26F05-D193-4396-A29B-737FD9DE401B}">
      <text>
        <r>
          <rPr>
            <b/>
            <sz val="9"/>
            <color indexed="81"/>
            <rFont val="Tahoma"/>
            <family val="2"/>
          </rPr>
          <t>Julien Whitter:</t>
        </r>
        <r>
          <rPr>
            <sz val="9"/>
            <color indexed="81"/>
            <rFont val="Tahoma"/>
            <family val="2"/>
          </rPr>
          <t xml:space="preserve">
Capital expenditures for the year were $199 million, below our original $275 million guide as we further rationalized our real estate investment and footprint over the year. This resulted in a record year for free cash flow of $2.12 billion, up 58% year-over-year. This includes a one-time cash tax savings of approximately $150 million. Over the year, we returned $1.51 billion to shareholders through buybacks and dividends.</t>
        </r>
      </text>
    </comment>
    <comment ref="CT442" authorId="0" shapeId="0" xr:uid="{E400EC0D-4584-4C93-963D-7AC3F579AE7C}">
      <text>
        <r>
          <rPr>
            <b/>
            <sz val="9"/>
            <color indexed="81"/>
            <rFont val="Tahoma"/>
            <family val="2"/>
          </rPr>
          <t>Julien Whitter:</t>
        </r>
        <r>
          <rPr>
            <sz val="9"/>
            <color indexed="81"/>
            <rFont val="Tahoma"/>
            <family val="2"/>
          </rPr>
          <t xml:space="preserve">
1.5b in buybacks
Our conviction in expanding margins and accelerating growth leads us to increase our stock repurchase program and extend it by an additional year. Returning capital to shareholders is an important priority for us. Our Board has authorized a stock repurchase program of $5 billion over the next three years. We expect $1.5 billion to be returned in FY '25 with the remainder scaling with growth in our business across FY '26 and FY '27.</t>
        </r>
      </text>
    </comment>
    <comment ref="CV518" authorId="0" shapeId="0" xr:uid="{82D2D961-1429-4358-9AA4-1B3B6280C466}">
      <text>
        <r>
          <rPr>
            <b/>
            <sz val="9"/>
            <color indexed="81"/>
            <rFont val="Tahoma"/>
            <family val="2"/>
          </rPr>
          <t>Julien Whitter:</t>
        </r>
        <r>
          <rPr>
            <sz val="9"/>
            <color indexed="81"/>
            <rFont val="Tahoma"/>
            <family val="2"/>
          </rPr>
          <t xml:space="preserve">
POST ADAY - EA IR CALLING AROUND TO HSD% CAGR FROM f24 TO F27</t>
        </r>
      </text>
    </comment>
    <comment ref="CT532" authorId="0" shapeId="0" xr:uid="{2A8481CD-5E7F-41B4-99C5-B79445A97B57}">
      <text>
        <r>
          <rPr>
            <b/>
            <sz val="9"/>
            <color indexed="81"/>
            <rFont val="Tahoma"/>
            <family val="2"/>
          </rPr>
          <t>Julien Whitter:</t>
        </r>
        <r>
          <rPr>
            <sz val="9"/>
            <color indexed="81"/>
            <rFont val="Tahoma"/>
            <family val="2"/>
          </rPr>
          <t xml:space="preserve">
7.3 - 7.7b</t>
        </r>
      </text>
    </comment>
    <comment ref="AS634" authorId="0" shapeId="0" xr:uid="{5E4E69E8-B21F-4F4D-BE8E-FB8CB87AEF7A}">
      <text>
        <r>
          <rPr>
            <b/>
            <sz val="9"/>
            <color indexed="81"/>
            <rFont val="Tahoma"/>
            <family val="2"/>
          </rPr>
          <t>Julien Whitter:</t>
        </r>
        <r>
          <rPr>
            <sz val="9"/>
            <color indexed="81"/>
            <rFont val="Tahoma"/>
            <family val="2"/>
          </rPr>
          <t xml:space="preserve">
11.12.20
PS4 - 11.15.13
PS3 - 11.11.06</t>
        </r>
      </text>
    </comment>
    <comment ref="AS657" authorId="0" shapeId="0" xr:uid="{9F5F3D9C-D7AA-4484-A2FB-D7DD9FEBB475}">
      <text>
        <r>
          <rPr>
            <b/>
            <sz val="9"/>
            <color indexed="81"/>
            <rFont val="Tahoma"/>
            <family val="2"/>
          </rPr>
          <t>Julien Whitter:</t>
        </r>
        <r>
          <rPr>
            <sz val="9"/>
            <color indexed="81"/>
            <rFont val="Tahoma"/>
            <family val="2"/>
          </rPr>
          <t xml:space="preserve">
11.12.20
PS4 - 11.15.13
PS3 - 11.11.06</t>
        </r>
      </text>
    </comment>
    <comment ref="AS671" authorId="0" shapeId="0" xr:uid="{F57C40F2-95B6-4FBE-8946-AC49CAB81E00}">
      <text>
        <r>
          <rPr>
            <b/>
            <sz val="9"/>
            <color indexed="81"/>
            <rFont val="Tahoma"/>
            <family val="2"/>
          </rPr>
          <t>Julien Whitter:</t>
        </r>
        <r>
          <rPr>
            <sz val="9"/>
            <color indexed="81"/>
            <rFont val="Tahoma"/>
            <family val="2"/>
          </rPr>
          <t xml:space="preserve">
11.12.20
PS4 - 11.15.13
PS3 - 11.11.06</t>
        </r>
      </text>
    </comment>
    <comment ref="AW680" authorId="0" shapeId="0" xr:uid="{F01F7526-63FA-4FBC-8AE4-99356FF805F9}">
      <text>
        <r>
          <rPr>
            <b/>
            <sz val="9"/>
            <color indexed="81"/>
            <rFont val="Tahoma"/>
            <family val="2"/>
          </rPr>
          <t>Julien Whitter:</t>
        </r>
        <r>
          <rPr>
            <sz val="9"/>
            <color indexed="81"/>
            <rFont val="Tahoma"/>
            <family val="2"/>
          </rPr>
          <t xml:space="preserve">
The reduction was driven by Battlefield 2042 in both Q3 and Q4, but offset by the strength in the rest of our business, particularly in FIFA and Apex Legends. </t>
        </r>
      </text>
    </comment>
    <comment ref="AX680" authorId="0" shapeId="0" xr:uid="{7526F4D4-25F4-418B-9AC1-F74AA9F2C1C7}">
      <text>
        <r>
          <rPr>
            <b/>
            <sz val="9"/>
            <color indexed="81"/>
            <rFont val="Tahoma"/>
            <family val="2"/>
          </rPr>
          <t>Julien Whitter:</t>
        </r>
        <r>
          <rPr>
            <sz val="9"/>
            <color indexed="81"/>
            <rFont val="Tahoma"/>
            <family val="2"/>
          </rPr>
          <t xml:space="preserve">
The reduction was driven by Battlefield 2042 in both Q3 and Q4, but offset by the strength in the rest of our business, particularly in FIFA and Apex Legends. </t>
        </r>
      </text>
    </comment>
    <comment ref="AF681" authorId="0" shapeId="0" xr:uid="{4CB83D20-D7DF-4489-BB75-24DE731195DF}">
      <text>
        <r>
          <rPr>
            <b/>
            <sz val="9"/>
            <color indexed="81"/>
            <rFont val="Tahoma"/>
            <family val="2"/>
          </rPr>
          <t>Julien Whitter:</t>
        </r>
        <r>
          <rPr>
            <sz val="9"/>
            <color indexed="81"/>
            <rFont val="Tahoma"/>
            <family val="2"/>
          </rPr>
          <t xml:space="preserve">
I think, is our catalog. So these are things like Battlefield 4, that we were selling all through last year. We sold several million units of Battlefield 4 in fiscal '17, and it's now a 3-year-old game. And so together, those account for about 74% of our revenue. So much as I like talking about how exciting the new titles are, [ that's that other ] 25%, and clearly, we want it to be good. It's better if it's good, but it's important to note that just how stable and dependable the cash flow generation is year-round. In fact, just, perhaps I'm over egging the omelette here, but I think it's interesting to note in our Q1 -- our fiscal Q1, which ends June 30, that's typically a really quiet quarter for us, we don't launch any games. And historically, that's been a, sort of, negative $100 million, negative $200 million cash flow quarter. This quarter -- this Q1 that we just passed was very strongly positive cash flow, north of $100 million. And that speaks to the fact that we're generating revenue year round from things other than game launches. That said, super excited about Star Wars.</t>
        </r>
      </text>
    </comment>
    <comment ref="AJ681" authorId="0" shapeId="0" xr:uid="{5AEA37CC-1F97-49FC-89CC-0E92FA644DBC}">
      <text>
        <r>
          <rPr>
            <b/>
            <sz val="9"/>
            <color indexed="81"/>
            <rFont val="Tahoma"/>
            <family val="2"/>
          </rPr>
          <t>Julien Whitter:</t>
        </r>
        <r>
          <rPr>
            <sz val="9"/>
            <color indexed="81"/>
            <rFont val="Tahoma"/>
            <family val="2"/>
          </rPr>
          <t xml:space="preserve">
Blake J. Jorgensen
COO &amp; CFO
So why don't I start and then I'll let Andrew talk about the second question. Battlefield, the overall forecast really only changed just because of the timing. So -- and we told people that, that moved roughly 3 plus million units out of the quarter that we originally had expected, some of that into Q4 and some of it into next year's Q1. The -- what you'll find when you get in to Battlefield, and I'll leave it up to the Battlefield team to help people understand the excitement around where Battlefield is going and how that might include in-game monetization, but what I'll just say is there will be a dramatic evolving game play over time: new ways to experience it, things like fortification and reinforcements and new hardware, vehicles, weapons, gadgets and there could be exciting ways to earn those over time or possibly even purchase those over time; new experiences through the single player stories that will get rolled -- continue to be rolled out; game improvements and excitement around a battle royale style mode that will come in the March time frame; and a pretty exciting live service that we hope will keep people highly engaged and over time, that may include monetization opportunities to keep them even more engaged.</t>
        </r>
      </text>
    </comment>
    <comment ref="AK681" authorId="0" shapeId="0" xr:uid="{C48AB5AD-34C5-4AFF-B05C-D9341ABAB4F0}">
      <text>
        <r>
          <rPr>
            <b/>
            <sz val="9"/>
            <color indexed="81"/>
            <rFont val="Tahoma"/>
            <family val="2"/>
          </rPr>
          <t>Julien Whitter:</t>
        </r>
        <r>
          <rPr>
            <sz val="9"/>
            <color indexed="81"/>
            <rFont val="Tahoma"/>
            <family val="2"/>
          </rPr>
          <t xml:space="preserve">
s Andrew discussed, the desire to make changes to Battlefield V led us to move its launch into a more difficult window, and prioritizing the single-player campaign over Battle Royale also hurt sales. As a result, we sold 7.3 million units in the quarter, about 1 million less than we comprehended by our Q3 guidance. H</t>
        </r>
      </text>
    </comment>
    <comment ref="AW681" authorId="0" shapeId="0" xr:uid="{B630268F-B495-456E-8F7E-FE3B45F839B1}">
      <text>
        <r>
          <rPr>
            <b/>
            <sz val="9"/>
            <color indexed="81"/>
            <rFont val="Tahoma"/>
            <family val="2"/>
          </rPr>
          <t>Julien Whitter:</t>
        </r>
        <r>
          <rPr>
            <sz val="9"/>
            <color indexed="81"/>
            <rFont val="Tahoma"/>
            <family val="2"/>
          </rPr>
          <t xml:space="preserve">
ales of 
Battlefield 2042
were disappointing, but they are offset by a strong showing from FIFA and continued strength 
from Apex and our other franchises. </t>
        </r>
      </text>
    </comment>
    <comment ref="AK682" authorId="0" shapeId="0" xr:uid="{0913E76C-69AB-494B-BDFD-AA111D7991E6}">
      <text>
        <r>
          <rPr>
            <b/>
            <sz val="9"/>
            <color indexed="81"/>
            <rFont val="Tahoma"/>
            <family val="2"/>
          </rPr>
          <t>Julien Whitter:</t>
        </r>
        <r>
          <rPr>
            <sz val="9"/>
            <color indexed="81"/>
            <rFont val="Tahoma"/>
            <family val="2"/>
          </rPr>
          <t xml:space="preserve">
Battlefield 1 still has nearly 4 million active users. And Battlefield 4 has nearly 2 million, more than 5 years after its launch. When we released the Season 2 content in January,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Lanterman, Jon (Research)</author>
    <author>Julien Whitter</author>
  </authors>
  <commentList>
    <comment ref="D3" authorId="0" shapeId="0" xr:uid="{E97836DC-D966-406A-9BE1-EF291E1AE9BE}">
      <text>
        <r>
          <rPr>
            <b/>
            <sz val="9"/>
            <rFont val="Tahoma"/>
            <family val="2"/>
          </rPr>
          <t>Lanterman, Jon (Research):</t>
        </r>
        <r>
          <rPr>
            <sz val="9"/>
            <rFont val="Tahoma"/>
            <family val="2"/>
          </rPr>
          <t xml:space="preserve">
9/25/12 - USA
9/27/12- Australia
9/28/12 - Europe</t>
        </r>
      </text>
    </comment>
    <comment ref="E3" authorId="1" shapeId="0" xr:uid="{95989C91-F148-4F0D-8E93-C569819C926B}">
      <text>
        <r>
          <rPr>
            <b/>
            <sz val="9"/>
            <color indexed="81"/>
            <rFont val="Tahoma"/>
            <family val="2"/>
          </rPr>
          <t>Julien Whitter:</t>
        </r>
        <r>
          <rPr>
            <sz val="9"/>
            <color indexed="81"/>
            <rFont val="Tahoma"/>
            <family val="2"/>
          </rPr>
          <t xml:space="preserve">
12/31/2011
Battlefield 3TM
and
FIFA 12 
each sold through more than 10 million units. 
Madden NFL 12
has sold through almost 5 
million units life-to-date</t>
        </r>
      </text>
    </comment>
    <comment ref="C4" authorId="0" shapeId="0" xr:uid="{B2DF7724-9AE0-4CC8-940D-880D7BA38137}">
      <text>
        <r>
          <rPr>
            <b/>
            <sz val="9"/>
            <rFont val="Tahoma"/>
            <family val="2"/>
          </rPr>
          <t>Lanterman, Jon (Research):</t>
        </r>
        <r>
          <rPr>
            <sz val="9"/>
            <rFont val="Tahoma"/>
            <family val="2"/>
          </rPr>
          <t xml:space="preserve">
Developed by EA, launched through licensing agreements in South Korea (Nexon), China (Tencent), and other local platforms</t>
        </r>
      </text>
    </comment>
    <comment ref="D5" authorId="0" shapeId="0" xr:uid="{EB6472FA-3391-4A98-AC00-7CAA564C85E1}">
      <text>
        <r>
          <rPr>
            <b/>
            <sz val="9"/>
            <rFont val="Tahoma"/>
            <family val="2"/>
          </rPr>
          <t>Lanterman, Jon (Research):</t>
        </r>
        <r>
          <rPr>
            <sz val="9"/>
            <rFont val="Tahoma"/>
            <family val="2"/>
          </rPr>
          <t xml:space="preserve">
9/25/12 - USA
9/27/12- Australia
9/28/12 - Europe</t>
        </r>
      </text>
    </comment>
    <comment ref="E5" authorId="1" shapeId="0" xr:uid="{E38874D7-7496-4A08-8A45-8F4ACCCA62FD}">
      <text>
        <r>
          <rPr>
            <b/>
            <sz val="9"/>
            <color indexed="81"/>
            <rFont val="Tahoma"/>
            <family val="2"/>
          </rPr>
          <t>Julien Whitter:</t>
        </r>
        <r>
          <rPr>
            <sz val="9"/>
            <color indexed="81"/>
            <rFont val="Tahoma"/>
            <family val="2"/>
          </rPr>
          <t xml:space="preserve">
https://www.vgchartz.com/game/226038/fifa/?region=All</t>
        </r>
      </text>
    </comment>
    <comment ref="D6" authorId="0" shapeId="0" xr:uid="{7B8BD5C3-A9D8-4F57-8646-C78681130F8C}">
      <text>
        <r>
          <rPr>
            <b/>
            <sz val="9"/>
            <rFont val="Tahoma"/>
            <family val="2"/>
          </rPr>
          <t>Lanterman, Jon (Research):</t>
        </r>
        <r>
          <rPr>
            <sz val="9"/>
            <rFont val="Tahoma"/>
            <family val="2"/>
          </rPr>
          <t xml:space="preserve">
9/24/13 - USA
9/26/13 - Europe</t>
        </r>
      </text>
    </comment>
    <comment ref="D8" authorId="0" shapeId="0" xr:uid="{82CBF4F3-CBCA-4BCA-8D41-B9996B34C644}">
      <text>
        <r>
          <rPr>
            <b/>
            <sz val="9"/>
            <rFont val="Tahoma"/>
            <family val="2"/>
          </rPr>
          <t>Lanterman, Jon (Research):</t>
        </r>
        <r>
          <rPr>
            <sz val="9"/>
            <rFont val="Tahoma"/>
            <family val="2"/>
          </rPr>
          <t xml:space="preserve">
9/23/14 - USA
9/25/14 - Europe
9/26/14 - UK</t>
        </r>
      </text>
    </comment>
    <comment ref="E8" authorId="1" shapeId="0" xr:uid="{2A0745DC-2225-4EDD-86BC-9733EF4E20A6}">
      <text>
        <r>
          <rPr>
            <b/>
            <sz val="9"/>
            <color indexed="81"/>
            <rFont val="Tahoma"/>
            <family val="2"/>
          </rPr>
          <t>Julien Whitter:</t>
        </r>
        <r>
          <rPr>
            <sz val="9"/>
            <color indexed="81"/>
            <rFont val="Tahoma"/>
            <family val="2"/>
          </rPr>
          <t xml:space="preserve">
https://www.vgchartz.com/article/252624/fifa-15-sales-top-13m-units-worldwide/</t>
        </r>
      </text>
    </comment>
    <comment ref="D9" authorId="0" shapeId="0" xr:uid="{E902B7EC-CDBF-4C5B-95D4-9BC6149D053F}">
      <text>
        <r>
          <rPr>
            <b/>
            <sz val="9"/>
            <rFont val="Tahoma"/>
            <family val="2"/>
          </rPr>
          <t>Lanterman, Jon (Research):</t>
        </r>
        <r>
          <rPr>
            <sz val="9"/>
            <rFont val="Tahoma"/>
            <family val="2"/>
          </rPr>
          <t xml:space="preserve">
9/22/2015 - NA
9/24/2015 - Europe
10/8/2015 - Japan &amp; Brazil</t>
        </r>
      </text>
    </comment>
    <comment ref="E11" authorId="1" shapeId="0" xr:uid="{705096CC-F8CE-44D3-AF61-D078E4F3A214}">
      <text>
        <r>
          <rPr>
            <b/>
            <sz val="9"/>
            <color indexed="81"/>
            <rFont val="Tahoma"/>
            <family val="2"/>
          </rPr>
          <t>Julien Whitter:</t>
        </r>
        <r>
          <rPr>
            <sz val="9"/>
            <color indexed="81"/>
            <rFont val="Tahoma"/>
            <family val="2"/>
          </rPr>
          <t xml:space="preserve">
https://www.gamesindustry.biz/fifa-18-sells-over-24-million-copies</t>
        </r>
      </text>
    </comment>
    <comment ref="E12" authorId="1" shapeId="0" xr:uid="{3CE606E9-FD80-4B19-B832-19CEAA3847DC}">
      <text>
        <r>
          <rPr>
            <b/>
            <sz val="9"/>
            <color indexed="81"/>
            <rFont val="Tahoma"/>
            <family val="2"/>
          </rPr>
          <t>Julien Whitter:</t>
        </r>
        <r>
          <rPr>
            <sz val="9"/>
            <color indexed="81"/>
            <rFont val="Tahoma"/>
            <family val="2"/>
          </rPr>
          <t xml:space="preserve">
2.5.19
Fiscal year to date sales for 
FIFA 19
are approximately 20 million units, and we’ve 
also 
sold over 3 million units of FIFA 18 this fiscal year. 
And, as Andrew said, 
FIFA 19
was the best-
selling console game in Europe in calendar 2018</t>
        </r>
      </text>
    </comment>
    <comment ref="E13" authorId="1" shapeId="0" xr:uid="{6DE6B287-05B6-42B5-86A0-0C70717FB31A}">
      <text>
        <r>
          <rPr>
            <b/>
            <sz val="9"/>
            <color indexed="81"/>
            <rFont val="Tahoma"/>
            <family val="2"/>
          </rPr>
          <t>Julien Whitter:</t>
        </r>
        <r>
          <rPr>
            <sz val="9"/>
            <color indexed="81"/>
            <rFont val="Tahoma"/>
            <family val="2"/>
          </rPr>
          <t xml:space="preserve">
11.5.20
Life to date, FIFA 20 has reached nearly 35 million players on console and PC.</t>
        </r>
      </text>
    </comment>
    <comment ref="E14" authorId="1" shapeId="0" xr:uid="{E98AB6F1-2D0C-4E86-9F04-4BB91A350960}">
      <text>
        <r>
          <rPr>
            <b/>
            <sz val="9"/>
            <color indexed="81"/>
            <rFont val="Tahoma"/>
            <family val="2"/>
          </rPr>
          <t>Julien Whitter:</t>
        </r>
        <r>
          <rPr>
            <sz val="9"/>
            <color indexed="81"/>
            <rFont val="Tahoma"/>
            <family val="2"/>
          </rPr>
          <t xml:space="preserve">
5.11.21
FIFA 21, life to date, has more than 25 million console/PC players.</t>
        </r>
      </text>
    </comment>
    <comment ref="E16" authorId="1" shapeId="0" xr:uid="{796A38F2-EE8C-4159-BE3E-5D4704D16355}">
      <text>
        <r>
          <rPr>
            <b/>
            <sz val="9"/>
            <color indexed="81"/>
            <rFont val="Tahoma"/>
            <family val="2"/>
          </rPr>
          <t>Julien Whitter:</t>
        </r>
        <r>
          <rPr>
            <sz val="9"/>
            <color indexed="81"/>
            <rFont val="Tahoma"/>
            <family val="2"/>
          </rPr>
          <t xml:space="preserve">
EA SPORTS ™ FIFA 23 was the most successful launch in franchise history with more than 10.3 million players joining the game within the first week.</t>
        </r>
      </text>
    </comment>
    <comment ref="E20" authorId="1" shapeId="0" xr:uid="{8993B151-2C04-459B-9D7A-0BB7873515EA}">
      <text>
        <r>
          <rPr>
            <b/>
            <sz val="9"/>
            <color indexed="81"/>
            <rFont val="Tahoma"/>
            <family val="2"/>
          </rPr>
          <t>Julien Whitter:</t>
        </r>
        <r>
          <rPr>
            <sz val="9"/>
            <color indexed="81"/>
            <rFont val="Tahoma"/>
            <family val="2"/>
          </rPr>
          <t xml:space="preserve">
Estimate</t>
        </r>
      </text>
    </comment>
    <comment ref="E21" authorId="1" shapeId="0" xr:uid="{A15DDA94-135E-43B6-B0B4-65CED8248664}">
      <text>
        <r>
          <rPr>
            <b/>
            <sz val="9"/>
            <color indexed="81"/>
            <rFont val="Tahoma"/>
            <family val="2"/>
          </rPr>
          <t>Julien Whitter:</t>
        </r>
        <r>
          <rPr>
            <sz val="9"/>
            <color indexed="81"/>
            <rFont val="Tahoma"/>
            <family val="2"/>
          </rPr>
          <t xml:space="preserve">
"We're quite proud of what we did with Battlefield 3. We sold about 15 million [units] on that game, which was the number two game in the marketplace last year by a country mile. We grew share and we've been eating into their position. We've always said that if you're going to take on the 800-pound gorilla, it's going to take you multiple years and it's going to take you multiple attempts and that's what we're doing," he commented.
https://www.gamesindustry.biz/ea-looking-to-bring-battlefield-premium-type-service-to-more-properties
---
12/31/2011
Battlefield 3TM
and
FIFA 12 
each sold through more than 10 million units. 
Madden NFL 12
has sold through almost 5 
million units life-to-date</t>
        </r>
      </text>
    </comment>
    <comment ref="E22" authorId="1" shapeId="0" xr:uid="{112D72DA-36AD-4968-8100-7E717172D608}">
      <text>
        <r>
          <rPr>
            <b/>
            <sz val="9"/>
            <color indexed="81"/>
            <rFont val="Tahoma"/>
            <family val="2"/>
          </rPr>
          <t>Julien Whitter:</t>
        </r>
        <r>
          <rPr>
            <sz val="9"/>
            <color indexed="81"/>
            <rFont val="Tahoma"/>
            <family val="2"/>
          </rPr>
          <t xml:space="preserve">
2.5.19
As a result, we sold 7.3 million units, about 1 million less than comprehended by our Q3 guidance.</t>
        </r>
      </text>
    </comment>
    <comment ref="E23" authorId="1" shapeId="0" xr:uid="{EED6AA9E-FA97-4DBB-894C-6F59A453500F}">
      <text>
        <r>
          <rPr>
            <b/>
            <sz val="9"/>
            <color indexed="81"/>
            <rFont val="Tahoma"/>
            <family val="2"/>
          </rPr>
          <t>Julien Whitter:</t>
        </r>
        <r>
          <rPr>
            <sz val="9"/>
            <color indexed="81"/>
            <rFont val="Tahoma"/>
            <family val="2"/>
          </rPr>
          <t xml:space="preserve">
https://gameworldobserver.com/2021/12/03/insider-battlefield-2042-reportedly-sells-over-4-million-copies-in-first-week</t>
        </r>
      </text>
    </comment>
    <comment ref="E25" authorId="1" shapeId="0" xr:uid="{1CB553A1-AF0E-434D-9DF9-7C1763455AAE}">
      <text>
        <r>
          <rPr>
            <b/>
            <sz val="9"/>
            <color indexed="81"/>
            <rFont val="Tahoma"/>
            <family val="2"/>
          </rPr>
          <t>Julien Whitter:</t>
        </r>
        <r>
          <rPr>
            <sz val="9"/>
            <color indexed="81"/>
            <rFont val="Tahoma"/>
            <family val="2"/>
          </rPr>
          <t xml:space="preserve">
6.22.20
Andrew Wilson
CEO &amp; Director
Well, I think up is my hope, up into the right. But I would say, again, I think we have a tremendous relationship with Disney. We have a tremendous relationship with Lucas Arts. We have a long-standing relationship with them, going all the way back to Star Wars: The Old Republic that we launched in 2011. Star Wars: Galaxy of Heroes has been an extraordinarily successful mobile game and continues to be successful and continues to engage a huge fan base. We've got a couple of Battlefront games that together have sold -- I think, we're in and around 35 million units of that. So that's a really big property; Star Wars Jedi: Fallen Order with over 10 million units, and now Star Wars: Squadrons, which, again, as Blake points out, is going after a very particular Star Wars fan motivation, the kind of the pilot fantasy, but the response has been really, really strong, and we're hopeful for that. So we've had success in first-person shooters, in RPGs and action adventure, MMORPGs in mobile. And I believe we're going to have success in Squadrons as well.</t>
        </r>
      </text>
    </comment>
    <comment ref="E27" authorId="1" shapeId="0" xr:uid="{CD816E97-0E66-4405-AC0D-65ABCC7BB0B3}">
      <text>
        <r>
          <rPr>
            <b/>
            <sz val="9"/>
            <color indexed="81"/>
            <rFont val="Tahoma"/>
            <family val="2"/>
          </rPr>
          <t>Julien Whitter:</t>
        </r>
        <r>
          <rPr>
            <sz val="9"/>
            <color indexed="81"/>
            <rFont val="Tahoma"/>
            <family val="2"/>
          </rPr>
          <t xml:space="preserve">
F3Q12 8k
Star Wars
®
: The Old RepublicTM 
has generated 1.7 million active subscribers and sold through more than 2 million units 
in a little over one month</t>
        </r>
      </text>
    </comment>
    <comment ref="E28" authorId="1" shapeId="0" xr:uid="{E26BFAB4-FB6E-4C06-A3E8-637D0DE64A34}">
      <text>
        <r>
          <rPr>
            <b/>
            <sz val="9"/>
            <color indexed="81"/>
            <rFont val="Tahoma"/>
            <family val="2"/>
          </rPr>
          <t>Julien Whitter:</t>
        </r>
        <r>
          <rPr>
            <sz val="9"/>
            <color indexed="81"/>
            <rFont val="Tahoma"/>
            <family val="2"/>
          </rPr>
          <t xml:space="preserve">
1.30.18
Net bookings 
for the quarter were $1.971 billion, down $99 million on the prior year, which 
benefitted from a strong 
Battlefield 1
launch. 
Net bookings for the quarter were $29 million 
below our guidance, driven by lower-than-expected sales of 
Star Wars
Battlefront II. 
For Q3, we 
had expected to sell in about 8 million units, but we fell short of that by less than 1 million units. 
However, this shortfall was significantly offset by an excellent performance from our live 
services
. 
The impact of FX was immaterial on the quarter</t>
        </r>
      </text>
    </comment>
    <comment ref="E29" authorId="1" shapeId="0" xr:uid="{0C37FD50-6AEE-49B3-8113-4EDB73C9389A}">
      <text>
        <r>
          <rPr>
            <b/>
            <sz val="9"/>
            <color indexed="81"/>
            <rFont val="Tahoma"/>
            <family val="2"/>
          </rPr>
          <t>Julien Whitter:</t>
        </r>
        <r>
          <rPr>
            <sz val="9"/>
            <color indexed="81"/>
            <rFont val="Tahoma"/>
            <family val="2"/>
          </rPr>
          <t xml:space="preserve">
Andrew Wilson
Chief Executive Officer &amp; Director
So again, in terms of -- we'll start from the back. The fan anticipation has been very, very strong, 16 million organic views. That's not us kind of paying to get viewers. That is fans kind of seeking out the content. I would say the feedback has been almost entirely positive. The inclusion of a single-player campaign, the inclusion of a new heroine in Iden, space battles, new content, new heroes, new worlds, new planets, I think the feedback of that is very, very strong. As we think about the live services, nothing -- we're not talking in great deal about it now other than the game is going to be 3x the size of the original game at launch. And we also have a very, very robust live services plan that we're going to be talking about in the coming weeks and months, particularly around EA PLAY and E3 in just a few weeks time. And Blake...
Blake J. Jorgensen
Executive VP &amp; CFO
Yes, and I think on the unit forecast, we sold 14 million units of Battlefield -- Battlefront I in the year. It was shipped and built into our guidance as essentially the same number. Our aspirations are clearly to sell more. We think this will appeal to not just the broad Star Wars fan base, but also to the deep, heavily engaged Battlefield fan base and Battlefront fan base. And we see that as a critical part of the success of this game going forward. And as Andrew mentioned, we've got the depth and the breadth in the game that will help that.
-------https://www.playstationlifestyle.net/2016/01/28/ea-star-wars-battlefront-sales-more-than-13-million-units/</t>
        </r>
      </text>
    </comment>
    <comment ref="E32" authorId="1" shapeId="0" xr:uid="{6459E992-001E-42B7-B3A7-DE97D8A900B6}">
      <text>
        <r>
          <rPr>
            <b/>
            <sz val="9"/>
            <color indexed="81"/>
            <rFont val="Tahoma"/>
            <family val="2"/>
          </rPr>
          <t>Julien Whitter:</t>
        </r>
        <r>
          <rPr>
            <sz val="9"/>
            <color indexed="81"/>
            <rFont val="Tahoma"/>
            <family val="2"/>
          </rPr>
          <t xml:space="preserve">
10.29.2019
We are modelling 
Need For Speed Heat
to perform similarly 
to previous titles in that franchise, with unit sales of 3 to 4 million units.</t>
        </r>
      </text>
    </comment>
    <comment ref="E39" authorId="1" shapeId="0" xr:uid="{8DE5D364-03A6-4214-9EDE-DAA7ED620B41}">
      <text>
        <r>
          <rPr>
            <b/>
            <sz val="9"/>
            <color indexed="81"/>
            <rFont val="Tahoma"/>
            <family val="2"/>
          </rPr>
          <t>Julien Whitter:</t>
        </r>
        <r>
          <rPr>
            <sz val="9"/>
            <color indexed="81"/>
            <rFont val="Tahoma"/>
            <family val="2"/>
          </rPr>
          <t xml:space="preserve">
shipped 3.5m in firstweek
https://www.forbes.com/sites/davidthier/2012/03/09/mass-effect-3-ships-3-5-million-units/?sh=3076c85c58fd
------
 Mass Effect's going to be anywhere between 30% to 50% of the lifetime of that title, and the last Mass Effect did close to 6 million units. So you'll probably see something like 3 to -- around 3 million units in the quarter, depending on exact timing, so...</t>
        </r>
      </text>
    </comment>
    <comment ref="E41" authorId="1" shapeId="0" xr:uid="{F114E1A9-6572-4E54-94A5-7467E4D06818}">
      <text>
        <r>
          <rPr>
            <b/>
            <sz val="9"/>
            <color indexed="81"/>
            <rFont val="Tahoma"/>
            <family val="2"/>
          </rPr>
          <t>Julien Whitter:</t>
        </r>
        <r>
          <rPr>
            <sz val="9"/>
            <color indexed="81"/>
            <rFont val="Tahoma"/>
            <family val="2"/>
          </rPr>
          <t xml:space="preserve">
And Titanfall did a little more than 7 million units last time. It was early in the cycle and one of the few titles out there.</t>
        </r>
      </text>
    </comment>
    <comment ref="E42" authorId="1" shapeId="0" xr:uid="{DBB134E3-FB19-453C-A53D-BEE76DA91387}">
      <text>
        <r>
          <rPr>
            <b/>
            <sz val="9"/>
            <color indexed="81"/>
            <rFont val="Tahoma"/>
            <family val="2"/>
          </rPr>
          <t>Julien Whitter:</t>
        </r>
        <r>
          <rPr>
            <sz val="9"/>
            <color indexed="81"/>
            <rFont val="Tahoma"/>
            <family val="2"/>
          </rPr>
          <t xml:space="preserve">
And Titanfall did a little more than 7 million units last time. It was early in the cycle and one of the few titles out there. We think it will do more thanthat, but it's probably closer to 10 million than it is to 15 million is built into our guidance. So closer to 9 million to 10 million on Titanfall and justunder 15 million on Battlefield 1</t>
        </r>
      </text>
    </comment>
    <comment ref="E44" authorId="1" shapeId="0" xr:uid="{250C53C7-39FF-4C94-A044-31FAB86E4E72}">
      <text>
        <r>
          <rPr>
            <b/>
            <sz val="9"/>
            <color indexed="81"/>
            <rFont val="Tahoma"/>
            <family val="2"/>
          </rPr>
          <t>Julien Whitter:</t>
        </r>
        <r>
          <rPr>
            <sz val="9"/>
            <color indexed="81"/>
            <rFont val="Tahoma"/>
            <family val="2"/>
          </rPr>
          <t xml:space="preserve">
12/31/2011
Battlefield 3TM
and
FIFA 12 
each sold through more than 10 million units. 
Madden NFL 12
has sold through almost 5 
million units life-to-date</t>
        </r>
      </text>
    </comment>
    <comment ref="C46" authorId="1" shapeId="0" xr:uid="{6ECC62DD-D887-4B6C-ADD2-F04823CEEBCC}">
      <text>
        <r>
          <rPr>
            <b/>
            <sz val="9"/>
            <color indexed="81"/>
            <rFont val="Tahoma"/>
            <family val="2"/>
          </rPr>
          <t>Julien Whitter:</t>
        </r>
        <r>
          <rPr>
            <sz val="9"/>
            <color indexed="81"/>
            <rFont val="Tahoma"/>
            <family val="2"/>
          </rPr>
          <t xml:space="preserve">
Madden NFL 25 is an American football sports video game based on the National Football League and published by EA Sports. It was released for PlayStation 3 and Xbox 360 in August 2013. Instead of numbering it Madden NFL 14 with the year like in previous versions, the "25" in the title refers to the 25th anniversary of the Madden NFL series.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Julien Whitter</author>
  </authors>
  <commentList>
    <comment ref="J6" authorId="0" shapeId="0" xr:uid="{6C32C9B1-1F50-4223-B5EF-B1420B72E357}">
      <text>
        <r>
          <rPr>
            <b/>
            <sz val="9"/>
            <color indexed="81"/>
            <rFont val="Tahoma"/>
            <family val="2"/>
          </rPr>
          <t>Julien Whitter:</t>
        </r>
        <r>
          <rPr>
            <sz val="9"/>
            <color indexed="81"/>
            <rFont val="Tahoma"/>
            <family val="2"/>
          </rPr>
          <t xml:space="preserve">
https://www.gamesindustry.biz/ea-sports-college-football-25-sold-22m-100-copies-with-early-access#:~:text=EA%20Sports%20College%20Football%2025%20sold%202.2m%20%24100%20copies%20with%20early%20access,-An%20additional%20600%2C000&amp;text=EA%20Sports%20College%20Football%2025%20sold%20over%202%20million%20copies,early%20access%20to%20the%20game.</t>
        </r>
      </text>
    </comment>
    <comment ref="J63" authorId="0" shapeId="0" xr:uid="{A5B74EF5-D27D-4D88-98FC-49B665A5E7BF}">
      <text>
        <r>
          <rPr>
            <b/>
            <sz val="9"/>
            <color indexed="81"/>
            <rFont val="Tahoma"/>
            <family val="2"/>
          </rPr>
          <t>Julien Whitter:</t>
        </r>
        <r>
          <rPr>
            <sz val="9"/>
            <color indexed="81"/>
            <rFont val="Tahoma"/>
            <family val="2"/>
          </rPr>
          <t xml:space="preserve">
https://cbs12.com/news/entertainment/ea-sports-college-football-25-launches-draws-over-22-million-early-players-highly-anticipated-video-game-cultural-icon-franchise-athlete-compensation-rights-ncaa-ucla-mississippi-state-san-diego-state-colorado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Julien Whitter</author>
  </authors>
  <commentList>
    <comment ref="B2" authorId="0" shapeId="0" xr:uid="{0B39BEC2-E9DF-4603-9819-467AA8C9F1A6}">
      <text>
        <r>
          <rPr>
            <b/>
            <sz val="9"/>
            <color indexed="81"/>
            <rFont val="Tahoma"/>
            <family val="2"/>
          </rPr>
          <t>Julien Whitter:</t>
        </r>
        <r>
          <rPr>
            <sz val="9"/>
            <color indexed="81"/>
            <rFont val="Tahoma"/>
            <family val="2"/>
          </rPr>
          <t xml:space="preserve">
https://en.wikipedia.org/wiki/List_of_Electronic_Arts_games:_2010%E2%80%932019
https://en.wikipedia.org/wiki/List_of_Electronic_Arts_games:_2020%E2%80%93present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<sst xmlns="http://schemas.openxmlformats.org/spreadsheetml/2006/main" count="4851" uniqueCount="957">
  <si>
    <t>&gt;&gt;Glu Mobile Acq.</t>
  </si>
  <si>
    <t>&gt;&gt;World Cup</t>
  </si>
  <si>
    <t>&gt;&gt;Sports FC Rebrand</t>
  </si>
  <si>
    <t>&gt;&gt;Hard Comps for FIFA/Apex</t>
  </si>
  <si>
    <t>&gt;&gt;Apex Legends (Feb-19)</t>
  </si>
  <si>
    <t>&gt;&gt;Glu Mobile Acq. ($2b)</t>
  </si>
  <si>
    <t>&gt;&gt;World Cup in US</t>
  </si>
  <si>
    <t>&gt;&gt;9th gen/PS5 release</t>
  </si>
  <si>
    <t>&gt;&gt;BF: 2042</t>
  </si>
  <si>
    <t>&gt;&gt;5% rif</t>
  </si>
  <si>
    <t>Fiscal Year Ending December 31,</t>
  </si>
  <si>
    <t>Fiscal Year Ending March 31,</t>
  </si>
  <si>
    <t>Q1</t>
  </si>
  <si>
    <t>Q2</t>
  </si>
  <si>
    <t>Q3</t>
  </si>
  <si>
    <t>Q4</t>
  </si>
  <si>
    <t>FY</t>
  </si>
  <si>
    <t>(USD in mm)</t>
  </si>
  <si>
    <t>x</t>
  </si>
  <si>
    <t>Revenue Build</t>
  </si>
  <si>
    <t>Console Sell-In</t>
  </si>
  <si>
    <t>PS4 - 8th Generation</t>
  </si>
  <si>
    <t>YoY</t>
  </si>
  <si>
    <t>Xbox (Cons Estimate)</t>
  </si>
  <si>
    <t>&gt;&gt;PS5 Pro</t>
  </si>
  <si>
    <t>PS5 - 9th Generation</t>
  </si>
  <si>
    <t>Xbox X/S Series - 9th Gen (Cons Estimate)</t>
  </si>
  <si>
    <t>Nintendo Switch</t>
  </si>
  <si>
    <t>8th Gen Install Base (2013 - 2020)</t>
  </si>
  <si>
    <t>9th Gen Install Base (2020 - Present)</t>
  </si>
  <si>
    <t>Franchise Commentary</t>
  </si>
  <si>
    <t>Net Bookings - Sequential Order</t>
  </si>
  <si>
    <t>1st</t>
  </si>
  <si>
    <t>FIFA 20</t>
  </si>
  <si>
    <t>Madden NFL 21</t>
  </si>
  <si>
    <t>FIFA 21</t>
  </si>
  <si>
    <t>FIFA franchise</t>
  </si>
  <si>
    <t>FIFA 22</t>
  </si>
  <si>
    <t>EA Sports FC 24</t>
  </si>
  <si>
    <t>2nd</t>
  </si>
  <si>
    <t>The Sims 4</t>
  </si>
  <si>
    <t>Apex Lengds</t>
  </si>
  <si>
    <t>Apex Legends</t>
  </si>
  <si>
    <t>Battlefield 2042</t>
  </si>
  <si>
    <t>Madden franchise</t>
  </si>
  <si>
    <t>Star Wars Jedi: Survivor</t>
  </si>
  <si>
    <t>EA SPORTS Madden NFL 24</t>
  </si>
  <si>
    <t>Madden NFL 20</t>
  </si>
  <si>
    <t>3rd</t>
  </si>
  <si>
    <t>Madden NFL 22</t>
  </si>
  <si>
    <t>F1 Franchise</t>
  </si>
  <si>
    <t>FIFA 23</t>
  </si>
  <si>
    <t>EA SPORTS FC Mobile</t>
  </si>
  <si>
    <t>Star Wars Jedi: Fallen order</t>
  </si>
  <si>
    <t>4th</t>
  </si>
  <si>
    <t>FIFA Ultimate Team</t>
  </si>
  <si>
    <t>Mass Effect Trilogy Remaster</t>
  </si>
  <si>
    <t>EA SPORTS FC Online</t>
  </si>
  <si>
    <t>5th</t>
  </si>
  <si>
    <t>Star Wars: Galaxy of Heroes</t>
  </si>
  <si>
    <t>Key Title Launches</t>
  </si>
  <si>
    <t>FIFA / EA FC 24</t>
  </si>
  <si>
    <t>FIFA 15</t>
  </si>
  <si>
    <t>--</t>
  </si>
  <si>
    <t>FIFA 16</t>
  </si>
  <si>
    <t>FIFA 17</t>
  </si>
  <si>
    <t>FIFA Mobile</t>
  </si>
  <si>
    <t>FIFA 18</t>
  </si>
  <si>
    <t>FIFA Online 4</t>
  </si>
  <si>
    <t>FIFA 19</t>
  </si>
  <si>
    <t>EA FC 24</t>
  </si>
  <si>
    <t>EA FC 25</t>
  </si>
  <si>
    <t>Battlefield</t>
  </si>
  <si>
    <t>Battlefield Hardline</t>
  </si>
  <si>
    <t>Battlefield 1</t>
  </si>
  <si>
    <t>Battlefield V</t>
  </si>
  <si>
    <t>The Sims</t>
  </si>
  <si>
    <t>The Sims 4 Stuff packs</t>
  </si>
  <si>
    <t>The Sims 4: Get Together</t>
  </si>
  <si>
    <t>The Sims 4: Dine Out</t>
  </si>
  <si>
    <t>The Sims 4: City Living</t>
  </si>
  <si>
    <t>The Sims 4: Vampires</t>
  </si>
  <si>
    <t>The Sims 4: Parenthood</t>
  </si>
  <si>
    <t>The Sims 4: Cats &amp; Dogs</t>
  </si>
  <si>
    <t>The Sims 4: Get Famous</t>
  </si>
  <si>
    <t>The Sims 4: Island Living</t>
  </si>
  <si>
    <t>The Sims 4: Discover University</t>
  </si>
  <si>
    <t>The Sims 4: Eco Lifestyle</t>
  </si>
  <si>
    <t>The Sims 4: Star Wars: Journey to Batuu</t>
  </si>
  <si>
    <t>The Sims 4: Snowy Escape</t>
  </si>
  <si>
    <t>The Sims 4: Dream Home Decorator</t>
  </si>
  <si>
    <t>The Sims 4: Cottage Living</t>
  </si>
  <si>
    <t>The Sims 4: My Wedding Stories</t>
  </si>
  <si>
    <t>The Sims 4: Werewolves</t>
  </si>
  <si>
    <t>The Sims 4: High School Years</t>
  </si>
  <si>
    <t>The Sims 4: Growing Together</t>
  </si>
  <si>
    <t>The Sims 4: Horse Ranch</t>
  </si>
  <si>
    <t>The Sims 4: For Rent</t>
  </si>
  <si>
    <t>Non-core Titles (ex-FIFA, Apex, BF, Sims)</t>
  </si>
  <si>
    <t>NHL</t>
  </si>
  <si>
    <t>NHL 15</t>
  </si>
  <si>
    <t>NHL 16</t>
  </si>
  <si>
    <t>NHL 17</t>
  </si>
  <si>
    <t>NHL 18</t>
  </si>
  <si>
    <t>NHL 19</t>
  </si>
  <si>
    <t>NHL 20</t>
  </si>
  <si>
    <t>NHL 21</t>
  </si>
  <si>
    <t>NHL 22</t>
  </si>
  <si>
    <t>NHL 23</t>
  </si>
  <si>
    <t>NHL 24</t>
  </si>
  <si>
    <t>NHL 25</t>
  </si>
  <si>
    <t>Madden</t>
  </si>
  <si>
    <t>Madden NFL 15</t>
  </si>
  <si>
    <t>Madden NFL 16</t>
  </si>
  <si>
    <t>Madden NFL 17</t>
  </si>
  <si>
    <t>Madden NFL 18</t>
  </si>
  <si>
    <t>Madden NFL 19</t>
  </si>
  <si>
    <t>Madden Mobile</t>
  </si>
  <si>
    <t>Madden NFL 23</t>
  </si>
  <si>
    <t>Madden NFL 24</t>
  </si>
  <si>
    <t>Madden NFL 25</t>
  </si>
  <si>
    <t>NBA</t>
  </si>
  <si>
    <t>NBA Live 15</t>
  </si>
  <si>
    <t>NBA Live 16</t>
  </si>
  <si>
    <t>NBA Live Mobile</t>
  </si>
  <si>
    <t>NBA Live 18</t>
  </si>
  <si>
    <t>NBA Live 19</t>
  </si>
  <si>
    <t>F1</t>
  </si>
  <si>
    <t>F1 2021</t>
  </si>
  <si>
    <t>F1 22</t>
  </si>
  <si>
    <t>F1 23</t>
  </si>
  <si>
    <t>F1 24</t>
  </si>
  <si>
    <t>Mass Effect</t>
  </si>
  <si>
    <t>Mass Effect: Andromeda</t>
  </si>
  <si>
    <t>Mass Effect Legendary Edition</t>
  </si>
  <si>
    <t>Star Wars</t>
  </si>
  <si>
    <t>Star Wars Battlefront</t>
  </si>
  <si>
    <t>Star Wars Battlefront II</t>
  </si>
  <si>
    <t>Star Wars Jedi: Fallen Order</t>
  </si>
  <si>
    <t>Need for Speed</t>
  </si>
  <si>
    <t>Need for Speed: No Limits</t>
  </si>
  <si>
    <t>Need for Speed Payback</t>
  </si>
  <si>
    <t>Need for Speed: Hot Pursuit Remastered</t>
  </si>
  <si>
    <t>Need for Speed Unbound</t>
  </si>
  <si>
    <t>Other</t>
  </si>
  <si>
    <t>EA Sports UFC 5</t>
  </si>
  <si>
    <t>Tales of Kenzera : ZAU (Apr 23)</t>
  </si>
  <si>
    <t>College Football 25</t>
  </si>
  <si>
    <t>Partner Title</t>
  </si>
  <si>
    <t>Live Services &amp; FGD</t>
  </si>
  <si>
    <t>Live Services b.f. Mobile</t>
  </si>
  <si>
    <t>% y/y</t>
  </si>
  <si>
    <t>Apex</t>
  </si>
  <si>
    <t>Ultimate Team</t>
  </si>
  <si>
    <t>FIFA</t>
  </si>
  <si>
    <t>NFL</t>
  </si>
  <si>
    <t>CFB</t>
  </si>
  <si>
    <t>Full Game Downloads</t>
  </si>
  <si>
    <t>College Football</t>
  </si>
  <si>
    <t>BattleField</t>
  </si>
  <si>
    <t>Dragon Age</t>
  </si>
  <si>
    <t>FIFA Franchise</t>
  </si>
  <si>
    <t>&gt;&gt;6.14 - 7.14 Tournament</t>
  </si>
  <si>
    <t>Booking</t>
  </si>
  <si>
    <t>&gt;&gt;tracking to grow in F25</t>
  </si>
  <si>
    <t>World Cup in US</t>
  </si>
  <si>
    <t>&gt;&gt;FY down msd</t>
  </si>
  <si>
    <t>FGD</t>
  </si>
  <si>
    <t>KPI</t>
  </si>
  <si>
    <t>ASP</t>
  </si>
  <si>
    <t>YoY %</t>
  </si>
  <si>
    <t>Units</t>
  </si>
  <si>
    <t>Title LTD</t>
  </si>
  <si>
    <t>Franchise LTD Units</t>
  </si>
  <si>
    <t>Active Users</t>
  </si>
  <si>
    <t>FC Mobile</t>
  </si>
  <si>
    <t>&gt;&gt;Release</t>
  </si>
  <si>
    <t>Mobile</t>
  </si>
  <si>
    <t>ATH</t>
  </si>
  <si>
    <t>+DD</t>
  </si>
  <si>
    <t>decline</t>
  </si>
  <si>
    <t>**Need to spend time on building out APAC countries</t>
  </si>
  <si>
    <t>Users</t>
  </si>
  <si>
    <t>10% q/q</t>
  </si>
  <si>
    <t>&gt;100%</t>
  </si>
  <si>
    <t>&gt;DD</t>
  </si>
  <si>
    <t>**EA mgmt. seems to suggest FC Mobile quite material at ~400M in bookings</t>
  </si>
  <si>
    <t>Rev</t>
  </si>
  <si>
    <t>2x q/q</t>
  </si>
  <si>
    <t>EA Sports FC Online (fka FIFA Online 4)</t>
  </si>
  <si>
    <t>ATH 1Q</t>
  </si>
  <si>
    <t>&gt;&gt;3Q seasonally low</t>
  </si>
  <si>
    <t>&gt;&gt;Battle Pass Px Hike</t>
  </si>
  <si>
    <t>&gt;&gt;Apex Mobile</t>
  </si>
  <si>
    <t>&gt;&gt;Launch</t>
  </si>
  <si>
    <t>LTD Bookings</t>
  </si>
  <si>
    <t>+30%</t>
  </si>
  <si>
    <t>170M LTD</t>
  </si>
  <si>
    <t>&gt;&gt;Mobile Launch</t>
  </si>
  <si>
    <t>&gt;&gt;Sunset Mobile</t>
  </si>
  <si>
    <t>The Sims (Feb-2000 Launch)</t>
  </si>
  <si>
    <t>Bookings</t>
  </si>
  <si>
    <t>LTD Units</t>
  </si>
  <si>
    <t>American Football (College + Pro)</t>
  </si>
  <si>
    <t>&gt;&gt;track to $1b+ F25</t>
  </si>
  <si>
    <t>Live Services</t>
  </si>
  <si>
    <t>Cannibalization from CFB</t>
  </si>
  <si>
    <t>&gt;&gt;Combined Madden/CFB Live Services</t>
  </si>
  <si>
    <t>&gt;&gt;Raised pricing on old gen</t>
  </si>
  <si>
    <t>Mscience Model</t>
  </si>
  <si>
    <t>Live Servies, ex-Mobile</t>
  </si>
  <si>
    <t>Sims</t>
  </si>
  <si>
    <t>Delta</t>
  </si>
  <si>
    <t>YoY Growth</t>
  </si>
  <si>
    <t>&gt;&gt;MW2 released</t>
  </si>
  <si>
    <t/>
  </si>
  <si>
    <t>INCOME STATEMENT</t>
  </si>
  <si>
    <t>&gt;&gt;Mobile LSD Grower</t>
  </si>
  <si>
    <t>QoQ %</t>
  </si>
  <si>
    <t>Consenus - Mobile</t>
  </si>
  <si>
    <t>$ Variance</t>
  </si>
  <si>
    <t>% Variance</t>
  </si>
  <si>
    <t>&gt;&gt;Hard Apex Comp</t>
  </si>
  <si>
    <t>Consenus - Live Services (ex-Mobile)</t>
  </si>
  <si>
    <t>% Digital Live Service - Net Revenue</t>
  </si>
  <si>
    <t>Consenus - Live Services</t>
  </si>
  <si>
    <t>% Digital</t>
  </si>
  <si>
    <t>Pacakged Goods</t>
  </si>
  <si>
    <t>YoY $</t>
  </si>
  <si>
    <t>Consenus</t>
  </si>
  <si>
    <t>Bookings - Guidance (Initial FY)</t>
  </si>
  <si>
    <t>LE</t>
  </si>
  <si>
    <t>HE</t>
  </si>
  <si>
    <t>Actual</t>
  </si>
  <si>
    <t>% vs. HE</t>
  </si>
  <si>
    <t># vs. HE</t>
  </si>
  <si>
    <t>&gt;&gt;2H transition on licensing</t>
  </si>
  <si>
    <t>FIFA Licensing</t>
  </si>
  <si>
    <t>COGS</t>
  </si>
  <si>
    <t>COGS ex-FIFA Licensing</t>
  </si>
  <si>
    <t>% of Revenue</t>
  </si>
  <si>
    <t>COGS - Guidance (Initial FY)</t>
  </si>
  <si>
    <t>Gross Profit</t>
  </si>
  <si>
    <t>% Margin</t>
  </si>
  <si>
    <t>% Incr. Margin</t>
  </si>
  <si>
    <t>YoY bps</t>
  </si>
  <si>
    <t>Consenus - GP</t>
  </si>
  <si>
    <t>Consenus - GM</t>
  </si>
  <si>
    <t>Variance Bps</t>
  </si>
  <si>
    <t>GM - Guidance (Initial FY)</t>
  </si>
  <si>
    <t>Actual GM</t>
  </si>
  <si>
    <t>bps vs. HE</t>
  </si>
  <si>
    <t>R&amp;D</t>
  </si>
  <si>
    <t>S&amp;M</t>
  </si>
  <si>
    <t>G&amp;A</t>
  </si>
  <si>
    <t>&gt;&gt;5% RIF</t>
  </si>
  <si>
    <t>Total Opex (b.f. SBC)</t>
  </si>
  <si>
    <t>Opex - Guidance (Initial FY)</t>
  </si>
  <si>
    <t>EBIT</t>
  </si>
  <si>
    <t>150-200bps F25 to F27</t>
  </si>
  <si>
    <t>Consenus - EBIT</t>
  </si>
  <si>
    <t>EBT - Guidance (Initial FY)</t>
  </si>
  <si>
    <t>D&amp;A</t>
  </si>
  <si>
    <t>Adj. EBITDA (b.f. SBC)</t>
  </si>
  <si>
    <t>Other Income/(Expense)</t>
  </si>
  <si>
    <t>Pre-Tax Income</t>
  </si>
  <si>
    <t>Income Tax Expense</t>
  </si>
  <si>
    <t>% Effective Tax Rate</t>
  </si>
  <si>
    <t>Net Income</t>
  </si>
  <si>
    <t>Diluted EPS</t>
  </si>
  <si>
    <t>Consenus - EPS</t>
  </si>
  <si>
    <t>FD Shares</t>
  </si>
  <si>
    <t>CASH FLOW STATEMENT</t>
  </si>
  <si>
    <t>Other (Plug)</t>
  </si>
  <si>
    <t>NWC</t>
  </si>
  <si>
    <t>Other NWC (Plug)</t>
  </si>
  <si>
    <t>CFO</t>
  </si>
  <si>
    <t>Capex</t>
  </si>
  <si>
    <t>Purc./Maturity of Securities</t>
  </si>
  <si>
    <t>CFI</t>
  </si>
  <si>
    <t>Change in Debt</t>
  </si>
  <si>
    <t>Repurchase of Equity</t>
  </si>
  <si>
    <t>CFF</t>
  </si>
  <si>
    <t>Memo:</t>
  </si>
  <si>
    <t>SBC</t>
  </si>
  <si>
    <t>SBC - YoY Growth</t>
  </si>
  <si>
    <t>SBC % Revenue</t>
  </si>
  <si>
    <t>Capex % Revenue</t>
  </si>
  <si>
    <t>D&amp;A % Revenue</t>
  </si>
  <si>
    <t>Capex % LTM Revenue</t>
  </si>
  <si>
    <t>D&amp;A % LTM Revenue</t>
  </si>
  <si>
    <t>LTM Revenue</t>
  </si>
  <si>
    <t>Free Cash Flow</t>
  </si>
  <si>
    <t>Free Cash Flow (a.f. SBC)</t>
  </si>
  <si>
    <t>FCF/sh</t>
  </si>
  <si>
    <t>FCF/sh (a.f. SBC)</t>
  </si>
  <si>
    <t>SHARE CAPITAL</t>
  </si>
  <si>
    <t>&gt;&gt;$5b over 3 years</t>
  </si>
  <si>
    <t>Share Repurchases</t>
  </si>
  <si>
    <t>Avg Price</t>
  </si>
  <si>
    <t>Shares Repurchased</t>
  </si>
  <si>
    <t>FD Shares BOP</t>
  </si>
  <si>
    <t>FD Shares EOP</t>
  </si>
  <si>
    <t>Average Shares</t>
  </si>
  <si>
    <t>BALANCE SHEET</t>
  </si>
  <si>
    <t>Debt</t>
  </si>
  <si>
    <t>Cash</t>
  </si>
  <si>
    <t>Net Debt/(Cash)</t>
  </si>
  <si>
    <t>EBITDA</t>
  </si>
  <si>
    <t>LTM EBITDA</t>
  </si>
  <si>
    <t>Debt / LTM EBITDA</t>
  </si>
  <si>
    <t>Net Debt / LTM EBITDA</t>
  </si>
  <si>
    <t>Average Debt</t>
  </si>
  <si>
    <t>Interest Expense</t>
  </si>
  <si>
    <t>Average Cost of Debt</t>
  </si>
  <si>
    <t>Average Cash</t>
  </si>
  <si>
    <t>Interest Income</t>
  </si>
  <si>
    <t>Average Interest on Cash</t>
  </si>
  <si>
    <t>Summary Balance Sheet</t>
  </si>
  <si>
    <t>Total current assets</t>
  </si>
  <si>
    <t>Total assets</t>
  </si>
  <si>
    <t>Total current liabilities</t>
  </si>
  <si>
    <t>Total liabilities</t>
  </si>
  <si>
    <t>Total liabilities and stockholders' equity</t>
  </si>
  <si>
    <t>Visible Alpha Pulls</t>
  </si>
  <si>
    <t>FY-11</t>
  </si>
  <si>
    <t>FY-12</t>
  </si>
  <si>
    <t>FY-13</t>
  </si>
  <si>
    <t>FY-14</t>
  </si>
  <si>
    <t>FY-15</t>
  </si>
  <si>
    <t>FY-16</t>
  </si>
  <si>
    <t>FY-17</t>
  </si>
  <si>
    <t>A</t>
  </si>
  <si>
    <t>VA Actuals</t>
  </si>
  <si>
    <t>Revenue by Channel</t>
  </si>
  <si>
    <t>Net revenue - Operating</t>
  </si>
  <si>
    <t>-</t>
  </si>
  <si>
    <t>Revenue - Total consoles - Operating</t>
  </si>
  <si>
    <t>Revenue - PC/Browser - Operating</t>
  </si>
  <si>
    <t>Revenue - Mobiles - Operating</t>
  </si>
  <si>
    <t>Revenue - Live services &amp; other - Operating</t>
  </si>
  <si>
    <t>Revenue - Full game - Operating</t>
  </si>
  <si>
    <t>Revenue - Full game downloads - Operating</t>
  </si>
  <si>
    <t>Revenue - Packaged goods - Operating</t>
  </si>
  <si>
    <t>P&amp;L</t>
  </si>
  <si>
    <t>Net revenue</t>
  </si>
  <si>
    <t>Total adjustments in net revenue</t>
  </si>
  <si>
    <t>Total cost of revenue - Operating</t>
  </si>
  <si>
    <t>Gross profit/(loss) - Operating</t>
  </si>
  <si>
    <t>% GM</t>
  </si>
  <si>
    <t>Research and developement - Operating</t>
  </si>
  <si>
    <t>Marketing and sales - Operating</t>
  </si>
  <si>
    <t>General and administrative - Operating</t>
  </si>
  <si>
    <t>Total operating expenses - Operating</t>
  </si>
  <si>
    <t>Operating income/(loss) - Operating</t>
  </si>
  <si>
    <t>Total non operating income/(expense) - Operating</t>
  </si>
  <si>
    <t>Income/(loss) before income taxes - Operating</t>
  </si>
  <si>
    <t>Provision/(benefit) for income taxes - Operating</t>
  </si>
  <si>
    <t>% Tax Rate</t>
  </si>
  <si>
    <t>Net income/(loss) - Operating</t>
  </si>
  <si>
    <t>EPS - Diluted - Operating</t>
  </si>
  <si>
    <t>Shares - Basic</t>
  </si>
  <si>
    <t>Shares - Diluted - Operating</t>
  </si>
  <si>
    <t>Dividend per share</t>
  </si>
  <si>
    <t>EBITDA - Operating</t>
  </si>
  <si>
    <t>Cash Flow Statement</t>
  </si>
  <si>
    <t>Net income(loss)</t>
  </si>
  <si>
    <t>Non-Cash Reconciliations</t>
  </si>
  <si>
    <t>Depreciation, amortization and accretion</t>
  </si>
  <si>
    <t>Stock-based compensation</t>
  </si>
  <si>
    <t>Total other operating cash flow</t>
  </si>
  <si>
    <t>Total Non-Cash Items</t>
  </si>
  <si>
    <t>∆ in NWC</t>
  </si>
  <si>
    <t>Change in receivables</t>
  </si>
  <si>
    <t>Change in other assets</t>
  </si>
  <si>
    <t>Change in accounts payable</t>
  </si>
  <si>
    <t>Change in deferred net revenue (online-enabled games)</t>
  </si>
  <si>
    <t>Change in other working capital</t>
  </si>
  <si>
    <t xml:space="preserve">∆ in Other Working cap. </t>
  </si>
  <si>
    <t>Total change in working capital</t>
  </si>
  <si>
    <t>Net cash flows provided by/(used in) operating activities</t>
  </si>
  <si>
    <t>Capital expenditures</t>
  </si>
  <si>
    <t>Change in investments</t>
  </si>
  <si>
    <t>Total other investing activities</t>
  </si>
  <si>
    <t>Net cash flows provided by/(used in) investing activities</t>
  </si>
  <si>
    <t>Proceeds from issuance of common stock</t>
  </si>
  <si>
    <t>Repurchase and retirement of common stock</t>
  </si>
  <si>
    <t>Payment of dividends</t>
  </si>
  <si>
    <t>Increase/(decrease) in debt</t>
  </si>
  <si>
    <t>Excess tax benefit from stock-based compensation</t>
  </si>
  <si>
    <t>Total other financing activities</t>
  </si>
  <si>
    <t>Net cash flows provided by/(used in) financing activities</t>
  </si>
  <si>
    <t>Increase/(decrease) in cash and cash equivalents</t>
  </si>
  <si>
    <t>Beginning cash and cash equivalents</t>
  </si>
  <si>
    <t>Ending cash and cash equivalents</t>
  </si>
  <si>
    <t>Free cash flow</t>
  </si>
  <si>
    <t xml:space="preserve">Balance Sheet </t>
  </si>
  <si>
    <t>Cash and cash equivalents</t>
  </si>
  <si>
    <t>Short-term investments</t>
  </si>
  <si>
    <t>CASH</t>
  </si>
  <si>
    <t>Receivables, net</t>
  </si>
  <si>
    <t>Other assets - Current</t>
  </si>
  <si>
    <t>Property and equipment, net</t>
  </si>
  <si>
    <t>Goodwill</t>
  </si>
  <si>
    <t>Acquisition-related intangibles, net</t>
  </si>
  <si>
    <t>Deferred income taxes - Non-current</t>
  </si>
  <si>
    <t>Other assets - Non-current</t>
  </si>
  <si>
    <t>Total non-current assets</t>
  </si>
  <si>
    <t>Short-term debt</t>
  </si>
  <si>
    <t>#InvalidLineItem</t>
  </si>
  <si>
    <t>Accounts payable</t>
  </si>
  <si>
    <t>Accrued and other current liabilities</t>
  </si>
  <si>
    <t>Deferred net revenue and other assets - Current</t>
  </si>
  <si>
    <t>Convertible senior notes due - Non-current</t>
  </si>
  <si>
    <t>Income tax obligations - Noncurrent</t>
  </si>
  <si>
    <t>Other liabilities - Non-current</t>
  </si>
  <si>
    <t>Total non-current liabilities</t>
  </si>
  <si>
    <t>Common stock</t>
  </si>
  <si>
    <t>Retained earnings</t>
  </si>
  <si>
    <t>Accumulated other comprehensive income</t>
  </si>
  <si>
    <t>Total stockholders' equity</t>
  </si>
  <si>
    <t>Check</t>
  </si>
  <si>
    <t>6758_JP</t>
  </si>
  <si>
    <t>&gt;&gt;PS5 Launch</t>
  </si>
  <si>
    <t>IMPL</t>
  </si>
  <si>
    <t>CD</t>
  </si>
  <si>
    <t>Units - Hardware</t>
  </si>
  <si>
    <t>Units - Hardware - PS Vita</t>
  </si>
  <si>
    <t>Units - Hardware - PS3</t>
  </si>
  <si>
    <t>Units - Hardware - PS4</t>
  </si>
  <si>
    <t>Units - Hardware - PS5</t>
  </si>
  <si>
    <t>Transactions - Full game software</t>
  </si>
  <si>
    <t>First-party titles</t>
  </si>
  <si>
    <t>Full game software digital download ratio</t>
  </si>
  <si>
    <t>Revenue - GN&amp;S - Game software</t>
  </si>
  <si>
    <t>Revenue - Game software- Physical</t>
  </si>
  <si>
    <t>Revenue - Digital Software</t>
  </si>
  <si>
    <t>Revenue - Add on content</t>
  </si>
  <si>
    <t>Revenue - Game software - Others</t>
  </si>
  <si>
    <t>Subscribers - Play stations Plus</t>
  </si>
  <si>
    <t>7974_JP</t>
  </si>
  <si>
    <t>Sales units - Nintendo Switch - Hardware</t>
  </si>
  <si>
    <t>Sales units - Nintendo switch original</t>
  </si>
  <si>
    <t>Sales units - Nintendo Switch Lite</t>
  </si>
  <si>
    <t>Sales units - Nintendo Switch OLED</t>
  </si>
  <si>
    <t>Sales units - Nintendo Switch Pro</t>
  </si>
  <si>
    <t>Sales units - Nintendo Switch - Software</t>
  </si>
  <si>
    <t>MSFT</t>
  </si>
  <si>
    <t>Units - Xbox consoles</t>
  </si>
  <si>
    <t>-ve</t>
  </si>
  <si>
    <t>Franchise</t>
  </si>
  <si>
    <t>Title</t>
  </si>
  <si>
    <t>Initial Release</t>
  </si>
  <si>
    <t>Console</t>
  </si>
  <si>
    <t>PC</t>
  </si>
  <si>
    <t>Soccer 12</t>
  </si>
  <si>
    <t>FIFA Online (Asia)</t>
  </si>
  <si>
    <t>FIFA Soccer 13</t>
  </si>
  <si>
    <t>FIFA 14</t>
  </si>
  <si>
    <t>2014 FIFA World Cup Brazil</t>
  </si>
  <si>
    <t>&lt;&lt; LTD ATH</t>
  </si>
  <si>
    <t>EA Sports FC 25</t>
  </si>
  <si>
    <t>~15</t>
  </si>
  <si>
    <t>Battlefield 3</t>
  </si>
  <si>
    <t>Fallen Order</t>
  </si>
  <si>
    <t>Squadrons</t>
  </si>
  <si>
    <t>The Old Republic</t>
  </si>
  <si>
    <t>Battlefront 2</t>
  </si>
  <si>
    <t>Battlefront 1</t>
  </si>
  <si>
    <t>Survivor</t>
  </si>
  <si>
    <t>Heat</t>
  </si>
  <si>
    <t>Unbound</t>
  </si>
  <si>
    <t>Payback</t>
  </si>
  <si>
    <t>No Limits</t>
  </si>
  <si>
    <t>Reboot/2015</t>
  </si>
  <si>
    <t>Andromeda</t>
  </si>
  <si>
    <t>Mass Effect 3</t>
  </si>
  <si>
    <t>Titanfall</t>
  </si>
  <si>
    <t>Original</t>
  </si>
  <si>
    <t>Titanfall 2</t>
  </si>
  <si>
    <t>NFL 12</t>
  </si>
  <si>
    <t>NFL 13</t>
  </si>
  <si>
    <t>NFL 25</t>
  </si>
  <si>
    <t>NFL 15</t>
  </si>
  <si>
    <t>NFL 16</t>
  </si>
  <si>
    <t>NFL 17</t>
  </si>
  <si>
    <t>NFL 18</t>
  </si>
  <si>
    <t>NFL 19</t>
  </si>
  <si>
    <t>NFL 20</t>
  </si>
  <si>
    <t>NFL 21</t>
  </si>
  <si>
    <t>NFL 22</t>
  </si>
  <si>
    <t>NFL 23</t>
  </si>
  <si>
    <t>NFL 24</t>
  </si>
  <si>
    <t>EA College Football</t>
  </si>
  <si>
    <t>Commentary</t>
  </si>
  <si>
    <t>Bear</t>
  </si>
  <si>
    <t>Base</t>
  </si>
  <si>
    <t>Bull</t>
  </si>
  <si>
    <t>Incr.</t>
  </si>
  <si>
    <t>Premium</t>
  </si>
  <si>
    <t>&lt;&lt;2.2m Early Access Players (reported on 7.19.24)</t>
  </si>
  <si>
    <t>Standard</t>
  </si>
  <si>
    <t>Total</t>
  </si>
  <si>
    <t>&lt;&lt;Release on 7.19.24</t>
  </si>
  <si>
    <t>Per EA website</t>
  </si>
  <si>
    <t>Basic</t>
  </si>
  <si>
    <t>Blended</t>
  </si>
  <si>
    <t xml:space="preserve">% Console Take </t>
  </si>
  <si>
    <t>Net Bookings</t>
  </si>
  <si>
    <t>Burdened for platforms' 30% take rate</t>
  </si>
  <si>
    <t>% of Total</t>
  </si>
  <si>
    <t>EA F25 Net Bookings</t>
  </si>
  <si>
    <t>&lt;&lt;Guidance of 7.3 - 7.7b</t>
  </si>
  <si>
    <t>JG F25 Net Bookings</t>
  </si>
  <si>
    <t>(x) % Gross Margin</t>
  </si>
  <si>
    <t>&lt;&lt;Assumes similar to EA blended GM</t>
  </si>
  <si>
    <t>Incremental Gross Profit</t>
  </si>
  <si>
    <t>(-) S&amp;M</t>
  </si>
  <si>
    <t>(x) % Tax Rate</t>
  </si>
  <si>
    <t>&lt;&lt;Mgmt non-GAAP Tax Rate</t>
  </si>
  <si>
    <t>FDSO</t>
  </si>
  <si>
    <t>EPS Impact (Pre-Cannib.)</t>
  </si>
  <si>
    <t>EA College Football - Cannibalization Impact</t>
  </si>
  <si>
    <t>Pre-Cannib.</t>
  </si>
  <si>
    <t>Post-Cannib.</t>
  </si>
  <si>
    <t>JG Estimates</t>
  </si>
  <si>
    <t>1Q25</t>
  </si>
  <si>
    <t>2Q25</t>
  </si>
  <si>
    <t>3Q25</t>
  </si>
  <si>
    <t>4Q25</t>
  </si>
  <si>
    <t>Mscience has seen 50% of CFB pre-orders have purchased Madden in last cycle</t>
  </si>
  <si>
    <t>RJ survey suggesting ~33% overlap.</t>
  </si>
  <si>
    <t>Pre-Cannibalization Units</t>
  </si>
  <si>
    <t>Cannibalization Impact (40%)</t>
  </si>
  <si>
    <t>&lt;&lt;Assumes 40% overlap</t>
  </si>
  <si>
    <t>Post-Cannibalization Units</t>
  </si>
  <si>
    <t>EPS Impact (Cannib. Impact)</t>
  </si>
  <si>
    <t>Cons F25 EPS</t>
  </si>
  <si>
    <t>JG F25 EPS</t>
  </si>
  <si>
    <t>Player Opt in ('000s)</t>
  </si>
  <si>
    <t>&lt;&lt; Per EA Mgmt (6.18.24 Call hosted by Moffet)</t>
  </si>
  <si>
    <t>Cost per player (NIL)</t>
  </si>
  <si>
    <t>Player NIL Costs</t>
  </si>
  <si>
    <t>List of released video games</t>
  </si>
  <si>
    <t>Release date</t>
  </si>
  <si>
    <t>Platforms</t>
  </si>
  <si>
    <t>Developer(s)</t>
  </si>
  <si>
    <t>Untitled Star Wars strategy game</t>
  </si>
  <si>
    <t>TBA</t>
  </si>
  <si>
    <t>Respawn Entertainment</t>
  </si>
  <si>
    <t>Untitled Star Wars Jedi: Survivor sequel</t>
  </si>
  <si>
    <t>Untitled Mass Effect game</t>
  </si>
  <si>
    <t>BioWare</t>
  </si>
  <si>
    <t>Untitled Marvel game</t>
  </si>
  <si>
    <t>Untitled Iron Man game</t>
  </si>
  <si>
    <t>Motive Studios</t>
  </si>
  <si>
    <t>Untitled Black Panther game</t>
  </si>
  <si>
    <t>Cliffhanger Games</t>
  </si>
  <si>
    <t>Untitled Battlefield game</t>
  </si>
  <si>
    <t>DICE</t>
  </si>
  <si>
    <t>Untitled game by Steve Fukuda</t>
  </si>
  <si>
    <t>Skate</t>
  </si>
  <si>
    <t>Full Circle</t>
  </si>
  <si>
    <t>RustHeart</t>
  </si>
  <si>
    <t>Glowmade</t>
  </si>
  <si>
    <t>Project Rene - The Sims game</t>
  </si>
  <si>
    <t>Maxis</t>
  </si>
  <si>
    <t>Plants vs. Zombies 3: Welcome to Zomburbia</t>
  </si>
  <si>
    <t>Android</t>
  </si>
  <si>
    <t>PopCap Games</t>
  </si>
  <si>
    <t>iOS</t>
  </si>
  <si>
    <t>EA FC</t>
  </si>
  <si>
    <t>Dragon Age: Dreadwolf</t>
  </si>
  <si>
    <t>PlayStation 5</t>
  </si>
  <si>
    <t>Xbox Series X/S</t>
  </si>
  <si>
    <t>Windows</t>
  </si>
  <si>
    <t>PlayStation 4</t>
  </si>
  <si>
    <t>Codemasters</t>
  </si>
  <si>
    <t>Xbox One</t>
  </si>
  <si>
    <t>Tales of Kenzera: Zau</t>
  </si>
  <si>
    <t>Surgent Studios</t>
  </si>
  <si>
    <t>Windows\</t>
  </si>
  <si>
    <t>Macintosh</t>
  </si>
  <si>
    <t>Maxis Redwood Shores</t>
  </si>
  <si>
    <t>EA Sports WRC</t>
  </si>
  <si>
    <t>EA Vancouver</t>
  </si>
  <si>
    <t>EA Vancouver / EA Romania</t>
  </si>
  <si>
    <t>Immortals of Aveum</t>
  </si>
  <si>
    <t>Ascendant Studios</t>
  </si>
  <si>
    <t>Need for speed</t>
  </si>
  <si>
    <t>EA Tiburon</t>
  </si>
  <si>
    <t>Super Mega Baseball 4</t>
  </si>
  <si>
    <t>Metalhead</t>
  </si>
  <si>
    <t>The Lord of the Rings: Heroes of Middle-earth</t>
  </si>
  <si>
    <t>Capital Games</t>
  </si>
  <si>
    <t>EA Sports PGA Tour</t>
  </si>
  <si>
    <t>Wild Hearts</t>
  </si>
  <si>
    <t>Omega Force</t>
  </si>
  <si>
    <t>Dead Space</t>
  </si>
  <si>
    <t>GRID Legends</t>
  </si>
  <si>
    <t>Meta Quest 2</t>
  </si>
  <si>
    <t>Criterion Games</t>
  </si>
  <si>
    <t>It Takes Two</t>
  </si>
  <si>
    <t>EA DICE</t>
  </si>
  <si>
    <t>Stadia</t>
  </si>
  <si>
    <t>Lost in Random</t>
  </si>
  <si>
    <t>Zoink</t>
  </si>
  <si>
    <t>Knockout City</t>
  </si>
  <si>
    <t>Velan Studios</t>
  </si>
  <si>
    <t>Hazelight Studios</t>
  </si>
  <si>
    <t>Plants vs. Zombies: Battle for Neighborville</t>
  </si>
  <si>
    <t>Respawn Entertainment, Panic Button</t>
  </si>
  <si>
    <t>Medal of Honor: Above and Beyond</t>
  </si>
  <si>
    <t>Oculus Rift</t>
  </si>
  <si>
    <t>Steam VR</t>
  </si>
  <si>
    <t>EA Vancouver / EA Romania</t>
  </si>
  <si>
    <t>Star Wars: Squadrons</t>
  </si>
  <si>
    <t>EA Sports UFC 4</t>
  </si>
  <si>
    <t>EA Canada</t>
  </si>
  <si>
    <t>Madden NFL 21 Mobile</t>
  </si>
  <si>
    <t>Rocket Arena</t>
  </si>
  <si>
    <t>Final Strike Games</t>
  </si>
  <si>
    <t>Burnout Paradise Remastered</t>
  </si>
  <si>
    <t>Command &amp; Conquer Remastered Collection</t>
  </si>
  <si>
    <t>Petroglyph Games</t>
  </si>
  <si>
    <t>NFS Heat</t>
  </si>
  <si>
    <t>Ghost Games</t>
  </si>
  <si>
    <t>The Sims 4: Realm of Magic</t>
  </si>
  <si>
    <t>Sea of Solitude</t>
  </si>
  <si>
    <t>Jo-Mei Games</t>
  </si>
  <si>
    <t>The Sims 4: StrangerVille</t>
  </si>
  <si>
    <t>Unravel Two</t>
  </si>
  <si>
    <t>Coldwood Interactive</t>
  </si>
  <si>
    <t>Anthem</t>
  </si>
  <si>
    <t>Iron Force 2</t>
  </si>
  <si>
    <t>CoolFish Games</t>
  </si>
  <si>
    <t>The Sims 4: Outdoor Retreat</t>
  </si>
  <si>
    <t>The Sims 4: Jungle Adventure</t>
  </si>
  <si>
    <t>Command &amp; Conquer: Rivals</t>
  </si>
  <si>
    <t>EA Redwood Studios</t>
  </si>
  <si>
    <t>The Sims 4: Seasons</t>
  </si>
  <si>
    <t>PlayStation 3</t>
  </si>
  <si>
    <t>Xbox 360</t>
  </si>
  <si>
    <t>Madden NFL Overdrive</t>
  </si>
  <si>
    <t>Electronic Arts</t>
  </si>
  <si>
    <t>The Sims 4: Spa Day</t>
  </si>
  <si>
    <t>Electronic Arts / EA Spearhead</t>
  </si>
  <si>
    <t>SSX 3</t>
  </si>
  <si>
    <t>A Way Out</t>
  </si>
  <si>
    <t>The Sims 4: Get to Work</t>
  </si>
  <si>
    <t>The Sims Mobile</t>
  </si>
  <si>
    <t>Maxis Redwood Shores / Firemonkeys Studios</t>
  </si>
  <si>
    <t>Fe</t>
  </si>
  <si>
    <t>EA Sports UFC 3</t>
  </si>
  <si>
    <t>Alice: Madness Returns</t>
  </si>
  <si>
    <t>Spicy Horse</t>
  </si>
  <si>
    <t>WarFriends</t>
  </si>
  <si>
    <t>About Fun</t>
  </si>
  <si>
    <t>Plants vs. Zombies Heroes</t>
  </si>
  <si>
    <t>EA Mobile / EA Canada</t>
  </si>
  <si>
    <t>Micro Machines</t>
  </si>
  <si>
    <t>EA Vancouver / EA Bucharest</t>
  </si>
  <si>
    <t>The Secret Life of Pets Unleashed</t>
  </si>
  <si>
    <t>EA Mobile</t>
  </si>
  <si>
    <t>Mirror's Edge Catalyst</t>
  </si>
  <si>
    <t>Bejeweled Stars</t>
  </si>
  <si>
    <t>EA Sports UFC 2</t>
  </si>
  <si>
    <t>Plants vs. Zombies: Garden Warfare 2</t>
  </si>
  <si>
    <t>Unravel</t>
  </si>
  <si>
    <t>EA Capital Games / EA Mobile</t>
  </si>
  <si>
    <t>Battle Copters</t>
  </si>
  <si>
    <t>EA Chillingo</t>
  </si>
  <si>
    <t>Minions Paradise</t>
  </si>
  <si>
    <t>EA Salt Lake</t>
  </si>
  <si>
    <t>Firemonkeys Studios</t>
  </si>
  <si>
    <t>Rory McIlroy PGA Tour</t>
  </si>
  <si>
    <t>UFC Mobile</t>
  </si>
  <si>
    <t>EA Canada / SkyBox Labs</t>
  </si>
  <si>
    <t>Visceral Games</t>
  </si>
  <si>
    <t>Peggle Blast</t>
  </si>
  <si>
    <t>Dragon Age: Inquisition</t>
  </si>
  <si>
    <t>SimCity: BuildIt</t>
  </si>
  <si>
    <t>TrackTwenty</t>
  </si>
  <si>
    <t>Peggle 2</t>
  </si>
  <si>
    <t>Nintendo 3DS</t>
  </si>
  <si>
    <t>PlayStation Vita</t>
  </si>
  <si>
    <t>Wii</t>
  </si>
  <si>
    <t>Windows Phone</t>
  </si>
  <si>
    <t>Bejeweled 3</t>
  </si>
  <si>
    <t>Madden NFL Mobile</t>
  </si>
  <si>
    <t>Plants vs. Zombies: Garden Warfare</t>
  </si>
  <si>
    <t>EA Sports UFC</t>
  </si>
  <si>
    <t>Dungeon Keeper Mobile</t>
  </si>
  <si>
    <t>Mythic Entertainment</t>
  </si>
  <si>
    <t>Fightback</t>
  </si>
  <si>
    <t>Ninja Theory</t>
  </si>
  <si>
    <t>Heroes of Dragon Age</t>
  </si>
  <si>
    <t>Need for Speed Rivals</t>
  </si>
  <si>
    <t>Battlefield 4</t>
  </si>
  <si>
    <t>NBA Live 14</t>
  </si>
  <si>
    <t>FIFA World</t>
  </si>
  <si>
    <t>FIFA Manager 14</t>
  </si>
  <si>
    <t>Bright Future</t>
  </si>
  <si>
    <t>Plants vs. Zombies 2: It's About Time</t>
  </si>
  <si>
    <t>The Sims 3: Into the Future</t>
  </si>
  <si>
    <t>Yogify</t>
  </si>
  <si>
    <t>PlayStation 2</t>
  </si>
  <si>
    <t>PlayStation Portable</t>
  </si>
  <si>
    <t>Java ME</t>
  </si>
  <si>
    <t>The Sims FreePlay</t>
  </si>
  <si>
    <t>EA Mobile / Firemonkeys Studios / Blue Tongue Entertainment</t>
  </si>
  <si>
    <t>NHL 14</t>
  </si>
  <si>
    <t>SimCity</t>
  </si>
  <si>
    <t>Maxis Emeryville</t>
  </si>
  <si>
    <t>Real Racing 3</t>
  </si>
  <si>
    <t>BlackBerry</t>
  </si>
  <si>
    <t>Ultima Forever: Quest for the Avatar</t>
  </si>
  <si>
    <t>Mythic Entertainment / Escalation Studios</t>
  </si>
  <si>
    <t>Iron Force</t>
  </si>
  <si>
    <t>NCAA Football 14</t>
  </si>
  <si>
    <t>FIFA 13</t>
  </si>
  <si>
    <t>Windows Phone 8</t>
  </si>
  <si>
    <t>The Sims 3: Island Paradise</t>
  </si>
  <si>
    <t>The Simpsons: Tapped Out</t>
  </si>
  <si>
    <t>Kindle Fire</t>
  </si>
  <si>
    <t>Mass Effect Infiltrator</t>
  </si>
  <si>
    <t>IronMonkey Studios</t>
  </si>
  <si>
    <t>Fuse</t>
  </si>
  <si>
    <t>Insomniac Games</t>
  </si>
  <si>
    <t>Shank</t>
  </si>
  <si>
    <t>Linux</t>
  </si>
  <si>
    <t>Klei Entertainment</t>
  </si>
  <si>
    <t>Real Racing 2</t>
  </si>
  <si>
    <t>Firemint</t>
  </si>
  <si>
    <t>Bejeweled Blitz</t>
  </si>
  <si>
    <t>Tiger Woods PGA Tour 14</t>
  </si>
  <si>
    <t>Army of Two: The Devil's Cartel</t>
  </si>
  <si>
    <t>Visceral Games / EA Montreal</t>
  </si>
  <si>
    <t>The Sims Medieval</t>
  </si>
  <si>
    <t>NBA Jam</t>
  </si>
  <si>
    <t>Need for Speed: Most Wanted</t>
  </si>
  <si>
    <t>Wii U</t>
  </si>
  <si>
    <t>The Sims 3: University Life</t>
  </si>
  <si>
    <t>Crysis 3</t>
  </si>
  <si>
    <t>Crytek</t>
  </si>
  <si>
    <t>Dead Space 3</t>
  </si>
  <si>
    <t>Plants vs. Zombies</t>
  </si>
  <si>
    <t>Shank 2</t>
  </si>
  <si>
    <t>FIFA Online 3</t>
  </si>
  <si>
    <t>Madden NFL 13</t>
  </si>
  <si>
    <t>The Sims 3: Seasons</t>
  </si>
  <si>
    <t>FIFA Manager 13</t>
  </si>
  <si>
    <t>Medal of Honor: Warfighter</t>
  </si>
  <si>
    <t>Danger Close Games</t>
  </si>
  <si>
    <t>JetSet Secrets</t>
  </si>
  <si>
    <t>Facebook</t>
  </si>
  <si>
    <t>NHL 13</t>
  </si>
  <si>
    <t>The Sims 3: Supernatural</t>
  </si>
  <si>
    <t>Madden NFL Social</t>
  </si>
  <si>
    <t>Outernauts</t>
  </si>
  <si>
    <t>Mirror's Edge</t>
  </si>
  <si>
    <t>Zuma's Revenge!</t>
  </si>
  <si>
    <t>Xbox Live Arcade</t>
  </si>
  <si>
    <t>World Series of Poker</t>
  </si>
  <si>
    <t>Left Field Productions</t>
  </si>
  <si>
    <t>NCAA Football 13</t>
  </si>
  <si>
    <t>The Secret World</t>
  </si>
  <si>
    <t>Funcom</t>
  </si>
  <si>
    <t>SimCity Social</t>
  </si>
  <si>
    <t>Playfish</t>
  </si>
  <si>
    <t>Battlefield Bad Company 2</t>
  </si>
  <si>
    <t>Command &amp; Conquer: Tiberium Alliances</t>
  </si>
  <si>
    <t>EA Phenomic</t>
  </si>
  <si>
    <t>Bejeweled Classic HD</t>
  </si>
  <si>
    <t>UEFA Euro 2012</t>
  </si>
  <si>
    <t>Burnout Crash!</t>
  </si>
  <si>
    <t>Pogo Games</t>
  </si>
  <si>
    <t>Tiger Woods PGA Tour 13</t>
  </si>
  <si>
    <t>Flight Control Rocket</t>
  </si>
  <si>
    <t>Warp</t>
  </si>
  <si>
    <t>Trapdoor</t>
  </si>
  <si>
    <t>FIFA Street</t>
  </si>
  <si>
    <t>The Sims 3: Showtime</t>
  </si>
  <si>
    <t>Auditorium</t>
  </si>
  <si>
    <t>Cipher Prime</t>
  </si>
  <si>
    <t>SSX</t>
  </si>
  <si>
    <t>Syndicate</t>
  </si>
  <si>
    <t>Starbreeze Studios</t>
  </si>
  <si>
    <t>Grand Slam Tennis 2</t>
  </si>
  <si>
    <t>Kingdoms of Amalur: Reckoning</t>
  </si>
  <si>
    <t>38 Studios / Big Huge Games</t>
  </si>
  <si>
    <t>NFL Blitz</t>
  </si>
  <si>
    <t>PlayStation Network</t>
  </si>
  <si>
    <t>Surviving High School</t>
  </si>
  <si>
    <t>Centerscore / EA Mobile</t>
  </si>
  <si>
    <t>Star Wars: The Old Republic</t>
  </si>
  <si>
    <t>BioWare Austin</t>
  </si>
  <si>
    <t>Trenches 2</t>
  </si>
  <si>
    <t>Thunder Game Works</t>
  </si>
  <si>
    <t>Theme Park</t>
  </si>
  <si>
    <t>Bullfrog Productions</t>
  </si>
  <si>
    <t>Need for Speed: The Run</t>
  </si>
  <si>
    <t>Firebrand Games</t>
  </si>
  <si>
    <t>EA Black Box</t>
  </si>
  <si>
    <t>Windows Mobile</t>
  </si>
  <si>
    <t>Scrabble</t>
  </si>
  <si>
    <t>Fantasy Safari</t>
  </si>
  <si>
    <t>Hasbro Family Game Night 4: The Game Show</t>
  </si>
  <si>
    <t>EA Bright Light</t>
  </si>
  <si>
    <t>Virtuos</t>
  </si>
  <si>
    <t>Xperia Play</t>
  </si>
  <si>
    <t>FIFA Manager 12</t>
  </si>
  <si>
    <t>The Sims 3: Pets</t>
  </si>
  <si>
    <t>Edge of Reality</t>
  </si>
  <si>
    <t>SimCity Deluxe</t>
  </si>
  <si>
    <t>NBA Jam: On Fire Edition</t>
  </si>
  <si>
    <t>Crysis</t>
  </si>
  <si>
    <t>NHL Superstars</t>
  </si>
  <si>
    <t>FIFA 12</t>
  </si>
  <si>
    <t>Nintendo DS</t>
  </si>
  <si>
    <t>Sony Ericsson Xperia Play</t>
  </si>
  <si>
    <t>Magic Pockets</t>
  </si>
  <si>
    <t>Shadows of the Damned</t>
  </si>
  <si>
    <t>Grasshopper Manufacture</t>
  </si>
  <si>
    <t>NHL 12</t>
  </si>
  <si>
    <t>Tiger Woods PGA Tour 12</t>
  </si>
  <si>
    <t>Tetris</t>
  </si>
  <si>
    <t>EA Mobile / Electronic Arts</t>
  </si>
  <si>
    <t>The Sims Medieval: Pirates and Nobles</t>
  </si>
  <si>
    <t>Madden NFL 12</t>
  </si>
  <si>
    <t>BlackBerry PlayBook</t>
  </si>
  <si>
    <t>Spy Mouse</t>
  </si>
  <si>
    <t>Blackberry</t>
  </si>
  <si>
    <t>Medal of Honor: Frontline</t>
  </si>
  <si>
    <t>EA Los Angeles</t>
  </si>
  <si>
    <t>The Sims Social</t>
  </si>
  <si>
    <t>Shift 2: Unleashed</t>
  </si>
  <si>
    <t>Straight Right</t>
  </si>
  <si>
    <t>Pet Society Vacation</t>
  </si>
  <si>
    <t>NCAA Football 12</t>
  </si>
  <si>
    <t>Harry Potter and the Deathly Hallows – Part 2</t>
  </si>
  <si>
    <t>American McGee's Alice</t>
  </si>
  <si>
    <t>Rogue Entertainment</t>
  </si>
  <si>
    <t>Ultima Underworld: The Stygian Abyss and Labyrinth of Worlds</t>
  </si>
  <si>
    <t>DOS</t>
  </si>
  <si>
    <t>Blue Sky Productions / LookingGlass Technologies / Origin Systems</t>
  </si>
  <si>
    <t>The Sims 3: Generations</t>
  </si>
  <si>
    <t>Darkspore</t>
  </si>
  <si>
    <t>Slightly Mad Studios</t>
  </si>
  <si>
    <t>The Sims 3</t>
  </si>
  <si>
    <t>Madden NFL Football</t>
  </si>
  <si>
    <t>EA Sports</t>
  </si>
  <si>
    <t>Crysis 2</t>
  </si>
  <si>
    <t>Dragon Age Legends</t>
  </si>
  <si>
    <t>Electronic Arts / Pixelante</t>
  </si>
  <si>
    <t>Risk: Factions</t>
  </si>
  <si>
    <t>Stainless Games / Powerhouse Animation Studios, Inc.</t>
  </si>
  <si>
    <t>Dragon Age II</t>
  </si>
  <si>
    <t>Fight Night Champion</t>
  </si>
  <si>
    <t>HB Studios</t>
  </si>
  <si>
    <t>Rango</t>
  </si>
  <si>
    <t>Behaviour Interactive</t>
  </si>
  <si>
    <t>Bulletstorm</t>
  </si>
  <si>
    <t>People Can Fly / Epic Games</t>
  </si>
  <si>
    <t>Bejeweled 2</t>
  </si>
  <si>
    <t>Dead Space: Extraction</t>
  </si>
  <si>
    <t>Visceral Games / Eurocom</t>
  </si>
  <si>
    <t>Dead Space 2</t>
  </si>
  <si>
    <t>Spare Parts</t>
  </si>
  <si>
    <t>Mass Effect 2</t>
  </si>
  <si>
    <t>Ultimate Mortal Kombat 3</t>
  </si>
  <si>
    <t>Cause of Death</t>
  </si>
  <si>
    <t>RISK</t>
  </si>
  <si>
    <t>DeathSpank: Thongs of Virtue</t>
  </si>
  <si>
    <t>Hothead Games</t>
  </si>
  <si>
    <t>DeathSpank</t>
  </si>
  <si>
    <t>Rock Band Reloaded</t>
  </si>
  <si>
    <t>Harmonix</t>
  </si>
  <si>
    <t>Need for Speed: Nitro-X</t>
  </si>
  <si>
    <t>Nintendo DSi</t>
  </si>
  <si>
    <t>Pictureka!</t>
  </si>
  <si>
    <t>Heroes Lore III</t>
  </si>
  <si>
    <t>High Caliber Hunting</t>
  </si>
  <si>
    <t>Need for Speed: Hot Pursuit</t>
  </si>
  <si>
    <t>webOS</t>
  </si>
  <si>
    <t>Harry Potter and the Deathly Hallows – Part 1</t>
  </si>
  <si>
    <t>EA Sports Active NFL Training Camp</t>
  </si>
  <si>
    <t>EA Sports Active 2</t>
  </si>
  <si>
    <t>Create</t>
  </si>
  <si>
    <t>Texas Hold'em</t>
  </si>
  <si>
    <t>TikGames</t>
  </si>
  <si>
    <t>NBA Elite 11</t>
  </si>
  <si>
    <t>Clue: Secrets &amp; Spies</t>
  </si>
  <si>
    <t>FIFA Manager 11</t>
  </si>
  <si>
    <t>The Sims 3: Late Night</t>
  </si>
  <si>
    <t>Rock Band 3</t>
  </si>
  <si>
    <t>Monopoly Streets</t>
  </si>
  <si>
    <t>Hasbro Family Game Night 3</t>
  </si>
  <si>
    <t>Reckless Racing</t>
  </si>
  <si>
    <t>Monopoly</t>
  </si>
  <si>
    <t>EA Mobile / Hasbro</t>
  </si>
  <si>
    <t>EA Sports MMA</t>
  </si>
  <si>
    <t>Need for Speed: Undercover</t>
  </si>
  <si>
    <t>Medal of Honor</t>
  </si>
  <si>
    <t>Dead Space Ignition</t>
  </si>
  <si>
    <t>Visceral Games / Sumo Digital</t>
  </si>
  <si>
    <t>MySims SkyHeroes</t>
  </si>
  <si>
    <t>FIFA 11</t>
  </si>
  <si>
    <t>Java Me</t>
  </si>
  <si>
    <t>Exient Entertainment</t>
  </si>
  <si>
    <t>Lite-Brite</t>
  </si>
  <si>
    <t>Hasbro / Electronic Arts</t>
  </si>
  <si>
    <t>NHL Slapshot</t>
  </si>
  <si>
    <t>NHL 11</t>
  </si>
  <si>
    <t>Madden NFL Superstars</t>
  </si>
  <si>
    <t>R-Type</t>
  </si>
  <si>
    <t>Irem</t>
  </si>
  <si>
    <t>Madden NFL 11</t>
  </si>
  <si>
    <t>EA Tiburon / EA Canada</t>
  </si>
  <si>
    <t>Need for Speed: World</t>
  </si>
  <si>
    <t>Quicklime Games / EA Singapore</t>
  </si>
  <si>
    <t>The Sims 3 Collector's Edition</t>
  </si>
  <si>
    <t>SimCity 4 Deluxe Edition</t>
  </si>
  <si>
    <t>NCAA Football 11</t>
  </si>
  <si>
    <r>
      <t>Dragon's Lair</t>
    </r>
    <r>
      <rPr>
        <vertAlign val="superscript"/>
        <sz val="8"/>
        <color rgb="FF202122"/>
        <rFont val="Arial"/>
        <family val="2"/>
      </rPr>
      <t>[a]</t>
    </r>
  </si>
  <si>
    <t>Digital Leisure</t>
  </si>
  <si>
    <t>APB: All Points Bulletin</t>
  </si>
  <si>
    <t>Realtime Worlds</t>
  </si>
  <si>
    <t>2010 FIFA World Cup South Africa</t>
  </si>
  <si>
    <t>NCAA Football</t>
  </si>
  <si>
    <t>Tiger Woods PGA Tour 11</t>
  </si>
  <si>
    <t>Green Day: Rock Band</t>
  </si>
  <si>
    <t>Harmonix / Demiurge Studios</t>
  </si>
  <si>
    <t>The Sims 3: Ambitions</t>
  </si>
  <si>
    <t>Mobile phones</t>
  </si>
  <si>
    <t>FIFA Online</t>
  </si>
  <si>
    <t>BGEntertainment</t>
  </si>
  <si>
    <t>EA Sports FIFA Superstars</t>
  </si>
  <si>
    <t>Playfish / Electronic Arts</t>
  </si>
  <si>
    <t>Skate 3</t>
  </si>
  <si>
    <t>Skate It</t>
  </si>
  <si>
    <t>Lord of Ultima</t>
  </si>
  <si>
    <t>Tiger Woods PGA Tour Online</t>
  </si>
  <si>
    <t>Dragon Age: Origins – Awakening</t>
  </si>
  <si>
    <t>BioWare Edmonton</t>
  </si>
  <si>
    <t>Command &amp; Conquer 4: Tiberian Twilight</t>
  </si>
  <si>
    <t>Dante's Inferno</t>
  </si>
  <si>
    <t>Artificial Mind and Movement</t>
  </si>
  <si>
    <t>The Sims 3 Stuff packs</t>
  </si>
  <si>
    <t>Extreme Pinball</t>
  </si>
  <si>
    <t>Epic MegaGames / Digital Extremes / High Score Entertainment</t>
  </si>
  <si>
    <t>Spore Creatures</t>
  </si>
  <si>
    <t>Griptonite Games</t>
  </si>
  <si>
    <t>Army of Two: The 40th Day</t>
  </si>
  <si>
    <t>EA Montreal</t>
  </si>
  <si>
    <t>Buzz Monkey</t>
  </si>
  <si>
    <t>#N/A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</si>
</sst>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5" formatCode="&quot;$&quot;#,##0_);\(&quot;$&quot;#,##0\)"/>
    <numFmt numFmtId="6" formatCode="&quot;$&quot;#,##0_);[Red]\(&quot;$&quot;#,##0\)"/>
    <numFmt numFmtId="8" formatCode="&quot;$&quot;#,##0.00_);[Red]\(&quot;$&quot;#,##0.00\)"/>
    <numFmt numFmtId="164" formatCode="m/d/yy;@"/>
    <numFmt numFmtId="165" formatCode="#,##0.000_);\(#,##0.000\)"/>
    <numFmt numFmtId="166" formatCode="#,##0.0_);\(#,##0.0\);&quot;--&quot;"/>
    <numFmt numFmtId="167" formatCode="_(#,##0_);\(#,##0\);_(&quot;– &quot;\ ;_(@_)"/>
    <numFmt numFmtId="168" formatCode="#,##0_);\(#,##0\);&quot;--&quot;"/>
    <numFmt numFmtId="169" formatCode="#,##0.0%;\(#,##0.0%\);&quot;--&quot;;@"/>
    <numFmt numFmtId="170" formatCode="0.0%"/>
    <numFmt numFmtId="171" formatCode="&quot;$&quot;#,##0.0_);[Red]\(&quot;$&quot;#,##0.0\)"/>
    <numFmt numFmtId="172" formatCode="_(#,##0.0%_);\(#,##0.0%\);_(&quot;–&quot;_)_%;_(@_)_%"/>
    <numFmt numFmtId="173" formatCode="#,##0.0_);\(#,##0.0\)"/>
    <numFmt numFmtId="174" formatCode="#,##0\ &quot;bps&quot;;\(#,##0\ &quot;bps&quot;\);&quot;--&quot;"/>
    <numFmt numFmtId="175" formatCode="#,##0\ &quot;bps&quot;;\(#,##0\ &quot;bps&quot;\)"/>
    <numFmt numFmtId="176" formatCode="#,##0.00_);\(#,##0.00\);&quot;--&quot;"/>
    <numFmt numFmtId="177" formatCode="#0.0%_);\(#0.0%\);&quot;--&quot;"/>
    <numFmt numFmtId="178" formatCode="#0.0\x_);\(#0.0\x\);&quot;--&quot;"/>
    <numFmt numFmtId="179" formatCode="&quot;Ticker&quot;"/>
    <numFmt numFmtId="180" formatCode="#,##0.0_);\(#,##0.0\);\-\-_);@_)"/>
  </numFmts>
  <fonts count="36"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i/>
      <sz val="11"/>
      <color rgb="FFFF0000"/>
      <name val="Calibri"/>
      <family val="2"/>
      <scheme val="minor"/>
    </font>
    <font>
      <i/>
      <sz val="11"/>
      <color theme="1"/>
      <name val="Calibri"/>
      <family val="2"/>
      <scheme val="minor"/>
    </font>
    <font>
      <i/>
      <sz val="11"/>
      <color rgb="FF0000FF"/>
      <name val="Calibri"/>
      <family val="2"/>
      <scheme val="minor"/>
    </font>
    <font>
      <sz val="11"/>
      <color rgb="FF0000FF"/>
      <name val="Calibri"/>
      <family val="2"/>
      <scheme val="minor"/>
    </font>
    <font>
      <sz val="11"/>
      <color rgb="FF000000"/>
      <name val="Calibri"/>
      <family val="2"/>
      <scheme val="minor"/>
    </font>
    <font>
      <sz val="11"/>
      <name val="Calibri"/>
      <family val="2"/>
      <scheme val="minor"/>
    </font>
    <font>
      <b/>
      <sz val="11"/>
      <name val="Calibri"/>
      <family val="2"/>
      <scheme val="minor"/>
    </font>
    <font>
      <u/>
      <sz val="11"/>
      <color theme="1"/>
      <name val="Calibri"/>
      <family val="2"/>
      <scheme val="minor"/>
    </font>
    <font>
      <sz val="11"/>
      <color rgb="FF800080"/>
      <name val="Calibri"/>
      <family val="2"/>
      <scheme val="minor"/>
    </font>
    <font>
      <b/>
      <sz val="11"/>
      <color rgb="FF800080"/>
      <name val="Calibri"/>
      <family val="2"/>
      <scheme val="minor"/>
    </font>
    <font>
      <b/>
      <sz val="11"/>
      <color rgb="FFFF0000"/>
      <name val="Calibri"/>
      <family val="2"/>
      <scheme val="minor"/>
    </font>
    <font>
      <b/>
      <sz val="11"/>
      <color rgb="FF0000FF"/>
      <name val="Calibri"/>
      <family val="2"/>
      <scheme val="minor"/>
    </font>
    <font>
      <b/>
      <i/>
      <sz val="11"/>
      <color theme="1"/>
      <name val="Calibri"/>
      <family val="2"/>
      <scheme val="minor"/>
    </font>
    <font>
      <i/>
      <strike/>
      <sz val="11"/>
      <color rgb="FFFF0000"/>
      <name val="Calibri"/>
      <family val="2"/>
      <scheme val="minor"/>
    </font>
    <font>
      <i/>
      <sz val="11"/>
      <name val="Calibri"/>
      <family val="2"/>
      <scheme val="minor"/>
    </font>
    <font>
      <sz val="11"/>
      <color theme="5"/>
      <name val="Calibri"/>
      <family val="2"/>
      <scheme val="minor"/>
    </font>
    <font>
      <b/>
      <sz val="11"/>
      <color theme="5"/>
      <name val="Calibri"/>
      <family val="2"/>
      <scheme val="minor"/>
    </font>
    <font>
      <u/>
      <sz val="11"/>
      <name val="Calibri"/>
      <family val="2"/>
      <scheme val="minor"/>
    </font>
    <font>
      <b/>
      <u/>
      <sz val="11"/>
      <color theme="1"/>
      <name val="Calibri"/>
      <family val="2"/>
      <scheme val="minor"/>
    </font>
    <font>
      <b/>
      <sz val="11"/>
      <color indexed="12"/>
      <name val="Calibri"/>
      <family val="2"/>
      <scheme val="minor"/>
    </font>
    <font>
      <b/>
      <sz val="9"/>
      <color indexed="81"/>
      <name val="Tahoma"/>
      <family val="2"/>
    </font>
    <font>
      <sz val="9"/>
      <color indexed="81"/>
      <name val="Tahoma"/>
      <family val="2"/>
    </font>
    <font>
      <b/>
      <sz val="9"/>
      <name val="Tahoma"/>
      <family val="2"/>
    </font>
    <font>
      <sz val="9"/>
      <name val="Tahoma"/>
      <family val="2"/>
    </font>
    <font>
      <sz val="11"/>
      <color indexed="8"/>
      <name val="Calibri"/>
      <family val="2"/>
      <scheme val="minor"/>
    </font>
    <font>
      <i/>
      <u/>
      <sz val="11"/>
      <color theme="1"/>
      <name val="Calibri"/>
      <family val="2"/>
      <scheme val="minor"/>
    </font>
    <font>
      <u/>
      <sz val="11"/>
      <color theme="10"/>
      <name val="Calibri"/>
      <family val="2"/>
      <scheme val="minor"/>
    </font>
    <font>
      <i/>
      <u/>
      <sz val="11"/>
      <color theme="10"/>
      <name val="Calibri"/>
      <family val="2"/>
      <scheme val="minor"/>
    </font>
    <font>
      <b/>
      <u/>
      <sz val="11"/>
      <name val="Calibri"/>
      <family val="2"/>
      <scheme val="minor"/>
    </font>
    <font>
      <sz val="11"/>
      <color rgb="FF008000"/>
      <name val="Calibri"/>
      <family val="2"/>
      <scheme val="minor"/>
    </font>
    <font>
      <vertAlign val="superscript"/>
      <sz val="8"/>
      <color rgb="FF202122"/>
      <name val="Arial"/>
      <family val="2"/>
    </font>
  </fonts>
  <fills count="8">
    <fill>
      <patternFill patternType="none"/>
    </fill>
    <fill>
      <patternFill patternType="gray125"/>
    </fill>
    <fill>
      <patternFill patternType="solid">
        <fgColor rgb="FFC0C0C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002060"/>
        <bgColor indexed="64"/>
      </patternFill>
    </fill>
  </fills>
  <borders count="16">
    <border>
      <left/>
      <right/>
      <top/>
      <bottom/>
      <diagonal/>
    </border>
    <border>
      <left/>
      <right/>
      <top/>
      <bottom style="thin">
        <color rgb="FF000000"/>
      </bottom>
      <diagonal/>
    </border>
    <border>
      <left/>
      <right/>
      <top style="thin">
        <color indexed="64"/>
      </top>
      <bottom/>
      <diagonal/>
    </border>
    <border>
      <left/>
      <right/>
      <top/>
      <bottom style="thin">
        <color auto="1"/>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top style="thin">
        <color rgb="FF000000"/>
      </top>
      <bottom style="thin">
        <color rgb="FF000000"/>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ck">
        <color theme="0"/>
      </right>
      <top/>
      <bottom/>
      <diagonal/>
    </border>
    <border>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31" fillId="0" borderId="0" applyNumberFormat="0" applyFill="0" applyBorder="0" applyAlignment="0" applyProtection="0"/>
  </cellStyleXfs>
  <cellXfs count="285">
    <xf numFmtId="0" fontId="0" fillId="0" borderId="0" xfId="0"/>
    <xf numFmtId="0" fontId="0" fillId="0" borderId="0" xfId="0" applyAlignment="1">
      <alignment horizontal="center"/>
    </xf>
    <xf numFmtId="37" fontId="0" fillId="0" borderId="0" xfId="0" applyNumberFormat="1"/>
    <xf numFmtId="37" fontId="5" fillId="0" borderId="0" xfId="0" applyNumberFormat="1" applyFont="1"/>
    <xf numFmtId="0" fontId="5" fillId="0" borderId="0" xfId="0" applyFont="1"/>
    <xf numFmtId="0" fontId="6" fillId="0" borderId="0" xfId="0" applyFont="1"/>
    <xf numFmtId="37" fontId="7" fillId="0" borderId="0" xfId="0" applyNumberFormat="1" applyFont="1"/>
    <xf numFmtId="37" fontId="6" fillId="0" borderId="0" xfId="0" applyNumberFormat="1" applyFont="1"/>
    <xf numFmtId="0" fontId="4" fillId="0" borderId="1" xfId="0" applyFont="1" applyBorder="1" applyAlignment="1">
      <alignment horizontal="centerContinuous"/>
    </xf>
    <xf numFmtId="0" fontId="4" fillId="0" borderId="0" xfId="0" applyFont="1" applyAlignment="1">
      <alignment horizontal="center"/>
    </xf>
    <xf numFmtId="0" fontId="4" fillId="0" borderId="0" xfId="0" applyFont="1"/>
    <xf numFmtId="0" fontId="4" fillId="0" borderId="0" xfId="0" applyFont="1" applyAlignment="1">
      <alignment horizontal="centerContinuous"/>
    </xf>
    <xf numFmtId="0" fontId="8" fillId="0" borderId="2" xfId="0" applyFont="1" applyBorder="1" applyAlignment="1">
      <alignment horizontal="right"/>
    </xf>
    <xf numFmtId="0" fontId="8" fillId="0" borderId="2" xfId="0" applyFont="1" applyBorder="1" applyAlignment="1">
      <alignment horizontal="center"/>
    </xf>
    <xf numFmtId="164" fontId="9" fillId="0" borderId="1" xfId="0" applyNumberFormat="1" applyFont="1" applyBorder="1" applyAlignment="1">
      <alignment horizontal="right"/>
    </xf>
    <xf numFmtId="164" fontId="10" fillId="0" borderId="3" xfId="0" applyNumberFormat="1" applyFont="1" applyBorder="1" applyAlignment="1">
      <alignment horizontal="right"/>
    </xf>
    <xf numFmtId="0" fontId="4" fillId="2" borderId="4" xfId="0" applyFont="1" applyFill="1" applyBorder="1"/>
    <xf numFmtId="0" fontId="4" fillId="2" borderId="5" xfId="0" applyFont="1" applyFill="1" applyBorder="1"/>
    <xf numFmtId="0" fontId="0" fillId="2" borderId="5" xfId="0" applyFill="1" applyBorder="1"/>
    <xf numFmtId="165" fontId="11" fillId="2" borderId="4" xfId="0" quotePrefix="1" applyNumberFormat="1" applyFont="1" applyFill="1" applyBorder="1"/>
    <xf numFmtId="0" fontId="0" fillId="2" borderId="6" xfId="0" applyFill="1" applyBorder="1"/>
    <xf numFmtId="165" fontId="11" fillId="2" borderId="5" xfId="0" quotePrefix="1" applyNumberFormat="1" applyFont="1" applyFill="1" applyBorder="1"/>
    <xf numFmtId="0" fontId="12" fillId="0" borderId="0" xfId="0" applyFont="1" applyAlignment="1">
      <alignment horizontal="left"/>
    </xf>
    <xf numFmtId="0" fontId="10" fillId="0" borderId="0" xfId="0" applyFont="1" applyAlignment="1">
      <alignment horizontal="left"/>
    </xf>
    <xf numFmtId="37" fontId="10" fillId="0" borderId="0" xfId="0" applyNumberFormat="1" applyFont="1"/>
    <xf numFmtId="166" fontId="10" fillId="0" borderId="0" xfId="0" applyNumberFormat="1" applyFont="1"/>
    <xf numFmtId="0" fontId="10" fillId="0" borderId="0" xfId="0" applyFont="1" applyAlignment="1">
      <alignment horizontal="left" indent="1"/>
    </xf>
    <xf numFmtId="166" fontId="3" fillId="0" borderId="0" xfId="0" applyNumberFormat="1" applyFont="1"/>
    <xf numFmtId="166" fontId="5" fillId="0" borderId="0" xfId="0" applyNumberFormat="1" applyFont="1"/>
    <xf numFmtId="167" fontId="13" fillId="0" borderId="0" xfId="0" applyNumberFormat="1" applyFont="1"/>
    <xf numFmtId="0" fontId="11" fillId="3" borderId="0" xfId="0" applyFont="1" applyFill="1" applyAlignment="1">
      <alignment horizontal="left"/>
    </xf>
    <xf numFmtId="0" fontId="11" fillId="3" borderId="0" xfId="0" applyFont="1" applyFill="1" applyAlignment="1">
      <alignment horizontal="left" indent="1"/>
    </xf>
    <xf numFmtId="37" fontId="11" fillId="3" borderId="0" xfId="0" applyNumberFormat="1" applyFont="1" applyFill="1"/>
    <xf numFmtId="166" fontId="11" fillId="3" borderId="0" xfId="0" applyNumberFormat="1" applyFont="1" applyFill="1"/>
    <xf numFmtId="0" fontId="4" fillId="0" borderId="7" xfId="0" applyFont="1" applyBorder="1" applyAlignment="1">
      <alignment horizontal="left"/>
    </xf>
    <xf numFmtId="0" fontId="0" fillId="0" borderId="7" xfId="0" applyBorder="1"/>
    <xf numFmtId="37" fontId="4" fillId="0" borderId="0" xfId="0" applyNumberFormat="1" applyFont="1"/>
    <xf numFmtId="0" fontId="0" fillId="0" borderId="0" xfId="0" applyAlignment="1">
      <alignment horizontal="left" indent="1"/>
    </xf>
    <xf numFmtId="0" fontId="0" fillId="0" borderId="0" xfId="0" applyAlignment="1">
      <alignment horizontal="right"/>
    </xf>
    <xf numFmtId="0" fontId="3" fillId="0" borderId="0" xfId="0" applyFont="1"/>
    <xf numFmtId="9" fontId="0" fillId="0" borderId="0" xfId="1" applyFont="1"/>
    <xf numFmtId="168" fontId="0" fillId="0" borderId="0" xfId="0" applyNumberFormat="1" applyAlignment="1">
      <alignment horizontal="left" indent="1"/>
    </xf>
    <xf numFmtId="0" fontId="0" fillId="0" borderId="0" xfId="0" applyAlignment="1">
      <alignment horizontal="left"/>
    </xf>
    <xf numFmtId="0" fontId="0" fillId="4" borderId="0" xfId="0" applyFill="1" applyAlignment="1">
      <alignment horizontal="right"/>
    </xf>
    <xf numFmtId="0" fontId="0" fillId="4" borderId="0" xfId="0" applyFill="1" applyAlignment="1">
      <alignment horizontal="left"/>
    </xf>
    <xf numFmtId="168" fontId="4" fillId="0" borderId="0" xfId="0" applyNumberFormat="1" applyFont="1" applyAlignment="1">
      <alignment horizontal="left"/>
    </xf>
    <xf numFmtId="167" fontId="14" fillId="0" borderId="0" xfId="0" applyNumberFormat="1" applyFont="1"/>
    <xf numFmtId="167" fontId="11" fillId="0" borderId="0" xfId="0" applyNumberFormat="1" applyFont="1"/>
    <xf numFmtId="168" fontId="0" fillId="0" borderId="0" xfId="0" applyNumberFormat="1" applyAlignment="1">
      <alignment horizontal="left"/>
    </xf>
    <xf numFmtId="169" fontId="10" fillId="0" borderId="0" xfId="0" applyNumberFormat="1" applyFont="1"/>
    <xf numFmtId="168" fontId="10" fillId="0" borderId="0" xfId="0" applyNumberFormat="1" applyFont="1"/>
    <xf numFmtId="168" fontId="3" fillId="0" borderId="0" xfId="0" applyNumberFormat="1" applyFont="1"/>
    <xf numFmtId="168" fontId="0" fillId="0" borderId="0" xfId="0" applyNumberFormat="1"/>
    <xf numFmtId="168" fontId="13" fillId="0" borderId="0" xfId="0" applyNumberFormat="1" applyFont="1"/>
    <xf numFmtId="168" fontId="4" fillId="0" borderId="0" xfId="0" applyNumberFormat="1" applyFont="1"/>
    <xf numFmtId="168" fontId="15" fillId="0" borderId="0" xfId="0" applyNumberFormat="1" applyFont="1"/>
    <xf numFmtId="168" fontId="16" fillId="0" borderId="0" xfId="0" applyNumberFormat="1" applyFont="1"/>
    <xf numFmtId="37" fontId="11" fillId="0" borderId="0" xfId="0" applyNumberFormat="1" applyFont="1"/>
    <xf numFmtId="168" fontId="8" fillId="0" borderId="0" xfId="0" applyNumberFormat="1" applyFont="1"/>
    <xf numFmtId="168" fontId="0" fillId="0" borderId="0" xfId="0" applyNumberFormat="1" applyAlignment="1">
      <alignment horizontal="left" indent="2"/>
    </xf>
    <xf numFmtId="0" fontId="10" fillId="0" borderId="0" xfId="0" applyFont="1"/>
    <xf numFmtId="37" fontId="14" fillId="0" borderId="0" xfId="0" applyNumberFormat="1" applyFont="1"/>
    <xf numFmtId="168" fontId="3" fillId="4" borderId="0" xfId="0" applyNumberFormat="1" applyFont="1" applyFill="1"/>
    <xf numFmtId="0" fontId="5" fillId="0" borderId="7" xfId="0" applyFont="1" applyBorder="1"/>
    <xf numFmtId="0" fontId="6" fillId="0" borderId="7" xfId="0" applyFont="1" applyBorder="1"/>
    <xf numFmtId="0" fontId="4" fillId="0" borderId="0" xfId="0" applyFont="1" applyAlignment="1">
      <alignment horizontal="left"/>
    </xf>
    <xf numFmtId="169" fontId="0" fillId="0" borderId="0" xfId="0" applyNumberFormat="1" applyAlignment="1">
      <alignment horizontal="left" indent="1"/>
    </xf>
    <xf numFmtId="169" fontId="8" fillId="0" borderId="0" xfId="0" applyNumberFormat="1" applyFont="1"/>
    <xf numFmtId="0" fontId="17" fillId="0" borderId="0" xfId="0" applyFont="1"/>
    <xf numFmtId="0" fontId="4" fillId="5" borderId="8" xfId="0" applyFont="1" applyFill="1" applyBorder="1" applyAlignment="1">
      <alignment horizontal="centerContinuous"/>
    </xf>
    <xf numFmtId="0" fontId="4" fillId="5" borderId="9" xfId="0" applyFont="1" applyFill="1" applyBorder="1" applyAlignment="1">
      <alignment horizontal="centerContinuous"/>
    </xf>
    <xf numFmtId="0" fontId="4" fillId="5" borderId="10" xfId="0" applyFont="1" applyFill="1" applyBorder="1" applyAlignment="1">
      <alignment horizontal="centerContinuous"/>
    </xf>
    <xf numFmtId="37" fontId="0" fillId="0" borderId="0" xfId="0" applyNumberFormat="1" applyAlignment="1">
      <alignment horizontal="left"/>
    </xf>
    <xf numFmtId="37" fontId="3" fillId="0" borderId="0" xfId="0" applyNumberFormat="1" applyFont="1"/>
    <xf numFmtId="37" fontId="8" fillId="0" borderId="0" xfId="0" applyNumberFormat="1" applyFont="1"/>
    <xf numFmtId="169" fontId="3" fillId="0" borderId="0" xfId="0" applyNumberFormat="1" applyFont="1"/>
    <xf numFmtId="170" fontId="8" fillId="0" borderId="0" xfId="0" applyNumberFormat="1" applyFont="1"/>
    <xf numFmtId="37" fontId="0" fillId="0" borderId="0" xfId="0" applyNumberFormat="1" applyAlignment="1">
      <alignment horizontal="left" indent="1"/>
    </xf>
    <xf numFmtId="0" fontId="4" fillId="0" borderId="3" xfId="0" applyFont="1" applyBorder="1" applyAlignment="1">
      <alignment horizontal="left"/>
    </xf>
    <xf numFmtId="6" fontId="3" fillId="0" borderId="0" xfId="0" applyNumberFormat="1" applyFont="1"/>
    <xf numFmtId="8" fontId="0" fillId="0" borderId="0" xfId="0" applyNumberFormat="1"/>
    <xf numFmtId="171" fontId="0" fillId="0" borderId="0" xfId="0" applyNumberFormat="1"/>
    <xf numFmtId="172" fontId="0" fillId="0" borderId="0" xfId="0" applyNumberFormat="1"/>
    <xf numFmtId="173" fontId="0" fillId="0" borderId="0" xfId="0" applyNumberFormat="1" applyAlignment="1">
      <alignment horizontal="left"/>
    </xf>
    <xf numFmtId="173" fontId="0" fillId="0" borderId="0" xfId="0" applyNumberFormat="1"/>
    <xf numFmtId="173" fontId="3" fillId="0" borderId="0" xfId="0" applyNumberFormat="1" applyFont="1"/>
    <xf numFmtId="173" fontId="10" fillId="0" borderId="0" xfId="0" applyNumberFormat="1" applyFont="1"/>
    <xf numFmtId="37" fontId="13" fillId="0" borderId="0" xfId="0" applyNumberFormat="1" applyFont="1"/>
    <xf numFmtId="9" fontId="0" fillId="0" borderId="0" xfId="0" applyNumberFormat="1" applyAlignment="1">
      <alignment horizontal="center"/>
    </xf>
    <xf numFmtId="0" fontId="0" fillId="0" borderId="0" xfId="0" quotePrefix="1" applyAlignment="1">
      <alignment horizontal="center"/>
    </xf>
    <xf numFmtId="9" fontId="0" fillId="0" borderId="0" xfId="0" applyNumberFormat="1"/>
    <xf numFmtId="6" fontId="0" fillId="0" borderId="0" xfId="0" applyNumberFormat="1" applyAlignment="1">
      <alignment horizontal="center"/>
    </xf>
    <xf numFmtId="9" fontId="0" fillId="0" borderId="0" xfId="0" quotePrefix="1" applyNumberFormat="1" applyAlignment="1">
      <alignment horizontal="center"/>
    </xf>
    <xf numFmtId="0" fontId="0" fillId="0" borderId="7" xfId="0" applyBorder="1" applyAlignment="1">
      <alignment horizontal="center"/>
    </xf>
    <xf numFmtId="0" fontId="5" fillId="0" borderId="7" xfId="0" applyFont="1" applyBorder="1" applyAlignment="1">
      <alignment horizontal="left"/>
    </xf>
    <xf numFmtId="0" fontId="18" fillId="0" borderId="7" xfId="0" applyFont="1" applyBorder="1"/>
    <xf numFmtId="168" fontId="6" fillId="0" borderId="0" xfId="0" applyNumberFormat="1" applyFont="1"/>
    <xf numFmtId="167" fontId="10" fillId="0" borderId="0" xfId="0" applyNumberFormat="1" applyFont="1"/>
    <xf numFmtId="169" fontId="0" fillId="0" borderId="0" xfId="0" applyNumberFormat="1"/>
    <xf numFmtId="169" fontId="8" fillId="0" borderId="0" xfId="0" quotePrefix="1" applyNumberFormat="1" applyFont="1"/>
    <xf numFmtId="169" fontId="10" fillId="0" borderId="0" xfId="1" quotePrefix="1" applyNumberFormat="1" applyFont="1"/>
    <xf numFmtId="169" fontId="0" fillId="0" borderId="0" xfId="0" quotePrefix="1" applyNumberFormat="1"/>
    <xf numFmtId="172" fontId="3" fillId="0" borderId="0" xfId="0" applyNumberFormat="1" applyFont="1"/>
    <xf numFmtId="0" fontId="8" fillId="0" borderId="0" xfId="0" applyFont="1"/>
    <xf numFmtId="0" fontId="8" fillId="0" borderId="0" xfId="0" quotePrefix="1" applyFont="1" applyAlignment="1">
      <alignment horizontal="right"/>
    </xf>
    <xf numFmtId="0" fontId="7" fillId="0" borderId="0" xfId="0" quotePrefix="1" applyFont="1"/>
    <xf numFmtId="10" fontId="8" fillId="0" borderId="0" xfId="1" applyNumberFormat="1" applyFont="1"/>
    <xf numFmtId="37" fontId="0" fillId="0" borderId="0" xfId="0" applyNumberFormat="1" applyAlignment="1">
      <alignment horizontal="center"/>
    </xf>
    <xf numFmtId="172" fontId="10" fillId="0" borderId="0" xfId="0" applyNumberFormat="1" applyFont="1"/>
    <xf numFmtId="3" fontId="8" fillId="0" borderId="0" xfId="0" applyNumberFormat="1" applyFont="1"/>
    <xf numFmtId="168" fontId="0" fillId="0" borderId="0" xfId="0" applyNumberFormat="1" applyAlignment="1">
      <alignment horizontal="center"/>
    </xf>
    <xf numFmtId="0" fontId="11" fillId="0" borderId="3" xfId="0" applyFont="1" applyBorder="1" applyAlignment="1">
      <alignment horizontal="left"/>
    </xf>
    <xf numFmtId="0" fontId="11" fillId="0" borderId="0" xfId="0" applyFont="1" applyAlignment="1">
      <alignment horizontal="left"/>
    </xf>
    <xf numFmtId="37" fontId="19" fillId="0" borderId="0" xfId="0" applyNumberFormat="1" applyFont="1"/>
    <xf numFmtId="171" fontId="10" fillId="0" borderId="0" xfId="0" applyNumberFormat="1" applyFont="1"/>
    <xf numFmtId="171" fontId="10" fillId="0" borderId="0" xfId="0" applyNumberFormat="1" applyFont="1" applyAlignment="1">
      <alignment horizontal="left"/>
    </xf>
    <xf numFmtId="173" fontId="10" fillId="0" borderId="0" xfId="0" applyNumberFormat="1" applyFont="1" applyAlignment="1">
      <alignment horizontal="left"/>
    </xf>
    <xf numFmtId="37" fontId="10" fillId="0" borderId="0" xfId="0" applyNumberFormat="1" applyFont="1" applyAlignment="1">
      <alignment horizontal="left"/>
    </xf>
    <xf numFmtId="37" fontId="4" fillId="0" borderId="0" xfId="0" applyNumberFormat="1" applyFont="1" applyAlignment="1">
      <alignment horizontal="center"/>
    </xf>
    <xf numFmtId="37" fontId="4" fillId="0" borderId="0" xfId="0" applyNumberFormat="1" applyFont="1" applyAlignment="1">
      <alignment horizontal="left"/>
    </xf>
    <xf numFmtId="37" fontId="15" fillId="0" borderId="0" xfId="0" applyNumberFormat="1" applyFont="1"/>
    <xf numFmtId="172" fontId="8" fillId="0" borderId="0" xfId="0" applyNumberFormat="1" applyFont="1"/>
    <xf numFmtId="172" fontId="4" fillId="5" borderId="8" xfId="0" applyNumberFormat="1" applyFont="1" applyFill="1" applyBorder="1" applyAlignment="1">
      <alignment horizontal="centerContinuous"/>
    </xf>
    <xf numFmtId="172" fontId="4" fillId="5" borderId="9" xfId="0" applyNumberFormat="1" applyFont="1" applyFill="1" applyBorder="1" applyAlignment="1">
      <alignment horizontal="centerContinuous"/>
    </xf>
    <xf numFmtId="172" fontId="4" fillId="5" borderId="10" xfId="0" applyNumberFormat="1" applyFont="1" applyFill="1" applyBorder="1" applyAlignment="1">
      <alignment horizontal="centerContinuous"/>
    </xf>
    <xf numFmtId="171" fontId="0" fillId="0" borderId="0" xfId="0" applyNumberFormat="1" applyAlignment="1">
      <alignment horizontal="left"/>
    </xf>
    <xf numFmtId="171" fontId="3" fillId="0" borderId="0" xfId="0" applyNumberFormat="1" applyFont="1"/>
    <xf numFmtId="171" fontId="3" fillId="0" borderId="11" xfId="0" applyNumberFormat="1" applyFont="1" applyBorder="1"/>
    <xf numFmtId="166" fontId="0" fillId="0" borderId="0" xfId="0" applyNumberFormat="1"/>
    <xf numFmtId="166" fontId="0" fillId="0" borderId="0" xfId="0" applyNumberFormat="1" applyAlignment="1">
      <alignment horizontal="left"/>
    </xf>
    <xf numFmtId="166" fontId="3" fillId="4" borderId="0" xfId="0" applyNumberFormat="1" applyFont="1" applyFill="1"/>
    <xf numFmtId="168" fontId="11" fillId="0" borderId="0" xfId="0" applyNumberFormat="1" applyFont="1"/>
    <xf numFmtId="168" fontId="12" fillId="0" borderId="0" xfId="0" applyNumberFormat="1" applyFont="1" applyAlignment="1">
      <alignment horizontal="left"/>
    </xf>
    <xf numFmtId="169" fontId="4" fillId="0" borderId="0" xfId="0" applyNumberFormat="1" applyFont="1"/>
    <xf numFmtId="169" fontId="3" fillId="4" borderId="0" xfId="0" applyNumberFormat="1" applyFont="1" applyFill="1"/>
    <xf numFmtId="0" fontId="5" fillId="2" borderId="5" xfId="0" applyFont="1" applyFill="1" applyBorder="1"/>
    <xf numFmtId="167" fontId="0" fillId="2" borderId="6" xfId="0" applyNumberFormat="1" applyFill="1" applyBorder="1"/>
    <xf numFmtId="4" fontId="0" fillId="0" borderId="0" xfId="0" applyNumberFormat="1"/>
    <xf numFmtId="0" fontId="20" fillId="0" borderId="0" xfId="0" applyFont="1"/>
    <xf numFmtId="0" fontId="20" fillId="0" borderId="0" xfId="0" applyFont="1" applyAlignment="1">
      <alignment horizontal="left"/>
    </xf>
    <xf numFmtId="0" fontId="20" fillId="0" borderId="0" xfId="0" applyFont="1" applyAlignment="1">
      <alignment horizontal="left" indent="1"/>
    </xf>
    <xf numFmtId="172" fontId="20" fillId="0" borderId="0" xfId="0" applyNumberFormat="1" applyFont="1"/>
    <xf numFmtId="37" fontId="21" fillId="0" borderId="0" xfId="0" applyNumberFormat="1" applyFont="1"/>
    <xf numFmtId="172" fontId="6" fillId="0" borderId="0" xfId="0" applyNumberFormat="1" applyFont="1"/>
    <xf numFmtId="37" fontId="16" fillId="0" borderId="0" xfId="0" applyNumberFormat="1" applyFont="1"/>
    <xf numFmtId="167" fontId="8" fillId="0" borderId="0" xfId="0" applyNumberFormat="1" applyFont="1"/>
    <xf numFmtId="37" fontId="20" fillId="0" borderId="0" xfId="0" applyNumberFormat="1" applyFont="1"/>
    <xf numFmtId="3" fontId="0" fillId="0" borderId="0" xfId="0" applyNumberFormat="1"/>
    <xf numFmtId="4" fontId="10" fillId="0" borderId="0" xfId="0" applyNumberFormat="1" applyFont="1" applyAlignment="1">
      <alignment horizontal="center"/>
    </xf>
    <xf numFmtId="172" fontId="10" fillId="0" borderId="0" xfId="0" applyNumberFormat="1" applyFont="1" applyAlignment="1">
      <alignment horizontal="center"/>
    </xf>
    <xf numFmtId="172" fontId="15" fillId="0" borderId="0" xfId="0" applyNumberFormat="1" applyFont="1"/>
    <xf numFmtId="0" fontId="15" fillId="0" borderId="0" xfId="0" applyFont="1"/>
    <xf numFmtId="167" fontId="16" fillId="0" borderId="0" xfId="0" applyNumberFormat="1" applyFont="1"/>
    <xf numFmtId="4" fontId="3" fillId="0" borderId="0" xfId="0" applyNumberFormat="1" applyFont="1" applyAlignment="1">
      <alignment horizontal="center"/>
    </xf>
    <xf numFmtId="172" fontId="3" fillId="0" borderId="0" xfId="0" applyNumberFormat="1" applyFont="1" applyAlignment="1">
      <alignment horizontal="center"/>
    </xf>
    <xf numFmtId="4" fontId="10" fillId="0" borderId="0" xfId="0" applyNumberFormat="1" applyFont="1"/>
    <xf numFmtId="170" fontId="10" fillId="0" borderId="0" xfId="1" applyNumberFormat="1" applyFont="1"/>
    <xf numFmtId="174" fontId="0" fillId="0" borderId="0" xfId="0" applyNumberFormat="1" applyAlignment="1">
      <alignment horizontal="left" indent="1"/>
    </xf>
    <xf numFmtId="174" fontId="0" fillId="0" borderId="0" xfId="0" applyNumberFormat="1"/>
    <xf numFmtId="174" fontId="10" fillId="0" borderId="0" xfId="0" applyNumberFormat="1" applyFont="1"/>
    <xf numFmtId="172" fontId="11" fillId="0" borderId="0" xfId="0" applyNumberFormat="1" applyFont="1"/>
    <xf numFmtId="175" fontId="10" fillId="0" borderId="0" xfId="0" applyNumberFormat="1" applyFont="1"/>
    <xf numFmtId="4" fontId="3" fillId="0" borderId="0" xfId="0" applyNumberFormat="1" applyFont="1"/>
    <xf numFmtId="175" fontId="0" fillId="0" borderId="0" xfId="0" applyNumberFormat="1"/>
    <xf numFmtId="37" fontId="10" fillId="0" borderId="9" xfId="0" applyNumberFormat="1" applyFont="1" applyBorder="1" applyAlignment="1">
      <alignment horizontal="centerContinuous"/>
    </xf>
    <xf numFmtId="0" fontId="11" fillId="0" borderId="0" xfId="0" applyFont="1"/>
    <xf numFmtId="170" fontId="0" fillId="0" borderId="0" xfId="1" applyNumberFormat="1" applyFont="1"/>
    <xf numFmtId="0" fontId="0" fillId="0" borderId="0" xfId="0" applyAlignment="1">
      <alignment horizontal="left" indent="2"/>
    </xf>
    <xf numFmtId="0" fontId="3" fillId="0" borderId="0" xfId="0" applyFont="1" applyAlignment="1">
      <alignment horizontal="left" indent="1"/>
    </xf>
    <xf numFmtId="8" fontId="4" fillId="0" borderId="0" xfId="0" applyNumberFormat="1" applyFont="1"/>
    <xf numFmtId="8" fontId="14" fillId="0" borderId="0" xfId="0" applyNumberFormat="1" applyFont="1"/>
    <xf numFmtId="8" fontId="11" fillId="0" borderId="0" xfId="0" applyNumberFormat="1" applyFont="1"/>
    <xf numFmtId="8" fontId="20" fillId="0" borderId="0" xfId="0" applyNumberFormat="1" applyFont="1" applyAlignment="1">
      <alignment horizontal="left"/>
    </xf>
    <xf numFmtId="8" fontId="20" fillId="0" borderId="0" xfId="0" applyNumberFormat="1" applyFont="1" applyAlignment="1">
      <alignment horizontal="left" indent="1"/>
    </xf>
    <xf numFmtId="8" fontId="20" fillId="0" borderId="0" xfId="0" applyNumberFormat="1" applyFont="1"/>
    <xf numFmtId="8" fontId="21" fillId="0" borderId="0" xfId="0" applyNumberFormat="1" applyFont="1"/>
    <xf numFmtId="176" fontId="0" fillId="0" borderId="0" xfId="0" applyNumberFormat="1" applyAlignment="1">
      <alignment horizontal="left" indent="1"/>
    </xf>
    <xf numFmtId="176" fontId="0" fillId="0" borderId="0" xfId="0" applyNumberFormat="1"/>
    <xf numFmtId="0" fontId="10" fillId="2" borderId="5" xfId="0" applyFont="1" applyFill="1" applyBorder="1"/>
    <xf numFmtId="37" fontId="13" fillId="0" borderId="0" xfId="0" applyNumberFormat="1" applyFont="1" applyAlignment="1">
      <alignment horizontal="left" indent="2"/>
    </xf>
    <xf numFmtId="168" fontId="13" fillId="0" borderId="0" xfId="0" applyNumberFormat="1" applyFont="1" applyAlignment="1">
      <alignment horizontal="left" indent="2"/>
    </xf>
    <xf numFmtId="168" fontId="10" fillId="0" borderId="0" xfId="0" applyNumberFormat="1" applyFont="1" applyAlignment="1">
      <alignment horizontal="left" indent="2"/>
    </xf>
    <xf numFmtId="37" fontId="10" fillId="0" borderId="0" xfId="0" applyNumberFormat="1" applyFont="1" applyAlignment="1">
      <alignment horizontal="left" indent="1"/>
    </xf>
    <xf numFmtId="37" fontId="11" fillId="0" borderId="0" xfId="0" applyNumberFormat="1" applyFont="1" applyAlignment="1">
      <alignment horizontal="left"/>
    </xf>
    <xf numFmtId="37" fontId="22" fillId="0" borderId="0" xfId="0" applyNumberFormat="1" applyFont="1" applyAlignment="1">
      <alignment horizontal="left"/>
    </xf>
    <xf numFmtId="177" fontId="0" fillId="0" borderId="0" xfId="0" applyNumberFormat="1"/>
    <xf numFmtId="177" fontId="3" fillId="0" borderId="0" xfId="0" applyNumberFormat="1" applyFont="1"/>
    <xf numFmtId="177" fontId="10" fillId="0" borderId="0" xfId="0" applyNumberFormat="1" applyFont="1"/>
    <xf numFmtId="0" fontId="6" fillId="0" borderId="0" xfId="0" applyFont="1" applyAlignment="1">
      <alignment horizontal="left" indent="2"/>
    </xf>
    <xf numFmtId="0" fontId="23" fillId="0" borderId="0" xfId="0" applyFont="1"/>
    <xf numFmtId="177" fontId="0" fillId="0" borderId="0" xfId="0" applyNumberFormat="1" applyAlignment="1">
      <alignment horizontal="left" indent="1"/>
    </xf>
    <xf numFmtId="177" fontId="0" fillId="0" borderId="0" xfId="1" applyNumberFormat="1" applyFont="1"/>
    <xf numFmtId="177" fontId="10" fillId="0" borderId="0" xfId="1" applyNumberFormat="1" applyFont="1"/>
    <xf numFmtId="8" fontId="0" fillId="0" borderId="0" xfId="0" applyNumberFormat="1" applyAlignment="1">
      <alignment horizontal="left"/>
    </xf>
    <xf numFmtId="8" fontId="10" fillId="0" borderId="0" xfId="0" applyNumberFormat="1" applyFont="1"/>
    <xf numFmtId="0" fontId="4" fillId="2" borderId="8" xfId="0" applyFont="1" applyFill="1" applyBorder="1"/>
    <xf numFmtId="0" fontId="4" fillId="2" borderId="9" xfId="0" applyFont="1" applyFill="1" applyBorder="1"/>
    <xf numFmtId="0" fontId="0" fillId="2" borderId="9" xfId="0" applyFill="1" applyBorder="1"/>
    <xf numFmtId="0" fontId="10" fillId="2" borderId="6" xfId="0" applyFont="1" applyFill="1" applyBorder="1"/>
    <xf numFmtId="5" fontId="3" fillId="0" borderId="0" xfId="0" applyNumberFormat="1" applyFont="1"/>
    <xf numFmtId="37" fontId="0" fillId="0" borderId="2" xfId="0" applyNumberFormat="1" applyBorder="1"/>
    <xf numFmtId="167" fontId="13" fillId="0" borderId="2" xfId="0" applyNumberFormat="1" applyFont="1" applyBorder="1"/>
    <xf numFmtId="167" fontId="0" fillId="0" borderId="0" xfId="0" applyNumberFormat="1"/>
    <xf numFmtId="178" fontId="0" fillId="0" borderId="0" xfId="0" applyNumberFormat="1"/>
    <xf numFmtId="10" fontId="0" fillId="0" borderId="0" xfId="0" applyNumberFormat="1"/>
    <xf numFmtId="168" fontId="14" fillId="0" borderId="0" xfId="0" applyNumberFormat="1" applyFont="1"/>
    <xf numFmtId="0" fontId="11" fillId="0" borderId="0" xfId="0" applyFont="1" applyAlignment="1">
      <alignment horizontal="center"/>
    </xf>
    <xf numFmtId="9" fontId="10" fillId="0" borderId="0" xfId="1" applyFont="1"/>
    <xf numFmtId="170" fontId="0" fillId="0" borderId="0" xfId="0" applyNumberFormat="1"/>
    <xf numFmtId="169" fontId="11" fillId="0" borderId="0" xfId="0" applyNumberFormat="1" applyFont="1" applyAlignment="1">
      <alignment horizontal="left"/>
    </xf>
    <xf numFmtId="169" fontId="11" fillId="0" borderId="0" xfId="0" applyNumberFormat="1" applyFont="1"/>
    <xf numFmtId="169" fontId="10" fillId="0" borderId="0" xfId="0" applyNumberFormat="1" applyFont="1" applyAlignment="1">
      <alignment horizontal="left" indent="1"/>
    </xf>
    <xf numFmtId="170" fontId="0" fillId="0" borderId="0" xfId="0" applyNumberFormat="1" applyAlignment="1">
      <alignment horizontal="left" indent="1"/>
    </xf>
    <xf numFmtId="170" fontId="0" fillId="0" borderId="0" xfId="1" applyNumberFormat="1" applyFont="1" applyAlignment="1">
      <alignment horizontal="left" indent="1"/>
    </xf>
    <xf numFmtId="0" fontId="12" fillId="0" borderId="0" xfId="0" applyFont="1"/>
    <xf numFmtId="172" fontId="19" fillId="0" borderId="0" xfId="0" applyNumberFormat="1" applyFont="1"/>
    <xf numFmtId="14" fontId="24" fillId="6" borderId="0" xfId="0" applyNumberFormat="1" applyFont="1" applyFill="1" applyAlignment="1">
      <alignment horizontal="left"/>
    </xf>
    <xf numFmtId="179" fontId="24" fillId="6" borderId="0" xfId="0" applyNumberFormat="1" applyFont="1" applyFill="1"/>
    <xf numFmtId="173" fontId="0" fillId="0" borderId="0" xfId="0" applyNumberFormat="1" applyAlignment="1">
      <alignment horizontal="center"/>
    </xf>
    <xf numFmtId="173" fontId="10" fillId="0" borderId="0" xfId="0" applyNumberFormat="1" applyFont="1" applyAlignment="1">
      <alignment horizontal="left" indent="1"/>
    </xf>
    <xf numFmtId="173" fontId="20" fillId="0" borderId="0" xfId="0" applyNumberFormat="1" applyFont="1"/>
    <xf numFmtId="173" fontId="4" fillId="0" borderId="0" xfId="0" applyNumberFormat="1" applyFont="1" applyAlignment="1">
      <alignment horizontal="center"/>
    </xf>
    <xf numFmtId="173" fontId="11" fillId="0" borderId="0" xfId="0" applyNumberFormat="1" applyFont="1" applyAlignment="1">
      <alignment horizontal="left"/>
    </xf>
    <xf numFmtId="173" fontId="11" fillId="0" borderId="0" xfId="0" applyNumberFormat="1" applyFont="1"/>
    <xf numFmtId="173" fontId="21" fillId="0" borderId="0" xfId="0" applyNumberFormat="1" applyFont="1"/>
    <xf numFmtId="173" fontId="4" fillId="0" borderId="0" xfId="0" applyNumberFormat="1" applyFont="1"/>
    <xf numFmtId="0" fontId="0" fillId="0" borderId="0" xfId="0" quotePrefix="1"/>
    <xf numFmtId="0" fontId="3" fillId="0" borderId="0" xfId="0" applyFont="1" applyAlignment="1">
      <alignment horizontal="right"/>
    </xf>
    <xf numFmtId="14" fontId="11" fillId="0" borderId="7" xfId="0" applyNumberFormat="1" applyFont="1" applyBorder="1" applyAlignment="1">
      <alignment horizontal="right"/>
    </xf>
    <xf numFmtId="0" fontId="4" fillId="0" borderId="7" xfId="0" applyFont="1" applyBorder="1" applyAlignment="1">
      <alignment horizontal="center"/>
    </xf>
    <xf numFmtId="14" fontId="10" fillId="0" borderId="0" xfId="0" applyNumberFormat="1" applyFont="1" applyAlignment="1">
      <alignment horizontal="right" vertical="center"/>
    </xf>
    <xf numFmtId="180" fontId="29" fillId="0" borderId="0" xfId="0" quotePrefix="1" applyNumberFormat="1" applyFont="1" applyAlignment="1">
      <alignment horizontal="left"/>
    </xf>
    <xf numFmtId="14" fontId="10" fillId="0" borderId="0" xfId="0" applyNumberFormat="1" applyFont="1" applyAlignment="1">
      <alignment horizontal="right"/>
    </xf>
    <xf numFmtId="0" fontId="2" fillId="7" borderId="0" xfId="0" applyFont="1" applyFill="1" applyAlignment="1">
      <alignment horizontal="centerContinuous"/>
    </xf>
    <xf numFmtId="0" fontId="30" fillId="0" borderId="0" xfId="0" applyFont="1"/>
    <xf numFmtId="0" fontId="23" fillId="0" borderId="0" xfId="0" applyFont="1" applyAlignment="1">
      <alignment horizontal="center"/>
    </xf>
    <xf numFmtId="0" fontId="23" fillId="0" borderId="12" xfId="0" applyFont="1" applyBorder="1" applyAlignment="1">
      <alignment horizontal="center"/>
    </xf>
    <xf numFmtId="0" fontId="0" fillId="0" borderId="12" xfId="0" applyBorder="1"/>
    <xf numFmtId="4" fontId="3" fillId="0" borderId="12" xfId="0" applyNumberFormat="1" applyFont="1" applyBorder="1"/>
    <xf numFmtId="4" fontId="4" fillId="0" borderId="0" xfId="0" applyNumberFormat="1" applyFont="1"/>
    <xf numFmtId="4" fontId="4" fillId="0" borderId="12" xfId="0" applyNumberFormat="1" applyFont="1" applyBorder="1"/>
    <xf numFmtId="4" fontId="15" fillId="0" borderId="0" xfId="0" applyNumberFormat="1" applyFont="1"/>
    <xf numFmtId="6" fontId="0" fillId="0" borderId="0" xfId="0" applyNumberFormat="1"/>
    <xf numFmtId="6" fontId="0" fillId="0" borderId="12" xfId="0" applyNumberFormat="1" applyBorder="1"/>
    <xf numFmtId="0" fontId="32" fillId="0" borderId="0" xfId="2" applyFont="1"/>
    <xf numFmtId="6" fontId="4" fillId="0" borderId="0" xfId="0" applyNumberFormat="1" applyFont="1"/>
    <xf numFmtId="6" fontId="4" fillId="0" borderId="12" xfId="0" applyNumberFormat="1" applyFont="1" applyBorder="1"/>
    <xf numFmtId="9" fontId="8" fillId="0" borderId="0" xfId="0" applyNumberFormat="1" applyFont="1"/>
    <xf numFmtId="9" fontId="8" fillId="0" borderId="12" xfId="0" applyNumberFormat="1" applyFont="1" applyBorder="1"/>
    <xf numFmtId="170" fontId="1" fillId="0" borderId="0" xfId="1" applyNumberFormat="1" applyFont="1"/>
    <xf numFmtId="170" fontId="1" fillId="0" borderId="12" xfId="1" applyNumberFormat="1" applyFont="1" applyBorder="1"/>
    <xf numFmtId="3" fontId="20" fillId="0" borderId="0" xfId="0" applyNumberFormat="1" applyFont="1"/>
    <xf numFmtId="3" fontId="20" fillId="0" borderId="13" xfId="0" applyNumberFormat="1" applyFont="1" applyBorder="1"/>
    <xf numFmtId="8" fontId="11" fillId="0" borderId="12" xfId="0" applyNumberFormat="1" applyFont="1" applyBorder="1"/>
    <xf numFmtId="3" fontId="11" fillId="0" borderId="0" xfId="0" applyNumberFormat="1" applyFont="1"/>
    <xf numFmtId="170" fontId="0" fillId="0" borderId="12" xfId="1" applyNumberFormat="1" applyFont="1" applyBorder="1"/>
    <xf numFmtId="9" fontId="3" fillId="0" borderId="0" xfId="0" applyNumberFormat="1" applyFont="1"/>
    <xf numFmtId="9" fontId="3" fillId="0" borderId="12" xfId="0" applyNumberFormat="1" applyFont="1" applyBorder="1"/>
    <xf numFmtId="0" fontId="19" fillId="0" borderId="0" xfId="0" applyFont="1"/>
    <xf numFmtId="9" fontId="0" fillId="0" borderId="12" xfId="0" applyNumberFormat="1" applyBorder="1"/>
    <xf numFmtId="37" fontId="0" fillId="0" borderId="12" xfId="0" applyNumberFormat="1" applyBorder="1"/>
    <xf numFmtId="8" fontId="4" fillId="0" borderId="12" xfId="0" applyNumberFormat="1" applyFont="1" applyBorder="1"/>
    <xf numFmtId="169" fontId="0" fillId="0" borderId="0" xfId="1" applyNumberFormat="1" applyFont="1"/>
    <xf numFmtId="169" fontId="0" fillId="0" borderId="12" xfId="1" applyNumberFormat="1" applyFont="1" applyBorder="1"/>
    <xf numFmtId="0" fontId="4" fillId="6" borderId="0" xfId="0" applyFont="1" applyFill="1" applyAlignment="1">
      <alignment horizontal="centerContinuous"/>
    </xf>
    <xf numFmtId="0" fontId="4" fillId="6" borderId="14" xfId="0" applyFont="1" applyFill="1" applyBorder="1" applyAlignment="1">
      <alignment horizontal="centerContinuous"/>
    </xf>
    <xf numFmtId="0" fontId="4" fillId="6" borderId="12" xfId="0" applyFont="1" applyFill="1" applyBorder="1" applyAlignment="1">
      <alignment horizontal="centerContinuous"/>
    </xf>
    <xf numFmtId="8" fontId="33" fillId="0" borderId="0" xfId="0" applyNumberFormat="1" applyFont="1" applyAlignment="1">
      <alignment horizontal="center"/>
    </xf>
    <xf numFmtId="8" fontId="33" fillId="0" borderId="12" xfId="0" applyNumberFormat="1" applyFont="1" applyBorder="1" applyAlignment="1">
      <alignment horizontal="center"/>
    </xf>
    <xf numFmtId="173" fontId="34" fillId="0" borderId="0" xfId="0" applyNumberFormat="1" applyFont="1"/>
    <xf numFmtId="173" fontId="10" fillId="0" borderId="12" xfId="0" applyNumberFormat="1" applyFont="1" applyBorder="1"/>
    <xf numFmtId="0" fontId="0" fillId="0" borderId="2" xfId="0" applyBorder="1" applyAlignment="1">
      <alignment horizontal="left"/>
    </xf>
    <xf numFmtId="0" fontId="0" fillId="0" borderId="2" xfId="0" applyBorder="1"/>
    <xf numFmtId="173" fontId="10" fillId="0" borderId="2" xfId="0" applyNumberFormat="1" applyFont="1" applyBorder="1"/>
    <xf numFmtId="173" fontId="10" fillId="0" borderId="15" xfId="0" applyNumberFormat="1" applyFont="1" applyBorder="1"/>
    <xf numFmtId="0" fontId="6" fillId="0" borderId="0" xfId="0" applyFont="1" applyAlignment="1">
      <alignment horizontal="left" indent="1"/>
    </xf>
    <xf numFmtId="8" fontId="21" fillId="0" borderId="12" xfId="0" applyNumberFormat="1" applyFont="1" applyBorder="1"/>
    <xf numFmtId="171" fontId="4" fillId="0" borderId="0" xfId="0" applyNumberFormat="1" applyFont="1"/>
    <xf numFmtId="171" fontId="4" fillId="0" borderId="12" xfId="0" applyNumberFormat="1" applyFont="1" applyBorder="1"/>
    <xf numFmtId="14" fontId="0" fillId="0" borderId="0" xfId="0" applyNumberFormat="1"/>
    <xf numFmtId="0" fontId="4" fillId="0" borderId="3" xfId="0" applyFont="1" applyBorder="1"/>
    <xf numFmtId="14" fontId="4" fillId="0" borderId="0" xfId="0" applyNumberFormat="1" applyFont="1"/>
    <xf numFmtId="14" fontId="4" fillId="0" borderId="0" xfId="0" applyNumberFormat="1" applyFont="1" applyAlignment="1">
      <alignment horizontal="center"/>
    </xf>
    <xf numFmtId="14" fontId="0" fillId="0" borderId="0" xfId="0" applyNumberFormat="1" applyAlignment="1">
      <alignment horizontal="right"/>
    </xf>
    <xf numFmtId="14" fontId="4" fillId="0" borderId="11" xfId="0" applyNumberFormat="1" applyFont="1" applyBorder="1" applyAlignment="1">
      <alignment horizontal="right"/>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22</xdr:col>
      <xdr:colOff>0</xdr:colOff>
      <xdr:row>0</xdr:row>
      <xdr:rowOff>57150</xdr:rowOff>
    </xdr:from>
    <xdr:to>
      <xdr:col>22</xdr:col>
      <xdr:colOff>0</xdr:colOff>
      <xdr:row>904</xdr:row>
      <xdr:rowOff>188830</xdr:rowOff>
    </xdr:to>
    <xdr:sp macro="" textlink="">
      <xdr:nvSpPr>
        <xdr:cNvPr id="2" name="Line 22">
          <a:extLst>
            <a:ext uri="{FF2B5EF4-FFF2-40B4-BE49-F238E27FC236}">
              <a16:creationId xmlns:a16="http://schemas.microsoft.com/office/drawing/2014/main" id="{88C20DEF-C067-43A1-B2B3-7A2E10F93749}"/>
            </a:ext>
          </a:extLst>
        </xdr:cNvPr>
        <xdr:cNvSpPr>
          <a:spLocks noChangeShapeType="1"/>
        </xdr:cNvSpPr>
      </xdr:nvSpPr>
      <xdr:spPr bwMode="auto">
        <a:xfrm>
          <a:off x="3028950" y="5715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26</xdr:col>
      <xdr:colOff>0</xdr:colOff>
      <xdr:row>0</xdr:row>
      <xdr:rowOff>0</xdr:rowOff>
    </xdr:from>
    <xdr:to>
      <xdr:col>26</xdr:col>
      <xdr:colOff>0</xdr:colOff>
      <xdr:row>904</xdr:row>
      <xdr:rowOff>131680</xdr:rowOff>
    </xdr:to>
    <xdr:sp macro="" textlink="">
      <xdr:nvSpPr>
        <xdr:cNvPr id="3" name="Line 22">
          <a:extLst>
            <a:ext uri="{FF2B5EF4-FFF2-40B4-BE49-F238E27FC236}">
              <a16:creationId xmlns:a16="http://schemas.microsoft.com/office/drawing/2014/main" id="{8C44B8E0-6AEC-4577-8BFC-639757CAE125}"/>
            </a:ext>
          </a:extLst>
        </xdr:cNvPr>
        <xdr:cNvSpPr>
          <a:spLocks noChangeShapeType="1"/>
        </xdr:cNvSpPr>
      </xdr:nvSpPr>
      <xdr:spPr bwMode="auto">
        <a:xfrm>
          <a:off x="30289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30</xdr:col>
      <xdr:colOff>0</xdr:colOff>
      <xdr:row>0</xdr:row>
      <xdr:rowOff>0</xdr:rowOff>
    </xdr:from>
    <xdr:to>
      <xdr:col>30</xdr:col>
      <xdr:colOff>0</xdr:colOff>
      <xdr:row>904</xdr:row>
      <xdr:rowOff>131680</xdr:rowOff>
    </xdr:to>
    <xdr:sp macro="" textlink="">
      <xdr:nvSpPr>
        <xdr:cNvPr id="4" name="Line 22">
          <a:extLst>
            <a:ext uri="{FF2B5EF4-FFF2-40B4-BE49-F238E27FC236}">
              <a16:creationId xmlns:a16="http://schemas.microsoft.com/office/drawing/2014/main" id="{5219171F-9A9B-458B-A4B8-D96477D89207}"/>
            </a:ext>
          </a:extLst>
        </xdr:cNvPr>
        <xdr:cNvSpPr>
          <a:spLocks noChangeShapeType="1"/>
        </xdr:cNvSpPr>
      </xdr:nvSpPr>
      <xdr:spPr bwMode="auto">
        <a:xfrm>
          <a:off x="30289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0</xdr:row>
      <xdr:rowOff>0</xdr:rowOff>
    </xdr:from>
    <xdr:to>
      <xdr:col>34</xdr:col>
      <xdr:colOff>0</xdr:colOff>
      <xdr:row>904</xdr:row>
      <xdr:rowOff>131680</xdr:rowOff>
    </xdr:to>
    <xdr:sp macro="" textlink="">
      <xdr:nvSpPr>
        <xdr:cNvPr id="5" name="Line 22">
          <a:extLst>
            <a:ext uri="{FF2B5EF4-FFF2-40B4-BE49-F238E27FC236}">
              <a16:creationId xmlns:a16="http://schemas.microsoft.com/office/drawing/2014/main" id="{C5FB57FE-4F98-45B1-ABCC-A1FE89DBA7C2}"/>
            </a:ext>
          </a:extLst>
        </xdr:cNvPr>
        <xdr:cNvSpPr>
          <a:spLocks noChangeShapeType="1"/>
        </xdr:cNvSpPr>
      </xdr:nvSpPr>
      <xdr:spPr bwMode="auto">
        <a:xfrm>
          <a:off x="30289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38</xdr:col>
      <xdr:colOff>9525</xdr:colOff>
      <xdr:row>0</xdr:row>
      <xdr:rowOff>0</xdr:rowOff>
    </xdr:from>
    <xdr:to>
      <xdr:col>38</xdr:col>
      <xdr:colOff>9525</xdr:colOff>
      <xdr:row>904</xdr:row>
      <xdr:rowOff>131680</xdr:rowOff>
    </xdr:to>
    <xdr:sp macro="" textlink="">
      <xdr:nvSpPr>
        <xdr:cNvPr id="6" name="Line 22">
          <a:extLst>
            <a:ext uri="{FF2B5EF4-FFF2-40B4-BE49-F238E27FC236}">
              <a16:creationId xmlns:a16="http://schemas.microsoft.com/office/drawing/2014/main" id="{06994BC1-E22B-4450-AE7D-DBC70F482A39}"/>
            </a:ext>
          </a:extLst>
        </xdr:cNvPr>
        <xdr:cNvSpPr>
          <a:spLocks noChangeShapeType="1"/>
        </xdr:cNvSpPr>
      </xdr:nvSpPr>
      <xdr:spPr bwMode="auto">
        <a:xfrm>
          <a:off x="3038475"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42</xdr:col>
      <xdr:colOff>0</xdr:colOff>
      <xdr:row>0</xdr:row>
      <xdr:rowOff>0</xdr:rowOff>
    </xdr:from>
    <xdr:to>
      <xdr:col>42</xdr:col>
      <xdr:colOff>0</xdr:colOff>
      <xdr:row>904</xdr:row>
      <xdr:rowOff>131680</xdr:rowOff>
    </xdr:to>
    <xdr:sp macro="" textlink="">
      <xdr:nvSpPr>
        <xdr:cNvPr id="7" name="Line 22">
          <a:extLst>
            <a:ext uri="{FF2B5EF4-FFF2-40B4-BE49-F238E27FC236}">
              <a16:creationId xmlns:a16="http://schemas.microsoft.com/office/drawing/2014/main" id="{1E461A61-3EB9-406C-9406-E26CD6816D9E}"/>
            </a:ext>
          </a:extLst>
        </xdr:cNvPr>
        <xdr:cNvSpPr>
          <a:spLocks noChangeShapeType="1"/>
        </xdr:cNvSpPr>
      </xdr:nvSpPr>
      <xdr:spPr bwMode="auto">
        <a:xfrm>
          <a:off x="56197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0</xdr:row>
      <xdr:rowOff>0</xdr:rowOff>
    </xdr:from>
    <xdr:to>
      <xdr:col>46</xdr:col>
      <xdr:colOff>9525</xdr:colOff>
      <xdr:row>904</xdr:row>
      <xdr:rowOff>131680</xdr:rowOff>
    </xdr:to>
    <xdr:sp macro="" textlink="">
      <xdr:nvSpPr>
        <xdr:cNvPr id="8" name="Line 22">
          <a:extLst>
            <a:ext uri="{FF2B5EF4-FFF2-40B4-BE49-F238E27FC236}">
              <a16:creationId xmlns:a16="http://schemas.microsoft.com/office/drawing/2014/main" id="{E87CE075-E636-4947-980F-B350908CFB35}"/>
            </a:ext>
          </a:extLst>
        </xdr:cNvPr>
        <xdr:cNvSpPr>
          <a:spLocks noChangeShapeType="1"/>
        </xdr:cNvSpPr>
      </xdr:nvSpPr>
      <xdr:spPr bwMode="auto">
        <a:xfrm>
          <a:off x="8220075"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50</xdr:col>
      <xdr:colOff>0</xdr:colOff>
      <xdr:row>0</xdr:row>
      <xdr:rowOff>0</xdr:rowOff>
    </xdr:from>
    <xdr:to>
      <xdr:col>50</xdr:col>
      <xdr:colOff>0</xdr:colOff>
      <xdr:row>904</xdr:row>
      <xdr:rowOff>131680</xdr:rowOff>
    </xdr:to>
    <xdr:sp macro="" textlink="">
      <xdr:nvSpPr>
        <xdr:cNvPr id="9" name="Line 22">
          <a:extLst>
            <a:ext uri="{FF2B5EF4-FFF2-40B4-BE49-F238E27FC236}">
              <a16:creationId xmlns:a16="http://schemas.microsoft.com/office/drawing/2014/main" id="{AE5025DC-0682-4929-929C-8C7EA156E36F}"/>
            </a:ext>
          </a:extLst>
        </xdr:cNvPr>
        <xdr:cNvSpPr>
          <a:spLocks noChangeShapeType="1"/>
        </xdr:cNvSpPr>
      </xdr:nvSpPr>
      <xdr:spPr bwMode="auto">
        <a:xfrm>
          <a:off x="108013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54</xdr:col>
      <xdr:colOff>9525</xdr:colOff>
      <xdr:row>0</xdr:row>
      <xdr:rowOff>0</xdr:rowOff>
    </xdr:from>
    <xdr:to>
      <xdr:col>54</xdr:col>
      <xdr:colOff>9525</xdr:colOff>
      <xdr:row>904</xdr:row>
      <xdr:rowOff>131680</xdr:rowOff>
    </xdr:to>
    <xdr:sp macro="" textlink="">
      <xdr:nvSpPr>
        <xdr:cNvPr id="10" name="Line 22">
          <a:extLst>
            <a:ext uri="{FF2B5EF4-FFF2-40B4-BE49-F238E27FC236}">
              <a16:creationId xmlns:a16="http://schemas.microsoft.com/office/drawing/2014/main" id="{13AF713B-857A-4178-B481-86C0FFC7E5C1}"/>
            </a:ext>
          </a:extLst>
        </xdr:cNvPr>
        <xdr:cNvSpPr>
          <a:spLocks noChangeShapeType="1"/>
        </xdr:cNvSpPr>
      </xdr:nvSpPr>
      <xdr:spPr bwMode="auto">
        <a:xfrm>
          <a:off x="13401675"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txBody>
        <a:bodyPr/>
        <a:lstStyle/>
        <a:p>
          <a:r>
            <a:rPr lang="en-US"/>
            <a:t>  </a:t>
          </a:r>
        </a:p>
      </xdr:txBody>
    </xdr:sp>
    <xdr:clientData/>
  </xdr:twoCellAnchor>
  <xdr:twoCellAnchor>
    <xdr:from>
      <xdr:col>58</xdr:col>
      <xdr:colOff>0</xdr:colOff>
      <xdr:row>0</xdr:row>
      <xdr:rowOff>0</xdr:rowOff>
    </xdr:from>
    <xdr:to>
      <xdr:col>58</xdr:col>
      <xdr:colOff>0</xdr:colOff>
      <xdr:row>904</xdr:row>
      <xdr:rowOff>131680</xdr:rowOff>
    </xdr:to>
    <xdr:sp macro="" textlink="">
      <xdr:nvSpPr>
        <xdr:cNvPr id="11" name="Line 22">
          <a:extLst>
            <a:ext uri="{FF2B5EF4-FFF2-40B4-BE49-F238E27FC236}">
              <a16:creationId xmlns:a16="http://schemas.microsoft.com/office/drawing/2014/main" id="{3C79A0D7-7C55-4807-83F0-522518B58EFF}"/>
            </a:ext>
          </a:extLst>
        </xdr:cNvPr>
        <xdr:cNvSpPr>
          <a:spLocks noChangeShapeType="1"/>
        </xdr:cNvSpPr>
      </xdr:nvSpPr>
      <xdr:spPr bwMode="auto">
        <a:xfrm>
          <a:off x="159829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62</xdr:col>
      <xdr:colOff>46756</xdr:colOff>
      <xdr:row>0</xdr:row>
      <xdr:rowOff>6569</xdr:rowOff>
    </xdr:from>
    <xdr:to>
      <xdr:col>62</xdr:col>
      <xdr:colOff>46756</xdr:colOff>
      <xdr:row>904</xdr:row>
      <xdr:rowOff>138249</xdr:rowOff>
    </xdr:to>
    <xdr:sp macro="" textlink="">
      <xdr:nvSpPr>
        <xdr:cNvPr id="12" name="Line 22">
          <a:extLst>
            <a:ext uri="{FF2B5EF4-FFF2-40B4-BE49-F238E27FC236}">
              <a16:creationId xmlns:a16="http://schemas.microsoft.com/office/drawing/2014/main" id="{13713C8E-F5D3-49F2-9057-3473CCB2EB22}"/>
            </a:ext>
          </a:extLst>
        </xdr:cNvPr>
        <xdr:cNvSpPr>
          <a:spLocks noChangeShapeType="1"/>
        </xdr:cNvSpPr>
      </xdr:nvSpPr>
      <xdr:spPr bwMode="auto">
        <a:xfrm>
          <a:off x="18620506" y="6569"/>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66</xdr:col>
      <xdr:colOff>0</xdr:colOff>
      <xdr:row>0</xdr:row>
      <xdr:rowOff>0</xdr:rowOff>
    </xdr:from>
    <xdr:to>
      <xdr:col>66</xdr:col>
      <xdr:colOff>0</xdr:colOff>
      <xdr:row>904</xdr:row>
      <xdr:rowOff>131680</xdr:rowOff>
    </xdr:to>
    <xdr:sp macro="" textlink="">
      <xdr:nvSpPr>
        <xdr:cNvPr id="13" name="Line 22">
          <a:extLst>
            <a:ext uri="{FF2B5EF4-FFF2-40B4-BE49-F238E27FC236}">
              <a16:creationId xmlns:a16="http://schemas.microsoft.com/office/drawing/2014/main" id="{912B1484-08BC-4169-A612-98F6F46CAA72}"/>
            </a:ext>
          </a:extLst>
        </xdr:cNvPr>
        <xdr:cNvSpPr>
          <a:spLocks noChangeShapeType="1"/>
        </xdr:cNvSpPr>
      </xdr:nvSpPr>
      <xdr:spPr bwMode="auto">
        <a:xfrm>
          <a:off x="211645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70</xdr:col>
      <xdr:colOff>9525</xdr:colOff>
      <xdr:row>0</xdr:row>
      <xdr:rowOff>0</xdr:rowOff>
    </xdr:from>
    <xdr:to>
      <xdr:col>70</xdr:col>
      <xdr:colOff>9525</xdr:colOff>
      <xdr:row>904</xdr:row>
      <xdr:rowOff>131680</xdr:rowOff>
    </xdr:to>
    <xdr:sp macro="" textlink="">
      <xdr:nvSpPr>
        <xdr:cNvPr id="14" name="Line 22">
          <a:extLst>
            <a:ext uri="{FF2B5EF4-FFF2-40B4-BE49-F238E27FC236}">
              <a16:creationId xmlns:a16="http://schemas.microsoft.com/office/drawing/2014/main" id="{5DC440A6-A141-441F-8B90-E6354B76F442}"/>
            </a:ext>
          </a:extLst>
        </xdr:cNvPr>
        <xdr:cNvSpPr>
          <a:spLocks noChangeShapeType="1"/>
        </xdr:cNvSpPr>
      </xdr:nvSpPr>
      <xdr:spPr bwMode="auto">
        <a:xfrm>
          <a:off x="237553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78</xdr:col>
      <xdr:colOff>9525</xdr:colOff>
      <xdr:row>0</xdr:row>
      <xdr:rowOff>0</xdr:rowOff>
    </xdr:from>
    <xdr:to>
      <xdr:col>78</xdr:col>
      <xdr:colOff>9525</xdr:colOff>
      <xdr:row>904</xdr:row>
      <xdr:rowOff>131680</xdr:rowOff>
    </xdr:to>
    <xdr:sp macro="" textlink="">
      <xdr:nvSpPr>
        <xdr:cNvPr id="15" name="Line 22">
          <a:extLst>
            <a:ext uri="{FF2B5EF4-FFF2-40B4-BE49-F238E27FC236}">
              <a16:creationId xmlns:a16="http://schemas.microsoft.com/office/drawing/2014/main" id="{80DBA1E9-BAED-4E60-98F3-722CC43D674C}"/>
            </a:ext>
          </a:extLst>
        </xdr:cNvPr>
        <xdr:cNvSpPr>
          <a:spLocks noChangeShapeType="1"/>
        </xdr:cNvSpPr>
      </xdr:nvSpPr>
      <xdr:spPr bwMode="auto">
        <a:xfrm>
          <a:off x="237553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84</xdr:col>
      <xdr:colOff>0</xdr:colOff>
      <xdr:row>0</xdr:row>
      <xdr:rowOff>0</xdr:rowOff>
    </xdr:from>
    <xdr:to>
      <xdr:col>84</xdr:col>
      <xdr:colOff>0</xdr:colOff>
      <xdr:row>904</xdr:row>
      <xdr:rowOff>131680</xdr:rowOff>
    </xdr:to>
    <xdr:sp macro="" textlink="">
      <xdr:nvSpPr>
        <xdr:cNvPr id="16" name="Line 22">
          <a:extLst>
            <a:ext uri="{FF2B5EF4-FFF2-40B4-BE49-F238E27FC236}">
              <a16:creationId xmlns:a16="http://schemas.microsoft.com/office/drawing/2014/main" id="{34D23073-2134-4922-A8A1-6AAB4642CA22}"/>
            </a:ext>
          </a:extLst>
        </xdr:cNvPr>
        <xdr:cNvSpPr>
          <a:spLocks noChangeShapeType="1"/>
        </xdr:cNvSpPr>
      </xdr:nvSpPr>
      <xdr:spPr bwMode="auto">
        <a:xfrm>
          <a:off x="244030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84</xdr:col>
      <xdr:colOff>600075</xdr:colOff>
      <xdr:row>0</xdr:row>
      <xdr:rowOff>0</xdr:rowOff>
    </xdr:from>
    <xdr:to>
      <xdr:col>84</xdr:col>
      <xdr:colOff>600075</xdr:colOff>
      <xdr:row>904</xdr:row>
      <xdr:rowOff>131680</xdr:rowOff>
    </xdr:to>
    <xdr:sp macro="" textlink="">
      <xdr:nvSpPr>
        <xdr:cNvPr id="17" name="Line 22">
          <a:extLst>
            <a:ext uri="{FF2B5EF4-FFF2-40B4-BE49-F238E27FC236}">
              <a16:creationId xmlns:a16="http://schemas.microsoft.com/office/drawing/2014/main" id="{9472F2FC-B373-4F92-A1D7-FD400FCD5CBD}"/>
            </a:ext>
          </a:extLst>
        </xdr:cNvPr>
        <xdr:cNvSpPr>
          <a:spLocks noChangeShapeType="1"/>
        </xdr:cNvSpPr>
      </xdr:nvSpPr>
      <xdr:spPr bwMode="auto">
        <a:xfrm>
          <a:off x="244030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86</xdr:col>
      <xdr:colOff>0</xdr:colOff>
      <xdr:row>0</xdr:row>
      <xdr:rowOff>0</xdr:rowOff>
    </xdr:from>
    <xdr:to>
      <xdr:col>86</xdr:col>
      <xdr:colOff>0</xdr:colOff>
      <xdr:row>904</xdr:row>
      <xdr:rowOff>131680</xdr:rowOff>
    </xdr:to>
    <xdr:sp macro="" textlink="">
      <xdr:nvSpPr>
        <xdr:cNvPr id="18" name="Line 22">
          <a:extLst>
            <a:ext uri="{FF2B5EF4-FFF2-40B4-BE49-F238E27FC236}">
              <a16:creationId xmlns:a16="http://schemas.microsoft.com/office/drawing/2014/main" id="{E529F360-4E26-4014-962A-A1F3A15F2879}"/>
            </a:ext>
          </a:extLst>
        </xdr:cNvPr>
        <xdr:cNvSpPr>
          <a:spLocks noChangeShapeType="1"/>
        </xdr:cNvSpPr>
      </xdr:nvSpPr>
      <xdr:spPr bwMode="auto">
        <a:xfrm>
          <a:off x="244030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87</xdr:col>
      <xdr:colOff>0</xdr:colOff>
      <xdr:row>0</xdr:row>
      <xdr:rowOff>0</xdr:rowOff>
    </xdr:from>
    <xdr:to>
      <xdr:col>87</xdr:col>
      <xdr:colOff>0</xdr:colOff>
      <xdr:row>904</xdr:row>
      <xdr:rowOff>131680</xdr:rowOff>
    </xdr:to>
    <xdr:sp macro="" textlink="">
      <xdr:nvSpPr>
        <xdr:cNvPr id="19" name="Line 22">
          <a:extLst>
            <a:ext uri="{FF2B5EF4-FFF2-40B4-BE49-F238E27FC236}">
              <a16:creationId xmlns:a16="http://schemas.microsoft.com/office/drawing/2014/main" id="{D4F6A0F9-D9AE-493F-A375-3388565E01B5}"/>
            </a:ext>
          </a:extLst>
        </xdr:cNvPr>
        <xdr:cNvSpPr>
          <a:spLocks noChangeShapeType="1"/>
        </xdr:cNvSpPr>
      </xdr:nvSpPr>
      <xdr:spPr bwMode="auto">
        <a:xfrm>
          <a:off x="244030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88</xdr:col>
      <xdr:colOff>0</xdr:colOff>
      <xdr:row>0</xdr:row>
      <xdr:rowOff>0</xdr:rowOff>
    </xdr:from>
    <xdr:to>
      <xdr:col>88</xdr:col>
      <xdr:colOff>0</xdr:colOff>
      <xdr:row>904</xdr:row>
      <xdr:rowOff>131680</xdr:rowOff>
    </xdr:to>
    <xdr:sp macro="" textlink="">
      <xdr:nvSpPr>
        <xdr:cNvPr id="20" name="Line 22">
          <a:extLst>
            <a:ext uri="{FF2B5EF4-FFF2-40B4-BE49-F238E27FC236}">
              <a16:creationId xmlns:a16="http://schemas.microsoft.com/office/drawing/2014/main" id="{9C5A45F5-E0CB-4B28-AA0A-28C51A95FD38}"/>
            </a:ext>
          </a:extLst>
        </xdr:cNvPr>
        <xdr:cNvSpPr>
          <a:spLocks noChangeShapeType="1"/>
        </xdr:cNvSpPr>
      </xdr:nvSpPr>
      <xdr:spPr bwMode="auto">
        <a:xfrm>
          <a:off x="244030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89</xdr:col>
      <xdr:colOff>0</xdr:colOff>
      <xdr:row>0</xdr:row>
      <xdr:rowOff>0</xdr:rowOff>
    </xdr:from>
    <xdr:to>
      <xdr:col>89</xdr:col>
      <xdr:colOff>0</xdr:colOff>
      <xdr:row>904</xdr:row>
      <xdr:rowOff>131680</xdr:rowOff>
    </xdr:to>
    <xdr:sp macro="" textlink="">
      <xdr:nvSpPr>
        <xdr:cNvPr id="21" name="Line 22">
          <a:extLst>
            <a:ext uri="{FF2B5EF4-FFF2-40B4-BE49-F238E27FC236}">
              <a16:creationId xmlns:a16="http://schemas.microsoft.com/office/drawing/2014/main" id="{FF7D41F3-E21B-4557-8689-486FAF5704E1}"/>
            </a:ext>
          </a:extLst>
        </xdr:cNvPr>
        <xdr:cNvSpPr>
          <a:spLocks noChangeShapeType="1"/>
        </xdr:cNvSpPr>
      </xdr:nvSpPr>
      <xdr:spPr bwMode="auto">
        <a:xfrm>
          <a:off x="244030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83</xdr:col>
      <xdr:colOff>0</xdr:colOff>
      <xdr:row>0</xdr:row>
      <xdr:rowOff>0</xdr:rowOff>
    </xdr:from>
    <xdr:to>
      <xdr:col>83</xdr:col>
      <xdr:colOff>0</xdr:colOff>
      <xdr:row>904</xdr:row>
      <xdr:rowOff>131680</xdr:rowOff>
    </xdr:to>
    <xdr:sp macro="" textlink="">
      <xdr:nvSpPr>
        <xdr:cNvPr id="22" name="Line 22">
          <a:extLst>
            <a:ext uri="{FF2B5EF4-FFF2-40B4-BE49-F238E27FC236}">
              <a16:creationId xmlns:a16="http://schemas.microsoft.com/office/drawing/2014/main" id="{99D4222D-3DA1-4744-9A56-CE178CECAEC7}"/>
            </a:ext>
          </a:extLst>
        </xdr:cNvPr>
        <xdr:cNvSpPr>
          <a:spLocks noChangeShapeType="1"/>
        </xdr:cNvSpPr>
      </xdr:nvSpPr>
      <xdr:spPr bwMode="auto">
        <a:xfrm>
          <a:off x="244030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9525</xdr:colOff>
      <xdr:row>0</xdr:row>
      <xdr:rowOff>28575</xdr:rowOff>
    </xdr:from>
    <xdr:to>
      <xdr:col>91</xdr:col>
      <xdr:colOff>9525</xdr:colOff>
      <xdr:row>904</xdr:row>
      <xdr:rowOff>160255</xdr:rowOff>
    </xdr:to>
    <xdr:sp macro="" textlink="">
      <xdr:nvSpPr>
        <xdr:cNvPr id="23" name="Line 22">
          <a:extLst>
            <a:ext uri="{FF2B5EF4-FFF2-40B4-BE49-F238E27FC236}">
              <a16:creationId xmlns:a16="http://schemas.microsoft.com/office/drawing/2014/main" id="{1BF93579-A567-40E1-A389-D55B53115EC2}"/>
            </a:ext>
          </a:extLst>
        </xdr:cNvPr>
        <xdr:cNvSpPr>
          <a:spLocks noChangeShapeType="1"/>
        </xdr:cNvSpPr>
      </xdr:nvSpPr>
      <xdr:spPr bwMode="auto">
        <a:xfrm>
          <a:off x="25060275" y="28575"/>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92</xdr:col>
      <xdr:colOff>0</xdr:colOff>
      <xdr:row>0</xdr:row>
      <xdr:rowOff>0</xdr:rowOff>
    </xdr:from>
    <xdr:to>
      <xdr:col>92</xdr:col>
      <xdr:colOff>0</xdr:colOff>
      <xdr:row>904</xdr:row>
      <xdr:rowOff>131680</xdr:rowOff>
    </xdr:to>
    <xdr:sp macro="" textlink="">
      <xdr:nvSpPr>
        <xdr:cNvPr id="24" name="Line 22">
          <a:extLst>
            <a:ext uri="{FF2B5EF4-FFF2-40B4-BE49-F238E27FC236}">
              <a16:creationId xmlns:a16="http://schemas.microsoft.com/office/drawing/2014/main" id="{98CF2106-5640-4245-9EE2-B2AF10B9FBEB}"/>
            </a:ext>
          </a:extLst>
        </xdr:cNvPr>
        <xdr:cNvSpPr>
          <a:spLocks noChangeShapeType="1"/>
        </xdr:cNvSpPr>
      </xdr:nvSpPr>
      <xdr:spPr bwMode="auto">
        <a:xfrm>
          <a:off x="256984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93</xdr:col>
      <xdr:colOff>0</xdr:colOff>
      <xdr:row>0</xdr:row>
      <xdr:rowOff>0</xdr:rowOff>
    </xdr:from>
    <xdr:to>
      <xdr:col>93</xdr:col>
      <xdr:colOff>0</xdr:colOff>
      <xdr:row>904</xdr:row>
      <xdr:rowOff>131680</xdr:rowOff>
    </xdr:to>
    <xdr:sp macro="" textlink="">
      <xdr:nvSpPr>
        <xdr:cNvPr id="25" name="Line 22">
          <a:extLst>
            <a:ext uri="{FF2B5EF4-FFF2-40B4-BE49-F238E27FC236}">
              <a16:creationId xmlns:a16="http://schemas.microsoft.com/office/drawing/2014/main" id="{0DD28389-53DE-4D64-BA62-DB05FCB32F19}"/>
            </a:ext>
          </a:extLst>
        </xdr:cNvPr>
        <xdr:cNvSpPr>
          <a:spLocks noChangeShapeType="1"/>
        </xdr:cNvSpPr>
      </xdr:nvSpPr>
      <xdr:spPr bwMode="auto">
        <a:xfrm>
          <a:off x="263461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94</xdr:col>
      <xdr:colOff>0</xdr:colOff>
      <xdr:row>0</xdr:row>
      <xdr:rowOff>0</xdr:rowOff>
    </xdr:from>
    <xdr:to>
      <xdr:col>94</xdr:col>
      <xdr:colOff>0</xdr:colOff>
      <xdr:row>904</xdr:row>
      <xdr:rowOff>131680</xdr:rowOff>
    </xdr:to>
    <xdr:sp macro="" textlink="">
      <xdr:nvSpPr>
        <xdr:cNvPr id="26" name="Line 22">
          <a:extLst>
            <a:ext uri="{FF2B5EF4-FFF2-40B4-BE49-F238E27FC236}">
              <a16:creationId xmlns:a16="http://schemas.microsoft.com/office/drawing/2014/main" id="{F985059C-B59B-41F8-8A8B-C73C127F6AE1}"/>
            </a:ext>
          </a:extLst>
        </xdr:cNvPr>
        <xdr:cNvSpPr>
          <a:spLocks noChangeShapeType="1"/>
        </xdr:cNvSpPr>
      </xdr:nvSpPr>
      <xdr:spPr bwMode="auto">
        <a:xfrm>
          <a:off x="269938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95</xdr:col>
      <xdr:colOff>0</xdr:colOff>
      <xdr:row>0</xdr:row>
      <xdr:rowOff>0</xdr:rowOff>
    </xdr:from>
    <xdr:to>
      <xdr:col>95</xdr:col>
      <xdr:colOff>0</xdr:colOff>
      <xdr:row>904</xdr:row>
      <xdr:rowOff>131680</xdr:rowOff>
    </xdr:to>
    <xdr:sp macro="" textlink="">
      <xdr:nvSpPr>
        <xdr:cNvPr id="27" name="Line 22">
          <a:extLst>
            <a:ext uri="{FF2B5EF4-FFF2-40B4-BE49-F238E27FC236}">
              <a16:creationId xmlns:a16="http://schemas.microsoft.com/office/drawing/2014/main" id="{99EEB6BB-CFBD-46F7-B81F-FA890807BA99}"/>
            </a:ext>
          </a:extLst>
        </xdr:cNvPr>
        <xdr:cNvSpPr>
          <a:spLocks noChangeShapeType="1"/>
        </xdr:cNvSpPr>
      </xdr:nvSpPr>
      <xdr:spPr bwMode="auto">
        <a:xfrm>
          <a:off x="276415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96</xdr:col>
      <xdr:colOff>0</xdr:colOff>
      <xdr:row>0</xdr:row>
      <xdr:rowOff>0</xdr:rowOff>
    </xdr:from>
    <xdr:to>
      <xdr:col>96</xdr:col>
      <xdr:colOff>0</xdr:colOff>
      <xdr:row>904</xdr:row>
      <xdr:rowOff>131680</xdr:rowOff>
    </xdr:to>
    <xdr:sp macro="" textlink="">
      <xdr:nvSpPr>
        <xdr:cNvPr id="28" name="Line 22">
          <a:extLst>
            <a:ext uri="{FF2B5EF4-FFF2-40B4-BE49-F238E27FC236}">
              <a16:creationId xmlns:a16="http://schemas.microsoft.com/office/drawing/2014/main" id="{CC3DDEFA-2410-48E9-AC79-A22EE6C4783F}"/>
            </a:ext>
          </a:extLst>
        </xdr:cNvPr>
        <xdr:cNvSpPr>
          <a:spLocks noChangeShapeType="1"/>
        </xdr:cNvSpPr>
      </xdr:nvSpPr>
      <xdr:spPr bwMode="auto">
        <a:xfrm>
          <a:off x="282892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9525</xdr:colOff>
      <xdr:row>0</xdr:row>
      <xdr:rowOff>0</xdr:rowOff>
    </xdr:from>
    <xdr:to>
      <xdr:col>97</xdr:col>
      <xdr:colOff>9525</xdr:colOff>
      <xdr:row>904</xdr:row>
      <xdr:rowOff>131680</xdr:rowOff>
    </xdr:to>
    <xdr:sp macro="" textlink="">
      <xdr:nvSpPr>
        <xdr:cNvPr id="29" name="Line 22">
          <a:extLst>
            <a:ext uri="{FF2B5EF4-FFF2-40B4-BE49-F238E27FC236}">
              <a16:creationId xmlns:a16="http://schemas.microsoft.com/office/drawing/2014/main" id="{8FA2C104-B870-44B2-9D52-F0A2073D2EA1}"/>
            </a:ext>
          </a:extLst>
        </xdr:cNvPr>
        <xdr:cNvSpPr>
          <a:spLocks noChangeShapeType="1"/>
        </xdr:cNvSpPr>
      </xdr:nvSpPr>
      <xdr:spPr bwMode="auto">
        <a:xfrm>
          <a:off x="28946475" y="0"/>
          <a:ext cx="0" cy="163094905"/>
        </a:xfrm>
        <a:prstGeom prst="line">
          <a:avLst/>
        </a:prstGeom>
        <a:noFill/>
        <a:ln w="28575">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98</xdr:col>
      <xdr:colOff>0</xdr:colOff>
      <xdr:row>0</xdr:row>
      <xdr:rowOff>0</xdr:rowOff>
    </xdr:from>
    <xdr:to>
      <xdr:col>98</xdr:col>
      <xdr:colOff>0</xdr:colOff>
      <xdr:row>904</xdr:row>
      <xdr:rowOff>131680</xdr:rowOff>
    </xdr:to>
    <xdr:sp macro="" textlink="">
      <xdr:nvSpPr>
        <xdr:cNvPr id="30" name="Line 22">
          <a:extLst>
            <a:ext uri="{FF2B5EF4-FFF2-40B4-BE49-F238E27FC236}">
              <a16:creationId xmlns:a16="http://schemas.microsoft.com/office/drawing/2014/main" id="{BFF5BC48-50AD-4B9B-A27E-70793D45EA8E}"/>
            </a:ext>
          </a:extLst>
        </xdr:cNvPr>
        <xdr:cNvSpPr>
          <a:spLocks noChangeShapeType="1"/>
        </xdr:cNvSpPr>
      </xdr:nvSpPr>
      <xdr:spPr bwMode="auto">
        <a:xfrm>
          <a:off x="295846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99</xdr:col>
      <xdr:colOff>0</xdr:colOff>
      <xdr:row>0</xdr:row>
      <xdr:rowOff>0</xdr:rowOff>
    </xdr:from>
    <xdr:to>
      <xdr:col>99</xdr:col>
      <xdr:colOff>0</xdr:colOff>
      <xdr:row>904</xdr:row>
      <xdr:rowOff>131680</xdr:rowOff>
    </xdr:to>
    <xdr:sp macro="" textlink="">
      <xdr:nvSpPr>
        <xdr:cNvPr id="31" name="Line 22">
          <a:extLst>
            <a:ext uri="{FF2B5EF4-FFF2-40B4-BE49-F238E27FC236}">
              <a16:creationId xmlns:a16="http://schemas.microsoft.com/office/drawing/2014/main" id="{410B27A3-1EA2-4F20-AAA0-E601AE36B70A}"/>
            </a:ext>
          </a:extLst>
        </xdr:cNvPr>
        <xdr:cNvSpPr>
          <a:spLocks noChangeShapeType="1"/>
        </xdr:cNvSpPr>
      </xdr:nvSpPr>
      <xdr:spPr bwMode="auto">
        <a:xfrm>
          <a:off x="302323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100</xdr:col>
      <xdr:colOff>9525</xdr:colOff>
      <xdr:row>0</xdr:row>
      <xdr:rowOff>0</xdr:rowOff>
    </xdr:from>
    <xdr:to>
      <xdr:col>100</xdr:col>
      <xdr:colOff>9525</xdr:colOff>
      <xdr:row>904</xdr:row>
      <xdr:rowOff>131680</xdr:rowOff>
    </xdr:to>
    <xdr:sp macro="" textlink="">
      <xdr:nvSpPr>
        <xdr:cNvPr id="32" name="Line 22">
          <a:extLst>
            <a:ext uri="{FF2B5EF4-FFF2-40B4-BE49-F238E27FC236}">
              <a16:creationId xmlns:a16="http://schemas.microsoft.com/office/drawing/2014/main" id="{B8B68540-5E0C-4065-8EF0-42B91A2D73DD}"/>
            </a:ext>
          </a:extLst>
        </xdr:cNvPr>
        <xdr:cNvSpPr>
          <a:spLocks noChangeShapeType="1"/>
        </xdr:cNvSpPr>
      </xdr:nvSpPr>
      <xdr:spPr bwMode="auto">
        <a:xfrm>
          <a:off x="30889575"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60</xdr:col>
      <xdr:colOff>6749</xdr:colOff>
      <xdr:row>0</xdr:row>
      <xdr:rowOff>15688</xdr:rowOff>
    </xdr:from>
    <xdr:to>
      <xdr:col>60</xdr:col>
      <xdr:colOff>629945</xdr:colOff>
      <xdr:row>1161</xdr:row>
      <xdr:rowOff>29135</xdr:rowOff>
    </xdr:to>
    <xdr:sp macro="" textlink="">
      <xdr:nvSpPr>
        <xdr:cNvPr id="33" name="Rectangle 32">
          <a:extLst>
            <a:ext uri="{FF2B5EF4-FFF2-40B4-BE49-F238E27FC236}">
              <a16:creationId xmlns:a16="http://schemas.microsoft.com/office/drawing/2014/main" id="{DFB5A8D5-2D68-4B03-A5E7-1C37435951FF}"/>
            </a:ext>
          </a:extLst>
        </xdr:cNvPr>
        <xdr:cNvSpPr/>
      </xdr:nvSpPr>
      <xdr:spPr>
        <a:xfrm>
          <a:off x="17285099" y="15688"/>
          <a:ext cx="623196" cy="211935172"/>
        </a:xfrm>
        <a:prstGeom prst="rect">
          <a:avLst/>
        </a:prstGeom>
        <a:noFill/>
        <a:ln w="38100">
          <a:solidFill>
            <a:srgbClr val="0000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89</xdr:col>
      <xdr:colOff>645459</xdr:colOff>
      <xdr:row>0</xdr:row>
      <xdr:rowOff>17929</xdr:rowOff>
    </xdr:from>
    <xdr:to>
      <xdr:col>89</xdr:col>
      <xdr:colOff>645459</xdr:colOff>
      <xdr:row>904</xdr:row>
      <xdr:rowOff>149609</xdr:rowOff>
    </xdr:to>
    <xdr:sp macro="" textlink="">
      <xdr:nvSpPr>
        <xdr:cNvPr id="34" name="Line 22">
          <a:extLst>
            <a:ext uri="{FF2B5EF4-FFF2-40B4-BE49-F238E27FC236}">
              <a16:creationId xmlns:a16="http://schemas.microsoft.com/office/drawing/2014/main" id="{690138D5-2C73-4DCA-B901-E14D4C9406EB}"/>
            </a:ext>
          </a:extLst>
        </xdr:cNvPr>
        <xdr:cNvSpPr>
          <a:spLocks noChangeShapeType="1"/>
        </xdr:cNvSpPr>
      </xdr:nvSpPr>
      <xdr:spPr bwMode="auto">
        <a:xfrm>
          <a:off x="24403050" y="17929"/>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74</xdr:col>
      <xdr:colOff>9525</xdr:colOff>
      <xdr:row>0</xdr:row>
      <xdr:rowOff>0</xdr:rowOff>
    </xdr:from>
    <xdr:to>
      <xdr:col>74</xdr:col>
      <xdr:colOff>9525</xdr:colOff>
      <xdr:row>904</xdr:row>
      <xdr:rowOff>131680</xdr:rowOff>
    </xdr:to>
    <xdr:sp macro="" textlink="">
      <xdr:nvSpPr>
        <xdr:cNvPr id="35" name="Line 22">
          <a:extLst>
            <a:ext uri="{FF2B5EF4-FFF2-40B4-BE49-F238E27FC236}">
              <a16:creationId xmlns:a16="http://schemas.microsoft.com/office/drawing/2014/main" id="{D0C4990E-A1F1-4424-93C2-842795973C9E}"/>
            </a:ext>
          </a:extLst>
        </xdr:cNvPr>
        <xdr:cNvSpPr>
          <a:spLocks noChangeShapeType="1"/>
        </xdr:cNvSpPr>
      </xdr:nvSpPr>
      <xdr:spPr bwMode="auto">
        <a:xfrm>
          <a:off x="237553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78</xdr:col>
      <xdr:colOff>9525</xdr:colOff>
      <xdr:row>0</xdr:row>
      <xdr:rowOff>0</xdr:rowOff>
    </xdr:from>
    <xdr:to>
      <xdr:col>78</xdr:col>
      <xdr:colOff>9525</xdr:colOff>
      <xdr:row>904</xdr:row>
      <xdr:rowOff>131680</xdr:rowOff>
    </xdr:to>
    <xdr:sp macro="" textlink="">
      <xdr:nvSpPr>
        <xdr:cNvPr id="36" name="Line 22">
          <a:extLst>
            <a:ext uri="{FF2B5EF4-FFF2-40B4-BE49-F238E27FC236}">
              <a16:creationId xmlns:a16="http://schemas.microsoft.com/office/drawing/2014/main" id="{C7A73862-7ED0-4F6B-99F6-35FF380206D7}"/>
            </a:ext>
          </a:extLst>
        </xdr:cNvPr>
        <xdr:cNvSpPr>
          <a:spLocks noChangeShapeType="1"/>
        </xdr:cNvSpPr>
      </xdr:nvSpPr>
      <xdr:spPr bwMode="auto">
        <a:xfrm>
          <a:off x="23755350"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101</xdr:col>
      <xdr:colOff>9525</xdr:colOff>
      <xdr:row>0</xdr:row>
      <xdr:rowOff>0</xdr:rowOff>
    </xdr:from>
    <xdr:to>
      <xdr:col>101</xdr:col>
      <xdr:colOff>9525</xdr:colOff>
      <xdr:row>904</xdr:row>
      <xdr:rowOff>131680</xdr:rowOff>
    </xdr:to>
    <xdr:sp macro="" textlink="">
      <xdr:nvSpPr>
        <xdr:cNvPr id="37" name="Line 22">
          <a:extLst>
            <a:ext uri="{FF2B5EF4-FFF2-40B4-BE49-F238E27FC236}">
              <a16:creationId xmlns:a16="http://schemas.microsoft.com/office/drawing/2014/main" id="{8C4458FE-8457-4608-97DE-16F55A01C664}"/>
            </a:ext>
          </a:extLst>
        </xdr:cNvPr>
        <xdr:cNvSpPr>
          <a:spLocks noChangeShapeType="1"/>
        </xdr:cNvSpPr>
      </xdr:nvSpPr>
      <xdr:spPr bwMode="auto">
        <a:xfrm>
          <a:off x="31537275" y="0"/>
          <a:ext cx="0" cy="16309490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50</xdr:col>
      <xdr:colOff>19050</xdr:colOff>
      <xdr:row>0</xdr:row>
      <xdr:rowOff>0</xdr:rowOff>
    </xdr:from>
    <xdr:to>
      <xdr:col>50</xdr:col>
      <xdr:colOff>19050</xdr:colOff>
      <xdr:row>904</xdr:row>
      <xdr:rowOff>36430</xdr:rowOff>
    </xdr:to>
    <xdr:sp macro="" textlink="">
      <xdr:nvSpPr>
        <xdr:cNvPr id="38" name="Line 22">
          <a:extLst>
            <a:ext uri="{FF2B5EF4-FFF2-40B4-BE49-F238E27FC236}">
              <a16:creationId xmlns:a16="http://schemas.microsoft.com/office/drawing/2014/main" id="{3DDE0A68-E4B1-415F-B697-8828D358B213}"/>
            </a:ext>
          </a:extLst>
        </xdr:cNvPr>
        <xdr:cNvSpPr>
          <a:spLocks noChangeShapeType="1"/>
        </xdr:cNvSpPr>
      </xdr:nvSpPr>
      <xdr:spPr bwMode="auto">
        <a:xfrm>
          <a:off x="10820400" y="0"/>
          <a:ext cx="0" cy="162999655"/>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218791</xdr:colOff>
      <xdr:row>50</xdr:row>
      <xdr:rowOff>173619</xdr:rowOff>
    </xdr:from>
    <xdr:to>
      <xdr:col>8</xdr:col>
      <xdr:colOff>86010</xdr:colOff>
      <xdr:row>53</xdr:row>
      <xdr:rowOff>35931</xdr:rowOff>
    </xdr:to>
    <xdr:sp macro="" textlink="">
      <xdr:nvSpPr>
        <xdr:cNvPr id="2" name="Rectangle 1">
          <a:extLst>
            <a:ext uri="{FF2B5EF4-FFF2-40B4-BE49-F238E27FC236}">
              <a16:creationId xmlns:a16="http://schemas.microsoft.com/office/drawing/2014/main" id="{0E758C4D-C51D-4EDD-AEDB-C1DDD2F2FF66}"/>
            </a:ext>
          </a:extLst>
        </xdr:cNvPr>
        <xdr:cNvSpPr/>
      </xdr:nvSpPr>
      <xdr:spPr>
        <a:xfrm>
          <a:off x="218791" y="9698619"/>
          <a:ext cx="4382069" cy="433812"/>
        </a:xfrm>
        <a:prstGeom prst="rect">
          <a:avLst/>
        </a:prstGeom>
        <a:noFill/>
        <a:ln w="28575">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180691</xdr:colOff>
      <xdr:row>29</xdr:row>
      <xdr:rowOff>2169</xdr:rowOff>
    </xdr:from>
    <xdr:to>
      <xdr:col>8</xdr:col>
      <xdr:colOff>47910</xdr:colOff>
      <xdr:row>31</xdr:row>
      <xdr:rowOff>54981</xdr:rowOff>
    </xdr:to>
    <xdr:sp macro="" textlink="">
      <xdr:nvSpPr>
        <xdr:cNvPr id="3" name="Rectangle 2">
          <a:extLst>
            <a:ext uri="{FF2B5EF4-FFF2-40B4-BE49-F238E27FC236}">
              <a16:creationId xmlns:a16="http://schemas.microsoft.com/office/drawing/2014/main" id="{031DB35C-53C2-458D-9B1D-3FE28191F57F}"/>
            </a:ext>
          </a:extLst>
        </xdr:cNvPr>
        <xdr:cNvSpPr/>
      </xdr:nvSpPr>
      <xdr:spPr>
        <a:xfrm>
          <a:off x="180691" y="5526669"/>
          <a:ext cx="4382069" cy="433812"/>
        </a:xfrm>
        <a:prstGeom prst="rect">
          <a:avLst/>
        </a:prstGeom>
        <a:noFill/>
        <a:ln w="28575">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827" Type="http://schemas.openxmlformats.org/officeDocument/2006/relationships/hyperlink" Target="https://en.wikipedia.org/wiki/Macintosh" TargetMode="External"/><Relationship Id="rId170" Type="http://schemas.openxmlformats.org/officeDocument/2006/relationships/hyperlink" Target="https://en.wikipedia.org/wiki/Battlefield_Hardline" TargetMode="External"/><Relationship Id="rId987" Type="http://schemas.openxmlformats.org/officeDocument/2006/relationships/hyperlink" Target="https://en.wikipedia.org/wiki/Xbox_One" TargetMode="External"/><Relationship Id="rId847" Type="http://schemas.openxmlformats.org/officeDocument/2006/relationships/hyperlink" Target="https://en.wikipedia.org/wiki/PlayStation_3" TargetMode="External"/><Relationship Id="rId1477" Type="http://schemas.openxmlformats.org/officeDocument/2006/relationships/hyperlink" Target="https://en.wikipedia.org/wiki/PopCap_Games" TargetMode="External"/><Relationship Id="rId1684" Type="http://schemas.openxmlformats.org/officeDocument/2006/relationships/hyperlink" Target="https://en.wikipedia.org/wiki/Spy_Mouse" TargetMode="External"/><Relationship Id="rId1891" Type="http://schemas.openxmlformats.org/officeDocument/2006/relationships/hyperlink" Target="https://en.wikipedia.org/wiki/Maxis" TargetMode="External"/><Relationship Id="rId2528" Type="http://schemas.openxmlformats.org/officeDocument/2006/relationships/hyperlink" Target="https://en.wikipedia.org/wiki/PlayStation_4" TargetMode="External"/><Relationship Id="rId707" Type="http://schemas.openxmlformats.org/officeDocument/2006/relationships/hyperlink" Target="https://en.wikipedia.org/wiki/Microsoft_Windows" TargetMode="External"/><Relationship Id="rId914" Type="http://schemas.openxmlformats.org/officeDocument/2006/relationships/hyperlink" Target="https://en.wikipedia.org/wiki/Madden_NFL_15" TargetMode="External"/><Relationship Id="rId1337" Type="http://schemas.openxmlformats.org/officeDocument/2006/relationships/hyperlink" Target="https://en.wikipedia.org/wiki/EA_Tiburon" TargetMode="External"/><Relationship Id="rId1544" Type="http://schemas.openxmlformats.org/officeDocument/2006/relationships/hyperlink" Target="https://en.wikipedia.org/wiki/Firemonkeys_Studios" TargetMode="External"/><Relationship Id="rId1751" Type="http://schemas.openxmlformats.org/officeDocument/2006/relationships/hyperlink" Target="https://en.wikipedia.org/wiki/PlayStation_3" TargetMode="External"/><Relationship Id="rId43" Type="http://schemas.openxmlformats.org/officeDocument/2006/relationships/hyperlink" Target="https://en.wikipedia.org/wiki/Alice:_Madness_Returns" TargetMode="External"/><Relationship Id="rId1404" Type="http://schemas.openxmlformats.org/officeDocument/2006/relationships/hyperlink" Target="https://en.wikipedia.org/wiki/NHL_18" TargetMode="External"/><Relationship Id="rId1611" Type="http://schemas.openxmlformats.org/officeDocument/2006/relationships/hyperlink" Target="https://en.wikipedia.org/wiki/Shank_(video_game)" TargetMode="External"/><Relationship Id="rId497" Type="http://schemas.openxmlformats.org/officeDocument/2006/relationships/hyperlink" Target="https://en.wikipedia.org/wiki/Android_(operating_system)" TargetMode="External"/><Relationship Id="rId2178" Type="http://schemas.openxmlformats.org/officeDocument/2006/relationships/hyperlink" Target="https://en.wikipedia.org/wiki/EA_Sports" TargetMode="External"/><Relationship Id="rId2385" Type="http://schemas.openxmlformats.org/officeDocument/2006/relationships/hyperlink" Target="https://en.wikipedia.org/wiki/Microsoft_Windows" TargetMode="External"/><Relationship Id="rId357" Type="http://schemas.openxmlformats.org/officeDocument/2006/relationships/hyperlink" Target="https://en.wikipedia.org/wiki/Dragon_Age_II" TargetMode="External"/><Relationship Id="rId1194" Type="http://schemas.openxmlformats.org/officeDocument/2006/relationships/hyperlink" Target="https://en.wikipedia.org/wiki/Xbox_360" TargetMode="External"/><Relationship Id="rId2038" Type="http://schemas.openxmlformats.org/officeDocument/2006/relationships/hyperlink" Target="https://en.wikipedia.org/wiki/Maxis_Redwood_Shores" TargetMode="External"/><Relationship Id="rId2592" Type="http://schemas.openxmlformats.org/officeDocument/2006/relationships/hyperlink" Target="https://en.wikipedia.org/wiki/Marvel_Comics" TargetMode="External"/><Relationship Id="rId217" Type="http://schemas.openxmlformats.org/officeDocument/2006/relationships/hyperlink" Target="https://en.wikipedia.org/wiki/Criterion_Games" TargetMode="External"/><Relationship Id="rId564" Type="http://schemas.openxmlformats.org/officeDocument/2006/relationships/hyperlink" Target="https://en.wikipedia.org/wiki/EA_Canada" TargetMode="External"/><Relationship Id="rId771" Type="http://schemas.openxmlformats.org/officeDocument/2006/relationships/hyperlink" Target="https://en.wikipedia.org/wiki/PlayStation_3" TargetMode="External"/><Relationship Id="rId2245" Type="http://schemas.openxmlformats.org/officeDocument/2006/relationships/hyperlink" Target="https://en.wikipedia.org/wiki/IOS" TargetMode="External"/><Relationship Id="rId2452" Type="http://schemas.openxmlformats.org/officeDocument/2006/relationships/hyperlink" Target="https://en.wikipedia.org/wiki/PlayStation_4" TargetMode="External"/><Relationship Id="rId424" Type="http://schemas.openxmlformats.org/officeDocument/2006/relationships/hyperlink" Target="https://en.wikipedia.org/wiki/PlayStation_3" TargetMode="External"/><Relationship Id="rId631" Type="http://schemas.openxmlformats.org/officeDocument/2006/relationships/hyperlink" Target="https://en.wikipedia.org/wiki/FIFA_15" TargetMode="External"/><Relationship Id="rId1054" Type="http://schemas.openxmlformats.org/officeDocument/2006/relationships/hyperlink" Target="https://en.wikipedia.org/wiki/Microsoft_Windows" TargetMode="External"/><Relationship Id="rId1261" Type="http://schemas.openxmlformats.org/officeDocument/2006/relationships/hyperlink" Target="https://en.wikipedia.org/wiki/Need_for_Speed:_Hot_Pursuit_(2010_video_game)" TargetMode="External"/><Relationship Id="rId2105" Type="http://schemas.openxmlformats.org/officeDocument/2006/relationships/hyperlink" Target="https://en.wikipedia.org/wiki/The_Sims_FreePlay" TargetMode="External"/><Relationship Id="rId2312" Type="http://schemas.openxmlformats.org/officeDocument/2006/relationships/hyperlink" Target="https://en.wikipedia.org/wiki/The_Sims_4:_Snowy_Escape" TargetMode="External"/><Relationship Id="rId1121" Type="http://schemas.openxmlformats.org/officeDocument/2006/relationships/hyperlink" Target="https://en.wikipedia.org/wiki/NBA_Elite_11" TargetMode="External"/><Relationship Id="rId1938" Type="http://schemas.openxmlformats.org/officeDocument/2006/relationships/hyperlink" Target="https://en.wikipedia.org/wiki/PlayStation_4" TargetMode="External"/><Relationship Id="rId281" Type="http://schemas.openxmlformats.org/officeDocument/2006/relationships/hyperlink" Target="https://en.wikipedia.org/wiki/PlayStation_3" TargetMode="External"/><Relationship Id="rId141" Type="http://schemas.openxmlformats.org/officeDocument/2006/relationships/hyperlink" Target="https://en.wikipedia.org/wiki/Battlefield_4" TargetMode="External"/><Relationship Id="rId7" Type="http://schemas.openxmlformats.org/officeDocument/2006/relationships/hyperlink" Target="https://en.wikipedia.org/wiki/2010_FIFA_World_Cup_South_Africa_(video_game)" TargetMode="External"/><Relationship Id="rId958" Type="http://schemas.openxmlformats.org/officeDocument/2006/relationships/hyperlink" Target="https://en.wikipedia.org/wiki/EA_Tiburon" TargetMode="External"/><Relationship Id="rId1588" Type="http://schemas.openxmlformats.org/officeDocument/2006/relationships/hyperlink" Target="https://en.wikipedia.org/wiki/Android_(operating_system)" TargetMode="External"/><Relationship Id="rId1795" Type="http://schemas.openxmlformats.org/officeDocument/2006/relationships/hyperlink" Target="https://en.wikipedia.org/wiki/Wii" TargetMode="External"/><Relationship Id="rId87" Type="http://schemas.openxmlformats.org/officeDocument/2006/relationships/hyperlink" Target="https://en.wikipedia.org/wiki/Army_of_Two:_The_40th_Day" TargetMode="External"/><Relationship Id="rId818" Type="http://schemas.openxmlformats.org/officeDocument/2006/relationships/hyperlink" Target="https://en.wikipedia.org/wiki/Hasbro_Family_Game_Night_3" TargetMode="External"/><Relationship Id="rId1448" Type="http://schemas.openxmlformats.org/officeDocument/2006/relationships/hyperlink" Target="https://en.wikipedia.org/wiki/Plants_vs._Zombies" TargetMode="External"/><Relationship Id="rId1655" Type="http://schemas.openxmlformats.org/officeDocument/2006/relationships/hyperlink" Target="https://en.wikipedia.org/wiki/Maxis" TargetMode="External"/><Relationship Id="rId1308" Type="http://schemas.openxmlformats.org/officeDocument/2006/relationships/hyperlink" Target="https://en.wikipedia.org/wiki/Firemonkeys_Studios" TargetMode="External"/><Relationship Id="rId1862" Type="http://schemas.openxmlformats.org/officeDocument/2006/relationships/hyperlink" Target="https://en.wikipedia.org/wiki/The_Sims_3:_Seasons" TargetMode="External"/><Relationship Id="rId1515" Type="http://schemas.openxmlformats.org/officeDocument/2006/relationships/hyperlink" Target="https://en.wikipedia.org/wiki/Rango_(video_game)" TargetMode="External"/><Relationship Id="rId1722" Type="http://schemas.openxmlformats.org/officeDocument/2006/relationships/hyperlink" Target="https://en.wikipedia.org/wiki/Respawn_Entertainment" TargetMode="External"/><Relationship Id="rId14" Type="http://schemas.openxmlformats.org/officeDocument/2006/relationships/hyperlink" Target="https://en.wikipedia.org/wiki/IOS" TargetMode="External"/><Relationship Id="rId2289" Type="http://schemas.openxmlformats.org/officeDocument/2006/relationships/hyperlink" Target="https://en.wikipedia.org/wiki/PlayStation_4" TargetMode="External"/><Relationship Id="rId2496" Type="http://schemas.openxmlformats.org/officeDocument/2006/relationships/hyperlink" Target="https://en.wikipedia.org/wiki/Xbox_One" TargetMode="External"/><Relationship Id="rId468" Type="http://schemas.openxmlformats.org/officeDocument/2006/relationships/hyperlink" Target="https://en.wikipedia.org/wiki/HB_Studios" TargetMode="External"/><Relationship Id="rId675" Type="http://schemas.openxmlformats.org/officeDocument/2006/relationships/hyperlink" Target="https://en.wikipedia.org/wiki/EA_Vancouver" TargetMode="External"/><Relationship Id="rId882" Type="http://schemas.openxmlformats.org/officeDocument/2006/relationships/hyperlink" Target="https://en.wikipedia.org/wiki/PlayStation_2" TargetMode="External"/><Relationship Id="rId1098" Type="http://schemas.openxmlformats.org/officeDocument/2006/relationships/hyperlink" Target="https://en.wikipedia.org/wiki/Monopoly_(2008_video_game)" TargetMode="External"/><Relationship Id="rId2149" Type="http://schemas.openxmlformats.org/officeDocument/2006/relationships/hyperlink" Target="https://en.wikipedia.org/wiki/Tiger_Woods_PGA_Tour_12" TargetMode="External"/><Relationship Id="rId2356" Type="http://schemas.openxmlformats.org/officeDocument/2006/relationships/hyperlink" Target="https://en.wikipedia.org/wiki/Macintosh" TargetMode="External"/><Relationship Id="rId2563" Type="http://schemas.openxmlformats.org/officeDocument/2006/relationships/hyperlink" Target="https://en.wikipedia.org/wiki/PlayStation_4" TargetMode="External"/><Relationship Id="rId328" Type="http://schemas.openxmlformats.org/officeDocument/2006/relationships/hyperlink" Target="https://en.wikipedia.org/wiki/PlayStation_3" TargetMode="External"/><Relationship Id="rId535" Type="http://schemas.openxmlformats.org/officeDocument/2006/relationships/hyperlink" Target="https://en.wikipedia.org/wiki/FIFA_13" TargetMode="External"/><Relationship Id="rId742" Type="http://schemas.openxmlformats.org/officeDocument/2006/relationships/hyperlink" Target="https://en.wikipedia.org/wiki/Microsoft_Windows" TargetMode="External"/><Relationship Id="rId1165" Type="http://schemas.openxmlformats.org/officeDocument/2006/relationships/hyperlink" Target="https://en.wikipedia.org/wiki/EA_Tiburon" TargetMode="External"/><Relationship Id="rId1372" Type="http://schemas.openxmlformats.org/officeDocument/2006/relationships/hyperlink" Target="https://en.wikipedia.org/wiki/PlayStation_3" TargetMode="External"/><Relationship Id="rId2009" Type="http://schemas.openxmlformats.org/officeDocument/2006/relationships/hyperlink" Target="https://en.wikipedia.org/wiki/The_Sims_4:_Jungle_Adventure" TargetMode="External"/><Relationship Id="rId2216" Type="http://schemas.openxmlformats.org/officeDocument/2006/relationships/hyperlink" Target="https://en.wikipedia.org/wiki/IOS" TargetMode="External"/><Relationship Id="rId2423" Type="http://schemas.openxmlformats.org/officeDocument/2006/relationships/hyperlink" Target="https://en.wikipedia.org/wiki/Codemasters" TargetMode="External"/><Relationship Id="rId602" Type="http://schemas.openxmlformats.org/officeDocument/2006/relationships/hyperlink" Target="https://en.wikipedia.org/wiki/PlayStation_4" TargetMode="External"/><Relationship Id="rId1025" Type="http://schemas.openxmlformats.org/officeDocument/2006/relationships/hyperlink" Target="https://en.wikipedia.org/wiki/Microsoft_Windows" TargetMode="External"/><Relationship Id="rId1232" Type="http://schemas.openxmlformats.org/officeDocument/2006/relationships/hyperlink" Target="https://en.wikipedia.org/wiki/Xbox_One" TargetMode="External"/><Relationship Id="rId185" Type="http://schemas.openxmlformats.org/officeDocument/2006/relationships/hyperlink" Target="https://en.wikipedia.org/wiki/Battlefield_V" TargetMode="External"/><Relationship Id="rId1909" Type="http://schemas.openxmlformats.org/officeDocument/2006/relationships/hyperlink" Target="https://en.wikipedia.org/wiki/Maxis_Redwood_Shores" TargetMode="External"/><Relationship Id="rId392" Type="http://schemas.openxmlformats.org/officeDocument/2006/relationships/hyperlink" Target="https://en.wikipedia.org/wiki/Dragon_Age:_Origins_%E2%80%93_Awakening" TargetMode="External"/><Relationship Id="rId2073" Type="http://schemas.openxmlformats.org/officeDocument/2006/relationships/hyperlink" Target="https://en.wikipedia.org/wiki/Xbox_One" TargetMode="External"/><Relationship Id="rId2280" Type="http://schemas.openxmlformats.org/officeDocument/2006/relationships/hyperlink" Target="https://en.wikipedia.org/wiki/EA_Tiburon" TargetMode="External"/><Relationship Id="rId252" Type="http://schemas.openxmlformats.org/officeDocument/2006/relationships/hyperlink" Target="https://en.wikipedia.org/wiki/EA_Phenomic" TargetMode="External"/><Relationship Id="rId2140" Type="http://schemas.openxmlformats.org/officeDocument/2006/relationships/hyperlink" Target="https://en.wikipedia.org/wiki/Tiger_Woods_PGA_Tour_11" TargetMode="External"/><Relationship Id="rId112" Type="http://schemas.openxmlformats.org/officeDocument/2006/relationships/hyperlink" Target="https://en.wikipedia.org/wiki/Auditorium_(video_game)" TargetMode="External"/><Relationship Id="rId1699" Type="http://schemas.openxmlformats.org/officeDocument/2006/relationships/hyperlink" Target="https://en.wikipedia.org/wiki/Star_Wars_Battlefront_(2015_video_game)" TargetMode="External"/><Relationship Id="rId2000" Type="http://schemas.openxmlformats.org/officeDocument/2006/relationships/hyperlink" Target="https://en.wikipedia.org/wiki/The_Sims_4:_Island_Living" TargetMode="External"/><Relationship Id="rId929" Type="http://schemas.openxmlformats.org/officeDocument/2006/relationships/hyperlink" Target="https://en.wikipedia.org/wiki/Madden_NFL_16" TargetMode="External"/><Relationship Id="rId1559" Type="http://schemas.openxmlformats.org/officeDocument/2006/relationships/hyperlink" Target="https://en.wikipedia.org/wiki/Harmonix" TargetMode="External"/><Relationship Id="rId1766" Type="http://schemas.openxmlformats.org/officeDocument/2006/relationships/hyperlink" Target="https://en.wikipedia.org/wiki/Android_(operating_system)" TargetMode="External"/><Relationship Id="rId1973" Type="http://schemas.openxmlformats.org/officeDocument/2006/relationships/hyperlink" Target="https://en.wikipedia.org/wiki/The_Sims_4:_Get_to_Work" TargetMode="External"/><Relationship Id="rId58" Type="http://schemas.openxmlformats.org/officeDocument/2006/relationships/hyperlink" Target="https://en.wikipedia.org/wiki/Anthem_(video_game)" TargetMode="External"/><Relationship Id="rId1419" Type="http://schemas.openxmlformats.org/officeDocument/2006/relationships/hyperlink" Target="https://en.wikipedia.org/wiki/NHL_Slapshot" TargetMode="External"/><Relationship Id="rId1626" Type="http://schemas.openxmlformats.org/officeDocument/2006/relationships/hyperlink" Target="https://en.wikipedia.org/wiki/Shank_2" TargetMode="External"/><Relationship Id="rId1833" Type="http://schemas.openxmlformats.org/officeDocument/2006/relationships/hyperlink" Target="https://en.wikipedia.org/wiki/Macintosh" TargetMode="External"/><Relationship Id="rId1900" Type="http://schemas.openxmlformats.org/officeDocument/2006/relationships/hyperlink" Target="https://en.wikipedia.org/wiki/Maxis_Redwood_Shores" TargetMode="External"/><Relationship Id="rId579" Type="http://schemas.openxmlformats.org/officeDocument/2006/relationships/hyperlink" Target="https://en.wikipedia.org/wiki/EA_Canada" TargetMode="External"/><Relationship Id="rId786" Type="http://schemas.openxmlformats.org/officeDocument/2006/relationships/hyperlink" Target="https://en.wikipedia.org/wiki/Green_Day:_Rock_Band" TargetMode="External"/><Relationship Id="rId993" Type="http://schemas.openxmlformats.org/officeDocument/2006/relationships/hyperlink" Target="https://en.wikipedia.org/wiki/Nintendo_3DS" TargetMode="External"/><Relationship Id="rId2467" Type="http://schemas.openxmlformats.org/officeDocument/2006/relationships/hyperlink" Target="https://en.wikipedia.org/wiki/Wild_Hearts_(video_game)" TargetMode="External"/><Relationship Id="rId439" Type="http://schemas.openxmlformats.org/officeDocument/2006/relationships/hyperlink" Target="https://en.wikipedia.org/wiki/EA_Sports_UFC_3" TargetMode="External"/><Relationship Id="rId646" Type="http://schemas.openxmlformats.org/officeDocument/2006/relationships/hyperlink" Target="https://en.wikipedia.org/wiki/FIFA_16" TargetMode="External"/><Relationship Id="rId1069" Type="http://schemas.openxmlformats.org/officeDocument/2006/relationships/hyperlink" Target="https://en.wikipedia.org/wiki/Xbox_360" TargetMode="External"/><Relationship Id="rId1276" Type="http://schemas.openxmlformats.org/officeDocument/2006/relationships/hyperlink" Target="https://en.wikipedia.org/wiki/Need_for_Speed:_Most_Wanted_(2012_video_game)" TargetMode="External"/><Relationship Id="rId1483" Type="http://schemas.openxmlformats.org/officeDocument/2006/relationships/hyperlink" Target="https://en.wikipedia.org/wiki/PopCap_Games" TargetMode="External"/><Relationship Id="rId2327" Type="http://schemas.openxmlformats.org/officeDocument/2006/relationships/hyperlink" Target="https://en.wikipedia.org/wiki/Xbox_One" TargetMode="External"/><Relationship Id="rId506" Type="http://schemas.openxmlformats.org/officeDocument/2006/relationships/hyperlink" Target="https://en.wikipedia.org/wiki/Nintendo_DS" TargetMode="External"/><Relationship Id="rId853" Type="http://schemas.openxmlformats.org/officeDocument/2006/relationships/hyperlink" Target="https://en.wikipedia.org/wiki/IOS" TargetMode="External"/><Relationship Id="rId1136" Type="http://schemas.openxmlformats.org/officeDocument/2006/relationships/hyperlink" Target="https://en.wikipedia.org/wiki/NBA_Jam_(2010_video_game)" TargetMode="External"/><Relationship Id="rId1690" Type="http://schemas.openxmlformats.org/officeDocument/2006/relationships/hyperlink" Target="https://en.wikipedia.org/wiki/SSX_(2012_video_game)" TargetMode="External"/><Relationship Id="rId2534" Type="http://schemas.openxmlformats.org/officeDocument/2006/relationships/hyperlink" Target="https://en.wikipedia.org/wiki/PlayStation_4" TargetMode="External"/><Relationship Id="rId713" Type="http://schemas.openxmlformats.org/officeDocument/2006/relationships/hyperlink" Target="https://en.wikipedia.org/wiki/Xbox_One" TargetMode="External"/><Relationship Id="rId920" Type="http://schemas.openxmlformats.org/officeDocument/2006/relationships/hyperlink" Target="https://en.wikipedia.org/wiki/Madden_NFL_15" TargetMode="External"/><Relationship Id="rId1343" Type="http://schemas.openxmlformats.org/officeDocument/2006/relationships/hyperlink" Target="https://en.wikipedia.org/wiki/Ghost_Games" TargetMode="External"/><Relationship Id="rId1550" Type="http://schemas.openxmlformats.org/officeDocument/2006/relationships/hyperlink" Target="https://en.wikipedia.org/wiki/IOS" TargetMode="External"/><Relationship Id="rId1203" Type="http://schemas.openxmlformats.org/officeDocument/2006/relationships/hyperlink" Target="https://en.wikipedia.org/wiki/EA_Tiburon" TargetMode="External"/><Relationship Id="rId1410" Type="http://schemas.openxmlformats.org/officeDocument/2006/relationships/hyperlink" Target="https://en.wikipedia.org/wiki/NHL_19" TargetMode="External"/><Relationship Id="rId296" Type="http://schemas.openxmlformats.org/officeDocument/2006/relationships/hyperlink" Target="https://en.wikipedia.org/wiki/PlayStation_Portable" TargetMode="External"/><Relationship Id="rId2184" Type="http://schemas.openxmlformats.org/officeDocument/2006/relationships/hyperlink" Target="https://en.wikipedia.org/wiki/Respawn_Entertainment" TargetMode="External"/><Relationship Id="rId2391" Type="http://schemas.openxmlformats.org/officeDocument/2006/relationships/hyperlink" Target="https://en.wikipedia.org/wiki/Xbox_One" TargetMode="External"/><Relationship Id="rId156" Type="http://schemas.openxmlformats.org/officeDocument/2006/relationships/hyperlink" Target="https://en.wikipedia.org/wiki/Xbox_360" TargetMode="External"/><Relationship Id="rId363" Type="http://schemas.openxmlformats.org/officeDocument/2006/relationships/hyperlink" Target="https://en.wikipedia.org/wiki/Dragon_Age_II" TargetMode="External"/><Relationship Id="rId570" Type="http://schemas.openxmlformats.org/officeDocument/2006/relationships/hyperlink" Target="https://en.wikipedia.org/wiki/EA_Canada" TargetMode="External"/><Relationship Id="rId2044" Type="http://schemas.openxmlformats.org/officeDocument/2006/relationships/hyperlink" Target="https://en.wikipedia.org/wiki/Maxis_Redwood_Shores" TargetMode="External"/><Relationship Id="rId2251" Type="http://schemas.openxmlformats.org/officeDocument/2006/relationships/hyperlink" Target="https://en.wikipedia.org/wiki/Zuma%27s_Revenge!" TargetMode="External"/><Relationship Id="rId223" Type="http://schemas.openxmlformats.org/officeDocument/2006/relationships/hyperlink" Target="https://en.wikipedia.org/wiki/Criterion_Games" TargetMode="External"/><Relationship Id="rId430" Type="http://schemas.openxmlformats.org/officeDocument/2006/relationships/hyperlink" Target="https://en.wikipedia.org/wiki/PlayStation_4" TargetMode="External"/><Relationship Id="rId1060" Type="http://schemas.openxmlformats.org/officeDocument/2006/relationships/hyperlink" Target="https://en.wikipedia.org/wiki/PlayStation_Network" TargetMode="External"/><Relationship Id="rId2111" Type="http://schemas.openxmlformats.org/officeDocument/2006/relationships/hyperlink" Target="https://en.wikipedia.org/wiki/Maxis_Redwood_Shores" TargetMode="External"/><Relationship Id="rId1877" Type="http://schemas.openxmlformats.org/officeDocument/2006/relationships/hyperlink" Target="https://en.wikipedia.org/wiki/The_Sims_3:_University_Life" TargetMode="External"/><Relationship Id="rId1737" Type="http://schemas.openxmlformats.org/officeDocument/2006/relationships/hyperlink" Target="https://en.wikipedia.org/wiki/EA_Mobile" TargetMode="External"/><Relationship Id="rId1944" Type="http://schemas.openxmlformats.org/officeDocument/2006/relationships/hyperlink" Target="https://en.wikipedia.org/wiki/Macintosh" TargetMode="External"/><Relationship Id="rId29" Type="http://schemas.openxmlformats.org/officeDocument/2006/relationships/hyperlink" Target="https://en.wikipedia.org/wiki/Xbox_One" TargetMode="External"/><Relationship Id="rId1804" Type="http://schemas.openxmlformats.org/officeDocument/2006/relationships/hyperlink" Target="https://en.wikipedia.org/wiki/Maxis_Redwood_Shores" TargetMode="External"/><Relationship Id="rId897" Type="http://schemas.openxmlformats.org/officeDocument/2006/relationships/hyperlink" Target="https://en.wikipedia.org/wiki/PlayStation_3" TargetMode="External"/><Relationship Id="rId2578" Type="http://schemas.openxmlformats.org/officeDocument/2006/relationships/hyperlink" Target="https://en.wikipedia.org/wiki/Skate_4" TargetMode="External"/><Relationship Id="rId757" Type="http://schemas.openxmlformats.org/officeDocument/2006/relationships/hyperlink" Target="https://en.wikipedia.org/wiki/IOS" TargetMode="External"/><Relationship Id="rId964" Type="http://schemas.openxmlformats.org/officeDocument/2006/relationships/hyperlink" Target="https://en.wikipedia.org/wiki/EA_Tiburon" TargetMode="External"/><Relationship Id="rId1387" Type="http://schemas.openxmlformats.org/officeDocument/2006/relationships/hyperlink" Target="https://en.wikipedia.org/wiki/PlayStation_4" TargetMode="External"/><Relationship Id="rId1594" Type="http://schemas.openxmlformats.org/officeDocument/2006/relationships/hyperlink" Target="https://en.wikipedia.org/wiki/PlayStation_3" TargetMode="External"/><Relationship Id="rId2438" Type="http://schemas.openxmlformats.org/officeDocument/2006/relationships/hyperlink" Target="https://en.wikipedia.org/wiki/PlayStation_4" TargetMode="External"/><Relationship Id="rId93" Type="http://schemas.openxmlformats.org/officeDocument/2006/relationships/hyperlink" Target="https://en.wikipedia.org/wiki/Army_of_Two:_The_40th_Day" TargetMode="External"/><Relationship Id="rId617" Type="http://schemas.openxmlformats.org/officeDocument/2006/relationships/hyperlink" Target="https://en.wikipedia.org/wiki/Nintendo_3DS" TargetMode="External"/><Relationship Id="rId824" Type="http://schemas.openxmlformats.org/officeDocument/2006/relationships/hyperlink" Target="https://en.wikipedia.org/wiki/Hasbro_Family_Game_Night_3" TargetMode="External"/><Relationship Id="rId1247" Type="http://schemas.openxmlformats.org/officeDocument/2006/relationships/hyperlink" Target="https://en.wikipedia.org/wiki/Xbox_One" TargetMode="External"/><Relationship Id="rId1454" Type="http://schemas.openxmlformats.org/officeDocument/2006/relationships/hyperlink" Target="https://en.wikipedia.org/wiki/Plants_vs._Zombies" TargetMode="External"/><Relationship Id="rId1661" Type="http://schemas.openxmlformats.org/officeDocument/2006/relationships/hyperlink" Target="https://en.wikipedia.org/wiki/Playfish" TargetMode="External"/><Relationship Id="rId2505" Type="http://schemas.openxmlformats.org/officeDocument/2006/relationships/hyperlink" Target="https://en.wikipedia.org/wiki/Microsoft_Windows" TargetMode="External"/><Relationship Id="rId1107" Type="http://schemas.openxmlformats.org/officeDocument/2006/relationships/hyperlink" Target="https://en.wikipedia.org/wiki/Xbox_360" TargetMode="External"/><Relationship Id="rId1314" Type="http://schemas.openxmlformats.org/officeDocument/2006/relationships/hyperlink" Target="https://en.wikipedia.org/wiki/EA_Black_Box" TargetMode="External"/><Relationship Id="rId1521" Type="http://schemas.openxmlformats.org/officeDocument/2006/relationships/hyperlink" Target="https://en.wikipedia.org/wiki/Rango_(video_game)" TargetMode="External"/><Relationship Id="rId20" Type="http://schemas.openxmlformats.org/officeDocument/2006/relationships/hyperlink" Target="https://en.wikipedia.org/wiki/Xbox_360" TargetMode="External"/><Relationship Id="rId2088" Type="http://schemas.openxmlformats.org/officeDocument/2006/relationships/hyperlink" Target="https://en.wikipedia.org/wiki/Macintosh" TargetMode="External"/><Relationship Id="rId2295" Type="http://schemas.openxmlformats.org/officeDocument/2006/relationships/hyperlink" Target="https://en.wikipedia.org/wiki/Xbox_One" TargetMode="External"/><Relationship Id="rId267" Type="http://schemas.openxmlformats.org/officeDocument/2006/relationships/hyperlink" Target="https://en.wikipedia.org/wiki/Crytek" TargetMode="External"/><Relationship Id="rId474" Type="http://schemas.openxmlformats.org/officeDocument/2006/relationships/hyperlink" Target="https://en.wikipedia.org/wiki/EA_Canada" TargetMode="External"/><Relationship Id="rId2155" Type="http://schemas.openxmlformats.org/officeDocument/2006/relationships/hyperlink" Target="https://en.wikipedia.org/wiki/Tiger_Woods_PGA_Tour_12" TargetMode="External"/><Relationship Id="rId127" Type="http://schemas.openxmlformats.org/officeDocument/2006/relationships/hyperlink" Target="https://en.wikipedia.org/wiki/PlayStation_3" TargetMode="External"/><Relationship Id="rId681" Type="http://schemas.openxmlformats.org/officeDocument/2006/relationships/hyperlink" Target="https://en.wikipedia.org/wiki/EA_Vancouver" TargetMode="External"/><Relationship Id="rId2362" Type="http://schemas.openxmlformats.org/officeDocument/2006/relationships/hyperlink" Target="https://en.wikipedia.org/wiki/Madden_NFL_22" TargetMode="External"/><Relationship Id="rId334" Type="http://schemas.openxmlformats.org/officeDocument/2006/relationships/hyperlink" Target="https://en.wikipedia.org/wiki/PlayStation_3" TargetMode="External"/><Relationship Id="rId541" Type="http://schemas.openxmlformats.org/officeDocument/2006/relationships/hyperlink" Target="https://en.wikipedia.org/wiki/FIFA_13" TargetMode="External"/><Relationship Id="rId1171" Type="http://schemas.openxmlformats.org/officeDocument/2006/relationships/hyperlink" Target="https://en.wikipedia.org/wiki/EA_Tiburon" TargetMode="External"/><Relationship Id="rId2015" Type="http://schemas.openxmlformats.org/officeDocument/2006/relationships/hyperlink" Target="https://en.wikipedia.org/wiki/The_Sims_4:_Outdoor_Retreat" TargetMode="External"/><Relationship Id="rId2222" Type="http://schemas.openxmlformats.org/officeDocument/2006/relationships/hyperlink" Target="https://en.wikipedia.org/wiki/Xbox_One" TargetMode="External"/><Relationship Id="rId401" Type="http://schemas.openxmlformats.org/officeDocument/2006/relationships/hyperlink" Target="https://en.wikipedia.org/wiki/Mythic_Entertainment" TargetMode="External"/><Relationship Id="rId1031" Type="http://schemas.openxmlformats.org/officeDocument/2006/relationships/hyperlink" Target="https://en.wikipedia.org/wiki/Wii_U" TargetMode="External"/><Relationship Id="rId1988" Type="http://schemas.openxmlformats.org/officeDocument/2006/relationships/hyperlink" Target="https://en.wikipedia.org/wiki/The_Sims_4:_Get_Together" TargetMode="External"/><Relationship Id="rId1848" Type="http://schemas.openxmlformats.org/officeDocument/2006/relationships/hyperlink" Target="https://en.wikipedia.org/wiki/Macintosh" TargetMode="External"/><Relationship Id="rId191" Type="http://schemas.openxmlformats.org/officeDocument/2006/relationships/hyperlink" Target="https://en.wikipedia.org/wiki/Bejeweled_3" TargetMode="External"/><Relationship Id="rId1708" Type="http://schemas.openxmlformats.org/officeDocument/2006/relationships/hyperlink" Target="https://en.wikipedia.org/wiki/Star_Wars_Battlefront_II_(2017_video_game)" TargetMode="External"/><Relationship Id="rId1915" Type="http://schemas.openxmlformats.org/officeDocument/2006/relationships/hyperlink" Target="https://en.wikipedia.org/wiki/Maxis_Redwood_Shores" TargetMode="External"/><Relationship Id="rId868" Type="http://schemas.openxmlformats.org/officeDocument/2006/relationships/hyperlink" Target="https://en.wikipedia.org/wiki/Madden_NFL_11" TargetMode="External"/><Relationship Id="rId1498" Type="http://schemas.openxmlformats.org/officeDocument/2006/relationships/hyperlink" Target="https://en.wikipedia.org/wiki/PopCap_Games" TargetMode="External"/><Relationship Id="rId2549" Type="http://schemas.openxmlformats.org/officeDocument/2006/relationships/hyperlink" Target="https://en.wikipedia.org/wiki/Macintosh" TargetMode="External"/><Relationship Id="rId728" Type="http://schemas.openxmlformats.org/officeDocument/2006/relationships/hyperlink" Target="https://en.wikipedia.org/wiki/Microsoft_Windows" TargetMode="External"/><Relationship Id="rId935" Type="http://schemas.openxmlformats.org/officeDocument/2006/relationships/hyperlink" Target="https://en.wikipedia.org/wiki/Madden_NFL_16" TargetMode="External"/><Relationship Id="rId1358" Type="http://schemas.openxmlformats.org/officeDocument/2006/relationships/hyperlink" Target="https://en.wikipedia.org/wiki/EA_Canada" TargetMode="External"/><Relationship Id="rId1565" Type="http://schemas.openxmlformats.org/officeDocument/2006/relationships/hyperlink" Target="https://en.wikipedia.org/wiki/Harmonix" TargetMode="External"/><Relationship Id="rId1772" Type="http://schemas.openxmlformats.org/officeDocument/2006/relationships/hyperlink" Target="https://en.wikipedia.org/wiki/Funcom" TargetMode="External"/><Relationship Id="rId2409" Type="http://schemas.openxmlformats.org/officeDocument/2006/relationships/hyperlink" Target="https://en.wikipedia.org/wiki/PlayStation_5" TargetMode="External"/><Relationship Id="rId64" Type="http://schemas.openxmlformats.org/officeDocument/2006/relationships/hyperlink" Target="https://en.wikipedia.org/wiki/Apex_Legends" TargetMode="External"/><Relationship Id="rId1218" Type="http://schemas.openxmlformats.org/officeDocument/2006/relationships/hyperlink" Target="https://en.wikipedia.org/wiki/Ghost_Games" TargetMode="External"/><Relationship Id="rId1425" Type="http://schemas.openxmlformats.org/officeDocument/2006/relationships/hyperlink" Target="https://en.wikipedia.org/wiki/Insomniac_Games" TargetMode="External"/><Relationship Id="rId1632" Type="http://schemas.openxmlformats.org/officeDocument/2006/relationships/hyperlink" Target="https://en.wikipedia.org/wiki/Shift_2:_Unleashed" TargetMode="External"/><Relationship Id="rId2199" Type="http://schemas.openxmlformats.org/officeDocument/2006/relationships/hyperlink" Target="https://en.wikipedia.org/wiki/UEFA_Euro_2012_(video_game)" TargetMode="External"/><Relationship Id="rId378" Type="http://schemas.openxmlformats.org/officeDocument/2006/relationships/hyperlink" Target="https://en.wikipedia.org/wiki/Microsoft_Windows" TargetMode="External"/><Relationship Id="rId585" Type="http://schemas.openxmlformats.org/officeDocument/2006/relationships/hyperlink" Target="https://en.wikipedia.org/wiki/EA_Canada" TargetMode="External"/><Relationship Id="rId792" Type="http://schemas.openxmlformats.org/officeDocument/2006/relationships/hyperlink" Target="https://en.wikipedia.org/wiki/PlayStation_3" TargetMode="External"/><Relationship Id="rId2059" Type="http://schemas.openxmlformats.org/officeDocument/2006/relationships/hyperlink" Target="https://en.wikipedia.org/wiki/Maxis_Redwood_Shores" TargetMode="External"/><Relationship Id="rId2266" Type="http://schemas.openxmlformats.org/officeDocument/2006/relationships/hyperlink" Target="https://en.wikipedia.org/wiki/Rocket_Arena_(video_game)" TargetMode="External"/><Relationship Id="rId2473" Type="http://schemas.openxmlformats.org/officeDocument/2006/relationships/hyperlink" Target="https://en.wikipedia.org/wiki/Macintosh" TargetMode="External"/><Relationship Id="rId238" Type="http://schemas.openxmlformats.org/officeDocument/2006/relationships/hyperlink" Target="https://en.wikipedia.org/wiki/EA_Mobile" TargetMode="External"/><Relationship Id="rId445" Type="http://schemas.openxmlformats.org/officeDocument/2006/relationships/hyperlink" Target="https://en.wikipedia.org/wiki/Extreme_Pinball" TargetMode="External"/><Relationship Id="rId652" Type="http://schemas.openxmlformats.org/officeDocument/2006/relationships/hyperlink" Target="https://en.wikipedia.org/wiki/FIFA_16" TargetMode="External"/><Relationship Id="rId1075" Type="http://schemas.openxmlformats.org/officeDocument/2006/relationships/hyperlink" Target="https://en.wikipedia.org/wiki/Android_(operating_system)" TargetMode="External"/><Relationship Id="rId1282" Type="http://schemas.openxmlformats.org/officeDocument/2006/relationships/hyperlink" Target="https://en.wikipedia.org/wiki/Need_for_Speed:_Most_Wanted_(2012_video_game)" TargetMode="External"/><Relationship Id="rId2126" Type="http://schemas.openxmlformats.org/officeDocument/2006/relationships/hyperlink" Target="https://en.wikipedia.org/wiki/The_Sims_Mobile" TargetMode="External"/><Relationship Id="rId2333" Type="http://schemas.openxmlformats.org/officeDocument/2006/relationships/hyperlink" Target="https://en.wikipedia.org/wiki/Microsoft_Windows" TargetMode="External"/><Relationship Id="rId2540" Type="http://schemas.openxmlformats.org/officeDocument/2006/relationships/hyperlink" Target="https://en.wikipedia.org/wiki/PlayStation_5" TargetMode="External"/><Relationship Id="rId305" Type="http://schemas.openxmlformats.org/officeDocument/2006/relationships/hyperlink" Target="https://en.wikipedia.org/wiki/Dead_Space_(mobile_game)" TargetMode="External"/><Relationship Id="rId512" Type="http://schemas.openxmlformats.org/officeDocument/2006/relationships/hyperlink" Target="https://en.wikipedia.org/wiki/PlayStation_3" TargetMode="External"/><Relationship Id="rId1142" Type="http://schemas.openxmlformats.org/officeDocument/2006/relationships/hyperlink" Target="https://en.wikipedia.org/wiki/NBA_Jam_(2010_video_game)" TargetMode="External"/><Relationship Id="rId2400" Type="http://schemas.openxmlformats.org/officeDocument/2006/relationships/hyperlink" Target="https://en.wikipedia.org/wiki/The_Sims_4:_My_Wedding_Stories" TargetMode="External"/><Relationship Id="rId1002" Type="http://schemas.openxmlformats.org/officeDocument/2006/relationships/hyperlink" Target="https://en.wikipedia.org/wiki/Android_(operating_system)" TargetMode="External"/><Relationship Id="rId1959" Type="http://schemas.openxmlformats.org/officeDocument/2006/relationships/hyperlink" Target="https://en.wikipedia.org/wiki/Microsoft_Windows" TargetMode="External"/><Relationship Id="rId1819" Type="http://schemas.openxmlformats.org/officeDocument/2006/relationships/hyperlink" Target="https://en.wikipedia.org/wiki/Maxis_Redwood_Shores" TargetMode="External"/><Relationship Id="rId2190" Type="http://schemas.openxmlformats.org/officeDocument/2006/relationships/hyperlink" Target="https://en.wikipedia.org/wiki/Respawn_Entertainment" TargetMode="External"/><Relationship Id="rId162" Type="http://schemas.openxmlformats.org/officeDocument/2006/relationships/hyperlink" Target="https://en.wikipedia.org/wiki/Kindle_Fire" TargetMode="External"/><Relationship Id="rId2050" Type="http://schemas.openxmlformats.org/officeDocument/2006/relationships/hyperlink" Target="https://en.wikipedia.org/wiki/Maxis_Redwood_Shores" TargetMode="External"/><Relationship Id="rId979" Type="http://schemas.openxmlformats.org/officeDocument/2006/relationships/hyperlink" Target="https://en.wikipedia.org/wiki/EA_Tiburon" TargetMode="External"/><Relationship Id="rId839" Type="http://schemas.openxmlformats.org/officeDocument/2006/relationships/hyperlink" Target="https://en.wikipedia.org/wiki/Heroes_of_Dragon_Age" TargetMode="External"/><Relationship Id="rId1469" Type="http://schemas.openxmlformats.org/officeDocument/2006/relationships/hyperlink" Target="https://en.wikipedia.org/wiki/Plants_vs._Zombies_Heroes" TargetMode="External"/><Relationship Id="rId1676" Type="http://schemas.openxmlformats.org/officeDocument/2006/relationships/hyperlink" Target="https://en.wikipedia.org/wiki/PlayStation_3" TargetMode="External"/><Relationship Id="rId1883" Type="http://schemas.openxmlformats.org/officeDocument/2006/relationships/hyperlink" Target="https://en.wikipedia.org/wiki/The_Sims_4" TargetMode="External"/><Relationship Id="rId906" Type="http://schemas.openxmlformats.org/officeDocument/2006/relationships/hyperlink" Target="https://en.wikipedia.org/wiki/Xbox_360" TargetMode="External"/><Relationship Id="rId1329" Type="http://schemas.openxmlformats.org/officeDocument/2006/relationships/hyperlink" Target="https://en.wikipedia.org/wiki/EA_Black_Box" TargetMode="External"/><Relationship Id="rId1536" Type="http://schemas.openxmlformats.org/officeDocument/2006/relationships/hyperlink" Target="https://en.wikipedia.org/wiki/Real_Racing_3" TargetMode="External"/><Relationship Id="rId1743" Type="http://schemas.openxmlformats.org/officeDocument/2006/relationships/hyperlink" Target="https://en.wikipedia.org/wiki/BioWare" TargetMode="External"/><Relationship Id="rId1950" Type="http://schemas.openxmlformats.org/officeDocument/2006/relationships/hyperlink" Target="https://en.wikipedia.org/wiki/PlayStation_4" TargetMode="External"/><Relationship Id="rId35" Type="http://schemas.openxmlformats.org/officeDocument/2006/relationships/hyperlink" Target="https://en.wikipedia.org/wiki/PlayStation_3" TargetMode="External"/><Relationship Id="rId1603" Type="http://schemas.openxmlformats.org/officeDocument/2006/relationships/hyperlink" Target="https://en.wikipedia.org/wiki/Xbox_360" TargetMode="External"/><Relationship Id="rId1810" Type="http://schemas.openxmlformats.org/officeDocument/2006/relationships/hyperlink" Target="https://en.wikipedia.org/wiki/EA_Mobile" TargetMode="External"/><Relationship Id="rId489" Type="http://schemas.openxmlformats.org/officeDocument/2006/relationships/hyperlink" Target="https://en.wikipedia.org/wiki/EA_Canada" TargetMode="External"/><Relationship Id="rId696" Type="http://schemas.openxmlformats.org/officeDocument/2006/relationships/hyperlink" Target="https://en.wikipedia.org/wiki/EA_Vancouver" TargetMode="External"/><Relationship Id="rId2377" Type="http://schemas.openxmlformats.org/officeDocument/2006/relationships/hyperlink" Target="https://en.wikipedia.org/wiki/Microsoft_Windows" TargetMode="External"/><Relationship Id="rId2584" Type="http://schemas.openxmlformats.org/officeDocument/2006/relationships/hyperlink" Target="https://en.wikipedia.org/wiki/Motive_Studios" TargetMode="External"/><Relationship Id="rId349" Type="http://schemas.openxmlformats.org/officeDocument/2006/relationships/hyperlink" Target="https://en.wikipedia.org/wiki/Xbox_360" TargetMode="External"/><Relationship Id="rId556" Type="http://schemas.openxmlformats.org/officeDocument/2006/relationships/hyperlink" Target="https://en.wikipedia.org/wiki/FIFA_13" TargetMode="External"/><Relationship Id="rId763" Type="http://schemas.openxmlformats.org/officeDocument/2006/relationships/hyperlink" Target="https://en.wikipedia.org/wiki/Xbox_360" TargetMode="External"/><Relationship Id="rId1186" Type="http://schemas.openxmlformats.org/officeDocument/2006/relationships/hyperlink" Target="https://en.wikipedia.org/wiki/EA_Tiburon" TargetMode="External"/><Relationship Id="rId1393" Type="http://schemas.openxmlformats.org/officeDocument/2006/relationships/hyperlink" Target="https://en.wikipedia.org/wiki/Xbox_One" TargetMode="External"/><Relationship Id="rId2237" Type="http://schemas.openxmlformats.org/officeDocument/2006/relationships/hyperlink" Target="https://en.wikipedia.org/wiki/Trapdoor_(company)" TargetMode="External"/><Relationship Id="rId2444" Type="http://schemas.openxmlformats.org/officeDocument/2006/relationships/hyperlink" Target="https://en.wikipedia.org/wiki/Nintendo_Switch" TargetMode="External"/><Relationship Id="rId209" Type="http://schemas.openxmlformats.org/officeDocument/2006/relationships/hyperlink" Target="https://en.wikipedia.org/wiki/Bulletstorm" TargetMode="External"/><Relationship Id="rId416" Type="http://schemas.openxmlformats.org/officeDocument/2006/relationships/hyperlink" Target="https://en.wikipedia.org/wiki/EA_Canada" TargetMode="External"/><Relationship Id="rId970" Type="http://schemas.openxmlformats.org/officeDocument/2006/relationships/hyperlink" Target="https://en.wikipedia.org/wiki/EA_Tiburon" TargetMode="External"/><Relationship Id="rId1046" Type="http://schemas.openxmlformats.org/officeDocument/2006/relationships/hyperlink" Target="https://en.wikipedia.org/wiki/BioWare" TargetMode="External"/><Relationship Id="rId1253" Type="http://schemas.openxmlformats.org/officeDocument/2006/relationships/hyperlink" Target="https://en.wikipedia.org/wiki/IOS" TargetMode="External"/><Relationship Id="rId623" Type="http://schemas.openxmlformats.org/officeDocument/2006/relationships/hyperlink" Target="https://en.wikipedia.org/wiki/PlayStation_4" TargetMode="External"/><Relationship Id="rId830" Type="http://schemas.openxmlformats.org/officeDocument/2006/relationships/hyperlink" Target="https://en.wikipedia.org/wiki/Hasbro_Family_Game_Night_4:_The_Game_Show" TargetMode="External"/><Relationship Id="rId1460" Type="http://schemas.openxmlformats.org/officeDocument/2006/relationships/hyperlink" Target="https://en.wikipedia.org/wiki/Plants_vs._Zombies_2:_It%27s_About_Time" TargetMode="External"/><Relationship Id="rId2304" Type="http://schemas.openxmlformats.org/officeDocument/2006/relationships/hyperlink" Target="https://en.wikipedia.org/wiki/EA_Vancouver" TargetMode="External"/><Relationship Id="rId2511" Type="http://schemas.openxmlformats.org/officeDocument/2006/relationships/hyperlink" Target="https://en.wikipedia.org/wiki/Xbox_One" TargetMode="External"/><Relationship Id="rId1113" Type="http://schemas.openxmlformats.org/officeDocument/2006/relationships/hyperlink" Target="https://en.wikipedia.org/wiki/PlayStation_3" TargetMode="External"/><Relationship Id="rId1320" Type="http://schemas.openxmlformats.org/officeDocument/2006/relationships/hyperlink" Target="https://en.wikipedia.org/wiki/EA_Black_Box" TargetMode="External"/><Relationship Id="rId2094" Type="http://schemas.openxmlformats.org/officeDocument/2006/relationships/hyperlink" Target="https://en.wikipedia.org/wiki/PlayStation_4" TargetMode="External"/><Relationship Id="rId273" Type="http://schemas.openxmlformats.org/officeDocument/2006/relationships/hyperlink" Target="https://en.wikipedia.org/wiki/Crytek" TargetMode="External"/><Relationship Id="rId480" Type="http://schemas.openxmlformats.org/officeDocument/2006/relationships/hyperlink" Target="https://en.wikipedia.org/wiki/HB_Studios" TargetMode="External"/><Relationship Id="rId2161" Type="http://schemas.openxmlformats.org/officeDocument/2006/relationships/hyperlink" Target="https://en.wikipedia.org/wiki/Tiger_Woods_PGA_Tour_12" TargetMode="External"/><Relationship Id="rId133" Type="http://schemas.openxmlformats.org/officeDocument/2006/relationships/hyperlink" Target="https://en.wikipedia.org/wiki/Xbox_360" TargetMode="External"/><Relationship Id="rId340" Type="http://schemas.openxmlformats.org/officeDocument/2006/relationships/hyperlink" Target="https://en.wikipedia.org/wiki/Microsoft_Windows" TargetMode="External"/><Relationship Id="rId2021" Type="http://schemas.openxmlformats.org/officeDocument/2006/relationships/hyperlink" Target="https://en.wikipedia.org/wiki/The_Sims_4:_Outdoor_Retreat" TargetMode="External"/><Relationship Id="rId200" Type="http://schemas.openxmlformats.org/officeDocument/2006/relationships/hyperlink" Target="https://en.wikipedia.org/wiki/Bejeweled" TargetMode="External"/><Relationship Id="rId1787" Type="http://schemas.openxmlformats.org/officeDocument/2006/relationships/hyperlink" Target="https://en.wikipedia.org/wiki/Edge_of_Reality" TargetMode="External"/><Relationship Id="rId1994" Type="http://schemas.openxmlformats.org/officeDocument/2006/relationships/hyperlink" Target="https://en.wikipedia.org/wiki/The_Sims_4:_Island_Living" TargetMode="External"/><Relationship Id="rId79" Type="http://schemas.openxmlformats.org/officeDocument/2006/relationships/hyperlink" Target="https://en.wikipedia.org/wiki/Apex_Legends" TargetMode="External"/><Relationship Id="rId1647" Type="http://schemas.openxmlformats.org/officeDocument/2006/relationships/hyperlink" Target="https://en.wikipedia.org/wiki/SimCity_4" TargetMode="External"/><Relationship Id="rId1854" Type="http://schemas.openxmlformats.org/officeDocument/2006/relationships/hyperlink" Target="https://en.wikipedia.org/wiki/Microsoft_Windows" TargetMode="External"/><Relationship Id="rId1507" Type="http://schemas.openxmlformats.org/officeDocument/2006/relationships/hyperlink" Target="https://en.wikipedia.org/wiki/PopCap_Games" TargetMode="External"/><Relationship Id="rId1714" Type="http://schemas.openxmlformats.org/officeDocument/2006/relationships/hyperlink" Target="https://en.wikipedia.org/wiki/Star_Wars_Battlefront_II_(2017_video_game)" TargetMode="External"/><Relationship Id="rId1921" Type="http://schemas.openxmlformats.org/officeDocument/2006/relationships/hyperlink" Target="https://en.wikipedia.org/wiki/Maxis_Redwood_Shores" TargetMode="External"/><Relationship Id="rId2488" Type="http://schemas.openxmlformats.org/officeDocument/2006/relationships/hyperlink" Target="https://en.wikipedia.org/wiki/Microsoft_Windows" TargetMode="External"/><Relationship Id="rId1297" Type="http://schemas.openxmlformats.org/officeDocument/2006/relationships/hyperlink" Target="https://en.wikipedia.org/wiki/Need_for_Speed:_Most_Wanted_(2012_video_game)" TargetMode="External"/><Relationship Id="rId667" Type="http://schemas.openxmlformats.org/officeDocument/2006/relationships/hyperlink" Target="https://en.wikipedia.org/wiki/FIFA_17" TargetMode="External"/><Relationship Id="rId874" Type="http://schemas.openxmlformats.org/officeDocument/2006/relationships/hyperlink" Target="https://en.wikipedia.org/wiki/EA_Tiburon" TargetMode="External"/><Relationship Id="rId2348" Type="http://schemas.openxmlformats.org/officeDocument/2006/relationships/hyperlink" Target="https://en.wikipedia.org/wiki/F1_2021_(video_game)" TargetMode="External"/><Relationship Id="rId2555" Type="http://schemas.openxmlformats.org/officeDocument/2006/relationships/hyperlink" Target="https://en.wikipedia.org/wiki/Microsoft_Windows" TargetMode="External"/><Relationship Id="rId527" Type="http://schemas.openxmlformats.org/officeDocument/2006/relationships/hyperlink" Target="https://en.wikipedia.org/wiki/Microsoft_Windows" TargetMode="External"/><Relationship Id="rId734" Type="http://schemas.openxmlformats.org/officeDocument/2006/relationships/hyperlink" Target="https://en.wikipedia.org/wiki/Microsoft_Windows" TargetMode="External"/><Relationship Id="rId941" Type="http://schemas.openxmlformats.org/officeDocument/2006/relationships/hyperlink" Target="https://en.wikipedia.org/wiki/Madden_NFL_17" TargetMode="External"/><Relationship Id="rId1157" Type="http://schemas.openxmlformats.org/officeDocument/2006/relationships/hyperlink" Target="https://en.wikipedia.org/wiki/NBA_Live_15" TargetMode="External"/><Relationship Id="rId1364" Type="http://schemas.openxmlformats.org/officeDocument/2006/relationships/hyperlink" Target="https://en.wikipedia.org/wiki/EA_Canada" TargetMode="External"/><Relationship Id="rId1571" Type="http://schemas.openxmlformats.org/officeDocument/2006/relationships/hyperlink" Target="https://en.wikipedia.org/wiki/Harmonix" TargetMode="External"/><Relationship Id="rId2208" Type="http://schemas.openxmlformats.org/officeDocument/2006/relationships/hyperlink" Target="https://en.wikipedia.org/wiki/EA_Sports_UFC" TargetMode="External"/><Relationship Id="rId2415" Type="http://schemas.openxmlformats.org/officeDocument/2006/relationships/hyperlink" Target="https://en.wikipedia.org/wiki/The_Sims_4:_Werewolves" TargetMode="External"/><Relationship Id="rId70" Type="http://schemas.openxmlformats.org/officeDocument/2006/relationships/hyperlink" Target="https://en.wikipedia.org/wiki/Apex_Legends" TargetMode="External"/><Relationship Id="rId801" Type="http://schemas.openxmlformats.org/officeDocument/2006/relationships/hyperlink" Target="https://en.wikipedia.org/wiki/Xbox_360" TargetMode="External"/><Relationship Id="rId1017" Type="http://schemas.openxmlformats.org/officeDocument/2006/relationships/hyperlink" Target="https://en.wikipedia.org/wiki/BioWare" TargetMode="External"/><Relationship Id="rId1224" Type="http://schemas.openxmlformats.org/officeDocument/2006/relationships/hyperlink" Target="https://en.wikipedia.org/wiki/Ghost_Games" TargetMode="External"/><Relationship Id="rId1431" Type="http://schemas.openxmlformats.org/officeDocument/2006/relationships/hyperlink" Target="https://en.wikipedia.org/wiki/PopCap_Games" TargetMode="External"/><Relationship Id="rId177" Type="http://schemas.openxmlformats.org/officeDocument/2006/relationships/hyperlink" Target="https://en.wikipedia.org/wiki/Xbox_One" TargetMode="External"/><Relationship Id="rId384" Type="http://schemas.openxmlformats.org/officeDocument/2006/relationships/hyperlink" Target="https://en.wikipedia.org/wiki/Xbox_One" TargetMode="External"/><Relationship Id="rId591" Type="http://schemas.openxmlformats.org/officeDocument/2006/relationships/hyperlink" Target="https://en.wikipedia.org/wiki/EA_Canada" TargetMode="External"/><Relationship Id="rId2065" Type="http://schemas.openxmlformats.org/officeDocument/2006/relationships/hyperlink" Target="https://en.wikipedia.org/wiki/Maxis_Redwood_Shores" TargetMode="External"/><Relationship Id="rId2272" Type="http://schemas.openxmlformats.org/officeDocument/2006/relationships/hyperlink" Target="https://en.wikipedia.org/wiki/EA_Tiburon" TargetMode="External"/><Relationship Id="rId244" Type="http://schemas.openxmlformats.org/officeDocument/2006/relationships/hyperlink" Target="https://en.wikipedia.org/wiki/Xbox_360" TargetMode="External"/><Relationship Id="rId1081" Type="http://schemas.openxmlformats.org/officeDocument/2006/relationships/hyperlink" Target="https://en.wikipedia.org/wiki/IOS" TargetMode="External"/><Relationship Id="rId451" Type="http://schemas.openxmlformats.org/officeDocument/2006/relationships/hyperlink" Target="https://en.wikipedia.org/wiki/Fe_(video_game)" TargetMode="External"/><Relationship Id="rId2132" Type="http://schemas.openxmlformats.org/officeDocument/2006/relationships/hyperlink" Target="https://en.wikipedia.org/wiki/IOS" TargetMode="External"/><Relationship Id="rId104" Type="http://schemas.openxmlformats.org/officeDocument/2006/relationships/hyperlink" Target="https://en.wikipedia.org/wiki/PlayStation_Portable" TargetMode="External"/><Relationship Id="rId311" Type="http://schemas.openxmlformats.org/officeDocument/2006/relationships/hyperlink" Target="https://en.wikipedia.org/wiki/Visceral_Games" TargetMode="External"/><Relationship Id="rId1898" Type="http://schemas.openxmlformats.org/officeDocument/2006/relationships/hyperlink" Target="https://en.wikipedia.org/wiki/The_Sims_4_Stuff_packs" TargetMode="External"/><Relationship Id="rId1758" Type="http://schemas.openxmlformats.org/officeDocument/2006/relationships/hyperlink" Target="https://en.wikipedia.org/wiki/Starbreeze_Studios" TargetMode="External"/><Relationship Id="rId1965" Type="http://schemas.openxmlformats.org/officeDocument/2006/relationships/hyperlink" Target="https://en.wikipedia.org/wiki/Xbox_One" TargetMode="External"/><Relationship Id="rId1618" Type="http://schemas.openxmlformats.org/officeDocument/2006/relationships/hyperlink" Target="https://en.wikipedia.org/wiki/Microsoft_Windows" TargetMode="External"/><Relationship Id="rId1825" Type="http://schemas.openxmlformats.org/officeDocument/2006/relationships/hyperlink" Target="https://en.wikipedia.org/wiki/Maxis_Redwood_Shores" TargetMode="External"/><Relationship Id="rId778" Type="http://schemas.openxmlformats.org/officeDocument/2006/relationships/hyperlink" Target="https://en.wikipedia.org/wiki/EA_Canada" TargetMode="External"/><Relationship Id="rId985" Type="http://schemas.openxmlformats.org/officeDocument/2006/relationships/hyperlink" Target="https://en.wikipedia.org/wiki/EA_Tiburon" TargetMode="External"/><Relationship Id="rId2459" Type="http://schemas.openxmlformats.org/officeDocument/2006/relationships/hyperlink" Target="https://en.wikipedia.org/wiki/Criterion_Games" TargetMode="External"/><Relationship Id="rId638" Type="http://schemas.openxmlformats.org/officeDocument/2006/relationships/hyperlink" Target="https://en.wikipedia.org/wiki/Xbox_One" TargetMode="External"/><Relationship Id="rId845" Type="http://schemas.openxmlformats.org/officeDocument/2006/relationships/hyperlink" Target="https://en.wikipedia.org/wiki/Facebook" TargetMode="External"/><Relationship Id="rId1268" Type="http://schemas.openxmlformats.org/officeDocument/2006/relationships/hyperlink" Target="https://en.wikipedia.org/wiki/WebOS" TargetMode="External"/><Relationship Id="rId1475" Type="http://schemas.openxmlformats.org/officeDocument/2006/relationships/hyperlink" Target="https://en.wikipedia.org/wiki/Plants_vs._Zombies:_Battle_for_Neighborville" TargetMode="External"/><Relationship Id="rId1682" Type="http://schemas.openxmlformats.org/officeDocument/2006/relationships/hyperlink" Target="https://en.wikipedia.org/wiki/IOS" TargetMode="External"/><Relationship Id="rId2319" Type="http://schemas.openxmlformats.org/officeDocument/2006/relationships/hyperlink" Target="https://en.wikipedia.org/wiki/Oculus_Rift" TargetMode="External"/><Relationship Id="rId2526" Type="http://schemas.openxmlformats.org/officeDocument/2006/relationships/hyperlink" Target="https://en.wikipedia.org/wiki/Nintendo_Switch" TargetMode="External"/><Relationship Id="rId705" Type="http://schemas.openxmlformats.org/officeDocument/2006/relationships/hyperlink" Target="https://en.wikipedia.org/wiki/EA_Vancouver" TargetMode="External"/><Relationship Id="rId1128" Type="http://schemas.openxmlformats.org/officeDocument/2006/relationships/hyperlink" Target="https://en.wikipedia.org/wiki/PlayStation_3" TargetMode="External"/><Relationship Id="rId1335" Type="http://schemas.openxmlformats.org/officeDocument/2006/relationships/hyperlink" Target="https://en.wikipedia.org/wiki/NFL_Blitz_(2012_video_game)" TargetMode="External"/><Relationship Id="rId1542" Type="http://schemas.openxmlformats.org/officeDocument/2006/relationships/hyperlink" Target="https://en.wikipedia.org/wiki/Real_Racing_3" TargetMode="External"/><Relationship Id="rId912" Type="http://schemas.openxmlformats.org/officeDocument/2006/relationships/hyperlink" Target="https://en.wikipedia.org/wiki/Wii_U" TargetMode="External"/><Relationship Id="rId41" Type="http://schemas.openxmlformats.org/officeDocument/2006/relationships/hyperlink" Target="https://en.wikipedia.org/wiki/Xbox_360" TargetMode="External"/><Relationship Id="rId1402" Type="http://schemas.openxmlformats.org/officeDocument/2006/relationships/hyperlink" Target="https://en.wikipedia.org/wiki/PlayStation_4" TargetMode="External"/><Relationship Id="rId288" Type="http://schemas.openxmlformats.org/officeDocument/2006/relationships/hyperlink" Target="https://en.wikipedia.org/wiki/Crytek" TargetMode="External"/><Relationship Id="rId495" Type="http://schemas.openxmlformats.org/officeDocument/2006/relationships/hyperlink" Target="https://en.wikipedia.org/wiki/EA_Canada" TargetMode="External"/><Relationship Id="rId2176" Type="http://schemas.openxmlformats.org/officeDocument/2006/relationships/hyperlink" Target="https://en.wikipedia.org/wiki/Tiger_Woods_PGA_Tour_Online" TargetMode="External"/><Relationship Id="rId2383" Type="http://schemas.openxmlformats.org/officeDocument/2006/relationships/hyperlink" Target="https://en.wikipedia.org/wiki/Xbox_One" TargetMode="External"/><Relationship Id="rId2590" Type="http://schemas.openxmlformats.org/officeDocument/2006/relationships/hyperlink" Target="https://en.wikipedia.org/wiki/Maxis" TargetMode="External"/><Relationship Id="rId148" Type="http://schemas.openxmlformats.org/officeDocument/2006/relationships/hyperlink" Target="https://en.wikipedia.org/wiki/Xbox_One" TargetMode="External"/><Relationship Id="rId355" Type="http://schemas.openxmlformats.org/officeDocument/2006/relationships/hyperlink" Target="https://en.wikipedia.org/wiki/Macintosh" TargetMode="External"/><Relationship Id="rId562" Type="http://schemas.openxmlformats.org/officeDocument/2006/relationships/hyperlink" Target="https://en.wikipedia.org/wiki/FIFA_13" TargetMode="External"/><Relationship Id="rId1192" Type="http://schemas.openxmlformats.org/officeDocument/2006/relationships/hyperlink" Target="https://en.wikipedia.org/wiki/PlayStation_3" TargetMode="External"/><Relationship Id="rId2036" Type="http://schemas.openxmlformats.org/officeDocument/2006/relationships/hyperlink" Target="https://en.wikipedia.org/wiki/The_Sims_4:_Parenthood" TargetMode="External"/><Relationship Id="rId2243" Type="http://schemas.openxmlformats.org/officeDocument/2006/relationships/hyperlink" Target="https://en.wikipedia.org/wiki/Trapdoor_(company)" TargetMode="External"/><Relationship Id="rId2450" Type="http://schemas.openxmlformats.org/officeDocument/2006/relationships/hyperlink" Target="https://en.wikipedia.org/wiki/Microsoft_Windows" TargetMode="External"/><Relationship Id="rId215" Type="http://schemas.openxmlformats.org/officeDocument/2006/relationships/hyperlink" Target="https://en.wikipedia.org/wiki/Burnout_Crash!" TargetMode="External"/><Relationship Id="rId422" Type="http://schemas.openxmlformats.org/officeDocument/2006/relationships/hyperlink" Target="https://en.wikipedia.org/wiki/EA_Tiburon" TargetMode="External"/><Relationship Id="rId1052" Type="http://schemas.openxmlformats.org/officeDocument/2006/relationships/hyperlink" Target="https://en.wikipedia.org/wiki/Danger_Close_Games" TargetMode="External"/><Relationship Id="rId2103" Type="http://schemas.openxmlformats.org/officeDocument/2006/relationships/hyperlink" Target="https://en.wikipedia.org/wiki/The_Sims_FreePlay" TargetMode="External"/><Relationship Id="rId2310" Type="http://schemas.openxmlformats.org/officeDocument/2006/relationships/hyperlink" Target="https://en.wikipedia.org/wiki/Xbox_One" TargetMode="External"/><Relationship Id="rId1869" Type="http://schemas.openxmlformats.org/officeDocument/2006/relationships/hyperlink" Target="https://en.wikipedia.org/wiki/Microsoft_Windows" TargetMode="External"/><Relationship Id="rId1729" Type="http://schemas.openxmlformats.org/officeDocument/2006/relationships/hyperlink" Target="https://en.wikipedia.org/wiki/Star_Wars_Jedi:_Fallen_Order" TargetMode="External"/><Relationship Id="rId1936" Type="http://schemas.openxmlformats.org/officeDocument/2006/relationships/hyperlink" Target="https://en.wikipedia.org/wiki/Maxis_Redwood_Shores" TargetMode="External"/><Relationship Id="rId5" Type="http://schemas.openxmlformats.org/officeDocument/2006/relationships/hyperlink" Target="https://en.wikipedia.org/wiki/PlayStation_Portable" TargetMode="External"/><Relationship Id="rId889" Type="http://schemas.openxmlformats.org/officeDocument/2006/relationships/hyperlink" Target="https://en.wikipedia.org/wiki/EA_Tiburon" TargetMode="External"/><Relationship Id="rId749" Type="http://schemas.openxmlformats.org/officeDocument/2006/relationships/hyperlink" Target="https://en.wikipedia.org/wiki/EA_Canada" TargetMode="External"/><Relationship Id="rId1379" Type="http://schemas.openxmlformats.org/officeDocument/2006/relationships/hyperlink" Target="https://en.wikipedia.org/wiki/EA_Canada" TargetMode="External"/><Relationship Id="rId1586" Type="http://schemas.openxmlformats.org/officeDocument/2006/relationships/hyperlink" Target="https://en.wikipedia.org/wiki/Xbox_One" TargetMode="External"/><Relationship Id="rId609" Type="http://schemas.openxmlformats.org/officeDocument/2006/relationships/hyperlink" Target="https://en.wikipedia.org/wiki/EA_Canada" TargetMode="External"/><Relationship Id="rId956" Type="http://schemas.openxmlformats.org/officeDocument/2006/relationships/hyperlink" Target="https://en.wikipedia.org/wiki/Madden_NFL_19" TargetMode="External"/><Relationship Id="rId1239" Type="http://schemas.openxmlformats.org/officeDocument/2006/relationships/hyperlink" Target="https://en.wikipedia.org/wiki/Ghost_Games" TargetMode="External"/><Relationship Id="rId1793" Type="http://schemas.openxmlformats.org/officeDocument/2006/relationships/hyperlink" Target="https://en.wikipedia.org/wiki/Edge_of_Reality" TargetMode="External"/><Relationship Id="rId85" Type="http://schemas.openxmlformats.org/officeDocument/2006/relationships/hyperlink" Target="https://en.wikipedia.org/wiki/IOS" TargetMode="External"/><Relationship Id="rId816" Type="http://schemas.openxmlformats.org/officeDocument/2006/relationships/hyperlink" Target="https://en.wikipedia.org/wiki/Xbox_360" TargetMode="External"/><Relationship Id="rId1446" Type="http://schemas.openxmlformats.org/officeDocument/2006/relationships/hyperlink" Target="https://en.wikipedia.org/wiki/Playfish" TargetMode="External"/><Relationship Id="rId1653" Type="http://schemas.openxmlformats.org/officeDocument/2006/relationships/hyperlink" Target="https://en.wikipedia.org/wiki/SimCity_Deluxe" TargetMode="External"/><Relationship Id="rId1860" Type="http://schemas.openxmlformats.org/officeDocument/2006/relationships/hyperlink" Target="https://en.wikipedia.org/wiki/Macintosh" TargetMode="External"/><Relationship Id="rId1306" Type="http://schemas.openxmlformats.org/officeDocument/2006/relationships/hyperlink" Target="https://en.wikipedia.org/wiki/Need_for_Speed:_No_Limits" TargetMode="External"/><Relationship Id="rId1513" Type="http://schemas.openxmlformats.org/officeDocument/2006/relationships/hyperlink" Target="https://en.wikipedia.org/wiki/IOS" TargetMode="External"/><Relationship Id="rId1720" Type="http://schemas.openxmlformats.org/officeDocument/2006/relationships/hyperlink" Target="https://en.wikipedia.org/wiki/Star_Wars_Jedi:_Fallen_Order" TargetMode="External"/><Relationship Id="rId12" Type="http://schemas.openxmlformats.org/officeDocument/2006/relationships/hyperlink" Target="https://en.wikipedia.org/wiki/EA_Canada" TargetMode="External"/><Relationship Id="rId1818" Type="http://schemas.openxmlformats.org/officeDocument/2006/relationships/hyperlink" Target="https://en.wikipedia.org/wiki/Microsoft_Windows" TargetMode="External"/><Relationship Id="rId161" Type="http://schemas.openxmlformats.org/officeDocument/2006/relationships/hyperlink" Target="https://en.wikipedia.org/wiki/Battlefield_Bad_Company_2" TargetMode="External"/><Relationship Id="rId399" Type="http://schemas.openxmlformats.org/officeDocument/2006/relationships/hyperlink" Target="https://en.wikipedia.org/wiki/Dungeon_Keeper_(2014_video_game)" TargetMode="External"/><Relationship Id="rId2287" Type="http://schemas.openxmlformats.org/officeDocument/2006/relationships/hyperlink" Target="https://en.wikipedia.org/wiki/Macintosh" TargetMode="External"/><Relationship Id="rId2494" Type="http://schemas.openxmlformats.org/officeDocument/2006/relationships/hyperlink" Target="https://en.wikipedia.org/wiki/PlayStation_4" TargetMode="External"/><Relationship Id="rId259" Type="http://schemas.openxmlformats.org/officeDocument/2006/relationships/hyperlink" Target="https://en.wikipedia.org/wiki/Create_(video_game)" TargetMode="External"/><Relationship Id="rId466" Type="http://schemas.openxmlformats.org/officeDocument/2006/relationships/hyperlink" Target="https://en.wikipedia.org/wiki/FIFA_11" TargetMode="External"/><Relationship Id="rId673" Type="http://schemas.openxmlformats.org/officeDocument/2006/relationships/hyperlink" Target="https://en.wikipedia.org/wiki/FIFA_17" TargetMode="External"/><Relationship Id="rId880" Type="http://schemas.openxmlformats.org/officeDocument/2006/relationships/hyperlink" Target="https://en.wikipedia.org/wiki/EA_Tiburon" TargetMode="External"/><Relationship Id="rId1096" Type="http://schemas.openxmlformats.org/officeDocument/2006/relationships/hyperlink" Target="https://en.wikipedia.org/wiki/Xbox_One" TargetMode="External"/><Relationship Id="rId2147" Type="http://schemas.openxmlformats.org/officeDocument/2006/relationships/hyperlink" Target="https://en.wikipedia.org/wiki/IOS" TargetMode="External"/><Relationship Id="rId2354" Type="http://schemas.openxmlformats.org/officeDocument/2006/relationships/hyperlink" Target="https://en.wikipedia.org/wiki/Microsoft_Windows" TargetMode="External"/><Relationship Id="rId2561" Type="http://schemas.openxmlformats.org/officeDocument/2006/relationships/hyperlink" Target="https://en.wikipedia.org/wiki/Microsoft_Windows" TargetMode="External"/><Relationship Id="rId119" Type="http://schemas.openxmlformats.org/officeDocument/2006/relationships/hyperlink" Target="https://en.wikipedia.org/wiki/EA_DICE" TargetMode="External"/><Relationship Id="rId326" Type="http://schemas.openxmlformats.org/officeDocument/2006/relationships/hyperlink" Target="https://en.wikipedia.org/wiki/Visceral_Games" TargetMode="External"/><Relationship Id="rId533" Type="http://schemas.openxmlformats.org/officeDocument/2006/relationships/hyperlink" Target="https://en.wikipedia.org/wiki/IOS" TargetMode="External"/><Relationship Id="rId978" Type="http://schemas.openxmlformats.org/officeDocument/2006/relationships/hyperlink" Target="https://en.wikipedia.org/wiki/PlayStation_3" TargetMode="External"/><Relationship Id="rId1163" Type="http://schemas.openxmlformats.org/officeDocument/2006/relationships/hyperlink" Target="https://en.wikipedia.org/wiki/NBA_Live_16" TargetMode="External"/><Relationship Id="rId1370" Type="http://schemas.openxmlformats.org/officeDocument/2006/relationships/hyperlink" Target="https://en.wikipedia.org/wiki/EA_Canada" TargetMode="External"/><Relationship Id="rId2007" Type="http://schemas.openxmlformats.org/officeDocument/2006/relationships/hyperlink" Target="https://en.wikipedia.org/wiki/Microsoft_Windows" TargetMode="External"/><Relationship Id="rId2214" Type="http://schemas.openxmlformats.org/officeDocument/2006/relationships/hyperlink" Target="https://en.wikipedia.org/wiki/DOS" TargetMode="External"/><Relationship Id="rId740" Type="http://schemas.openxmlformats.org/officeDocument/2006/relationships/hyperlink" Target="https://en.wikipedia.org/wiki/Microsoft_Windows" TargetMode="External"/><Relationship Id="rId838" Type="http://schemas.openxmlformats.org/officeDocument/2006/relationships/hyperlink" Target="https://en.wikipedia.org/wiki/Android_(operating_system)" TargetMode="External"/><Relationship Id="rId1023" Type="http://schemas.openxmlformats.org/officeDocument/2006/relationships/hyperlink" Target="https://en.wikipedia.org/wiki/BioWare" TargetMode="External"/><Relationship Id="rId1468" Type="http://schemas.openxmlformats.org/officeDocument/2006/relationships/hyperlink" Target="https://en.wikipedia.org/wiki/PopCap_Games" TargetMode="External"/><Relationship Id="rId1675" Type="http://schemas.openxmlformats.org/officeDocument/2006/relationships/hyperlink" Target="https://en.wikipedia.org/wiki/Spare_Parts_(video_game)" TargetMode="External"/><Relationship Id="rId1882" Type="http://schemas.openxmlformats.org/officeDocument/2006/relationships/hyperlink" Target="https://en.wikipedia.org/wiki/EA_Salt_Lake" TargetMode="External"/><Relationship Id="rId2421" Type="http://schemas.openxmlformats.org/officeDocument/2006/relationships/hyperlink" Target="https://en.wikipedia.org/wiki/F1_22" TargetMode="External"/><Relationship Id="rId2519" Type="http://schemas.openxmlformats.org/officeDocument/2006/relationships/hyperlink" Target="https://en.wikipedia.org/wiki/Microsoft_Windows" TargetMode="External"/><Relationship Id="rId600" Type="http://schemas.openxmlformats.org/officeDocument/2006/relationships/hyperlink" Target="https://en.wikipedia.org/wiki/EA_Canada" TargetMode="External"/><Relationship Id="rId1230" Type="http://schemas.openxmlformats.org/officeDocument/2006/relationships/hyperlink" Target="https://en.wikipedia.org/wiki/Ghost_Games" TargetMode="External"/><Relationship Id="rId1328" Type="http://schemas.openxmlformats.org/officeDocument/2006/relationships/hyperlink" Target="https://en.wikipedia.org/wiki/Windows_Mobile" TargetMode="External"/><Relationship Id="rId1535" Type="http://schemas.openxmlformats.org/officeDocument/2006/relationships/hyperlink" Target="https://en.wikipedia.org/wiki/Firemonkeys_Studios" TargetMode="External"/><Relationship Id="rId905" Type="http://schemas.openxmlformats.org/officeDocument/2006/relationships/hyperlink" Target="https://en.wikipedia.org/wiki/Madden_NFL_13" TargetMode="External"/><Relationship Id="rId1742" Type="http://schemas.openxmlformats.org/officeDocument/2006/relationships/hyperlink" Target="https://en.wikipedia.org/wiki/Microsoft_Windows" TargetMode="External"/><Relationship Id="rId34" Type="http://schemas.openxmlformats.org/officeDocument/2006/relationships/hyperlink" Target="https://en.wikipedia.org/wiki/Alice:_Madness_Returns" TargetMode="External"/><Relationship Id="rId1602" Type="http://schemas.openxmlformats.org/officeDocument/2006/relationships/hyperlink" Target="https://en.wikipedia.org/wiki/Shank_(video_game)" TargetMode="External"/><Relationship Id="rId183" Type="http://schemas.openxmlformats.org/officeDocument/2006/relationships/hyperlink" Target="https://en.wikipedia.org/wiki/Microsoft_Windows" TargetMode="External"/><Relationship Id="rId390" Type="http://schemas.openxmlformats.org/officeDocument/2006/relationships/hyperlink" Target="https://en.wikipedia.org/wiki/PlayStation_3" TargetMode="External"/><Relationship Id="rId1907" Type="http://schemas.openxmlformats.org/officeDocument/2006/relationships/hyperlink" Target="https://en.wikipedia.org/wiki/The_Sims_4:_Cats_%26_Dogs" TargetMode="External"/><Relationship Id="rId2071" Type="http://schemas.openxmlformats.org/officeDocument/2006/relationships/hyperlink" Target="https://en.wikipedia.org/wiki/Maxis_Redwood_Shores" TargetMode="External"/><Relationship Id="rId250" Type="http://schemas.openxmlformats.org/officeDocument/2006/relationships/hyperlink" Target="https://en.wikipedia.org/wiki/Command_%26_Conquer:_Tiberium_Alliances" TargetMode="External"/><Relationship Id="rId488" Type="http://schemas.openxmlformats.org/officeDocument/2006/relationships/hyperlink" Target="https://en.wikipedia.org/wiki/Wii" TargetMode="External"/><Relationship Id="rId695" Type="http://schemas.openxmlformats.org/officeDocument/2006/relationships/hyperlink" Target="https://en.wikipedia.org/wiki/Xbox_One" TargetMode="External"/><Relationship Id="rId2169" Type="http://schemas.openxmlformats.org/officeDocument/2006/relationships/hyperlink" Target="https://en.wikipedia.org/wiki/EA_Tiburon" TargetMode="External"/><Relationship Id="rId2376" Type="http://schemas.openxmlformats.org/officeDocument/2006/relationships/hyperlink" Target="https://en.wikipedia.org/wiki/Xbox_Series_X_and_Series_S" TargetMode="External"/><Relationship Id="rId2583" Type="http://schemas.openxmlformats.org/officeDocument/2006/relationships/hyperlink" Target="https://en.wikipedia.org/wiki/Iron_Man" TargetMode="External"/><Relationship Id="rId110" Type="http://schemas.openxmlformats.org/officeDocument/2006/relationships/hyperlink" Target="https://en.wikipedia.org/wiki/Macintosh" TargetMode="External"/><Relationship Id="rId348" Type="http://schemas.openxmlformats.org/officeDocument/2006/relationships/hyperlink" Target="https://en.wikipedia.org/wiki/DeathSpank:_Thongs_of_Virtue" TargetMode="External"/><Relationship Id="rId555" Type="http://schemas.openxmlformats.org/officeDocument/2006/relationships/hyperlink" Target="https://en.wikipedia.org/wiki/EA_Canada" TargetMode="External"/><Relationship Id="rId762" Type="http://schemas.openxmlformats.org/officeDocument/2006/relationships/hyperlink" Target="https://en.wikipedia.org/wiki/Fight_Night_Champion" TargetMode="External"/><Relationship Id="rId1185" Type="http://schemas.openxmlformats.org/officeDocument/2006/relationships/hyperlink" Target="https://en.wikipedia.org/wiki/IOS" TargetMode="External"/><Relationship Id="rId1392" Type="http://schemas.openxmlformats.org/officeDocument/2006/relationships/hyperlink" Target="https://en.wikipedia.org/wiki/NHL_16" TargetMode="External"/><Relationship Id="rId2029" Type="http://schemas.openxmlformats.org/officeDocument/2006/relationships/hyperlink" Target="https://en.wikipedia.org/wiki/Maxis_Redwood_Shores" TargetMode="External"/><Relationship Id="rId2236" Type="http://schemas.openxmlformats.org/officeDocument/2006/relationships/hyperlink" Target="https://en.wikipedia.org/wiki/Xbox_360" TargetMode="External"/><Relationship Id="rId2443" Type="http://schemas.openxmlformats.org/officeDocument/2006/relationships/hyperlink" Target="https://en.wikipedia.org/wiki/FIFA_23" TargetMode="External"/><Relationship Id="rId208" Type="http://schemas.openxmlformats.org/officeDocument/2006/relationships/hyperlink" Target="https://en.wikipedia.org/wiki/PopCap_Games" TargetMode="External"/><Relationship Id="rId415" Type="http://schemas.openxmlformats.org/officeDocument/2006/relationships/hyperlink" Target="https://en.wikipedia.org/wiki/Wii" TargetMode="External"/><Relationship Id="rId622" Type="http://schemas.openxmlformats.org/officeDocument/2006/relationships/hyperlink" Target="https://en.wikipedia.org/wiki/FIFA_15" TargetMode="External"/><Relationship Id="rId1045" Type="http://schemas.openxmlformats.org/officeDocument/2006/relationships/hyperlink" Target="https://en.wikipedia.org/wiki/Microsoft_Windows" TargetMode="External"/><Relationship Id="rId1252" Type="http://schemas.openxmlformats.org/officeDocument/2006/relationships/hyperlink" Target="https://en.wikipedia.org/wiki/Need_for_Speed:_Hot_Pursuit_(2010_video_game)" TargetMode="External"/><Relationship Id="rId1697" Type="http://schemas.openxmlformats.org/officeDocument/2006/relationships/hyperlink" Target="https://en.wikipedia.org/wiki/Xbox_One" TargetMode="External"/><Relationship Id="rId2303" Type="http://schemas.openxmlformats.org/officeDocument/2006/relationships/hyperlink" Target="https://en.wikipedia.org/wiki/PlayStation_4" TargetMode="External"/><Relationship Id="rId2510" Type="http://schemas.openxmlformats.org/officeDocument/2006/relationships/hyperlink" Target="https://en.wikipedia.org/wiki/Microsoft_Windows" TargetMode="External"/><Relationship Id="rId927" Type="http://schemas.openxmlformats.org/officeDocument/2006/relationships/hyperlink" Target="https://en.wikipedia.org/wiki/PlayStation_3" TargetMode="External"/><Relationship Id="rId1112" Type="http://schemas.openxmlformats.org/officeDocument/2006/relationships/hyperlink" Target="https://en.wikipedia.org/wiki/MySims_SkyHeroes" TargetMode="External"/><Relationship Id="rId1557" Type="http://schemas.openxmlformats.org/officeDocument/2006/relationships/hyperlink" Target="https://en.wikipedia.org/wiki/Rock_Band_3" TargetMode="External"/><Relationship Id="rId1764" Type="http://schemas.openxmlformats.org/officeDocument/2006/relationships/hyperlink" Target="https://en.wikipedia.org/wiki/EA_Mobile" TargetMode="External"/><Relationship Id="rId1971" Type="http://schemas.openxmlformats.org/officeDocument/2006/relationships/hyperlink" Target="https://en.wikipedia.org/wiki/Microsoft_Windows" TargetMode="External"/><Relationship Id="rId56" Type="http://schemas.openxmlformats.org/officeDocument/2006/relationships/hyperlink" Target="https://en.wikipedia.org/wiki/Microsoft_Windows" TargetMode="External"/><Relationship Id="rId1417" Type="http://schemas.openxmlformats.org/officeDocument/2006/relationships/hyperlink" Target="https://en.wikipedia.org/wiki/Xbox_One" TargetMode="External"/><Relationship Id="rId1624" Type="http://schemas.openxmlformats.org/officeDocument/2006/relationships/hyperlink" Target="https://en.wikipedia.org/wiki/Linux" TargetMode="External"/><Relationship Id="rId1831" Type="http://schemas.openxmlformats.org/officeDocument/2006/relationships/hyperlink" Target="https://en.wikipedia.org/wiki/EA_Salt_Lake" TargetMode="External"/><Relationship Id="rId1929" Type="http://schemas.openxmlformats.org/officeDocument/2006/relationships/hyperlink" Target="https://en.wikipedia.org/wiki/Xbox_One" TargetMode="External"/><Relationship Id="rId2093" Type="http://schemas.openxmlformats.org/officeDocument/2006/relationships/hyperlink" Target="https://en.wikipedia.org/wiki/The_Sims_4:_Vampires" TargetMode="External"/><Relationship Id="rId2398" Type="http://schemas.openxmlformats.org/officeDocument/2006/relationships/hyperlink" Target="https://en.wikipedia.org/wiki/Xbox_Series_X_and_Series_S" TargetMode="External"/><Relationship Id="rId272" Type="http://schemas.openxmlformats.org/officeDocument/2006/relationships/hyperlink" Target="https://en.wikipedia.org/wiki/PlayStation_3" TargetMode="External"/><Relationship Id="rId577" Type="http://schemas.openxmlformats.org/officeDocument/2006/relationships/hyperlink" Target="https://en.wikipedia.org/wiki/FIFA_14" TargetMode="External"/><Relationship Id="rId2160" Type="http://schemas.openxmlformats.org/officeDocument/2006/relationships/hyperlink" Target="https://en.wikipedia.org/wiki/EA_Tiburon" TargetMode="External"/><Relationship Id="rId2258" Type="http://schemas.openxmlformats.org/officeDocument/2006/relationships/hyperlink" Target="https://en.wikipedia.org/wiki/Microsoft_Windows" TargetMode="External"/><Relationship Id="rId132" Type="http://schemas.openxmlformats.org/officeDocument/2006/relationships/hyperlink" Target="https://en.wikipedia.org/wiki/Battlefield_3" TargetMode="External"/><Relationship Id="rId784" Type="http://schemas.openxmlformats.org/officeDocument/2006/relationships/hyperlink" Target="https://en.wikipedia.org/wiki/Green_Day:_Rock_Band" TargetMode="External"/><Relationship Id="rId991" Type="http://schemas.openxmlformats.org/officeDocument/2006/relationships/hyperlink" Target="https://en.wikipedia.org/wiki/EA_Tiburon" TargetMode="External"/><Relationship Id="rId1067" Type="http://schemas.openxmlformats.org/officeDocument/2006/relationships/hyperlink" Target="https://en.wikipedia.org/wiki/Danger_Close_Games" TargetMode="External"/><Relationship Id="rId2020" Type="http://schemas.openxmlformats.org/officeDocument/2006/relationships/hyperlink" Target="https://en.wikipedia.org/wiki/Maxis_Redwood_Shores" TargetMode="External"/><Relationship Id="rId2465" Type="http://schemas.openxmlformats.org/officeDocument/2006/relationships/hyperlink" Target="https://en.wikipedia.org/wiki/Xbox_Series_X_and_Series_S" TargetMode="External"/><Relationship Id="rId437" Type="http://schemas.openxmlformats.org/officeDocument/2006/relationships/hyperlink" Target="https://en.wikipedia.org/wiki/Xbox_One" TargetMode="External"/><Relationship Id="rId644" Type="http://schemas.openxmlformats.org/officeDocument/2006/relationships/hyperlink" Target="https://en.wikipedia.org/wiki/Android_(operating_system)" TargetMode="External"/><Relationship Id="rId851" Type="http://schemas.openxmlformats.org/officeDocument/2006/relationships/hyperlink" Target="https://en.wikipedia.org/wiki/Xbox_360" TargetMode="External"/><Relationship Id="rId1274" Type="http://schemas.openxmlformats.org/officeDocument/2006/relationships/hyperlink" Target="https://en.wikipedia.org/wiki/Windows_Phone" TargetMode="External"/><Relationship Id="rId1481" Type="http://schemas.openxmlformats.org/officeDocument/2006/relationships/hyperlink" Target="https://en.wikipedia.org/wiki/Plants_vs._Zombies:_Battle_for_Neighborville" TargetMode="External"/><Relationship Id="rId1579" Type="http://schemas.openxmlformats.org/officeDocument/2006/relationships/hyperlink" Target="https://en.wikipedia.org/wiki/Android_(operating_system)" TargetMode="External"/><Relationship Id="rId2118" Type="http://schemas.openxmlformats.org/officeDocument/2006/relationships/hyperlink" Target="https://en.wikipedia.org/wiki/The_Sims_Medieval:_Pirates_and_Nobles" TargetMode="External"/><Relationship Id="rId2325" Type="http://schemas.openxmlformats.org/officeDocument/2006/relationships/hyperlink" Target="https://en.wikipedia.org/wiki/PlayStation_5" TargetMode="External"/><Relationship Id="rId2532" Type="http://schemas.openxmlformats.org/officeDocument/2006/relationships/hyperlink" Target="https://en.wikipedia.org/wiki/Microsoft_Windows" TargetMode="External"/><Relationship Id="rId504" Type="http://schemas.openxmlformats.org/officeDocument/2006/relationships/hyperlink" Target="https://en.wikipedia.org/wiki/EA_Canada" TargetMode="External"/><Relationship Id="rId711" Type="http://schemas.openxmlformats.org/officeDocument/2006/relationships/hyperlink" Target="https://en.wikipedia.org/wiki/EA_Vancouver" TargetMode="External"/><Relationship Id="rId949" Type="http://schemas.openxmlformats.org/officeDocument/2006/relationships/hyperlink" Target="https://en.wikipedia.org/wiki/EA_Tiburon" TargetMode="External"/><Relationship Id="rId1134" Type="http://schemas.openxmlformats.org/officeDocument/2006/relationships/hyperlink" Target="https://en.wikipedia.org/wiki/Xbox_360" TargetMode="External"/><Relationship Id="rId1341" Type="http://schemas.openxmlformats.org/officeDocument/2006/relationships/hyperlink" Target="https://en.wikipedia.org/wiki/Need_for_Speed_Heat" TargetMode="External"/><Relationship Id="rId1786" Type="http://schemas.openxmlformats.org/officeDocument/2006/relationships/hyperlink" Target="https://en.wikipedia.org/wiki/Nintendo_DSi" TargetMode="External"/><Relationship Id="rId1993" Type="http://schemas.openxmlformats.org/officeDocument/2006/relationships/hyperlink" Target="https://en.wikipedia.org/wiki/Maxis_Redwood_Shores" TargetMode="External"/><Relationship Id="rId78" Type="http://schemas.openxmlformats.org/officeDocument/2006/relationships/hyperlink" Target="https://en.wikipedia.org/wiki/Respawn_Entertainment" TargetMode="External"/><Relationship Id="rId809" Type="http://schemas.openxmlformats.org/officeDocument/2006/relationships/hyperlink" Target="https://en.wikipedia.org/wiki/Harry_Potter_and_the_Deathly_Hallows_%E2%80%93_Part_2_(video_game)" TargetMode="External"/><Relationship Id="rId1201" Type="http://schemas.openxmlformats.org/officeDocument/2006/relationships/hyperlink" Target="https://en.wikipedia.org/wiki/NCAA_Football_12" TargetMode="External"/><Relationship Id="rId1439" Type="http://schemas.openxmlformats.org/officeDocument/2006/relationships/hyperlink" Target="https://en.wikipedia.org/wiki/Android_(operating_system)" TargetMode="External"/><Relationship Id="rId1646" Type="http://schemas.openxmlformats.org/officeDocument/2006/relationships/hyperlink" Target="https://en.wikipedia.org/wiki/Maxis_Emeryville" TargetMode="External"/><Relationship Id="rId1853" Type="http://schemas.openxmlformats.org/officeDocument/2006/relationships/hyperlink" Target="https://en.wikipedia.org/wiki/The_Sims_3:_Pets" TargetMode="External"/><Relationship Id="rId1506" Type="http://schemas.openxmlformats.org/officeDocument/2006/relationships/hyperlink" Target="https://en.wikipedia.org/wiki/Xbox_One" TargetMode="External"/><Relationship Id="rId1713" Type="http://schemas.openxmlformats.org/officeDocument/2006/relationships/hyperlink" Target="https://en.wikipedia.org/wiki/EA_DICE" TargetMode="External"/><Relationship Id="rId1920" Type="http://schemas.openxmlformats.org/officeDocument/2006/relationships/hyperlink" Target="https://en.wikipedia.org/wiki/Macintosh" TargetMode="External"/><Relationship Id="rId294" Type="http://schemas.openxmlformats.org/officeDocument/2006/relationships/hyperlink" Target="https://en.wikipedia.org/wiki/Visceral_Games" TargetMode="External"/><Relationship Id="rId2182" Type="http://schemas.openxmlformats.org/officeDocument/2006/relationships/hyperlink" Target="https://en.wikipedia.org/wiki/Titanfall" TargetMode="External"/><Relationship Id="rId154" Type="http://schemas.openxmlformats.org/officeDocument/2006/relationships/hyperlink" Target="https://en.wikipedia.org/wiki/Microsoft_Windows" TargetMode="External"/><Relationship Id="rId361" Type="http://schemas.openxmlformats.org/officeDocument/2006/relationships/hyperlink" Target="https://en.wikipedia.org/wiki/PlayStation_3" TargetMode="External"/><Relationship Id="rId599" Type="http://schemas.openxmlformats.org/officeDocument/2006/relationships/hyperlink" Target="https://en.wikipedia.org/wiki/Xbox_360" TargetMode="External"/><Relationship Id="rId2042" Type="http://schemas.openxmlformats.org/officeDocument/2006/relationships/hyperlink" Target="https://en.wikipedia.org/wiki/The_Sims_4:_Realm_of_Magic" TargetMode="External"/><Relationship Id="rId2487" Type="http://schemas.openxmlformats.org/officeDocument/2006/relationships/hyperlink" Target="https://en.wikipedia.org/wiki/Xbox_Series_X_and_Series_S" TargetMode="External"/><Relationship Id="rId459" Type="http://schemas.openxmlformats.org/officeDocument/2006/relationships/hyperlink" Target="https://en.wikipedia.org/wiki/Zoink" TargetMode="External"/><Relationship Id="rId666" Type="http://schemas.openxmlformats.org/officeDocument/2006/relationships/hyperlink" Target="https://en.wikipedia.org/wiki/EA_Vancouver" TargetMode="External"/><Relationship Id="rId873" Type="http://schemas.openxmlformats.org/officeDocument/2006/relationships/hyperlink" Target="https://en.wikipedia.org/wiki/Android_(operating_system)" TargetMode="External"/><Relationship Id="rId1089" Type="http://schemas.openxmlformats.org/officeDocument/2006/relationships/hyperlink" Target="https://en.wikipedia.org/wiki/Mirror%27s_Edge_Catalyst" TargetMode="External"/><Relationship Id="rId1296" Type="http://schemas.openxmlformats.org/officeDocument/2006/relationships/hyperlink" Target="https://en.wikipedia.org/wiki/Criterion_Games" TargetMode="External"/><Relationship Id="rId2347" Type="http://schemas.openxmlformats.org/officeDocument/2006/relationships/hyperlink" Target="https://en.wikipedia.org/wiki/Xbox_One" TargetMode="External"/><Relationship Id="rId2554" Type="http://schemas.openxmlformats.org/officeDocument/2006/relationships/hyperlink" Target="https://en.wikipedia.org/wiki/Xbox_Series_X_and_Series_S" TargetMode="External"/><Relationship Id="rId221" Type="http://schemas.openxmlformats.org/officeDocument/2006/relationships/hyperlink" Target="https://en.wikipedia.org/wiki/Burnout_Crash!" TargetMode="External"/><Relationship Id="rId319" Type="http://schemas.openxmlformats.org/officeDocument/2006/relationships/hyperlink" Target="https://en.wikipedia.org/wiki/PlayStation_3" TargetMode="External"/><Relationship Id="rId526" Type="http://schemas.openxmlformats.org/officeDocument/2006/relationships/hyperlink" Target="https://en.wikipedia.org/wiki/FIFA_12" TargetMode="External"/><Relationship Id="rId1156" Type="http://schemas.openxmlformats.org/officeDocument/2006/relationships/hyperlink" Target="https://en.wikipedia.org/wiki/EA_Tiburon" TargetMode="External"/><Relationship Id="rId1363" Type="http://schemas.openxmlformats.org/officeDocument/2006/relationships/hyperlink" Target="https://en.wikipedia.org/wiki/Xbox_360" TargetMode="External"/><Relationship Id="rId2207" Type="http://schemas.openxmlformats.org/officeDocument/2006/relationships/hyperlink" Target="https://en.wikipedia.org/wiki/EA_Canada" TargetMode="External"/><Relationship Id="rId733" Type="http://schemas.openxmlformats.org/officeDocument/2006/relationships/hyperlink" Target="https://en.wikipedia.org/wiki/FIFA_Manager_14" TargetMode="External"/><Relationship Id="rId940" Type="http://schemas.openxmlformats.org/officeDocument/2006/relationships/hyperlink" Target="https://en.wikipedia.org/wiki/EA_Tiburon" TargetMode="External"/><Relationship Id="rId1016" Type="http://schemas.openxmlformats.org/officeDocument/2006/relationships/hyperlink" Target="https://en.wikipedia.org/wiki/Xbox_360" TargetMode="External"/><Relationship Id="rId1570" Type="http://schemas.openxmlformats.org/officeDocument/2006/relationships/hyperlink" Target="https://en.wikipedia.org/wiki/IOS" TargetMode="External"/><Relationship Id="rId1668" Type="http://schemas.openxmlformats.org/officeDocument/2006/relationships/hyperlink" Target="https://en.wikipedia.org/wiki/EA_Black_Box" TargetMode="External"/><Relationship Id="rId1875" Type="http://schemas.openxmlformats.org/officeDocument/2006/relationships/hyperlink" Target="https://en.wikipedia.org/wiki/Microsoft_Windows" TargetMode="External"/><Relationship Id="rId2414" Type="http://schemas.openxmlformats.org/officeDocument/2006/relationships/hyperlink" Target="https://en.wikipedia.org/wiki/Macintosh" TargetMode="External"/><Relationship Id="rId800" Type="http://schemas.openxmlformats.org/officeDocument/2006/relationships/hyperlink" Target="https://en.wikipedia.org/wiki/Harry_Potter_and_the_Deathly_Hallows_%E2%80%93_Part_1_(video_game)" TargetMode="External"/><Relationship Id="rId1223" Type="http://schemas.openxmlformats.org/officeDocument/2006/relationships/hyperlink" Target="https://en.wikipedia.org/wiki/Microsoft_Windows" TargetMode="External"/><Relationship Id="rId1430" Type="http://schemas.openxmlformats.org/officeDocument/2006/relationships/hyperlink" Target="https://en.wikipedia.org/wiki/Xbox_One" TargetMode="External"/><Relationship Id="rId1528" Type="http://schemas.openxmlformats.org/officeDocument/2006/relationships/hyperlink" Target="https://en.wikipedia.org/wiki/IOS" TargetMode="External"/><Relationship Id="rId1735" Type="http://schemas.openxmlformats.org/officeDocument/2006/relationships/hyperlink" Target="https://en.wikipedia.org/wiki/Star_Wars:_Galaxy_of_Heroes" TargetMode="External"/><Relationship Id="rId1942" Type="http://schemas.openxmlformats.org/officeDocument/2006/relationships/hyperlink" Target="https://en.wikipedia.org/wiki/Maxis_Redwood_Shores" TargetMode="External"/><Relationship Id="rId27" Type="http://schemas.openxmlformats.org/officeDocument/2006/relationships/hyperlink" Target="https://en.wikipedia.org/wiki/Hazelight_Studios" TargetMode="External"/><Relationship Id="rId1802" Type="http://schemas.openxmlformats.org/officeDocument/2006/relationships/hyperlink" Target="https://en.wikipedia.org/wiki/The_Sims_3_Stuff_packs" TargetMode="External"/><Relationship Id="rId176" Type="http://schemas.openxmlformats.org/officeDocument/2006/relationships/hyperlink" Target="https://en.wikipedia.org/wiki/Battlefield_Hardline" TargetMode="External"/><Relationship Id="rId383" Type="http://schemas.openxmlformats.org/officeDocument/2006/relationships/hyperlink" Target="https://en.wikipedia.org/wiki/Dragon_Age:_Inquisition" TargetMode="External"/><Relationship Id="rId590" Type="http://schemas.openxmlformats.org/officeDocument/2006/relationships/hyperlink" Target="https://en.wikipedia.org/wiki/PlayStation_Vita" TargetMode="External"/><Relationship Id="rId2064" Type="http://schemas.openxmlformats.org/officeDocument/2006/relationships/hyperlink" Target="https://en.wikipedia.org/wiki/Macintosh" TargetMode="External"/><Relationship Id="rId2271" Type="http://schemas.openxmlformats.org/officeDocument/2006/relationships/hyperlink" Target="https://en.wikipedia.org/wiki/Android_(operating_system)" TargetMode="External"/><Relationship Id="rId243" Type="http://schemas.openxmlformats.org/officeDocument/2006/relationships/hyperlink" Target="https://en.wikipedia.org/wiki/Command_%26_Conquer_4:_Tiberian_Twilight" TargetMode="External"/><Relationship Id="rId450" Type="http://schemas.openxmlformats.org/officeDocument/2006/relationships/hyperlink" Target="https://en.wikipedia.org/wiki/Zoink" TargetMode="External"/><Relationship Id="rId688" Type="http://schemas.openxmlformats.org/officeDocument/2006/relationships/hyperlink" Target="https://en.wikipedia.org/wiki/FIFA_18" TargetMode="External"/><Relationship Id="rId895" Type="http://schemas.openxmlformats.org/officeDocument/2006/relationships/hyperlink" Target="https://en.wikipedia.org/wiki/EA_Tiburon" TargetMode="External"/><Relationship Id="rId1080" Type="http://schemas.openxmlformats.org/officeDocument/2006/relationships/hyperlink" Target="https://en.wikipedia.org/wiki/Minions_Paradise" TargetMode="External"/><Relationship Id="rId2131" Type="http://schemas.openxmlformats.org/officeDocument/2006/relationships/hyperlink" Target="https://en.wikipedia.org/wiki/Theme_Park_(video_game)" TargetMode="External"/><Relationship Id="rId2369" Type="http://schemas.openxmlformats.org/officeDocument/2006/relationships/hyperlink" Target="https://en.wikipedia.org/wiki/Google_Stadia" TargetMode="External"/><Relationship Id="rId2576" Type="http://schemas.openxmlformats.org/officeDocument/2006/relationships/hyperlink" Target="https://en.wikipedia.org/wiki/PopCap_Games" TargetMode="External"/><Relationship Id="rId103" Type="http://schemas.openxmlformats.org/officeDocument/2006/relationships/hyperlink" Target="https://en.wikipedia.org/wiki/Auditorium_(video_game)" TargetMode="External"/><Relationship Id="rId310" Type="http://schemas.openxmlformats.org/officeDocument/2006/relationships/hyperlink" Target="https://en.wikipedia.org/wiki/PlayStation_3" TargetMode="External"/><Relationship Id="rId548" Type="http://schemas.openxmlformats.org/officeDocument/2006/relationships/hyperlink" Target="https://en.wikipedia.org/wiki/PlayStation_Portable" TargetMode="External"/><Relationship Id="rId755" Type="http://schemas.openxmlformats.org/officeDocument/2006/relationships/hyperlink" Target="https://en.wikipedia.org/wiki/EA_Canada" TargetMode="External"/><Relationship Id="rId962" Type="http://schemas.openxmlformats.org/officeDocument/2006/relationships/hyperlink" Target="https://en.wikipedia.org/wiki/Madden_NFL_19" TargetMode="External"/><Relationship Id="rId1178" Type="http://schemas.openxmlformats.org/officeDocument/2006/relationships/hyperlink" Target="https://en.wikipedia.org/wiki/NBA_Live_19" TargetMode="External"/><Relationship Id="rId1385" Type="http://schemas.openxmlformats.org/officeDocument/2006/relationships/hyperlink" Target="https://en.wikipedia.org/wiki/EA_Canada" TargetMode="External"/><Relationship Id="rId1592" Type="http://schemas.openxmlformats.org/officeDocument/2006/relationships/hyperlink" Target="https://en.wikipedia.org/wiki/EA_Mobile" TargetMode="External"/><Relationship Id="rId2229" Type="http://schemas.openxmlformats.org/officeDocument/2006/relationships/hyperlink" Target="https://en.wikipedia.org/wiki/Unravel_Two" TargetMode="External"/><Relationship Id="rId2436" Type="http://schemas.openxmlformats.org/officeDocument/2006/relationships/hyperlink" Target="https://en.wikipedia.org/wiki/Macintosh" TargetMode="External"/><Relationship Id="rId91" Type="http://schemas.openxmlformats.org/officeDocument/2006/relationships/hyperlink" Target="https://en.wikipedia.org/wiki/Xbox_360" TargetMode="External"/><Relationship Id="rId408" Type="http://schemas.openxmlformats.org/officeDocument/2006/relationships/hyperlink" Target="https://en.wikipedia.org/wiki/EA_Sports_Active_2" TargetMode="External"/><Relationship Id="rId615" Type="http://schemas.openxmlformats.org/officeDocument/2006/relationships/hyperlink" Target="https://en.wikipedia.org/wiki/EA_Canada" TargetMode="External"/><Relationship Id="rId822" Type="http://schemas.openxmlformats.org/officeDocument/2006/relationships/hyperlink" Target="https://en.wikipedia.org/wiki/Wii" TargetMode="External"/><Relationship Id="rId1038" Type="http://schemas.openxmlformats.org/officeDocument/2006/relationships/hyperlink" Target="https://en.wikipedia.org/wiki/Windows_Phone" TargetMode="External"/><Relationship Id="rId1245" Type="http://schemas.openxmlformats.org/officeDocument/2006/relationships/hyperlink" Target="https://en.wikipedia.org/wiki/Ghost_Games" TargetMode="External"/><Relationship Id="rId1452" Type="http://schemas.openxmlformats.org/officeDocument/2006/relationships/hyperlink" Target="https://en.wikipedia.org/wiki/Android_(operating_system)" TargetMode="External"/><Relationship Id="rId1897" Type="http://schemas.openxmlformats.org/officeDocument/2006/relationships/hyperlink" Target="https://en.wikipedia.org/wiki/Maxis_Redwood_Shores" TargetMode="External"/><Relationship Id="rId2503" Type="http://schemas.openxmlformats.org/officeDocument/2006/relationships/hyperlink" Target="https://en.wikipedia.org/wiki/Xbox_One" TargetMode="External"/><Relationship Id="rId1105" Type="http://schemas.openxmlformats.org/officeDocument/2006/relationships/hyperlink" Target="https://en.wikipedia.org/wiki/EA_Salt_Lake" TargetMode="External"/><Relationship Id="rId1312" Type="http://schemas.openxmlformats.org/officeDocument/2006/relationships/hyperlink" Target="https://en.wikipedia.org/wiki/Need_for_Speed:_The_Run" TargetMode="External"/><Relationship Id="rId1757" Type="http://schemas.openxmlformats.org/officeDocument/2006/relationships/hyperlink" Target="https://en.wikipedia.org/wiki/Xbox_360" TargetMode="External"/><Relationship Id="rId1964" Type="http://schemas.openxmlformats.org/officeDocument/2006/relationships/hyperlink" Target="https://en.wikipedia.org/wiki/The_Sims_4:_Get_Famous" TargetMode="External"/><Relationship Id="rId49" Type="http://schemas.openxmlformats.org/officeDocument/2006/relationships/hyperlink" Target="https://en.wikipedia.org/wiki/American_McGee%27s_Alice" TargetMode="External"/><Relationship Id="rId1617" Type="http://schemas.openxmlformats.org/officeDocument/2006/relationships/hyperlink" Target="https://en.wikipedia.org/wiki/Shank_2" TargetMode="External"/><Relationship Id="rId1824" Type="http://schemas.openxmlformats.org/officeDocument/2006/relationships/hyperlink" Target="https://en.wikipedia.org/wiki/Microsoft_Windows" TargetMode="External"/><Relationship Id="rId198" Type="http://schemas.openxmlformats.org/officeDocument/2006/relationships/hyperlink" Target="https://en.wikipedia.org/wiki/Android_(operating_system)" TargetMode="External"/><Relationship Id="rId2086" Type="http://schemas.openxmlformats.org/officeDocument/2006/relationships/hyperlink" Target="https://en.wikipedia.org/wiki/Maxis_Redwood_Shores" TargetMode="External"/><Relationship Id="rId2293" Type="http://schemas.openxmlformats.org/officeDocument/2006/relationships/hyperlink" Target="https://en.wikipedia.org/wiki/PlayStation_4" TargetMode="External"/><Relationship Id="rId265" Type="http://schemas.openxmlformats.org/officeDocument/2006/relationships/hyperlink" Target="https://en.wikipedia.org/wiki/Crysis_(video_game)" TargetMode="External"/><Relationship Id="rId472" Type="http://schemas.openxmlformats.org/officeDocument/2006/relationships/hyperlink" Target="https://en.wikipedia.org/wiki/FIFA_11" TargetMode="External"/><Relationship Id="rId2153" Type="http://schemas.openxmlformats.org/officeDocument/2006/relationships/hyperlink" Target="https://en.wikipedia.org/wiki/Wii" TargetMode="External"/><Relationship Id="rId2360" Type="http://schemas.openxmlformats.org/officeDocument/2006/relationships/hyperlink" Target="https://en.wikipedia.org/wiki/Xbox_Series_X_and_Series_S" TargetMode="External"/><Relationship Id="rId125" Type="http://schemas.openxmlformats.org/officeDocument/2006/relationships/hyperlink" Target="https://en.wikipedia.org/wiki/EA_DICE" TargetMode="External"/><Relationship Id="rId332" Type="http://schemas.openxmlformats.org/officeDocument/2006/relationships/hyperlink" Target="https://en.wikipedia.org/wiki/PlayStation_3" TargetMode="External"/><Relationship Id="rId777" Type="http://schemas.openxmlformats.org/officeDocument/2006/relationships/hyperlink" Target="https://en.wikipedia.org/wiki/PlayStation_3" TargetMode="External"/><Relationship Id="rId984" Type="http://schemas.openxmlformats.org/officeDocument/2006/relationships/hyperlink" Target="https://en.wikipedia.org/wiki/PlayStation_4" TargetMode="External"/><Relationship Id="rId2013" Type="http://schemas.openxmlformats.org/officeDocument/2006/relationships/hyperlink" Target="https://en.wikipedia.org/wiki/Xbox_One" TargetMode="External"/><Relationship Id="rId2220" Type="http://schemas.openxmlformats.org/officeDocument/2006/relationships/hyperlink" Target="https://en.wikipedia.org/wiki/Microsoft_Windows" TargetMode="External"/><Relationship Id="rId2458" Type="http://schemas.openxmlformats.org/officeDocument/2006/relationships/hyperlink" Target="https://en.wikipedia.org/wiki/PlayStation_5" TargetMode="External"/><Relationship Id="rId637" Type="http://schemas.openxmlformats.org/officeDocument/2006/relationships/hyperlink" Target="https://en.wikipedia.org/wiki/FIFA_15" TargetMode="External"/><Relationship Id="rId844" Type="http://schemas.openxmlformats.org/officeDocument/2006/relationships/hyperlink" Target="https://en.wikipedia.org/wiki/Android_(operating_system)" TargetMode="External"/><Relationship Id="rId1267" Type="http://schemas.openxmlformats.org/officeDocument/2006/relationships/hyperlink" Target="https://en.wikipedia.org/wiki/Need_for_Speed:_Hot_Pursuit_(2010_video_game)" TargetMode="External"/><Relationship Id="rId1474" Type="http://schemas.openxmlformats.org/officeDocument/2006/relationships/hyperlink" Target="https://en.wikipedia.org/wiki/PopCap_Games" TargetMode="External"/><Relationship Id="rId1681" Type="http://schemas.openxmlformats.org/officeDocument/2006/relationships/hyperlink" Target="https://en.wikipedia.org/wiki/Spore_Creatures" TargetMode="External"/><Relationship Id="rId2318" Type="http://schemas.openxmlformats.org/officeDocument/2006/relationships/hyperlink" Target="https://en.wikipedia.org/wiki/Medal_of_Honor:_Above_and_Beyond" TargetMode="External"/><Relationship Id="rId2525" Type="http://schemas.openxmlformats.org/officeDocument/2006/relationships/hyperlink" Target="https://en.wikipedia.org/wiki/EA_FC_24" TargetMode="External"/><Relationship Id="rId704" Type="http://schemas.openxmlformats.org/officeDocument/2006/relationships/hyperlink" Target="https://en.wikipedia.org/wiki/PlayStation_4" TargetMode="External"/><Relationship Id="rId911" Type="http://schemas.openxmlformats.org/officeDocument/2006/relationships/hyperlink" Target="https://en.wikipedia.org/wiki/Madden_NFL_13" TargetMode="External"/><Relationship Id="rId1127" Type="http://schemas.openxmlformats.org/officeDocument/2006/relationships/hyperlink" Target="https://en.wikipedia.org/wiki/NBA_Jam_(2010_video_game)" TargetMode="External"/><Relationship Id="rId1334" Type="http://schemas.openxmlformats.org/officeDocument/2006/relationships/hyperlink" Target="https://en.wikipedia.org/wiki/EA_Tiburon" TargetMode="External"/><Relationship Id="rId1541" Type="http://schemas.openxmlformats.org/officeDocument/2006/relationships/hyperlink" Target="https://en.wikipedia.org/wiki/Firemonkeys_Studios" TargetMode="External"/><Relationship Id="rId1779" Type="http://schemas.openxmlformats.org/officeDocument/2006/relationships/hyperlink" Target="https://en.wikipedia.org/wiki/The_Simpsons:_Tapped_Out" TargetMode="External"/><Relationship Id="rId1986" Type="http://schemas.openxmlformats.org/officeDocument/2006/relationships/hyperlink" Target="https://en.wikipedia.org/wiki/PlayStation_4" TargetMode="External"/><Relationship Id="rId40" Type="http://schemas.openxmlformats.org/officeDocument/2006/relationships/hyperlink" Target="https://en.wikipedia.org/wiki/Alice:_Madness_Returns" TargetMode="External"/><Relationship Id="rId1401" Type="http://schemas.openxmlformats.org/officeDocument/2006/relationships/hyperlink" Target="https://en.wikipedia.org/wiki/NHL_18" TargetMode="External"/><Relationship Id="rId1639" Type="http://schemas.openxmlformats.org/officeDocument/2006/relationships/hyperlink" Target="https://en.wikipedia.org/wiki/IOS" TargetMode="External"/><Relationship Id="rId1846" Type="http://schemas.openxmlformats.org/officeDocument/2006/relationships/hyperlink" Target="https://en.wikipedia.org/wiki/EA_Salt_Lake" TargetMode="External"/><Relationship Id="rId1706" Type="http://schemas.openxmlformats.org/officeDocument/2006/relationships/hyperlink" Target="https://en.wikipedia.org/wiki/Xbox_One" TargetMode="External"/><Relationship Id="rId1913" Type="http://schemas.openxmlformats.org/officeDocument/2006/relationships/hyperlink" Target="https://en.wikipedia.org/wiki/The_Sims_4:_Cats_%26_Dogs" TargetMode="External"/><Relationship Id="rId287" Type="http://schemas.openxmlformats.org/officeDocument/2006/relationships/hyperlink" Target="https://en.wikipedia.org/wiki/Xbox_360" TargetMode="External"/><Relationship Id="rId494" Type="http://schemas.openxmlformats.org/officeDocument/2006/relationships/hyperlink" Target="https://en.wikipedia.org/wiki/Xbox_360" TargetMode="External"/><Relationship Id="rId2175" Type="http://schemas.openxmlformats.org/officeDocument/2006/relationships/hyperlink" Target="https://en.wikipedia.org/wiki/EA_Tiburon" TargetMode="External"/><Relationship Id="rId2382" Type="http://schemas.openxmlformats.org/officeDocument/2006/relationships/hyperlink" Target="https://en.wikipedia.org/wiki/PlayStation_5" TargetMode="External"/><Relationship Id="rId147" Type="http://schemas.openxmlformats.org/officeDocument/2006/relationships/hyperlink" Target="https://en.wikipedia.org/wiki/Battlefield_4" TargetMode="External"/><Relationship Id="rId354" Type="http://schemas.openxmlformats.org/officeDocument/2006/relationships/hyperlink" Target="https://en.wikipedia.org/wiki/DeathSpank:_Thongs_of_Virtue" TargetMode="External"/><Relationship Id="rId799" Type="http://schemas.openxmlformats.org/officeDocument/2006/relationships/hyperlink" Target="https://en.wikipedia.org/wiki/EA_Bright_Light" TargetMode="External"/><Relationship Id="rId1191" Type="http://schemas.openxmlformats.org/officeDocument/2006/relationships/hyperlink" Target="https://en.wikipedia.org/wiki/NCAA_Football_11" TargetMode="External"/><Relationship Id="rId2035" Type="http://schemas.openxmlformats.org/officeDocument/2006/relationships/hyperlink" Target="https://en.wikipedia.org/wiki/Maxis_Redwood_Shores" TargetMode="External"/><Relationship Id="rId561" Type="http://schemas.openxmlformats.org/officeDocument/2006/relationships/hyperlink" Target="https://en.wikipedia.org/wiki/EA_Canada" TargetMode="External"/><Relationship Id="rId659" Type="http://schemas.openxmlformats.org/officeDocument/2006/relationships/hyperlink" Target="https://en.wikipedia.org/wiki/Xbox_360" TargetMode="External"/><Relationship Id="rId866" Type="http://schemas.openxmlformats.org/officeDocument/2006/relationships/hyperlink" Target="https://en.wikipedia.org/wiki/Madden_NFL_11" TargetMode="External"/><Relationship Id="rId1289" Type="http://schemas.openxmlformats.org/officeDocument/2006/relationships/hyperlink" Target="https://en.wikipedia.org/wiki/PlayStation_Vita" TargetMode="External"/><Relationship Id="rId1496" Type="http://schemas.openxmlformats.org/officeDocument/2006/relationships/hyperlink" Target="https://en.wikipedia.org/wiki/Plants_vs._Zombies:_Garden_Warfare" TargetMode="External"/><Relationship Id="rId2242" Type="http://schemas.openxmlformats.org/officeDocument/2006/relationships/hyperlink" Target="https://en.wikipedia.org/wiki/Microsoft_Windows" TargetMode="External"/><Relationship Id="rId2547" Type="http://schemas.openxmlformats.org/officeDocument/2006/relationships/hyperlink" Target="https://en.wikipedia.org/wiki/Microsoft_Windows" TargetMode="External"/><Relationship Id="rId214" Type="http://schemas.openxmlformats.org/officeDocument/2006/relationships/hyperlink" Target="https://en.wikipedia.org/wiki/Xbox_360" TargetMode="External"/><Relationship Id="rId421" Type="http://schemas.openxmlformats.org/officeDocument/2006/relationships/hyperlink" Target="https://en.wikipedia.org/wiki/IOS" TargetMode="External"/><Relationship Id="rId519" Type="http://schemas.openxmlformats.org/officeDocument/2006/relationships/hyperlink" Target="https://en.wikipedia.org/wiki/EA_Canada" TargetMode="External"/><Relationship Id="rId1051" Type="http://schemas.openxmlformats.org/officeDocument/2006/relationships/hyperlink" Target="https://en.wikipedia.org/wiki/PlayStation_3" TargetMode="External"/><Relationship Id="rId1149" Type="http://schemas.openxmlformats.org/officeDocument/2006/relationships/hyperlink" Target="https://en.wikipedia.org/wiki/Xbox_360" TargetMode="External"/><Relationship Id="rId1356" Type="http://schemas.openxmlformats.org/officeDocument/2006/relationships/hyperlink" Target="https://en.wikipedia.org/wiki/NHL_12" TargetMode="External"/><Relationship Id="rId2102" Type="http://schemas.openxmlformats.org/officeDocument/2006/relationships/hyperlink" Target="https://en.wikipedia.org/wiki/Android_(operating_system)" TargetMode="External"/><Relationship Id="rId726" Type="http://schemas.openxmlformats.org/officeDocument/2006/relationships/hyperlink" Target="https://en.wikipedia.org/wiki/EA_Vancouver" TargetMode="External"/><Relationship Id="rId933" Type="http://schemas.openxmlformats.org/officeDocument/2006/relationships/hyperlink" Target="https://en.wikipedia.org/wiki/Xbox_360" TargetMode="External"/><Relationship Id="rId1009" Type="http://schemas.openxmlformats.org/officeDocument/2006/relationships/hyperlink" Target="https://en.wikipedia.org/wiki/Playfish" TargetMode="External"/><Relationship Id="rId1563" Type="http://schemas.openxmlformats.org/officeDocument/2006/relationships/hyperlink" Target="https://en.wikipedia.org/wiki/Rock_Band_3" TargetMode="External"/><Relationship Id="rId1770" Type="http://schemas.openxmlformats.org/officeDocument/2006/relationships/hyperlink" Target="https://en.wikipedia.org/wiki/The_Secret_World" TargetMode="External"/><Relationship Id="rId1868" Type="http://schemas.openxmlformats.org/officeDocument/2006/relationships/hyperlink" Target="https://en.wikipedia.org/wiki/The_Sims_3:_Showtime" TargetMode="External"/><Relationship Id="rId2407" Type="http://schemas.openxmlformats.org/officeDocument/2006/relationships/hyperlink" Target="https://en.wikipedia.org/wiki/PlayStation_4" TargetMode="External"/><Relationship Id="rId62" Type="http://schemas.openxmlformats.org/officeDocument/2006/relationships/hyperlink" Target="https://en.wikipedia.org/wiki/Microsoft_Windows" TargetMode="External"/><Relationship Id="rId1216" Type="http://schemas.openxmlformats.org/officeDocument/2006/relationships/hyperlink" Target="https://en.wikipedia.org/wiki/Need_for_Speed_(2015_video_game)" TargetMode="External"/><Relationship Id="rId1423" Type="http://schemas.openxmlformats.org/officeDocument/2006/relationships/hyperlink" Target="https://en.wikipedia.org/wiki/Outernauts" TargetMode="External"/><Relationship Id="rId1630" Type="http://schemas.openxmlformats.org/officeDocument/2006/relationships/hyperlink" Target="https://en.wikipedia.org/wiki/PlayStation_3" TargetMode="External"/><Relationship Id="rId1728" Type="http://schemas.openxmlformats.org/officeDocument/2006/relationships/hyperlink" Target="https://en.wikipedia.org/wiki/Respawn_Entertainment" TargetMode="External"/><Relationship Id="rId1935" Type="http://schemas.openxmlformats.org/officeDocument/2006/relationships/hyperlink" Target="https://en.wikipedia.org/wiki/Microsoft_Windows" TargetMode="External"/><Relationship Id="rId2197" Type="http://schemas.openxmlformats.org/officeDocument/2006/relationships/hyperlink" Target="https://en.wikipedia.org/wiki/Trenches_2" TargetMode="External"/><Relationship Id="rId169" Type="http://schemas.openxmlformats.org/officeDocument/2006/relationships/hyperlink" Target="https://en.wikipedia.org/wiki/Visceral_Games" TargetMode="External"/><Relationship Id="rId376" Type="http://schemas.openxmlformats.org/officeDocument/2006/relationships/hyperlink" Target="https://en.wikipedia.org/wiki/BioWare" TargetMode="External"/><Relationship Id="rId583" Type="http://schemas.openxmlformats.org/officeDocument/2006/relationships/hyperlink" Target="https://en.wikipedia.org/wiki/FIFA_14" TargetMode="External"/><Relationship Id="rId790" Type="http://schemas.openxmlformats.org/officeDocument/2006/relationships/hyperlink" Target="https://en.wikipedia.org/wiki/EA_Bright_Light" TargetMode="External"/><Relationship Id="rId2057" Type="http://schemas.openxmlformats.org/officeDocument/2006/relationships/hyperlink" Target="https://en.wikipedia.org/wiki/The_Sims_4:_Seasons" TargetMode="External"/><Relationship Id="rId2264" Type="http://schemas.openxmlformats.org/officeDocument/2006/relationships/hyperlink" Target="https://en.wikipedia.org/wiki/Microsoft_Windows" TargetMode="External"/><Relationship Id="rId2471" Type="http://schemas.openxmlformats.org/officeDocument/2006/relationships/hyperlink" Target="https://en.wikipedia.org/wiki/Microsoft_Windows" TargetMode="External"/><Relationship Id="rId4" Type="http://schemas.openxmlformats.org/officeDocument/2006/relationships/hyperlink" Target="https://en.wikipedia.org/wiki/2010_FIFA_World_Cup_South_Africa_(video_game)" TargetMode="External"/><Relationship Id="rId236" Type="http://schemas.openxmlformats.org/officeDocument/2006/relationships/hyperlink" Target="https://en.wikipedia.org/wiki/Cause_of_Death_(video_game)" TargetMode="External"/><Relationship Id="rId443" Type="http://schemas.openxmlformats.org/officeDocument/2006/relationships/hyperlink" Target="https://en.wikipedia.org/wiki/Xbox_One" TargetMode="External"/><Relationship Id="rId650" Type="http://schemas.openxmlformats.org/officeDocument/2006/relationships/hyperlink" Target="https://en.wikipedia.org/wiki/PlayStation_3" TargetMode="External"/><Relationship Id="rId888" Type="http://schemas.openxmlformats.org/officeDocument/2006/relationships/hyperlink" Target="https://en.wikipedia.org/wiki/PlayStation_Portable" TargetMode="External"/><Relationship Id="rId1073" Type="http://schemas.openxmlformats.org/officeDocument/2006/relationships/hyperlink" Target="https://en.wikipedia.org/wiki/Codemasters" TargetMode="External"/><Relationship Id="rId1280" Type="http://schemas.openxmlformats.org/officeDocument/2006/relationships/hyperlink" Target="https://en.wikipedia.org/wiki/IOS" TargetMode="External"/><Relationship Id="rId2124" Type="http://schemas.openxmlformats.org/officeDocument/2006/relationships/hyperlink" Target="https://en.wikipedia.org/wiki/The_Sims_Mobile" TargetMode="External"/><Relationship Id="rId2331" Type="http://schemas.openxmlformats.org/officeDocument/2006/relationships/hyperlink" Target="https://en.wikipedia.org/wiki/PlayStation_4" TargetMode="External"/><Relationship Id="rId2569" Type="http://schemas.openxmlformats.org/officeDocument/2006/relationships/hyperlink" Target="https://en.wikipedia.org/wiki/Dragon_Age:_Dreadwolf" TargetMode="External"/><Relationship Id="rId303" Type="http://schemas.openxmlformats.org/officeDocument/2006/relationships/hyperlink" Target="https://en.wikipedia.org/wiki/Dead_Space_(mobile_game)" TargetMode="External"/><Relationship Id="rId748" Type="http://schemas.openxmlformats.org/officeDocument/2006/relationships/hyperlink" Target="https://en.wikipedia.org/wiki/PlayStation_3" TargetMode="External"/><Relationship Id="rId955" Type="http://schemas.openxmlformats.org/officeDocument/2006/relationships/hyperlink" Target="https://en.wikipedia.org/wiki/EA_Tiburon" TargetMode="External"/><Relationship Id="rId1140" Type="http://schemas.openxmlformats.org/officeDocument/2006/relationships/hyperlink" Target="https://en.wikipedia.org/wiki/Android_(operating_system)" TargetMode="External"/><Relationship Id="rId1378" Type="http://schemas.openxmlformats.org/officeDocument/2006/relationships/hyperlink" Target="https://en.wikipedia.org/wiki/Xbox_360" TargetMode="External"/><Relationship Id="rId1585" Type="http://schemas.openxmlformats.org/officeDocument/2006/relationships/hyperlink" Target="https://en.wikipedia.org/wiki/Sea_of_Solitude" TargetMode="External"/><Relationship Id="rId1792" Type="http://schemas.openxmlformats.org/officeDocument/2006/relationships/hyperlink" Target="https://en.wikipedia.org/wiki/Xbox_360" TargetMode="External"/><Relationship Id="rId2429" Type="http://schemas.openxmlformats.org/officeDocument/2006/relationships/hyperlink" Target="https://en.wikipedia.org/wiki/Macintosh" TargetMode="External"/><Relationship Id="rId84" Type="http://schemas.openxmlformats.org/officeDocument/2006/relationships/hyperlink" Target="https://en.wikipedia.org/wiki/Apex_Legends" TargetMode="External"/><Relationship Id="rId510" Type="http://schemas.openxmlformats.org/officeDocument/2006/relationships/hyperlink" Target="https://en.wikipedia.org/wiki/EA_Canada" TargetMode="External"/><Relationship Id="rId608" Type="http://schemas.openxmlformats.org/officeDocument/2006/relationships/hyperlink" Target="https://en.wikipedia.org/wiki/Windows_Phone" TargetMode="External"/><Relationship Id="rId815" Type="http://schemas.openxmlformats.org/officeDocument/2006/relationships/hyperlink" Target="https://en.wikipedia.org/wiki/Harry_Potter_and_the_Deathly_Hallows_%E2%80%93_Part_2_(video_game)" TargetMode="External"/><Relationship Id="rId1238" Type="http://schemas.openxmlformats.org/officeDocument/2006/relationships/hyperlink" Target="https://en.wikipedia.org/wiki/PlayStation_3" TargetMode="External"/><Relationship Id="rId1445" Type="http://schemas.openxmlformats.org/officeDocument/2006/relationships/hyperlink" Target="https://en.wikipedia.org/wiki/IOS" TargetMode="External"/><Relationship Id="rId1652" Type="http://schemas.openxmlformats.org/officeDocument/2006/relationships/hyperlink" Target="https://en.wikipedia.org/wiki/Maxis" TargetMode="External"/><Relationship Id="rId1000" Type="http://schemas.openxmlformats.org/officeDocument/2006/relationships/hyperlink" Target="https://en.wikipedia.org/wiki/EA_Tiburon" TargetMode="External"/><Relationship Id="rId1305" Type="http://schemas.openxmlformats.org/officeDocument/2006/relationships/hyperlink" Target="https://en.wikipedia.org/wiki/Firemonkeys_Studios" TargetMode="External"/><Relationship Id="rId1957" Type="http://schemas.openxmlformats.org/officeDocument/2006/relationships/hyperlink" Target="https://en.wikipedia.org/wiki/Maxis_Redwood_Shores" TargetMode="External"/><Relationship Id="rId1512" Type="http://schemas.openxmlformats.org/officeDocument/2006/relationships/hyperlink" Target="https://en.wikipedia.org/wiki/R-Type" TargetMode="External"/><Relationship Id="rId1817" Type="http://schemas.openxmlformats.org/officeDocument/2006/relationships/hyperlink" Target="https://en.wikipedia.org/wiki/The_Sims_3:_Ambitions" TargetMode="External"/><Relationship Id="rId11" Type="http://schemas.openxmlformats.org/officeDocument/2006/relationships/hyperlink" Target="https://en.wikipedia.org/wiki/Xbox_360" TargetMode="External"/><Relationship Id="rId398" Type="http://schemas.openxmlformats.org/officeDocument/2006/relationships/hyperlink" Target="https://en.wikipedia.org/wiki/IOS" TargetMode="External"/><Relationship Id="rId2079" Type="http://schemas.openxmlformats.org/officeDocument/2006/relationships/hyperlink" Target="https://en.wikipedia.org/wiki/Microsoft_Windows" TargetMode="External"/><Relationship Id="rId160" Type="http://schemas.openxmlformats.org/officeDocument/2006/relationships/hyperlink" Target="https://en.wikipedia.org/wiki/EA_DICE" TargetMode="External"/><Relationship Id="rId2286" Type="http://schemas.openxmlformats.org/officeDocument/2006/relationships/hyperlink" Target="https://en.wikipedia.org/wiki/The_Sims_4:_Star_Wars:_Journey_to_Batuu" TargetMode="External"/><Relationship Id="rId2493" Type="http://schemas.openxmlformats.org/officeDocument/2006/relationships/hyperlink" Target="https://en.wikipedia.org/wiki/Nintendo_Switch" TargetMode="External"/><Relationship Id="rId258" Type="http://schemas.openxmlformats.org/officeDocument/2006/relationships/hyperlink" Target="https://en.wikipedia.org/wiki/EA_Bright_Light" TargetMode="External"/><Relationship Id="rId465" Type="http://schemas.openxmlformats.org/officeDocument/2006/relationships/hyperlink" Target="https://en.wikipedia.org/wiki/HB_Studios" TargetMode="External"/><Relationship Id="rId672" Type="http://schemas.openxmlformats.org/officeDocument/2006/relationships/hyperlink" Target="https://en.wikipedia.org/wiki/EA_Vancouver" TargetMode="External"/><Relationship Id="rId1095" Type="http://schemas.openxmlformats.org/officeDocument/2006/relationships/hyperlink" Target="https://en.wikipedia.org/wiki/Mirror%27s_Edge_Catalyst" TargetMode="External"/><Relationship Id="rId2146" Type="http://schemas.openxmlformats.org/officeDocument/2006/relationships/hyperlink" Target="https://en.wikipedia.org/wiki/Tiger_Woods_PGA_Tour_12" TargetMode="External"/><Relationship Id="rId2353" Type="http://schemas.openxmlformats.org/officeDocument/2006/relationships/hyperlink" Target="https://en.wikipedia.org/wiki/Xbox_Series_X_and_Series_S" TargetMode="External"/><Relationship Id="rId2560" Type="http://schemas.openxmlformats.org/officeDocument/2006/relationships/hyperlink" Target="https://en.wikipedia.org/wiki/Xbox_Series_X_and_Series_S" TargetMode="External"/><Relationship Id="rId118" Type="http://schemas.openxmlformats.org/officeDocument/2006/relationships/hyperlink" Target="https://en.wikipedia.org/wiki/PlayStation_4" TargetMode="External"/><Relationship Id="rId325" Type="http://schemas.openxmlformats.org/officeDocument/2006/relationships/hyperlink" Target="https://en.wikipedia.org/wiki/Xbox_360" TargetMode="External"/><Relationship Id="rId532" Type="http://schemas.openxmlformats.org/officeDocument/2006/relationships/hyperlink" Target="https://en.wikipedia.org/wiki/FIFA_13" TargetMode="External"/><Relationship Id="rId977" Type="http://schemas.openxmlformats.org/officeDocument/2006/relationships/hyperlink" Target="https://en.wikipedia.org/wiki/Madden_NFL_25" TargetMode="External"/><Relationship Id="rId1162" Type="http://schemas.openxmlformats.org/officeDocument/2006/relationships/hyperlink" Target="https://en.wikipedia.org/wiki/EA_Tiburon" TargetMode="External"/><Relationship Id="rId2006" Type="http://schemas.openxmlformats.org/officeDocument/2006/relationships/hyperlink" Target="https://en.wikipedia.org/wiki/The_Sims_4:_Jungle_Adventure" TargetMode="External"/><Relationship Id="rId2213" Type="http://schemas.openxmlformats.org/officeDocument/2006/relationships/hyperlink" Target="https://en.wikipedia.org/wiki/IOS" TargetMode="External"/><Relationship Id="rId2420" Type="http://schemas.openxmlformats.org/officeDocument/2006/relationships/hyperlink" Target="https://en.wikipedia.org/wiki/Xbox_One" TargetMode="External"/><Relationship Id="rId837" Type="http://schemas.openxmlformats.org/officeDocument/2006/relationships/hyperlink" Target="https://en.wikipedia.org/wiki/Heroes_of_Dragon_Age" TargetMode="External"/><Relationship Id="rId1022" Type="http://schemas.openxmlformats.org/officeDocument/2006/relationships/hyperlink" Target="https://en.wikipedia.org/wiki/PlayStation_3" TargetMode="External"/><Relationship Id="rId1467" Type="http://schemas.openxmlformats.org/officeDocument/2006/relationships/hyperlink" Target="https://en.wikipedia.org/wiki/IOS" TargetMode="External"/><Relationship Id="rId1674" Type="http://schemas.openxmlformats.org/officeDocument/2006/relationships/hyperlink" Target="https://en.wikipedia.org/wiki/EA_Black_Box" TargetMode="External"/><Relationship Id="rId1881" Type="http://schemas.openxmlformats.org/officeDocument/2006/relationships/hyperlink" Target="https://en.wikipedia.org/wiki/Microsoft_Windows" TargetMode="External"/><Relationship Id="rId2518" Type="http://schemas.openxmlformats.org/officeDocument/2006/relationships/hyperlink" Target="https://en.wikipedia.org/wiki/Xbox_Series_X_and_Series_S" TargetMode="External"/><Relationship Id="rId904" Type="http://schemas.openxmlformats.org/officeDocument/2006/relationships/hyperlink" Target="https://en.wikipedia.org/wiki/EA_Tiburon" TargetMode="External"/><Relationship Id="rId1327" Type="http://schemas.openxmlformats.org/officeDocument/2006/relationships/hyperlink" Target="https://en.wikipedia.org/wiki/Need_for_Speed:_Undercover" TargetMode="External"/><Relationship Id="rId1534" Type="http://schemas.openxmlformats.org/officeDocument/2006/relationships/hyperlink" Target="https://en.wikipedia.org/wiki/Windows_Phone" TargetMode="External"/><Relationship Id="rId1741" Type="http://schemas.openxmlformats.org/officeDocument/2006/relationships/hyperlink" Target="https://en.wikipedia.org/wiki/Star_Wars:_The_Old_Republic" TargetMode="External"/><Relationship Id="rId1979" Type="http://schemas.openxmlformats.org/officeDocument/2006/relationships/hyperlink" Target="https://en.wikipedia.org/wiki/The_Sims_4:_Get_Together" TargetMode="External"/><Relationship Id="rId33" Type="http://schemas.openxmlformats.org/officeDocument/2006/relationships/hyperlink" Target="https://en.wikipedia.org/wiki/Spicy_Horse" TargetMode="External"/><Relationship Id="rId1601" Type="http://schemas.openxmlformats.org/officeDocument/2006/relationships/hyperlink" Target="https://en.wikipedia.org/wiki/Klei_Entertainment" TargetMode="External"/><Relationship Id="rId1839" Type="http://schemas.openxmlformats.org/officeDocument/2006/relationships/hyperlink" Target="https://en.wikipedia.org/wiki/Macintosh" TargetMode="External"/><Relationship Id="rId182" Type="http://schemas.openxmlformats.org/officeDocument/2006/relationships/hyperlink" Target="https://en.wikipedia.org/wiki/Battlefield_V" TargetMode="External"/><Relationship Id="rId1906" Type="http://schemas.openxmlformats.org/officeDocument/2006/relationships/hyperlink" Target="https://en.wikipedia.org/wiki/Maxis_Redwood_Shores" TargetMode="External"/><Relationship Id="rId487" Type="http://schemas.openxmlformats.org/officeDocument/2006/relationships/hyperlink" Target="https://en.wikipedia.org/wiki/FIFA_11" TargetMode="External"/><Relationship Id="rId694" Type="http://schemas.openxmlformats.org/officeDocument/2006/relationships/hyperlink" Target="https://en.wikipedia.org/wiki/FIFA_18" TargetMode="External"/><Relationship Id="rId2070" Type="http://schemas.openxmlformats.org/officeDocument/2006/relationships/hyperlink" Target="https://en.wikipedia.org/wiki/PlayStation_4" TargetMode="External"/><Relationship Id="rId2168" Type="http://schemas.openxmlformats.org/officeDocument/2006/relationships/hyperlink" Target="https://en.wikipedia.org/wiki/Xbox_360" TargetMode="External"/><Relationship Id="rId2375" Type="http://schemas.openxmlformats.org/officeDocument/2006/relationships/hyperlink" Target="https://en.wikipedia.org/wiki/Xbox_One" TargetMode="External"/><Relationship Id="rId347" Type="http://schemas.openxmlformats.org/officeDocument/2006/relationships/hyperlink" Target="https://en.wikipedia.org/wiki/Hothead_Games" TargetMode="External"/><Relationship Id="rId999" Type="http://schemas.openxmlformats.org/officeDocument/2006/relationships/hyperlink" Target="https://en.wikipedia.org/wiki/IOS" TargetMode="External"/><Relationship Id="rId1184" Type="http://schemas.openxmlformats.org/officeDocument/2006/relationships/hyperlink" Target="https://en.wikipedia.org/wiki/NBA_Live_Mobile" TargetMode="External"/><Relationship Id="rId2028" Type="http://schemas.openxmlformats.org/officeDocument/2006/relationships/hyperlink" Target="https://en.wikipedia.org/wiki/Macintosh" TargetMode="External"/><Relationship Id="rId2582" Type="http://schemas.openxmlformats.org/officeDocument/2006/relationships/hyperlink" Target="https://en.wikipedia.org/wiki/Respawn_Entertainment" TargetMode="External"/><Relationship Id="rId554" Type="http://schemas.openxmlformats.org/officeDocument/2006/relationships/hyperlink" Target="https://en.wikipedia.org/wiki/Wii" TargetMode="External"/><Relationship Id="rId761" Type="http://schemas.openxmlformats.org/officeDocument/2006/relationships/hyperlink" Target="https://en.wikipedia.org/wiki/EA_Canada" TargetMode="External"/><Relationship Id="rId859" Type="http://schemas.openxmlformats.org/officeDocument/2006/relationships/hyperlink" Target="https://en.wikipedia.org/wiki/IOS" TargetMode="External"/><Relationship Id="rId1391" Type="http://schemas.openxmlformats.org/officeDocument/2006/relationships/hyperlink" Target="https://en.wikipedia.org/wiki/EA_Canada" TargetMode="External"/><Relationship Id="rId1489" Type="http://schemas.openxmlformats.org/officeDocument/2006/relationships/hyperlink" Target="https://en.wikipedia.org/wiki/PopCap_Games" TargetMode="External"/><Relationship Id="rId1696" Type="http://schemas.openxmlformats.org/officeDocument/2006/relationships/hyperlink" Target="https://en.wikipedia.org/wiki/SSX_3" TargetMode="External"/><Relationship Id="rId2235" Type="http://schemas.openxmlformats.org/officeDocument/2006/relationships/hyperlink" Target="https://en.wikipedia.org/wiki/Warp_(2012_video_game)" TargetMode="External"/><Relationship Id="rId2442" Type="http://schemas.openxmlformats.org/officeDocument/2006/relationships/hyperlink" Target="https://en.wikipedia.org/wiki/Microsoft_Windows" TargetMode="External"/><Relationship Id="rId207" Type="http://schemas.openxmlformats.org/officeDocument/2006/relationships/hyperlink" Target="https://en.wikipedia.org/wiki/IOS" TargetMode="External"/><Relationship Id="rId414" Type="http://schemas.openxmlformats.org/officeDocument/2006/relationships/hyperlink" Target="https://en.wikipedia.org/wiki/EA_Sports_Active_NFL_Training_Camp" TargetMode="External"/><Relationship Id="rId621" Type="http://schemas.openxmlformats.org/officeDocument/2006/relationships/hyperlink" Target="https://en.wikipedia.org/wiki/EA_Canada" TargetMode="External"/><Relationship Id="rId1044" Type="http://schemas.openxmlformats.org/officeDocument/2006/relationships/hyperlink" Target="https://en.wikipedia.org/wiki/Mass_Effect:_Andromeda" TargetMode="External"/><Relationship Id="rId1251" Type="http://schemas.openxmlformats.org/officeDocument/2006/relationships/hyperlink" Target="https://en.wikipedia.org/wiki/Criterion_Games" TargetMode="External"/><Relationship Id="rId1349" Type="http://schemas.openxmlformats.org/officeDocument/2006/relationships/hyperlink" Target="https://en.wikipedia.org/wiki/EA_Canada" TargetMode="External"/><Relationship Id="rId2302" Type="http://schemas.openxmlformats.org/officeDocument/2006/relationships/hyperlink" Target="https://en.wikipedia.org/wiki/NHL_21" TargetMode="External"/><Relationship Id="rId719" Type="http://schemas.openxmlformats.org/officeDocument/2006/relationships/hyperlink" Target="https://en.wikipedia.org/wiki/PlayStation_4" TargetMode="External"/><Relationship Id="rId926" Type="http://schemas.openxmlformats.org/officeDocument/2006/relationships/hyperlink" Target="https://en.wikipedia.org/wiki/Madden_NFL_16" TargetMode="External"/><Relationship Id="rId1111" Type="http://schemas.openxmlformats.org/officeDocument/2006/relationships/hyperlink" Target="https://en.wikipedia.org/wiki/Behaviour_Interactive" TargetMode="External"/><Relationship Id="rId1556" Type="http://schemas.openxmlformats.org/officeDocument/2006/relationships/hyperlink" Target="https://en.wikipedia.org/wiki/Microsoft_Windows" TargetMode="External"/><Relationship Id="rId1763" Type="http://schemas.openxmlformats.org/officeDocument/2006/relationships/hyperlink" Target="https://en.wikipedia.org/wiki/PlayStation_3" TargetMode="External"/><Relationship Id="rId1970" Type="http://schemas.openxmlformats.org/officeDocument/2006/relationships/hyperlink" Target="https://en.wikipedia.org/wiki/The_Sims_4:_Get_to_Work" TargetMode="External"/><Relationship Id="rId55" Type="http://schemas.openxmlformats.org/officeDocument/2006/relationships/hyperlink" Target="https://en.wikipedia.org/wiki/Anthem_(video_game)" TargetMode="External"/><Relationship Id="rId1209" Type="http://schemas.openxmlformats.org/officeDocument/2006/relationships/hyperlink" Target="https://en.wikipedia.org/wiki/EA_Tiburon" TargetMode="External"/><Relationship Id="rId1416" Type="http://schemas.openxmlformats.org/officeDocument/2006/relationships/hyperlink" Target="https://en.wikipedia.org/wiki/NHL_20" TargetMode="External"/><Relationship Id="rId1623" Type="http://schemas.openxmlformats.org/officeDocument/2006/relationships/hyperlink" Target="https://en.wikipedia.org/wiki/Shank_2" TargetMode="External"/><Relationship Id="rId1830" Type="http://schemas.openxmlformats.org/officeDocument/2006/relationships/hyperlink" Target="https://en.wikipedia.org/wiki/Microsoft_Windows" TargetMode="External"/><Relationship Id="rId1928" Type="http://schemas.openxmlformats.org/officeDocument/2006/relationships/hyperlink" Target="https://en.wikipedia.org/wiki/The_Sims_4:_City_Living" TargetMode="External"/><Relationship Id="rId2092" Type="http://schemas.openxmlformats.org/officeDocument/2006/relationships/hyperlink" Target="https://en.wikipedia.org/wiki/Maxis_Redwood_Shores" TargetMode="External"/><Relationship Id="rId271" Type="http://schemas.openxmlformats.org/officeDocument/2006/relationships/hyperlink" Target="https://en.wikipedia.org/wiki/Crysis_2" TargetMode="External"/><Relationship Id="rId2397" Type="http://schemas.openxmlformats.org/officeDocument/2006/relationships/hyperlink" Target="https://en.wikipedia.org/wiki/Xbox_One" TargetMode="External"/><Relationship Id="rId131" Type="http://schemas.openxmlformats.org/officeDocument/2006/relationships/hyperlink" Target="https://en.wikipedia.org/wiki/EA_DICE" TargetMode="External"/><Relationship Id="rId369" Type="http://schemas.openxmlformats.org/officeDocument/2006/relationships/hyperlink" Target="https://en.wikipedia.org/wiki/Dragon_Age_Legends" TargetMode="External"/><Relationship Id="rId576" Type="http://schemas.openxmlformats.org/officeDocument/2006/relationships/hyperlink" Target="https://en.wikipedia.org/wiki/EA_Canada" TargetMode="External"/><Relationship Id="rId783" Type="http://schemas.openxmlformats.org/officeDocument/2006/relationships/hyperlink" Target="https://en.wikipedia.org/wiki/PlayStation_3" TargetMode="External"/><Relationship Id="rId990" Type="http://schemas.openxmlformats.org/officeDocument/2006/relationships/hyperlink" Target="https://en.wikipedia.org/wiki/Android_(operating_system)" TargetMode="External"/><Relationship Id="rId2257" Type="http://schemas.openxmlformats.org/officeDocument/2006/relationships/hyperlink" Target="https://en.wikipedia.org/wiki/Command_%26_Conquer_(1995_video_game)" TargetMode="External"/><Relationship Id="rId2464" Type="http://schemas.openxmlformats.org/officeDocument/2006/relationships/hyperlink" Target="https://en.wikipedia.org/wiki/Motive_Studios" TargetMode="External"/><Relationship Id="rId229" Type="http://schemas.openxmlformats.org/officeDocument/2006/relationships/hyperlink" Target="https://en.wikipedia.org/wiki/Criterion_Games" TargetMode="External"/><Relationship Id="rId436" Type="http://schemas.openxmlformats.org/officeDocument/2006/relationships/hyperlink" Target="https://en.wikipedia.org/wiki/EA_Sports_UFC_2" TargetMode="External"/><Relationship Id="rId643" Type="http://schemas.openxmlformats.org/officeDocument/2006/relationships/hyperlink" Target="https://en.wikipedia.org/wiki/FIFA_16" TargetMode="External"/><Relationship Id="rId1066" Type="http://schemas.openxmlformats.org/officeDocument/2006/relationships/hyperlink" Target="https://en.wikipedia.org/wiki/Microsoft_Windows" TargetMode="External"/><Relationship Id="rId1273" Type="http://schemas.openxmlformats.org/officeDocument/2006/relationships/hyperlink" Target="https://en.wikipedia.org/wiki/Need_for_Speed:_Hot_Pursuit_(2010_video_game)" TargetMode="External"/><Relationship Id="rId1480" Type="http://schemas.openxmlformats.org/officeDocument/2006/relationships/hyperlink" Target="https://en.wikipedia.org/wiki/PopCap_Games" TargetMode="External"/><Relationship Id="rId2117" Type="http://schemas.openxmlformats.org/officeDocument/2006/relationships/hyperlink" Target="https://en.wikipedia.org/wiki/Maxis_Redwood_Shores" TargetMode="External"/><Relationship Id="rId2324" Type="http://schemas.openxmlformats.org/officeDocument/2006/relationships/hyperlink" Target="https://en.wikipedia.org/wiki/Hazelight_Studios" TargetMode="External"/><Relationship Id="rId850" Type="http://schemas.openxmlformats.org/officeDocument/2006/relationships/hyperlink" Target="https://en.wikipedia.org/wiki/Kingdoms_of_Amalur:_Reckoning" TargetMode="External"/><Relationship Id="rId948" Type="http://schemas.openxmlformats.org/officeDocument/2006/relationships/hyperlink" Target="https://en.wikipedia.org/wiki/Xbox_One" TargetMode="External"/><Relationship Id="rId1133" Type="http://schemas.openxmlformats.org/officeDocument/2006/relationships/hyperlink" Target="https://en.wikipedia.org/wiki/NBA_Jam_(2010_video_game)" TargetMode="External"/><Relationship Id="rId1578" Type="http://schemas.openxmlformats.org/officeDocument/2006/relationships/hyperlink" Target="https://en.wikipedia.org/wiki/Scrabble_(video_game)" TargetMode="External"/><Relationship Id="rId1785" Type="http://schemas.openxmlformats.org/officeDocument/2006/relationships/hyperlink" Target="https://en.wikipedia.org/wiki/The_Sims_3" TargetMode="External"/><Relationship Id="rId1992" Type="http://schemas.openxmlformats.org/officeDocument/2006/relationships/hyperlink" Target="https://en.wikipedia.org/wiki/Macintosh" TargetMode="External"/><Relationship Id="rId2531" Type="http://schemas.openxmlformats.org/officeDocument/2006/relationships/hyperlink" Target="https://en.wikipedia.org/wiki/Xbox_Series_X_and_Series_S" TargetMode="External"/><Relationship Id="rId77" Type="http://schemas.openxmlformats.org/officeDocument/2006/relationships/hyperlink" Target="https://en.wikipedia.org/wiki/Xbox_One" TargetMode="External"/><Relationship Id="rId503" Type="http://schemas.openxmlformats.org/officeDocument/2006/relationships/hyperlink" Target="https://en.wikipedia.org/wiki/Macintosh" TargetMode="External"/><Relationship Id="rId710" Type="http://schemas.openxmlformats.org/officeDocument/2006/relationships/hyperlink" Target="https://en.wikipedia.org/wiki/Xbox_360" TargetMode="External"/><Relationship Id="rId808" Type="http://schemas.openxmlformats.org/officeDocument/2006/relationships/hyperlink" Target="https://en.wikipedia.org/wiki/EA_Bright_Light" TargetMode="External"/><Relationship Id="rId1340" Type="http://schemas.openxmlformats.org/officeDocument/2006/relationships/hyperlink" Target="https://en.wikipedia.org/wiki/Ghost_Games" TargetMode="External"/><Relationship Id="rId1438" Type="http://schemas.openxmlformats.org/officeDocument/2006/relationships/hyperlink" Target="https://en.wikipedia.org/wiki/Peggle_Blast" TargetMode="External"/><Relationship Id="rId1645" Type="http://schemas.openxmlformats.org/officeDocument/2006/relationships/hyperlink" Target="https://en.wikipedia.org/wiki/Macintosh" TargetMode="External"/><Relationship Id="rId1200" Type="http://schemas.openxmlformats.org/officeDocument/2006/relationships/hyperlink" Target="https://en.wikipedia.org/wiki/EA_Tiburon" TargetMode="External"/><Relationship Id="rId1852" Type="http://schemas.openxmlformats.org/officeDocument/2006/relationships/hyperlink" Target="https://en.wikipedia.org/wiki/Edge_of_Reality" TargetMode="External"/><Relationship Id="rId1505" Type="http://schemas.openxmlformats.org/officeDocument/2006/relationships/hyperlink" Target="https://en.wikipedia.org/wiki/Plants_vs._Zombies:_Garden_Warfare_2" TargetMode="External"/><Relationship Id="rId1712" Type="http://schemas.openxmlformats.org/officeDocument/2006/relationships/hyperlink" Target="https://en.wikipedia.org/wiki/Microsoft_Windows" TargetMode="External"/><Relationship Id="rId293" Type="http://schemas.openxmlformats.org/officeDocument/2006/relationships/hyperlink" Target="https://en.wikipedia.org/wiki/Xbox_360" TargetMode="External"/><Relationship Id="rId2181" Type="http://schemas.openxmlformats.org/officeDocument/2006/relationships/hyperlink" Target="https://en.wikipedia.org/wiki/Respawn_Entertainment" TargetMode="External"/><Relationship Id="rId153" Type="http://schemas.openxmlformats.org/officeDocument/2006/relationships/hyperlink" Target="https://en.wikipedia.org/wiki/Battlefield_Bad_Company_2" TargetMode="External"/><Relationship Id="rId360" Type="http://schemas.openxmlformats.org/officeDocument/2006/relationships/hyperlink" Target="https://en.wikipedia.org/wiki/Dragon_Age_II" TargetMode="External"/><Relationship Id="rId598" Type="http://schemas.openxmlformats.org/officeDocument/2006/relationships/hyperlink" Target="https://en.wikipedia.org/wiki/FIFA_14" TargetMode="External"/><Relationship Id="rId2041" Type="http://schemas.openxmlformats.org/officeDocument/2006/relationships/hyperlink" Target="https://en.wikipedia.org/wiki/Maxis_Redwood_Shores" TargetMode="External"/><Relationship Id="rId2279" Type="http://schemas.openxmlformats.org/officeDocument/2006/relationships/hyperlink" Target="https://en.wikipedia.org/wiki/PlayStation_4" TargetMode="External"/><Relationship Id="rId2486" Type="http://schemas.openxmlformats.org/officeDocument/2006/relationships/hyperlink" Target="https://en.wikipedia.org/wiki/Respawn_Entertainment" TargetMode="External"/><Relationship Id="rId220" Type="http://schemas.openxmlformats.org/officeDocument/2006/relationships/hyperlink" Target="https://en.wikipedia.org/wiki/Criterion_Games" TargetMode="External"/><Relationship Id="rId458" Type="http://schemas.openxmlformats.org/officeDocument/2006/relationships/hyperlink" Target="https://en.wikipedia.org/wiki/Xbox_One" TargetMode="External"/><Relationship Id="rId665" Type="http://schemas.openxmlformats.org/officeDocument/2006/relationships/hyperlink" Target="https://en.wikipedia.org/wiki/PlayStation_3" TargetMode="External"/><Relationship Id="rId872" Type="http://schemas.openxmlformats.org/officeDocument/2006/relationships/hyperlink" Target="https://en.wikipedia.org/wiki/Madden_NFL_12" TargetMode="External"/><Relationship Id="rId1088" Type="http://schemas.openxmlformats.org/officeDocument/2006/relationships/hyperlink" Target="https://en.wikipedia.org/wiki/EA_DICE" TargetMode="External"/><Relationship Id="rId1295" Type="http://schemas.openxmlformats.org/officeDocument/2006/relationships/hyperlink" Target="https://en.wikipedia.org/wiki/Xbox_360" TargetMode="External"/><Relationship Id="rId2139" Type="http://schemas.openxmlformats.org/officeDocument/2006/relationships/hyperlink" Target="https://en.wikipedia.org/wiki/EA_Tiburon" TargetMode="External"/><Relationship Id="rId2346" Type="http://schemas.openxmlformats.org/officeDocument/2006/relationships/hyperlink" Target="https://en.wikipedia.org/wiki/Microsoft_Windows" TargetMode="External"/><Relationship Id="rId2553" Type="http://schemas.openxmlformats.org/officeDocument/2006/relationships/hyperlink" Target="https://en.wikipedia.org/wiki/Xbox_One" TargetMode="External"/><Relationship Id="rId318" Type="http://schemas.openxmlformats.org/officeDocument/2006/relationships/hyperlink" Target="https://en.wikipedia.org/wiki/Dead_Space_3" TargetMode="External"/><Relationship Id="rId525" Type="http://schemas.openxmlformats.org/officeDocument/2006/relationships/hyperlink" Target="https://en.wikipedia.org/wiki/EA_Canada" TargetMode="External"/><Relationship Id="rId732" Type="http://schemas.openxmlformats.org/officeDocument/2006/relationships/hyperlink" Target="https://en.wikipedia.org/wiki/Microsoft_Windows" TargetMode="External"/><Relationship Id="rId1155" Type="http://schemas.openxmlformats.org/officeDocument/2006/relationships/hyperlink" Target="https://en.wikipedia.org/wiki/Xbox_One" TargetMode="External"/><Relationship Id="rId1362" Type="http://schemas.openxmlformats.org/officeDocument/2006/relationships/hyperlink" Target="https://en.wikipedia.org/wiki/NHL_13" TargetMode="External"/><Relationship Id="rId2206" Type="http://schemas.openxmlformats.org/officeDocument/2006/relationships/hyperlink" Target="https://en.wikipedia.org/wiki/Xbox_360" TargetMode="External"/><Relationship Id="rId2413" Type="http://schemas.openxmlformats.org/officeDocument/2006/relationships/hyperlink" Target="https://en.wikipedia.org/wiki/Quest_2" TargetMode="External"/><Relationship Id="rId99" Type="http://schemas.openxmlformats.org/officeDocument/2006/relationships/hyperlink" Target="https://en.wikipedia.org/wiki/Xbox_360" TargetMode="External"/><Relationship Id="rId1015" Type="http://schemas.openxmlformats.org/officeDocument/2006/relationships/hyperlink" Target="https://en.wikipedia.org/wiki/Mass_Effect_2" TargetMode="External"/><Relationship Id="rId1222" Type="http://schemas.openxmlformats.org/officeDocument/2006/relationships/hyperlink" Target="https://en.wikipedia.org/wiki/Need_for_Speed_(2015_video_game)" TargetMode="External"/><Relationship Id="rId1667" Type="http://schemas.openxmlformats.org/officeDocument/2006/relationships/hyperlink" Target="https://en.wikipedia.org/wiki/PlayStation_3" TargetMode="External"/><Relationship Id="rId1874" Type="http://schemas.openxmlformats.org/officeDocument/2006/relationships/hyperlink" Target="https://en.wikipedia.org/wiki/The_Sims_3:_Supernatural" TargetMode="External"/><Relationship Id="rId1527" Type="http://schemas.openxmlformats.org/officeDocument/2006/relationships/hyperlink" Target="https://en.wikipedia.org/wiki/Real_Racing_2" TargetMode="External"/><Relationship Id="rId1734" Type="http://schemas.openxmlformats.org/officeDocument/2006/relationships/hyperlink" Target="https://en.wikipedia.org/wiki/Respawn_Entertainment" TargetMode="External"/><Relationship Id="rId1941" Type="http://schemas.openxmlformats.org/officeDocument/2006/relationships/hyperlink" Target="https://en.wikipedia.org/wiki/Xbox_One" TargetMode="External"/><Relationship Id="rId26" Type="http://schemas.openxmlformats.org/officeDocument/2006/relationships/hyperlink" Target="https://en.wikipedia.org/wiki/Microsoft_Windows" TargetMode="External"/><Relationship Id="rId175" Type="http://schemas.openxmlformats.org/officeDocument/2006/relationships/hyperlink" Target="https://en.wikipedia.org/wiki/Visceral_Games" TargetMode="External"/><Relationship Id="rId1801" Type="http://schemas.openxmlformats.org/officeDocument/2006/relationships/hyperlink" Target="https://en.wikipedia.org/wiki/Maxis_Redwood_Shores" TargetMode="External"/><Relationship Id="rId382" Type="http://schemas.openxmlformats.org/officeDocument/2006/relationships/hyperlink" Target="https://en.wikipedia.org/wiki/BioWare" TargetMode="External"/><Relationship Id="rId687" Type="http://schemas.openxmlformats.org/officeDocument/2006/relationships/hyperlink" Target="https://en.wikipedia.org/wiki/EA_Vancouver" TargetMode="External"/><Relationship Id="rId2063" Type="http://schemas.openxmlformats.org/officeDocument/2006/relationships/hyperlink" Target="https://en.wikipedia.org/wiki/The_Sims_4:_Spa_Day" TargetMode="External"/><Relationship Id="rId2270" Type="http://schemas.openxmlformats.org/officeDocument/2006/relationships/hyperlink" Target="https://en.wikipedia.org/wiki/Madden_NFL_21" TargetMode="External"/><Relationship Id="rId2368" Type="http://schemas.openxmlformats.org/officeDocument/2006/relationships/hyperlink" Target="https://en.wikipedia.org/wiki/Microsoft_Windows" TargetMode="External"/><Relationship Id="rId242" Type="http://schemas.openxmlformats.org/officeDocument/2006/relationships/hyperlink" Target="https://en.wikipedia.org/wiki/EA_Los_Angeles" TargetMode="External"/><Relationship Id="rId894" Type="http://schemas.openxmlformats.org/officeDocument/2006/relationships/hyperlink" Target="https://en.wikipedia.org/wiki/Xbox_360" TargetMode="External"/><Relationship Id="rId1177" Type="http://schemas.openxmlformats.org/officeDocument/2006/relationships/hyperlink" Target="https://en.wikipedia.org/wiki/EA_Tiburon" TargetMode="External"/><Relationship Id="rId2130" Type="http://schemas.openxmlformats.org/officeDocument/2006/relationships/hyperlink" Target="https://en.wikipedia.org/wiki/Playfish" TargetMode="External"/><Relationship Id="rId2575" Type="http://schemas.openxmlformats.org/officeDocument/2006/relationships/hyperlink" Target="https://en.wikipedia.org/wiki/Android_(operating_system)" TargetMode="External"/><Relationship Id="rId102" Type="http://schemas.openxmlformats.org/officeDocument/2006/relationships/hyperlink" Target="https://en.wikipedia.org/wiki/Cipher_Prime" TargetMode="External"/><Relationship Id="rId547" Type="http://schemas.openxmlformats.org/officeDocument/2006/relationships/hyperlink" Target="https://en.wikipedia.org/wiki/FIFA_13" TargetMode="External"/><Relationship Id="rId754" Type="http://schemas.openxmlformats.org/officeDocument/2006/relationships/hyperlink" Target="https://en.wikipedia.org/wiki/Microsoft_Windows" TargetMode="External"/><Relationship Id="rId961" Type="http://schemas.openxmlformats.org/officeDocument/2006/relationships/hyperlink" Target="https://en.wikipedia.org/wiki/EA_Tiburon" TargetMode="External"/><Relationship Id="rId1384" Type="http://schemas.openxmlformats.org/officeDocument/2006/relationships/hyperlink" Target="https://en.wikipedia.org/wiki/PlayStation_3" TargetMode="External"/><Relationship Id="rId1591" Type="http://schemas.openxmlformats.org/officeDocument/2006/relationships/hyperlink" Target="https://en.wikipedia.org/wiki/IOS" TargetMode="External"/><Relationship Id="rId1689" Type="http://schemas.openxmlformats.org/officeDocument/2006/relationships/hyperlink" Target="https://en.wikipedia.org/wiki/Firemint" TargetMode="External"/><Relationship Id="rId2228" Type="http://schemas.openxmlformats.org/officeDocument/2006/relationships/hyperlink" Target="https://en.wikipedia.org/wiki/Xbox_One" TargetMode="External"/><Relationship Id="rId2435" Type="http://schemas.openxmlformats.org/officeDocument/2006/relationships/hyperlink" Target="https://en.wikipedia.org/wiki/Madden_NFL_23" TargetMode="External"/><Relationship Id="rId90" Type="http://schemas.openxmlformats.org/officeDocument/2006/relationships/hyperlink" Target="https://en.wikipedia.org/wiki/Army_of_Two:_The_40th_Day" TargetMode="External"/><Relationship Id="rId407" Type="http://schemas.openxmlformats.org/officeDocument/2006/relationships/hyperlink" Target="https://en.wikipedia.org/wiki/EA_Canada" TargetMode="External"/><Relationship Id="rId614" Type="http://schemas.openxmlformats.org/officeDocument/2006/relationships/hyperlink" Target="https://en.wikipedia.org/wiki/IOS" TargetMode="External"/><Relationship Id="rId821" Type="http://schemas.openxmlformats.org/officeDocument/2006/relationships/hyperlink" Target="https://en.wikipedia.org/wiki/Hasbro_Family_Game_Night_3" TargetMode="External"/><Relationship Id="rId1037" Type="http://schemas.openxmlformats.org/officeDocument/2006/relationships/hyperlink" Target="https://en.wikipedia.org/wiki/Mass_Effect_Infiltrator" TargetMode="External"/><Relationship Id="rId1244" Type="http://schemas.openxmlformats.org/officeDocument/2006/relationships/hyperlink" Target="https://en.wikipedia.org/wiki/Xbox_360" TargetMode="External"/><Relationship Id="rId1451" Type="http://schemas.openxmlformats.org/officeDocument/2006/relationships/hyperlink" Target="https://en.wikipedia.org/wiki/Plants_vs._Zombies" TargetMode="External"/><Relationship Id="rId1896" Type="http://schemas.openxmlformats.org/officeDocument/2006/relationships/hyperlink" Target="https://en.wikipedia.org/wiki/Macintosh" TargetMode="External"/><Relationship Id="rId2502" Type="http://schemas.openxmlformats.org/officeDocument/2006/relationships/hyperlink" Target="https://en.wikipedia.org/wiki/PlayStation_5" TargetMode="External"/><Relationship Id="rId919" Type="http://schemas.openxmlformats.org/officeDocument/2006/relationships/hyperlink" Target="https://en.wikipedia.org/wiki/EA_Tiburon" TargetMode="External"/><Relationship Id="rId1104" Type="http://schemas.openxmlformats.org/officeDocument/2006/relationships/hyperlink" Target="https://en.wikipedia.org/wiki/Wii" TargetMode="External"/><Relationship Id="rId1311" Type="http://schemas.openxmlformats.org/officeDocument/2006/relationships/hyperlink" Target="https://en.wikipedia.org/wiki/Firebrand_Games" TargetMode="External"/><Relationship Id="rId1549" Type="http://schemas.openxmlformats.org/officeDocument/2006/relationships/hyperlink" Target="https://en.wikipedia.org/wiki/Risk_(game)" TargetMode="External"/><Relationship Id="rId1756" Type="http://schemas.openxmlformats.org/officeDocument/2006/relationships/hyperlink" Target="https://en.wikipedia.org/wiki/Syndicate_(2012_video_game)" TargetMode="External"/><Relationship Id="rId1963" Type="http://schemas.openxmlformats.org/officeDocument/2006/relationships/hyperlink" Target="https://en.wikipedia.org/wiki/Maxis_Redwood_Shores" TargetMode="External"/><Relationship Id="rId48" Type="http://schemas.openxmlformats.org/officeDocument/2006/relationships/hyperlink" Target="https://en.wikipedia.org/wiki/Rogue_Entertainment" TargetMode="External"/><Relationship Id="rId1409" Type="http://schemas.openxmlformats.org/officeDocument/2006/relationships/hyperlink" Target="https://en.wikipedia.org/wiki/EA_Vancouver" TargetMode="External"/><Relationship Id="rId1616" Type="http://schemas.openxmlformats.org/officeDocument/2006/relationships/hyperlink" Target="https://en.wikipedia.org/wiki/Klei_Entertainment" TargetMode="External"/><Relationship Id="rId1823" Type="http://schemas.openxmlformats.org/officeDocument/2006/relationships/hyperlink" Target="https://en.wikipedia.org/wiki/The_Sims_3:_Generations" TargetMode="External"/><Relationship Id="rId197" Type="http://schemas.openxmlformats.org/officeDocument/2006/relationships/hyperlink" Target="https://en.wikipedia.org/wiki/Bejeweled_Blitz" TargetMode="External"/><Relationship Id="rId2085" Type="http://schemas.openxmlformats.org/officeDocument/2006/relationships/hyperlink" Target="https://en.wikipedia.org/wiki/Xbox_One" TargetMode="External"/><Relationship Id="rId2292" Type="http://schemas.openxmlformats.org/officeDocument/2006/relationships/hyperlink" Target="https://en.wikipedia.org/wiki/Star_Wars:_Squadrons" TargetMode="External"/><Relationship Id="rId264" Type="http://schemas.openxmlformats.org/officeDocument/2006/relationships/hyperlink" Target="https://en.wikipedia.org/wiki/EA_Bright_Light" TargetMode="External"/><Relationship Id="rId471" Type="http://schemas.openxmlformats.org/officeDocument/2006/relationships/hyperlink" Target="https://en.wikipedia.org/wiki/HB_Studios" TargetMode="External"/><Relationship Id="rId2152" Type="http://schemas.openxmlformats.org/officeDocument/2006/relationships/hyperlink" Target="https://en.wikipedia.org/wiki/Tiger_Woods_PGA_Tour_12" TargetMode="External"/><Relationship Id="rId2597" Type="http://schemas.openxmlformats.org/officeDocument/2006/relationships/comments" Target="../comments4.xml"/><Relationship Id="rId124" Type="http://schemas.openxmlformats.org/officeDocument/2006/relationships/hyperlink" Target="https://en.wikipedia.org/wiki/Xbox_One" TargetMode="External"/><Relationship Id="rId569" Type="http://schemas.openxmlformats.org/officeDocument/2006/relationships/hyperlink" Target="https://en.wikipedia.org/wiki/Android_(operating_system)" TargetMode="External"/><Relationship Id="rId776" Type="http://schemas.openxmlformats.org/officeDocument/2006/relationships/hyperlink" Target="https://en.wikipedia.org/wiki/Grand_Slam_Tennis_2" TargetMode="External"/><Relationship Id="rId983" Type="http://schemas.openxmlformats.org/officeDocument/2006/relationships/hyperlink" Target="https://en.wikipedia.org/wiki/Madden_NFL_25" TargetMode="External"/><Relationship Id="rId1199" Type="http://schemas.openxmlformats.org/officeDocument/2006/relationships/hyperlink" Target="https://en.wikipedia.org/wiki/PlayStation_3" TargetMode="External"/><Relationship Id="rId2457" Type="http://schemas.openxmlformats.org/officeDocument/2006/relationships/hyperlink" Target="https://en.wikipedia.org/wiki/Need_for_Speed_Unbound" TargetMode="External"/><Relationship Id="rId331" Type="http://schemas.openxmlformats.org/officeDocument/2006/relationships/hyperlink" Target="https://en.wikipedia.org/wiki/Dead_Space:_Extraction" TargetMode="External"/><Relationship Id="rId429" Type="http://schemas.openxmlformats.org/officeDocument/2006/relationships/hyperlink" Target="https://en.wikipedia.org/wiki/EA_Sports_UFC" TargetMode="External"/><Relationship Id="rId636" Type="http://schemas.openxmlformats.org/officeDocument/2006/relationships/hyperlink" Target="https://en.wikipedia.org/wiki/EA_Canada" TargetMode="External"/><Relationship Id="rId1059" Type="http://schemas.openxmlformats.org/officeDocument/2006/relationships/hyperlink" Target="https://en.wikipedia.org/wiki/Medal_of_Honor:_Frontline" TargetMode="External"/><Relationship Id="rId1266" Type="http://schemas.openxmlformats.org/officeDocument/2006/relationships/hyperlink" Target="https://en.wikipedia.org/wiki/Criterion_Games" TargetMode="External"/><Relationship Id="rId1473" Type="http://schemas.openxmlformats.org/officeDocument/2006/relationships/hyperlink" Target="https://en.wikipedia.org/wiki/PlayStation_4" TargetMode="External"/><Relationship Id="rId2012" Type="http://schemas.openxmlformats.org/officeDocument/2006/relationships/hyperlink" Target="https://en.wikipedia.org/wiki/The_Sims_4:_Jungle_Adventure" TargetMode="External"/><Relationship Id="rId2317" Type="http://schemas.openxmlformats.org/officeDocument/2006/relationships/hyperlink" Target="https://en.wikipedia.org/wiki/Xbox_One" TargetMode="External"/><Relationship Id="rId843" Type="http://schemas.openxmlformats.org/officeDocument/2006/relationships/hyperlink" Target="https://en.wikipedia.org/wiki/IOS" TargetMode="External"/><Relationship Id="rId1126" Type="http://schemas.openxmlformats.org/officeDocument/2006/relationships/hyperlink" Target="https://en.wikipedia.org/wiki/EA_Canada" TargetMode="External"/><Relationship Id="rId1680" Type="http://schemas.openxmlformats.org/officeDocument/2006/relationships/hyperlink" Target="https://en.wikipedia.org/wiki/EA_Bright_Light" TargetMode="External"/><Relationship Id="rId1778" Type="http://schemas.openxmlformats.org/officeDocument/2006/relationships/hyperlink" Target="https://en.wikipedia.org/wiki/EA_Mobile" TargetMode="External"/><Relationship Id="rId1985" Type="http://schemas.openxmlformats.org/officeDocument/2006/relationships/hyperlink" Target="https://en.wikipedia.org/wiki/The_Sims_4:_Get_Together" TargetMode="External"/><Relationship Id="rId2524" Type="http://schemas.openxmlformats.org/officeDocument/2006/relationships/hyperlink" Target="https://en.wikipedia.org/wiki/Microsoft_Windows" TargetMode="External"/><Relationship Id="rId703" Type="http://schemas.openxmlformats.org/officeDocument/2006/relationships/hyperlink" Target="https://en.wikipedia.org/wiki/FIFA_19" TargetMode="External"/><Relationship Id="rId910" Type="http://schemas.openxmlformats.org/officeDocument/2006/relationships/hyperlink" Target="https://en.wikipedia.org/wiki/EA_Tiburon" TargetMode="External"/><Relationship Id="rId1333" Type="http://schemas.openxmlformats.org/officeDocument/2006/relationships/hyperlink" Target="https://en.wikipedia.org/wiki/PlayStation_Network" TargetMode="External"/><Relationship Id="rId1540" Type="http://schemas.openxmlformats.org/officeDocument/2006/relationships/hyperlink" Target="https://en.wikipedia.org/wiki/IOS" TargetMode="External"/><Relationship Id="rId1638" Type="http://schemas.openxmlformats.org/officeDocument/2006/relationships/hyperlink" Target="https://en.wikipedia.org/wiki/Shift_2:_Unleashed" TargetMode="External"/><Relationship Id="rId1400" Type="http://schemas.openxmlformats.org/officeDocument/2006/relationships/hyperlink" Target="https://en.wikipedia.org/wiki/EA_Canada" TargetMode="External"/><Relationship Id="rId1845" Type="http://schemas.openxmlformats.org/officeDocument/2006/relationships/hyperlink" Target="https://en.wikipedia.org/wiki/Nintendo_3DS" TargetMode="External"/><Relationship Id="rId1705" Type="http://schemas.openxmlformats.org/officeDocument/2006/relationships/hyperlink" Target="https://en.wikipedia.org/wiki/Star_Wars_Battlefront_(2015_video_game)" TargetMode="External"/><Relationship Id="rId1912" Type="http://schemas.openxmlformats.org/officeDocument/2006/relationships/hyperlink" Target="https://en.wikipedia.org/wiki/Maxis_Redwood_Shores" TargetMode="External"/><Relationship Id="rId286" Type="http://schemas.openxmlformats.org/officeDocument/2006/relationships/hyperlink" Target="https://en.wikipedia.org/wiki/Crysis_3" TargetMode="External"/><Relationship Id="rId493" Type="http://schemas.openxmlformats.org/officeDocument/2006/relationships/hyperlink" Target="https://en.wikipedia.org/wiki/FIFA_11" TargetMode="External"/><Relationship Id="rId2174" Type="http://schemas.openxmlformats.org/officeDocument/2006/relationships/hyperlink" Target="https://en.wikipedia.org/wiki/Xbox_360" TargetMode="External"/><Relationship Id="rId2381" Type="http://schemas.openxmlformats.org/officeDocument/2006/relationships/hyperlink" Target="https://en.wikipedia.org/wiki/PlayStation_4" TargetMode="External"/><Relationship Id="rId146" Type="http://schemas.openxmlformats.org/officeDocument/2006/relationships/hyperlink" Target="https://en.wikipedia.org/wiki/EA_DICE" TargetMode="External"/><Relationship Id="rId353" Type="http://schemas.openxmlformats.org/officeDocument/2006/relationships/hyperlink" Target="https://en.wikipedia.org/wiki/Hothead_Games" TargetMode="External"/><Relationship Id="rId560" Type="http://schemas.openxmlformats.org/officeDocument/2006/relationships/hyperlink" Target="https://en.wikipedia.org/wiki/Xbox_360" TargetMode="External"/><Relationship Id="rId798" Type="http://schemas.openxmlformats.org/officeDocument/2006/relationships/hyperlink" Target="https://en.wikipedia.org/wiki/Microsoft_Windows" TargetMode="External"/><Relationship Id="rId1190" Type="http://schemas.openxmlformats.org/officeDocument/2006/relationships/hyperlink" Target="https://en.wikipedia.org/wiki/PlayStation_2" TargetMode="External"/><Relationship Id="rId2034" Type="http://schemas.openxmlformats.org/officeDocument/2006/relationships/hyperlink" Target="https://en.wikipedia.org/wiki/PlayStation_4" TargetMode="External"/><Relationship Id="rId2241" Type="http://schemas.openxmlformats.org/officeDocument/2006/relationships/hyperlink" Target="https://en.wikipedia.org/wiki/Warp_(2012_video_game)" TargetMode="External"/><Relationship Id="rId2479" Type="http://schemas.openxmlformats.org/officeDocument/2006/relationships/hyperlink" Target="https://en.wikipedia.org/wiki/EA_Sports_PGA_Tour" TargetMode="External"/><Relationship Id="rId213" Type="http://schemas.openxmlformats.org/officeDocument/2006/relationships/hyperlink" Target="https://en.wikipedia.org/wiki/Bulletstorm" TargetMode="External"/><Relationship Id="rId420" Type="http://schemas.openxmlformats.org/officeDocument/2006/relationships/hyperlink" Target="https://en.wikipedia.org/wiki/EA_Sports_MMA" TargetMode="External"/><Relationship Id="rId658" Type="http://schemas.openxmlformats.org/officeDocument/2006/relationships/hyperlink" Target="https://en.wikipedia.org/wiki/FIFA_16" TargetMode="External"/><Relationship Id="rId865" Type="http://schemas.openxmlformats.org/officeDocument/2006/relationships/hyperlink" Target="https://en.wikipedia.org/wiki/PlayStation_3" TargetMode="External"/><Relationship Id="rId1050" Type="http://schemas.openxmlformats.org/officeDocument/2006/relationships/hyperlink" Target="https://en.wikipedia.org/wiki/Medal_of_Honor_(2010_video_game)" TargetMode="External"/><Relationship Id="rId1288" Type="http://schemas.openxmlformats.org/officeDocument/2006/relationships/hyperlink" Target="https://en.wikipedia.org/wiki/Need_for_Speed:_Most_Wanted_(2012_video_game)" TargetMode="External"/><Relationship Id="rId1495" Type="http://schemas.openxmlformats.org/officeDocument/2006/relationships/hyperlink" Target="https://en.wikipedia.org/wiki/PopCap_Games" TargetMode="External"/><Relationship Id="rId2101" Type="http://schemas.openxmlformats.org/officeDocument/2006/relationships/hyperlink" Target="https://en.wikipedia.org/wiki/The_Sims_FreePlay" TargetMode="External"/><Relationship Id="rId2339" Type="http://schemas.openxmlformats.org/officeDocument/2006/relationships/hyperlink" Target="https://en.wikipedia.org/wiki/Microsoft_Windows" TargetMode="External"/><Relationship Id="rId2546" Type="http://schemas.openxmlformats.org/officeDocument/2006/relationships/hyperlink" Target="https://en.wikipedia.org/wiki/Xbox_Series_X_and_Series_S" TargetMode="External"/><Relationship Id="rId518" Type="http://schemas.openxmlformats.org/officeDocument/2006/relationships/hyperlink" Target="https://en.wikipedia.org/wiki/PlayStation_Vita" TargetMode="External"/><Relationship Id="rId725" Type="http://schemas.openxmlformats.org/officeDocument/2006/relationships/hyperlink" Target="https://en.wikipedia.org/wiki/Xbox_One" TargetMode="External"/><Relationship Id="rId932" Type="http://schemas.openxmlformats.org/officeDocument/2006/relationships/hyperlink" Target="https://en.wikipedia.org/wiki/Madden_NFL_16" TargetMode="External"/><Relationship Id="rId1148" Type="http://schemas.openxmlformats.org/officeDocument/2006/relationships/hyperlink" Target="https://en.wikipedia.org/wiki/NBA_Jam:_On_Fire_Edition" TargetMode="External"/><Relationship Id="rId1355" Type="http://schemas.openxmlformats.org/officeDocument/2006/relationships/hyperlink" Target="https://en.wikipedia.org/wiki/EA_Canada" TargetMode="External"/><Relationship Id="rId1562" Type="http://schemas.openxmlformats.org/officeDocument/2006/relationships/hyperlink" Target="https://en.wikipedia.org/wiki/Harmonix" TargetMode="External"/><Relationship Id="rId2406" Type="http://schemas.openxmlformats.org/officeDocument/2006/relationships/hyperlink" Target="https://en.wikipedia.org/wiki/Grid_Legends" TargetMode="External"/><Relationship Id="rId1008" Type="http://schemas.openxmlformats.org/officeDocument/2006/relationships/hyperlink" Target="https://en.wikipedia.org/wiki/IOS" TargetMode="External"/><Relationship Id="rId1215" Type="http://schemas.openxmlformats.org/officeDocument/2006/relationships/hyperlink" Target="https://en.wikipedia.org/wiki/EA_Tiburon" TargetMode="External"/><Relationship Id="rId1422" Type="http://schemas.openxmlformats.org/officeDocument/2006/relationships/hyperlink" Target="https://en.wikipedia.org/wiki/Facebook" TargetMode="External"/><Relationship Id="rId1867" Type="http://schemas.openxmlformats.org/officeDocument/2006/relationships/hyperlink" Target="https://en.wikipedia.org/wiki/EA_Salt_Lake" TargetMode="External"/><Relationship Id="rId61" Type="http://schemas.openxmlformats.org/officeDocument/2006/relationships/hyperlink" Target="https://en.wikipedia.org/wiki/APB:_All_Points_Bulletin" TargetMode="External"/><Relationship Id="rId1727" Type="http://schemas.openxmlformats.org/officeDocument/2006/relationships/hyperlink" Target="https://en.wikipedia.org/wiki/Google_Stadia" TargetMode="External"/><Relationship Id="rId1934" Type="http://schemas.openxmlformats.org/officeDocument/2006/relationships/hyperlink" Target="https://en.wikipedia.org/wiki/The_Sims_4:_Dine_Out" TargetMode="External"/><Relationship Id="rId19" Type="http://schemas.openxmlformats.org/officeDocument/2006/relationships/hyperlink" Target="https://en.wikipedia.org/wiki/2014_FIFA_World_Cup_Brazil_(video_game)" TargetMode="External"/><Relationship Id="rId2196" Type="http://schemas.openxmlformats.org/officeDocument/2006/relationships/hyperlink" Target="https://en.wikipedia.org/wiki/Respawn_Entertainment" TargetMode="External"/><Relationship Id="rId168" Type="http://schemas.openxmlformats.org/officeDocument/2006/relationships/hyperlink" Target="https://en.wikipedia.org/wiki/PlayStation_4" TargetMode="External"/><Relationship Id="rId375" Type="http://schemas.openxmlformats.org/officeDocument/2006/relationships/hyperlink" Target="https://en.wikipedia.org/wiki/PlayStation_4" TargetMode="External"/><Relationship Id="rId582" Type="http://schemas.openxmlformats.org/officeDocument/2006/relationships/hyperlink" Target="https://en.wikipedia.org/wiki/EA_Canada" TargetMode="External"/><Relationship Id="rId2056" Type="http://schemas.openxmlformats.org/officeDocument/2006/relationships/hyperlink" Target="https://en.wikipedia.org/wiki/Maxis_Redwood_Shores" TargetMode="External"/><Relationship Id="rId2263" Type="http://schemas.openxmlformats.org/officeDocument/2006/relationships/hyperlink" Target="https://en.wikipedia.org/wiki/PlayStation_4" TargetMode="External"/><Relationship Id="rId2470" Type="http://schemas.openxmlformats.org/officeDocument/2006/relationships/hyperlink" Target="https://en.wikipedia.org/wiki/Xbox_Series_X_and_Series_S" TargetMode="External"/><Relationship Id="rId3" Type="http://schemas.openxmlformats.org/officeDocument/2006/relationships/hyperlink" Target="https://en.wikipedia.org/wiki/EA_Canada" TargetMode="External"/><Relationship Id="rId235" Type="http://schemas.openxmlformats.org/officeDocument/2006/relationships/hyperlink" Target="https://en.wikipedia.org/wiki/Criterion_Games" TargetMode="External"/><Relationship Id="rId442" Type="http://schemas.openxmlformats.org/officeDocument/2006/relationships/hyperlink" Target="https://en.wikipedia.org/wiki/EA_Sports_UFC_3" TargetMode="External"/><Relationship Id="rId887" Type="http://schemas.openxmlformats.org/officeDocument/2006/relationships/hyperlink" Target="https://en.wikipedia.org/wiki/Madden_NFL_12" TargetMode="External"/><Relationship Id="rId1072" Type="http://schemas.openxmlformats.org/officeDocument/2006/relationships/hyperlink" Target="https://en.wikipedia.org/wiki/IOS" TargetMode="External"/><Relationship Id="rId2123" Type="http://schemas.openxmlformats.org/officeDocument/2006/relationships/hyperlink" Target="https://en.wikipedia.org/wiki/Maxis_Redwood_Shores" TargetMode="External"/><Relationship Id="rId2330" Type="http://schemas.openxmlformats.org/officeDocument/2006/relationships/hyperlink" Target="https://en.wikipedia.org/wiki/Mass_Effect_Legendary_Edition" TargetMode="External"/><Relationship Id="rId2568" Type="http://schemas.openxmlformats.org/officeDocument/2006/relationships/hyperlink" Target="https://en.wikipedia.org/wiki/Microsoft_Windows" TargetMode="External"/><Relationship Id="rId302" Type="http://schemas.openxmlformats.org/officeDocument/2006/relationships/hyperlink" Target="https://en.wikipedia.org/wiki/IOS" TargetMode="External"/><Relationship Id="rId747" Type="http://schemas.openxmlformats.org/officeDocument/2006/relationships/hyperlink" Target="https://en.wikipedia.org/wiki/FIFA_Street_(2012_video_game)" TargetMode="External"/><Relationship Id="rId954" Type="http://schemas.openxmlformats.org/officeDocument/2006/relationships/hyperlink" Target="https://en.wikipedia.org/wiki/Xbox_One" TargetMode="External"/><Relationship Id="rId1377" Type="http://schemas.openxmlformats.org/officeDocument/2006/relationships/hyperlink" Target="https://en.wikipedia.org/wiki/NHL_15" TargetMode="External"/><Relationship Id="rId1584" Type="http://schemas.openxmlformats.org/officeDocument/2006/relationships/hyperlink" Target="https://en.wikipedia.org/wiki/Microsoft_Windows" TargetMode="External"/><Relationship Id="rId1791" Type="http://schemas.openxmlformats.org/officeDocument/2006/relationships/hyperlink" Target="https://en.wikipedia.org/wiki/The_Sims_3" TargetMode="External"/><Relationship Id="rId2428" Type="http://schemas.openxmlformats.org/officeDocument/2006/relationships/hyperlink" Target="https://en.wikipedia.org/wiki/The_Sims_4:_High_School_Years" TargetMode="External"/><Relationship Id="rId83" Type="http://schemas.openxmlformats.org/officeDocument/2006/relationships/hyperlink" Target="https://en.wikipedia.org/wiki/Respawn_Entertainment" TargetMode="External"/><Relationship Id="rId607" Type="http://schemas.openxmlformats.org/officeDocument/2006/relationships/hyperlink" Target="https://en.wikipedia.org/wiki/FIFA_14" TargetMode="External"/><Relationship Id="rId814" Type="http://schemas.openxmlformats.org/officeDocument/2006/relationships/hyperlink" Target="https://en.wikipedia.org/wiki/EA_Bright_Light" TargetMode="External"/><Relationship Id="rId1237" Type="http://schemas.openxmlformats.org/officeDocument/2006/relationships/hyperlink" Target="https://en.wikipedia.org/wiki/Need_for_Speed_Rivals" TargetMode="External"/><Relationship Id="rId1444" Type="http://schemas.openxmlformats.org/officeDocument/2006/relationships/hyperlink" Target="https://en.wikipedia.org/wiki/Pet_Society" TargetMode="External"/><Relationship Id="rId1651" Type="http://schemas.openxmlformats.org/officeDocument/2006/relationships/hyperlink" Target="https://en.wikipedia.org/wiki/Android_(operating_system)" TargetMode="External"/><Relationship Id="rId1889" Type="http://schemas.openxmlformats.org/officeDocument/2006/relationships/hyperlink" Target="https://en.wikipedia.org/wiki/The_Sims_4" TargetMode="External"/><Relationship Id="rId1304" Type="http://schemas.openxmlformats.org/officeDocument/2006/relationships/hyperlink" Target="https://en.wikipedia.org/wiki/Android_(operating_system)" TargetMode="External"/><Relationship Id="rId1511" Type="http://schemas.openxmlformats.org/officeDocument/2006/relationships/hyperlink" Target="https://en.wikipedia.org/wiki/IOS" TargetMode="External"/><Relationship Id="rId1749" Type="http://schemas.openxmlformats.org/officeDocument/2006/relationships/hyperlink" Target="https://en.wikipedia.org/wiki/EA_Mobile" TargetMode="External"/><Relationship Id="rId1956" Type="http://schemas.openxmlformats.org/officeDocument/2006/relationships/hyperlink" Target="https://en.wikipedia.org/wiki/Macintosh" TargetMode="External"/><Relationship Id="rId1609" Type="http://schemas.openxmlformats.org/officeDocument/2006/relationships/hyperlink" Target="https://en.wikipedia.org/wiki/Macintosh" TargetMode="External"/><Relationship Id="rId1816" Type="http://schemas.openxmlformats.org/officeDocument/2006/relationships/hyperlink" Target="https://en.wikipedia.org/wiki/Maxis_Redwood_Shores" TargetMode="External"/><Relationship Id="rId10" Type="http://schemas.openxmlformats.org/officeDocument/2006/relationships/hyperlink" Target="https://en.wikipedia.org/wiki/2010_FIFA_World_Cup_South_Africa_(video_game)" TargetMode="External"/><Relationship Id="rId397" Type="http://schemas.openxmlformats.org/officeDocument/2006/relationships/hyperlink" Target="https://en.wikipedia.org/wiki/BioWare" TargetMode="External"/><Relationship Id="rId2078" Type="http://schemas.openxmlformats.org/officeDocument/2006/relationships/hyperlink" Target="https://en.wikipedia.org/wiki/The_Sims_4:_StrangerVille" TargetMode="External"/><Relationship Id="rId2285" Type="http://schemas.openxmlformats.org/officeDocument/2006/relationships/hyperlink" Target="https://en.wikipedia.org/wiki/PlayStation_5" TargetMode="External"/><Relationship Id="rId2492" Type="http://schemas.openxmlformats.org/officeDocument/2006/relationships/hyperlink" Target="https://en.wikipedia.org/wiki/Super_Mega_Baseball_4" TargetMode="External"/><Relationship Id="rId257" Type="http://schemas.openxmlformats.org/officeDocument/2006/relationships/hyperlink" Target="https://en.wikipedia.org/wiki/Wii" TargetMode="External"/><Relationship Id="rId464" Type="http://schemas.openxmlformats.org/officeDocument/2006/relationships/hyperlink" Target="https://en.wikipedia.org/wiki/Blackberry_World" TargetMode="External"/><Relationship Id="rId1094" Type="http://schemas.openxmlformats.org/officeDocument/2006/relationships/hyperlink" Target="https://en.wikipedia.org/wiki/EA_DICE" TargetMode="External"/><Relationship Id="rId2145" Type="http://schemas.openxmlformats.org/officeDocument/2006/relationships/hyperlink" Target="https://en.wikipedia.org/wiki/EA_Tiburon" TargetMode="External"/><Relationship Id="rId117" Type="http://schemas.openxmlformats.org/officeDocument/2006/relationships/hyperlink" Target="https://en.wikipedia.org/wiki/Battlefield_1" TargetMode="External"/><Relationship Id="rId671" Type="http://schemas.openxmlformats.org/officeDocument/2006/relationships/hyperlink" Target="https://en.wikipedia.org/wiki/Microsoft_Windows" TargetMode="External"/><Relationship Id="rId769" Type="http://schemas.openxmlformats.org/officeDocument/2006/relationships/hyperlink" Target="https://en.wikipedia.org/wiki/Firemint" TargetMode="External"/><Relationship Id="rId976" Type="http://schemas.openxmlformats.org/officeDocument/2006/relationships/hyperlink" Target="https://en.wikipedia.org/wiki/EA_Tiburon" TargetMode="External"/><Relationship Id="rId1399" Type="http://schemas.openxmlformats.org/officeDocument/2006/relationships/hyperlink" Target="https://en.wikipedia.org/wiki/Xbox_One" TargetMode="External"/><Relationship Id="rId2352" Type="http://schemas.openxmlformats.org/officeDocument/2006/relationships/hyperlink" Target="https://en.wikipedia.org/wiki/Xbox_One" TargetMode="External"/><Relationship Id="rId324" Type="http://schemas.openxmlformats.org/officeDocument/2006/relationships/hyperlink" Target="https://en.wikipedia.org/wiki/Dead_Space_3" TargetMode="External"/><Relationship Id="rId531" Type="http://schemas.openxmlformats.org/officeDocument/2006/relationships/hyperlink" Target="https://en.wikipedia.org/wiki/EA_Canada" TargetMode="External"/><Relationship Id="rId629" Type="http://schemas.openxmlformats.org/officeDocument/2006/relationships/hyperlink" Target="https://en.wikipedia.org/wiki/Wii" TargetMode="External"/><Relationship Id="rId1161" Type="http://schemas.openxmlformats.org/officeDocument/2006/relationships/hyperlink" Target="https://en.wikipedia.org/wiki/Xbox_One" TargetMode="External"/><Relationship Id="rId1259" Type="http://schemas.openxmlformats.org/officeDocument/2006/relationships/hyperlink" Target="https://en.wikipedia.org/wiki/PlayStation_3" TargetMode="External"/><Relationship Id="rId1466" Type="http://schemas.openxmlformats.org/officeDocument/2006/relationships/hyperlink" Target="https://en.wikipedia.org/wiki/Plants_vs._Zombies_Heroes" TargetMode="External"/><Relationship Id="rId2005" Type="http://schemas.openxmlformats.org/officeDocument/2006/relationships/hyperlink" Target="https://en.wikipedia.org/wiki/Maxis_Redwood_Shores" TargetMode="External"/><Relationship Id="rId2212" Type="http://schemas.openxmlformats.org/officeDocument/2006/relationships/hyperlink" Target="https://en.wikipedia.org/wiki/Ultima_Forever:_Quest_for_the_Avatar" TargetMode="External"/><Relationship Id="rId836" Type="http://schemas.openxmlformats.org/officeDocument/2006/relationships/hyperlink" Target="https://en.wikipedia.org/wiki/IOS" TargetMode="External"/><Relationship Id="rId1021" Type="http://schemas.openxmlformats.org/officeDocument/2006/relationships/hyperlink" Target="https://en.wikipedia.org/wiki/Mass_Effect_3" TargetMode="External"/><Relationship Id="rId1119" Type="http://schemas.openxmlformats.org/officeDocument/2006/relationships/hyperlink" Target="https://en.wikipedia.org/wiki/Xbox_360" TargetMode="External"/><Relationship Id="rId1673" Type="http://schemas.openxmlformats.org/officeDocument/2006/relationships/hyperlink" Target="https://en.wikipedia.org/wiki/IOS" TargetMode="External"/><Relationship Id="rId1880" Type="http://schemas.openxmlformats.org/officeDocument/2006/relationships/hyperlink" Target="https://en.wikipedia.org/wiki/The_Sims_3:_University_Life" TargetMode="External"/><Relationship Id="rId1978" Type="http://schemas.openxmlformats.org/officeDocument/2006/relationships/hyperlink" Target="https://en.wikipedia.org/wiki/Maxis_Redwood_Shores" TargetMode="External"/><Relationship Id="rId2517" Type="http://schemas.openxmlformats.org/officeDocument/2006/relationships/hyperlink" Target="https://en.wikipedia.org/wiki/Xbox_One" TargetMode="External"/><Relationship Id="rId903" Type="http://schemas.openxmlformats.org/officeDocument/2006/relationships/hyperlink" Target="https://en.wikipedia.org/wiki/Wii" TargetMode="External"/><Relationship Id="rId1326" Type="http://schemas.openxmlformats.org/officeDocument/2006/relationships/hyperlink" Target="https://en.wikipedia.org/wiki/EA_Black_Box" TargetMode="External"/><Relationship Id="rId1533" Type="http://schemas.openxmlformats.org/officeDocument/2006/relationships/hyperlink" Target="https://en.wikipedia.org/wiki/Real_Racing_2" TargetMode="External"/><Relationship Id="rId1740" Type="http://schemas.openxmlformats.org/officeDocument/2006/relationships/hyperlink" Target="https://en.wikipedia.org/wiki/EA_Mobile" TargetMode="External"/><Relationship Id="rId32" Type="http://schemas.openxmlformats.org/officeDocument/2006/relationships/hyperlink" Target="https://en.wikipedia.org/wiki/IOS" TargetMode="External"/><Relationship Id="rId1600" Type="http://schemas.openxmlformats.org/officeDocument/2006/relationships/hyperlink" Target="https://en.wikipedia.org/wiki/PlayStation_3" TargetMode="External"/><Relationship Id="rId1838" Type="http://schemas.openxmlformats.org/officeDocument/2006/relationships/hyperlink" Target="https://en.wikipedia.org/wiki/The_Sims_3:_Late_Night" TargetMode="External"/><Relationship Id="rId181" Type="http://schemas.openxmlformats.org/officeDocument/2006/relationships/hyperlink" Target="https://en.wikipedia.org/wiki/EA_DICE" TargetMode="External"/><Relationship Id="rId1905" Type="http://schemas.openxmlformats.org/officeDocument/2006/relationships/hyperlink" Target="https://en.wikipedia.org/wiki/Xbox_One" TargetMode="External"/><Relationship Id="rId279" Type="http://schemas.openxmlformats.org/officeDocument/2006/relationships/hyperlink" Target="https://en.wikipedia.org/wiki/Crytek" TargetMode="External"/><Relationship Id="rId486" Type="http://schemas.openxmlformats.org/officeDocument/2006/relationships/hyperlink" Target="https://en.wikipedia.org/wiki/HB_Studios" TargetMode="External"/><Relationship Id="rId693" Type="http://schemas.openxmlformats.org/officeDocument/2006/relationships/hyperlink" Target="https://en.wikipedia.org/wiki/EA_Vancouver" TargetMode="External"/><Relationship Id="rId2167" Type="http://schemas.openxmlformats.org/officeDocument/2006/relationships/hyperlink" Target="https://en.wikipedia.org/wiki/Tiger_Woods_PGA_Tour_13" TargetMode="External"/><Relationship Id="rId2374" Type="http://schemas.openxmlformats.org/officeDocument/2006/relationships/hyperlink" Target="https://en.wikipedia.org/wiki/PlayStation_5" TargetMode="External"/><Relationship Id="rId2581" Type="http://schemas.openxmlformats.org/officeDocument/2006/relationships/hyperlink" Target="https://en.wikipedia.org/wiki/Respawn_Entertainment" TargetMode="External"/><Relationship Id="rId139" Type="http://schemas.openxmlformats.org/officeDocument/2006/relationships/hyperlink" Target="https://en.wikipedia.org/wiki/Microsoft_Windows" TargetMode="External"/><Relationship Id="rId346" Type="http://schemas.openxmlformats.org/officeDocument/2006/relationships/hyperlink" Target="https://en.wikipedia.org/wiki/PlayStation_3" TargetMode="External"/><Relationship Id="rId553" Type="http://schemas.openxmlformats.org/officeDocument/2006/relationships/hyperlink" Target="https://en.wikipedia.org/wiki/FIFA_13" TargetMode="External"/><Relationship Id="rId760" Type="http://schemas.openxmlformats.org/officeDocument/2006/relationships/hyperlink" Target="https://en.wikipedia.org/wiki/PlayStation_3" TargetMode="External"/><Relationship Id="rId998" Type="http://schemas.openxmlformats.org/officeDocument/2006/relationships/hyperlink" Target="https://en.wikipedia.org/wiki/Madden_NFL_Mobile" TargetMode="External"/><Relationship Id="rId1183" Type="http://schemas.openxmlformats.org/officeDocument/2006/relationships/hyperlink" Target="https://en.wikipedia.org/wiki/EA_Tiburon" TargetMode="External"/><Relationship Id="rId1390" Type="http://schemas.openxmlformats.org/officeDocument/2006/relationships/hyperlink" Target="https://en.wikipedia.org/wiki/Xbox_360" TargetMode="External"/><Relationship Id="rId2027" Type="http://schemas.openxmlformats.org/officeDocument/2006/relationships/hyperlink" Target="https://en.wikipedia.org/wiki/The_Sims_4:_Parenthood" TargetMode="External"/><Relationship Id="rId2234" Type="http://schemas.openxmlformats.org/officeDocument/2006/relationships/hyperlink" Target="https://en.wikipedia.org/wiki/IOS" TargetMode="External"/><Relationship Id="rId2441" Type="http://schemas.openxmlformats.org/officeDocument/2006/relationships/hyperlink" Target="https://en.wikipedia.org/wiki/Xbox_Series_X_and_Series_S" TargetMode="External"/><Relationship Id="rId206" Type="http://schemas.openxmlformats.org/officeDocument/2006/relationships/hyperlink" Target="https://en.wikipedia.org/wiki/Bejeweled_Stars" TargetMode="External"/><Relationship Id="rId413" Type="http://schemas.openxmlformats.org/officeDocument/2006/relationships/hyperlink" Target="https://en.wikipedia.org/wiki/EA_Canada" TargetMode="External"/><Relationship Id="rId858" Type="http://schemas.openxmlformats.org/officeDocument/2006/relationships/hyperlink" Target="https://en.wikipedia.org/wiki/Madden_NFL_11" TargetMode="External"/><Relationship Id="rId1043" Type="http://schemas.openxmlformats.org/officeDocument/2006/relationships/hyperlink" Target="https://en.wikipedia.org/wiki/BioWare" TargetMode="External"/><Relationship Id="rId1488" Type="http://schemas.openxmlformats.org/officeDocument/2006/relationships/hyperlink" Target="https://en.wikipedia.org/wiki/Xbox_One" TargetMode="External"/><Relationship Id="rId1695" Type="http://schemas.openxmlformats.org/officeDocument/2006/relationships/hyperlink" Target="https://en.wikipedia.org/wiki/EA_Canada" TargetMode="External"/><Relationship Id="rId2539" Type="http://schemas.openxmlformats.org/officeDocument/2006/relationships/hyperlink" Target="https://en.wikipedia.org/wiki/EA_Sports_UFC_5" TargetMode="External"/><Relationship Id="rId620" Type="http://schemas.openxmlformats.org/officeDocument/2006/relationships/hyperlink" Target="https://en.wikipedia.org/wiki/PlayStation_3" TargetMode="External"/><Relationship Id="rId718" Type="http://schemas.openxmlformats.org/officeDocument/2006/relationships/hyperlink" Target="https://en.wikipedia.org/wiki/FIFA_20" TargetMode="External"/><Relationship Id="rId925" Type="http://schemas.openxmlformats.org/officeDocument/2006/relationships/hyperlink" Target="https://en.wikipedia.org/wiki/EA_Tiburon" TargetMode="External"/><Relationship Id="rId1250" Type="http://schemas.openxmlformats.org/officeDocument/2006/relationships/hyperlink" Target="https://en.wikipedia.org/wiki/Android_(operating_system)" TargetMode="External"/><Relationship Id="rId1348" Type="http://schemas.openxmlformats.org/officeDocument/2006/relationships/hyperlink" Target="https://en.wikipedia.org/wiki/PlayStation_3" TargetMode="External"/><Relationship Id="rId1555" Type="http://schemas.openxmlformats.org/officeDocument/2006/relationships/hyperlink" Target="https://en.wikipedia.org/wiki/Risk:_Factions" TargetMode="External"/><Relationship Id="rId1762" Type="http://schemas.openxmlformats.org/officeDocument/2006/relationships/hyperlink" Target="https://en.wikipedia.org/wiki/Tetris_(Electronic_Arts)" TargetMode="External"/><Relationship Id="rId2301" Type="http://schemas.openxmlformats.org/officeDocument/2006/relationships/hyperlink" Target="https://en.wikipedia.org/wiki/Xbox_One" TargetMode="External"/><Relationship Id="rId1110" Type="http://schemas.openxmlformats.org/officeDocument/2006/relationships/hyperlink" Target="https://en.wikipedia.org/wiki/Nintendo_DS" TargetMode="External"/><Relationship Id="rId1208" Type="http://schemas.openxmlformats.org/officeDocument/2006/relationships/hyperlink" Target="https://en.wikipedia.org/wiki/Xbox_360" TargetMode="External"/><Relationship Id="rId1415" Type="http://schemas.openxmlformats.org/officeDocument/2006/relationships/hyperlink" Target="https://en.wikipedia.org/wiki/EA_Vancouver" TargetMode="External"/><Relationship Id="rId54" Type="http://schemas.openxmlformats.org/officeDocument/2006/relationships/hyperlink" Target="https://en.wikipedia.org/wiki/BioWare" TargetMode="External"/><Relationship Id="rId1622" Type="http://schemas.openxmlformats.org/officeDocument/2006/relationships/hyperlink" Target="https://en.wikipedia.org/wiki/Klei_Entertainment" TargetMode="External"/><Relationship Id="rId1927" Type="http://schemas.openxmlformats.org/officeDocument/2006/relationships/hyperlink" Target="https://en.wikipedia.org/wiki/Maxis_Redwood_Shores" TargetMode="External"/><Relationship Id="rId2091" Type="http://schemas.openxmlformats.org/officeDocument/2006/relationships/hyperlink" Target="https://en.wikipedia.org/wiki/Microsoft_Windows" TargetMode="External"/><Relationship Id="rId2189" Type="http://schemas.openxmlformats.org/officeDocument/2006/relationships/hyperlink" Target="https://en.wikipedia.org/wiki/PlayStation_4" TargetMode="External"/><Relationship Id="rId270" Type="http://schemas.openxmlformats.org/officeDocument/2006/relationships/hyperlink" Target="https://en.wikipedia.org/wiki/Crytek" TargetMode="External"/><Relationship Id="rId2396" Type="http://schemas.openxmlformats.org/officeDocument/2006/relationships/hyperlink" Target="https://en.wikipedia.org/wiki/PlayStation_5" TargetMode="External"/><Relationship Id="rId130" Type="http://schemas.openxmlformats.org/officeDocument/2006/relationships/hyperlink" Target="https://en.wikipedia.org/wiki/Microsoft_Windows" TargetMode="External"/><Relationship Id="rId368" Type="http://schemas.openxmlformats.org/officeDocument/2006/relationships/hyperlink" Target="https://en.wikipedia.org/wiki/BioWare" TargetMode="External"/><Relationship Id="rId575" Type="http://schemas.openxmlformats.org/officeDocument/2006/relationships/hyperlink" Target="https://en.wikipedia.org/wiki/Java_ME" TargetMode="External"/><Relationship Id="rId782" Type="http://schemas.openxmlformats.org/officeDocument/2006/relationships/hyperlink" Target="https://en.wikipedia.org/wiki/Green_Day:_Rock_Band" TargetMode="External"/><Relationship Id="rId2049" Type="http://schemas.openxmlformats.org/officeDocument/2006/relationships/hyperlink" Target="https://en.wikipedia.org/wiki/Xbox_One" TargetMode="External"/><Relationship Id="rId2256" Type="http://schemas.openxmlformats.org/officeDocument/2006/relationships/hyperlink" Target="https://en.wikipedia.org/wiki/PopCap_Games" TargetMode="External"/><Relationship Id="rId2463" Type="http://schemas.openxmlformats.org/officeDocument/2006/relationships/hyperlink" Target="https://en.wikipedia.org/wiki/PlayStation_5" TargetMode="External"/><Relationship Id="rId228" Type="http://schemas.openxmlformats.org/officeDocument/2006/relationships/hyperlink" Target="https://en.wikipedia.org/wiki/Xbox_One" TargetMode="External"/><Relationship Id="rId435" Type="http://schemas.openxmlformats.org/officeDocument/2006/relationships/hyperlink" Target="https://en.wikipedia.org/wiki/EA_Canada" TargetMode="External"/><Relationship Id="rId642" Type="http://schemas.openxmlformats.org/officeDocument/2006/relationships/hyperlink" Target="https://en.wikipedia.org/wiki/EA_Canada" TargetMode="External"/><Relationship Id="rId1065" Type="http://schemas.openxmlformats.org/officeDocument/2006/relationships/hyperlink" Target="https://en.wikipedia.org/wiki/Medal_of_Honor:_Warfighter" TargetMode="External"/><Relationship Id="rId1272" Type="http://schemas.openxmlformats.org/officeDocument/2006/relationships/hyperlink" Target="https://en.wikipedia.org/wiki/Criterion_Games" TargetMode="External"/><Relationship Id="rId2116" Type="http://schemas.openxmlformats.org/officeDocument/2006/relationships/hyperlink" Target="https://en.wikipedia.org/wiki/Windows_Phone" TargetMode="External"/><Relationship Id="rId2323" Type="http://schemas.openxmlformats.org/officeDocument/2006/relationships/hyperlink" Target="https://en.wikipedia.org/wiki/PlayStation_4" TargetMode="External"/><Relationship Id="rId2530" Type="http://schemas.openxmlformats.org/officeDocument/2006/relationships/hyperlink" Target="https://en.wikipedia.org/wiki/Xbox_One" TargetMode="External"/><Relationship Id="rId502" Type="http://schemas.openxmlformats.org/officeDocument/2006/relationships/hyperlink" Target="https://en.wikipedia.org/wiki/FIFA_12" TargetMode="External"/><Relationship Id="rId947" Type="http://schemas.openxmlformats.org/officeDocument/2006/relationships/hyperlink" Target="https://en.wikipedia.org/wiki/Madden_NFL_17" TargetMode="External"/><Relationship Id="rId1132" Type="http://schemas.openxmlformats.org/officeDocument/2006/relationships/hyperlink" Target="https://en.wikipedia.org/wiki/EA_Canada" TargetMode="External"/><Relationship Id="rId1577" Type="http://schemas.openxmlformats.org/officeDocument/2006/relationships/hyperlink" Target="https://en.wikipedia.org/wiki/EA_Tiburon" TargetMode="External"/><Relationship Id="rId1784" Type="http://schemas.openxmlformats.org/officeDocument/2006/relationships/hyperlink" Target="https://en.wikipedia.org/wiki/EA_Mobile" TargetMode="External"/><Relationship Id="rId1991" Type="http://schemas.openxmlformats.org/officeDocument/2006/relationships/hyperlink" Target="https://en.wikipedia.org/wiki/The_Sims_4:_Island_Living" TargetMode="External"/><Relationship Id="rId76" Type="http://schemas.openxmlformats.org/officeDocument/2006/relationships/hyperlink" Target="https://en.wikipedia.org/wiki/Apex_Legends" TargetMode="External"/><Relationship Id="rId807" Type="http://schemas.openxmlformats.org/officeDocument/2006/relationships/hyperlink" Target="https://en.wikipedia.org/wiki/PlayStation_3" TargetMode="External"/><Relationship Id="rId1437" Type="http://schemas.openxmlformats.org/officeDocument/2006/relationships/hyperlink" Target="https://en.wikipedia.org/wiki/PopCap_Games" TargetMode="External"/><Relationship Id="rId1644" Type="http://schemas.openxmlformats.org/officeDocument/2006/relationships/hyperlink" Target="https://en.wikipedia.org/wiki/SimCity_(2013_video_game)" TargetMode="External"/><Relationship Id="rId1851" Type="http://schemas.openxmlformats.org/officeDocument/2006/relationships/hyperlink" Target="https://en.wikipedia.org/wiki/PlayStation_3" TargetMode="External"/><Relationship Id="rId1504" Type="http://schemas.openxmlformats.org/officeDocument/2006/relationships/hyperlink" Target="https://en.wikipedia.org/wiki/PopCap_Games" TargetMode="External"/><Relationship Id="rId1711" Type="http://schemas.openxmlformats.org/officeDocument/2006/relationships/hyperlink" Target="https://en.wikipedia.org/wiki/Star_Wars_Battlefront_II_(2017_video_game)" TargetMode="External"/><Relationship Id="rId1949" Type="http://schemas.openxmlformats.org/officeDocument/2006/relationships/hyperlink" Target="https://en.wikipedia.org/wiki/The_Sims_4:_Discover_University" TargetMode="External"/><Relationship Id="rId292" Type="http://schemas.openxmlformats.org/officeDocument/2006/relationships/hyperlink" Target="https://en.wikipedia.org/wiki/Dante%27s_Inferno_(video_game)" TargetMode="External"/><Relationship Id="rId1809" Type="http://schemas.openxmlformats.org/officeDocument/2006/relationships/hyperlink" Target="https://en.wikipedia.org/wiki/IOS" TargetMode="External"/><Relationship Id="rId597" Type="http://schemas.openxmlformats.org/officeDocument/2006/relationships/hyperlink" Target="https://en.wikipedia.org/wiki/EA_Canada" TargetMode="External"/><Relationship Id="rId2180" Type="http://schemas.openxmlformats.org/officeDocument/2006/relationships/hyperlink" Target="https://en.wikipedia.org/wiki/Microsoft_Windows" TargetMode="External"/><Relationship Id="rId2278" Type="http://schemas.openxmlformats.org/officeDocument/2006/relationships/hyperlink" Target="https://en.wikipedia.org/wiki/Madden_NFL_21" TargetMode="External"/><Relationship Id="rId2485" Type="http://schemas.openxmlformats.org/officeDocument/2006/relationships/hyperlink" Target="https://en.wikipedia.org/wiki/PlayStation_5" TargetMode="External"/><Relationship Id="rId152" Type="http://schemas.openxmlformats.org/officeDocument/2006/relationships/hyperlink" Target="https://en.wikipedia.org/wiki/EA_DICE" TargetMode="External"/><Relationship Id="rId457" Type="http://schemas.openxmlformats.org/officeDocument/2006/relationships/hyperlink" Target="https://en.wikipedia.org/wiki/Fe_(video_game)" TargetMode="External"/><Relationship Id="rId1087" Type="http://schemas.openxmlformats.org/officeDocument/2006/relationships/hyperlink" Target="https://en.wikipedia.org/wiki/Windows_Phone" TargetMode="External"/><Relationship Id="rId1294" Type="http://schemas.openxmlformats.org/officeDocument/2006/relationships/hyperlink" Target="https://en.wikipedia.org/wiki/Need_for_Speed:_Most_Wanted_(2012_video_game)" TargetMode="External"/><Relationship Id="rId2040" Type="http://schemas.openxmlformats.org/officeDocument/2006/relationships/hyperlink" Target="https://en.wikipedia.org/wiki/Macintosh" TargetMode="External"/><Relationship Id="rId2138" Type="http://schemas.openxmlformats.org/officeDocument/2006/relationships/hyperlink" Target="https://en.wikipedia.org/wiki/PlayStation_3" TargetMode="External"/><Relationship Id="rId664" Type="http://schemas.openxmlformats.org/officeDocument/2006/relationships/hyperlink" Target="https://en.wikipedia.org/wiki/FIFA_17" TargetMode="External"/><Relationship Id="rId871" Type="http://schemas.openxmlformats.org/officeDocument/2006/relationships/hyperlink" Target="https://en.wikipedia.org/wiki/Xbox_360" TargetMode="External"/><Relationship Id="rId969" Type="http://schemas.openxmlformats.org/officeDocument/2006/relationships/hyperlink" Target="https://en.wikipedia.org/wiki/Xbox_One" TargetMode="External"/><Relationship Id="rId1599" Type="http://schemas.openxmlformats.org/officeDocument/2006/relationships/hyperlink" Target="https://en.wikipedia.org/wiki/Shank_(video_game)" TargetMode="External"/><Relationship Id="rId2345" Type="http://schemas.openxmlformats.org/officeDocument/2006/relationships/hyperlink" Target="https://en.wikipedia.org/wiki/PlayStation_4" TargetMode="External"/><Relationship Id="rId2552" Type="http://schemas.openxmlformats.org/officeDocument/2006/relationships/hyperlink" Target="https://en.wikipedia.org/wiki/PlayStation_5" TargetMode="External"/><Relationship Id="rId317" Type="http://schemas.openxmlformats.org/officeDocument/2006/relationships/hyperlink" Target="https://en.wikipedia.org/wiki/Visceral_Games" TargetMode="External"/><Relationship Id="rId524" Type="http://schemas.openxmlformats.org/officeDocument/2006/relationships/hyperlink" Target="https://en.wikipedia.org/wiki/Wii" TargetMode="External"/><Relationship Id="rId731" Type="http://schemas.openxmlformats.org/officeDocument/2006/relationships/hyperlink" Target="https://en.wikipedia.org/wiki/FIFA_Manager_13" TargetMode="External"/><Relationship Id="rId1154" Type="http://schemas.openxmlformats.org/officeDocument/2006/relationships/hyperlink" Target="https://en.wikipedia.org/wiki/NBA_Live_14" TargetMode="External"/><Relationship Id="rId1361" Type="http://schemas.openxmlformats.org/officeDocument/2006/relationships/hyperlink" Target="https://en.wikipedia.org/wiki/EA_Canada" TargetMode="External"/><Relationship Id="rId1459" Type="http://schemas.openxmlformats.org/officeDocument/2006/relationships/hyperlink" Target="https://en.wikipedia.org/wiki/PopCap_Games" TargetMode="External"/><Relationship Id="rId2205" Type="http://schemas.openxmlformats.org/officeDocument/2006/relationships/hyperlink" Target="https://en.wikipedia.org/wiki/UEFA_Euro_2012_(video_game)" TargetMode="External"/><Relationship Id="rId2412" Type="http://schemas.openxmlformats.org/officeDocument/2006/relationships/hyperlink" Target="https://en.wikipedia.org/wiki/Microsoft_Windows" TargetMode="External"/><Relationship Id="rId98" Type="http://schemas.openxmlformats.org/officeDocument/2006/relationships/hyperlink" Target="https://en.wikipedia.org/wiki/Army_of_Two:_The_Devil%27s_Cartel" TargetMode="External"/><Relationship Id="rId829" Type="http://schemas.openxmlformats.org/officeDocument/2006/relationships/hyperlink" Target="https://en.wikipedia.org/wiki/EA_Bright_Light" TargetMode="External"/><Relationship Id="rId1014" Type="http://schemas.openxmlformats.org/officeDocument/2006/relationships/hyperlink" Target="https://en.wikipedia.org/wiki/BioWare" TargetMode="External"/><Relationship Id="rId1221" Type="http://schemas.openxmlformats.org/officeDocument/2006/relationships/hyperlink" Target="https://en.wikipedia.org/wiki/Ghost_Games" TargetMode="External"/><Relationship Id="rId1666" Type="http://schemas.openxmlformats.org/officeDocument/2006/relationships/hyperlink" Target="https://en.wikipedia.org/wiki/Skate_3" TargetMode="External"/><Relationship Id="rId1873" Type="http://schemas.openxmlformats.org/officeDocument/2006/relationships/hyperlink" Target="https://en.wikipedia.org/wiki/EA_Salt_Lake" TargetMode="External"/><Relationship Id="rId1319" Type="http://schemas.openxmlformats.org/officeDocument/2006/relationships/hyperlink" Target="https://en.wikipedia.org/wiki/Microsoft_Windows" TargetMode="External"/><Relationship Id="rId1526" Type="http://schemas.openxmlformats.org/officeDocument/2006/relationships/hyperlink" Target="https://en.wikipedia.org/wiki/Behaviour_Interactive" TargetMode="External"/><Relationship Id="rId1733" Type="http://schemas.openxmlformats.org/officeDocument/2006/relationships/hyperlink" Target="https://en.wikipedia.org/wiki/Xbox_Series_X_and_Series_S" TargetMode="External"/><Relationship Id="rId1940" Type="http://schemas.openxmlformats.org/officeDocument/2006/relationships/hyperlink" Target="https://en.wikipedia.org/wiki/The_Sims_4:_Dine_Out" TargetMode="External"/><Relationship Id="rId25" Type="http://schemas.openxmlformats.org/officeDocument/2006/relationships/hyperlink" Target="https://en.wikipedia.org/wiki/A_Way_Out_(video_game)" TargetMode="External"/><Relationship Id="rId1800" Type="http://schemas.openxmlformats.org/officeDocument/2006/relationships/hyperlink" Target="https://en.wikipedia.org/wiki/Android_(operating_system)" TargetMode="External"/><Relationship Id="rId174" Type="http://schemas.openxmlformats.org/officeDocument/2006/relationships/hyperlink" Target="https://en.wikipedia.org/wiki/Xbox_360" TargetMode="External"/><Relationship Id="rId381" Type="http://schemas.openxmlformats.org/officeDocument/2006/relationships/hyperlink" Target="https://en.wikipedia.org/wiki/Xbox_360" TargetMode="External"/><Relationship Id="rId2062" Type="http://schemas.openxmlformats.org/officeDocument/2006/relationships/hyperlink" Target="https://en.wikipedia.org/wiki/Maxis_Redwood_Shores" TargetMode="External"/><Relationship Id="rId241" Type="http://schemas.openxmlformats.org/officeDocument/2006/relationships/hyperlink" Target="https://en.wikipedia.org/wiki/Microsoft_Windows" TargetMode="External"/><Relationship Id="rId479" Type="http://schemas.openxmlformats.org/officeDocument/2006/relationships/hyperlink" Target="https://en.wikipedia.org/wiki/PlayStation_2" TargetMode="External"/><Relationship Id="rId686" Type="http://schemas.openxmlformats.org/officeDocument/2006/relationships/hyperlink" Target="https://en.wikipedia.org/wiki/PlayStation_4" TargetMode="External"/><Relationship Id="rId893" Type="http://schemas.openxmlformats.org/officeDocument/2006/relationships/hyperlink" Target="https://en.wikipedia.org/wiki/Madden_NFL_12" TargetMode="External"/><Relationship Id="rId2367" Type="http://schemas.openxmlformats.org/officeDocument/2006/relationships/hyperlink" Target="https://en.wikipedia.org/wiki/Xbox_Series_X_and_Series_S" TargetMode="External"/><Relationship Id="rId2574" Type="http://schemas.openxmlformats.org/officeDocument/2006/relationships/hyperlink" Target="https://en.wikipedia.org/wiki/Plants_vs._Zombies_3:_Welcome_to_Zomburbia" TargetMode="External"/><Relationship Id="rId339" Type="http://schemas.openxmlformats.org/officeDocument/2006/relationships/hyperlink" Target="https://en.wikipedia.org/wiki/DeathSpank" TargetMode="External"/><Relationship Id="rId546" Type="http://schemas.openxmlformats.org/officeDocument/2006/relationships/hyperlink" Target="https://en.wikipedia.org/wiki/EA_Canada" TargetMode="External"/><Relationship Id="rId753" Type="http://schemas.openxmlformats.org/officeDocument/2006/relationships/hyperlink" Target="https://en.wikipedia.org/wiki/FIFA_World" TargetMode="External"/><Relationship Id="rId1176" Type="http://schemas.openxmlformats.org/officeDocument/2006/relationships/hyperlink" Target="https://en.wikipedia.org/wiki/PlayStation_4" TargetMode="External"/><Relationship Id="rId1383" Type="http://schemas.openxmlformats.org/officeDocument/2006/relationships/hyperlink" Target="https://en.wikipedia.org/wiki/NHL_16" TargetMode="External"/><Relationship Id="rId2227" Type="http://schemas.openxmlformats.org/officeDocument/2006/relationships/hyperlink" Target="https://en.wikipedia.org/wiki/Unravel_Two" TargetMode="External"/><Relationship Id="rId2434" Type="http://schemas.openxmlformats.org/officeDocument/2006/relationships/hyperlink" Target="https://en.wikipedia.org/wiki/Microsoft_Windows" TargetMode="External"/><Relationship Id="rId101" Type="http://schemas.openxmlformats.org/officeDocument/2006/relationships/hyperlink" Target="https://en.wikipedia.org/wiki/PlayStation_3" TargetMode="External"/><Relationship Id="rId406" Type="http://schemas.openxmlformats.org/officeDocument/2006/relationships/hyperlink" Target="https://en.wikipedia.org/wiki/PlayStation_3" TargetMode="External"/><Relationship Id="rId960" Type="http://schemas.openxmlformats.org/officeDocument/2006/relationships/hyperlink" Target="https://en.wikipedia.org/wiki/Microsoft_Windows" TargetMode="External"/><Relationship Id="rId1036" Type="http://schemas.openxmlformats.org/officeDocument/2006/relationships/hyperlink" Target="https://en.wikipedia.org/wiki/Android_(operating_system)" TargetMode="External"/><Relationship Id="rId1243" Type="http://schemas.openxmlformats.org/officeDocument/2006/relationships/hyperlink" Target="https://en.wikipedia.org/wiki/Need_for_Speed_Rivals" TargetMode="External"/><Relationship Id="rId1590" Type="http://schemas.openxmlformats.org/officeDocument/2006/relationships/hyperlink" Target="https://en.wikipedia.org/wiki/The_Secret_Life_of_Pets" TargetMode="External"/><Relationship Id="rId1688" Type="http://schemas.openxmlformats.org/officeDocument/2006/relationships/hyperlink" Target="https://en.wikipedia.org/wiki/IOS" TargetMode="External"/><Relationship Id="rId1895" Type="http://schemas.openxmlformats.org/officeDocument/2006/relationships/hyperlink" Target="https://en.wikipedia.org/wiki/The_Sims_4_Stuff_packs" TargetMode="External"/><Relationship Id="rId613" Type="http://schemas.openxmlformats.org/officeDocument/2006/relationships/hyperlink" Target="https://en.wikipedia.org/wiki/FIFA_15" TargetMode="External"/><Relationship Id="rId820" Type="http://schemas.openxmlformats.org/officeDocument/2006/relationships/hyperlink" Target="https://en.wikipedia.org/wiki/EA_Bright_Light" TargetMode="External"/><Relationship Id="rId918" Type="http://schemas.openxmlformats.org/officeDocument/2006/relationships/hyperlink" Target="https://en.wikipedia.org/wiki/PlayStation_4" TargetMode="External"/><Relationship Id="rId1450" Type="http://schemas.openxmlformats.org/officeDocument/2006/relationships/hyperlink" Target="https://en.wikipedia.org/wiki/PopCap_Games" TargetMode="External"/><Relationship Id="rId1548" Type="http://schemas.openxmlformats.org/officeDocument/2006/relationships/hyperlink" Target="https://en.wikipedia.org/wiki/EA_Mobile" TargetMode="External"/><Relationship Id="rId1755" Type="http://schemas.openxmlformats.org/officeDocument/2006/relationships/hyperlink" Target="https://en.wikipedia.org/wiki/Starbreeze_Studios" TargetMode="External"/><Relationship Id="rId2501" Type="http://schemas.openxmlformats.org/officeDocument/2006/relationships/hyperlink" Target="https://en.wikipedia.org/wiki/Codemasters" TargetMode="External"/><Relationship Id="rId1103" Type="http://schemas.openxmlformats.org/officeDocument/2006/relationships/hyperlink" Target="https://en.wikipedia.org/wiki/Monopoly_Streets" TargetMode="External"/><Relationship Id="rId1310" Type="http://schemas.openxmlformats.org/officeDocument/2006/relationships/hyperlink" Target="https://en.wikipedia.org/wiki/Nintendo_3DS" TargetMode="External"/><Relationship Id="rId1408" Type="http://schemas.openxmlformats.org/officeDocument/2006/relationships/hyperlink" Target="https://en.wikipedia.org/wiki/PlayStation_4" TargetMode="External"/><Relationship Id="rId1962" Type="http://schemas.openxmlformats.org/officeDocument/2006/relationships/hyperlink" Target="https://en.wikipedia.org/wiki/PlayStation_4" TargetMode="External"/><Relationship Id="rId47" Type="http://schemas.openxmlformats.org/officeDocument/2006/relationships/hyperlink" Target="https://en.wikipedia.org/wiki/PlayStation_3" TargetMode="External"/><Relationship Id="rId1615" Type="http://schemas.openxmlformats.org/officeDocument/2006/relationships/hyperlink" Target="https://en.wikipedia.org/wiki/PlayStation_3" TargetMode="External"/><Relationship Id="rId1822" Type="http://schemas.openxmlformats.org/officeDocument/2006/relationships/hyperlink" Target="https://en.wikipedia.org/wiki/Maxis_Redwood_Shores" TargetMode="External"/><Relationship Id="rId196" Type="http://schemas.openxmlformats.org/officeDocument/2006/relationships/hyperlink" Target="https://en.wikipedia.org/wiki/PopCap_Games" TargetMode="External"/><Relationship Id="rId2084" Type="http://schemas.openxmlformats.org/officeDocument/2006/relationships/hyperlink" Target="https://en.wikipedia.org/wiki/The_Sims_4:_StrangerVille" TargetMode="External"/><Relationship Id="rId2291" Type="http://schemas.openxmlformats.org/officeDocument/2006/relationships/hyperlink" Target="https://en.wikipedia.org/wiki/Xbox_One" TargetMode="External"/><Relationship Id="rId263" Type="http://schemas.openxmlformats.org/officeDocument/2006/relationships/hyperlink" Target="https://en.wikipedia.org/wiki/Xbox_360" TargetMode="External"/><Relationship Id="rId470" Type="http://schemas.openxmlformats.org/officeDocument/2006/relationships/hyperlink" Target="https://en.wikipedia.org/w/index.php?title=Java_Me&amp;action=edit&amp;redlink=1" TargetMode="External"/><Relationship Id="rId2151" Type="http://schemas.openxmlformats.org/officeDocument/2006/relationships/hyperlink" Target="https://en.wikipedia.org/wiki/EA_Tiburon" TargetMode="External"/><Relationship Id="rId2389" Type="http://schemas.openxmlformats.org/officeDocument/2006/relationships/hyperlink" Target="https://en.wikipedia.org/wiki/EA_Vancouver" TargetMode="External"/><Relationship Id="rId2596" Type="http://schemas.openxmlformats.org/officeDocument/2006/relationships/vmlDrawing" Target="../drawings/vmlDrawing4.vml"/><Relationship Id="rId123" Type="http://schemas.openxmlformats.org/officeDocument/2006/relationships/hyperlink" Target="https://en.wikipedia.org/wiki/Battlefield_1" TargetMode="External"/><Relationship Id="rId330" Type="http://schemas.openxmlformats.org/officeDocument/2006/relationships/hyperlink" Target="https://en.wikipedia.org/wiki/Xbox_360" TargetMode="External"/><Relationship Id="rId568" Type="http://schemas.openxmlformats.org/officeDocument/2006/relationships/hyperlink" Target="https://en.wikipedia.org/wiki/FIFA_14" TargetMode="External"/><Relationship Id="rId775" Type="http://schemas.openxmlformats.org/officeDocument/2006/relationships/hyperlink" Target="https://en.wikipedia.org/wiki/Insomniac_Games" TargetMode="External"/><Relationship Id="rId982" Type="http://schemas.openxmlformats.org/officeDocument/2006/relationships/hyperlink" Target="https://en.wikipedia.org/wiki/EA_Tiburon" TargetMode="External"/><Relationship Id="rId1198" Type="http://schemas.openxmlformats.org/officeDocument/2006/relationships/hyperlink" Target="https://en.wikipedia.org/wiki/NCAA_Football_12" TargetMode="External"/><Relationship Id="rId2011" Type="http://schemas.openxmlformats.org/officeDocument/2006/relationships/hyperlink" Target="https://en.wikipedia.org/wiki/Maxis_Redwood_Shores" TargetMode="External"/><Relationship Id="rId2249" Type="http://schemas.openxmlformats.org/officeDocument/2006/relationships/hyperlink" Target="https://en.wikipedia.org/wiki/Nintendo_DS" TargetMode="External"/><Relationship Id="rId2456" Type="http://schemas.openxmlformats.org/officeDocument/2006/relationships/hyperlink" Target="https://en.wikipedia.org/wiki/Xbox_Series_X_and_Series_S" TargetMode="External"/><Relationship Id="rId428" Type="http://schemas.openxmlformats.org/officeDocument/2006/relationships/hyperlink" Target="https://en.wikipedia.org/wiki/EA_Tiburon" TargetMode="External"/><Relationship Id="rId635" Type="http://schemas.openxmlformats.org/officeDocument/2006/relationships/hyperlink" Target="https://en.wikipedia.org/wiki/Xbox_360" TargetMode="External"/><Relationship Id="rId842" Type="http://schemas.openxmlformats.org/officeDocument/2006/relationships/hyperlink" Target="https://en.wikipedia.org/wiki/Android_(operating_system)" TargetMode="External"/><Relationship Id="rId1058" Type="http://schemas.openxmlformats.org/officeDocument/2006/relationships/hyperlink" Target="https://en.wikipedia.org/wiki/Danger_Close_Games" TargetMode="External"/><Relationship Id="rId1265" Type="http://schemas.openxmlformats.org/officeDocument/2006/relationships/hyperlink" Target="https://en.wikipedia.org/wiki/Xbox_360" TargetMode="External"/><Relationship Id="rId1472" Type="http://schemas.openxmlformats.org/officeDocument/2006/relationships/hyperlink" Target="https://en.wikipedia.org/wiki/Plants_vs._Zombies:_Battle_for_Neighborville" TargetMode="External"/><Relationship Id="rId2109" Type="http://schemas.openxmlformats.org/officeDocument/2006/relationships/hyperlink" Target="https://en.wikipedia.org/wiki/The_Sims_Medieval" TargetMode="External"/><Relationship Id="rId2316" Type="http://schemas.openxmlformats.org/officeDocument/2006/relationships/hyperlink" Target="https://en.wikipedia.org/wiki/Microsoft_Windows" TargetMode="External"/><Relationship Id="rId2523" Type="http://schemas.openxmlformats.org/officeDocument/2006/relationships/hyperlink" Target="https://en.wikipedia.org/wiki/Xbox_Series_X_and_Series_S" TargetMode="External"/><Relationship Id="rId702" Type="http://schemas.openxmlformats.org/officeDocument/2006/relationships/hyperlink" Target="https://en.wikipedia.org/wiki/EA_Vancouver" TargetMode="External"/><Relationship Id="rId1125" Type="http://schemas.openxmlformats.org/officeDocument/2006/relationships/hyperlink" Target="https://en.wikipedia.org/wiki/Wii" TargetMode="External"/><Relationship Id="rId1332" Type="http://schemas.openxmlformats.org/officeDocument/2006/relationships/hyperlink" Target="https://en.wikipedia.org/wiki/NFL_Blitz_(2012_video_game)" TargetMode="External"/><Relationship Id="rId1777" Type="http://schemas.openxmlformats.org/officeDocument/2006/relationships/hyperlink" Target="https://en.wikipedia.org/wiki/Android_(operating_system)" TargetMode="External"/><Relationship Id="rId1984" Type="http://schemas.openxmlformats.org/officeDocument/2006/relationships/hyperlink" Target="https://en.wikipedia.org/wiki/Maxis_Redwood_Shores" TargetMode="External"/><Relationship Id="rId69" Type="http://schemas.openxmlformats.org/officeDocument/2006/relationships/hyperlink" Target="https://en.wikipedia.org/wiki/Respawn_Entertainment" TargetMode="External"/><Relationship Id="rId1637" Type="http://schemas.openxmlformats.org/officeDocument/2006/relationships/hyperlink" Target="https://en.wikipedia.org/wiki/Slightly_Mad_Studios" TargetMode="External"/><Relationship Id="rId1844" Type="http://schemas.openxmlformats.org/officeDocument/2006/relationships/hyperlink" Target="https://en.wikipedia.org/wiki/The_Sims_3:_Pets" TargetMode="External"/><Relationship Id="rId1704" Type="http://schemas.openxmlformats.org/officeDocument/2006/relationships/hyperlink" Target="https://en.wikipedia.org/wiki/EA_DICE" TargetMode="External"/><Relationship Id="rId285" Type="http://schemas.openxmlformats.org/officeDocument/2006/relationships/hyperlink" Target="https://en.wikipedia.org/wiki/Crytek" TargetMode="External"/><Relationship Id="rId1911" Type="http://schemas.openxmlformats.org/officeDocument/2006/relationships/hyperlink" Target="https://en.wikipedia.org/wiki/Microsoft_Windows" TargetMode="External"/><Relationship Id="rId492" Type="http://schemas.openxmlformats.org/officeDocument/2006/relationships/hyperlink" Target="https://en.wikipedia.org/wiki/EA_Canada" TargetMode="External"/><Relationship Id="rId797" Type="http://schemas.openxmlformats.org/officeDocument/2006/relationships/hyperlink" Target="https://en.wikipedia.org/wiki/Harry_Potter_and_the_Deathly_Hallows_%E2%80%93_Part_1_(video_game)" TargetMode="External"/><Relationship Id="rId2173" Type="http://schemas.openxmlformats.org/officeDocument/2006/relationships/hyperlink" Target="https://en.wikipedia.org/wiki/Tiger_Woods_PGA_Tour_14" TargetMode="External"/><Relationship Id="rId2380" Type="http://schemas.openxmlformats.org/officeDocument/2006/relationships/hyperlink" Target="https://en.wikipedia.org/wiki/EA_Vancouver" TargetMode="External"/><Relationship Id="rId2478" Type="http://schemas.openxmlformats.org/officeDocument/2006/relationships/hyperlink" Target="https://en.wikipedia.org/wiki/Microsoft_Windows" TargetMode="External"/><Relationship Id="rId145" Type="http://schemas.openxmlformats.org/officeDocument/2006/relationships/hyperlink" Target="https://en.wikipedia.org/wiki/PlayStation_4" TargetMode="External"/><Relationship Id="rId352" Type="http://schemas.openxmlformats.org/officeDocument/2006/relationships/hyperlink" Target="https://en.wikipedia.org/wiki/Microsoft_Windows" TargetMode="External"/><Relationship Id="rId1287" Type="http://schemas.openxmlformats.org/officeDocument/2006/relationships/hyperlink" Target="https://en.wikipedia.org/wiki/Criterion_Games" TargetMode="External"/><Relationship Id="rId2033" Type="http://schemas.openxmlformats.org/officeDocument/2006/relationships/hyperlink" Target="https://en.wikipedia.org/wiki/The_Sims_4:_Parenthood" TargetMode="External"/><Relationship Id="rId2240" Type="http://schemas.openxmlformats.org/officeDocument/2006/relationships/hyperlink" Target="https://en.wikipedia.org/wiki/Trapdoor_(company)" TargetMode="External"/><Relationship Id="rId212" Type="http://schemas.openxmlformats.org/officeDocument/2006/relationships/hyperlink" Target="https://en.wikipedia.org/wiki/Microsoft_Windows" TargetMode="External"/><Relationship Id="rId657" Type="http://schemas.openxmlformats.org/officeDocument/2006/relationships/hyperlink" Target="https://en.wikipedia.org/wiki/EA_Canada" TargetMode="External"/><Relationship Id="rId864" Type="http://schemas.openxmlformats.org/officeDocument/2006/relationships/hyperlink" Target="https://en.wikipedia.org/wiki/Madden_NFL_11" TargetMode="External"/><Relationship Id="rId1494" Type="http://schemas.openxmlformats.org/officeDocument/2006/relationships/hyperlink" Target="https://en.wikipedia.org/wiki/PlayStation_3" TargetMode="External"/><Relationship Id="rId1799" Type="http://schemas.openxmlformats.org/officeDocument/2006/relationships/hyperlink" Target="https://en.wikipedia.org/wiki/Edge_of_Reality" TargetMode="External"/><Relationship Id="rId2100" Type="http://schemas.openxmlformats.org/officeDocument/2006/relationships/hyperlink" Target="https://en.wikipedia.org/wiki/IOS" TargetMode="External"/><Relationship Id="rId2338" Type="http://schemas.openxmlformats.org/officeDocument/2006/relationships/hyperlink" Target="https://en.wikipedia.org/wiki/PlayStation_5" TargetMode="External"/><Relationship Id="rId2545" Type="http://schemas.openxmlformats.org/officeDocument/2006/relationships/hyperlink" Target="https://en.wikipedia.org/wiki/Codemasters" TargetMode="External"/><Relationship Id="rId517" Type="http://schemas.openxmlformats.org/officeDocument/2006/relationships/hyperlink" Target="https://en.wikipedia.org/wiki/FIFA_12" TargetMode="External"/><Relationship Id="rId724" Type="http://schemas.openxmlformats.org/officeDocument/2006/relationships/hyperlink" Target="https://en.wikipedia.org/wiki/FIFA_20" TargetMode="External"/><Relationship Id="rId931" Type="http://schemas.openxmlformats.org/officeDocument/2006/relationships/hyperlink" Target="https://en.wikipedia.org/wiki/EA_Tiburon" TargetMode="External"/><Relationship Id="rId1147" Type="http://schemas.openxmlformats.org/officeDocument/2006/relationships/hyperlink" Target="https://en.wikipedia.org/wiki/EA_Canada" TargetMode="External"/><Relationship Id="rId1354" Type="http://schemas.openxmlformats.org/officeDocument/2006/relationships/hyperlink" Target="https://en.wikipedia.org/wiki/PlayStation_3" TargetMode="External"/><Relationship Id="rId1561" Type="http://schemas.openxmlformats.org/officeDocument/2006/relationships/hyperlink" Target="https://en.wikipedia.org/wiki/PlayStation_3" TargetMode="External"/><Relationship Id="rId2405" Type="http://schemas.openxmlformats.org/officeDocument/2006/relationships/hyperlink" Target="https://en.wikipedia.org/wiki/Xbox_One" TargetMode="External"/><Relationship Id="rId60" Type="http://schemas.openxmlformats.org/officeDocument/2006/relationships/hyperlink" Target="https://en.wikipedia.org/wiki/BioWare" TargetMode="External"/><Relationship Id="rId1007" Type="http://schemas.openxmlformats.org/officeDocument/2006/relationships/hyperlink" Target="https://en.wikipedia.org/wiki/Madden_NFL_Social" TargetMode="External"/><Relationship Id="rId1214" Type="http://schemas.openxmlformats.org/officeDocument/2006/relationships/hyperlink" Target="https://en.wikipedia.org/wiki/Xbox_360" TargetMode="External"/><Relationship Id="rId1421" Type="http://schemas.openxmlformats.org/officeDocument/2006/relationships/hyperlink" Target="https://en.wikipedia.org/wiki/EA_Canada" TargetMode="External"/><Relationship Id="rId1659" Type="http://schemas.openxmlformats.org/officeDocument/2006/relationships/hyperlink" Target="https://en.wikipedia.org/wiki/SimCity_Social" TargetMode="External"/><Relationship Id="rId1866" Type="http://schemas.openxmlformats.org/officeDocument/2006/relationships/hyperlink" Target="https://en.wikipedia.org/wiki/Macintosh" TargetMode="External"/><Relationship Id="rId1519" Type="http://schemas.openxmlformats.org/officeDocument/2006/relationships/hyperlink" Target="https://en.wikipedia.org/wiki/PlayStation_3" TargetMode="External"/><Relationship Id="rId1726" Type="http://schemas.openxmlformats.org/officeDocument/2006/relationships/hyperlink" Target="https://en.wikipedia.org/wiki/Star_Wars_Jedi:_Fallen_Order" TargetMode="External"/><Relationship Id="rId1933" Type="http://schemas.openxmlformats.org/officeDocument/2006/relationships/hyperlink" Target="https://en.wikipedia.org/wiki/Maxis_Redwood_Shores" TargetMode="External"/><Relationship Id="rId18" Type="http://schemas.openxmlformats.org/officeDocument/2006/relationships/hyperlink" Target="https://en.wikipedia.org/wiki/EA_Canada" TargetMode="External"/><Relationship Id="rId2195" Type="http://schemas.openxmlformats.org/officeDocument/2006/relationships/hyperlink" Target="https://en.wikipedia.org/wiki/Xbox_One" TargetMode="External"/><Relationship Id="rId167" Type="http://schemas.openxmlformats.org/officeDocument/2006/relationships/hyperlink" Target="https://en.wikipedia.org/wiki/Battlefield_Hardline" TargetMode="External"/><Relationship Id="rId374" Type="http://schemas.openxmlformats.org/officeDocument/2006/relationships/hyperlink" Target="https://en.wikipedia.org/wiki/Dragon_Age:_Inquisition" TargetMode="External"/><Relationship Id="rId581" Type="http://schemas.openxmlformats.org/officeDocument/2006/relationships/hyperlink" Target="https://en.wikipedia.org/wiki/PlayStation_2" TargetMode="External"/><Relationship Id="rId2055" Type="http://schemas.openxmlformats.org/officeDocument/2006/relationships/hyperlink" Target="https://en.wikipedia.org/wiki/Microsoft_Windows" TargetMode="External"/><Relationship Id="rId2262" Type="http://schemas.openxmlformats.org/officeDocument/2006/relationships/hyperlink" Target="https://en.wikipedia.org/wiki/Maxis_Redwood_Shores" TargetMode="External"/><Relationship Id="rId234" Type="http://schemas.openxmlformats.org/officeDocument/2006/relationships/hyperlink" Target="https://en.wikipedia.org/wiki/Nintendo_Switch" TargetMode="External"/><Relationship Id="rId679" Type="http://schemas.openxmlformats.org/officeDocument/2006/relationships/hyperlink" Target="https://en.wikipedia.org/wiki/FIFA_18" TargetMode="External"/><Relationship Id="rId886" Type="http://schemas.openxmlformats.org/officeDocument/2006/relationships/hyperlink" Target="https://en.wikipedia.org/wiki/EA_Tiburon" TargetMode="External"/><Relationship Id="rId2567" Type="http://schemas.openxmlformats.org/officeDocument/2006/relationships/hyperlink" Target="https://en.wikipedia.org/wiki/Xbox_Series_X_and_Series_S" TargetMode="External"/><Relationship Id="rId2" Type="http://schemas.openxmlformats.org/officeDocument/2006/relationships/hyperlink" Target="https://en.wikipedia.org/wiki/PlayStation_3" TargetMode="External"/><Relationship Id="rId441" Type="http://schemas.openxmlformats.org/officeDocument/2006/relationships/hyperlink" Target="https://en.wikipedia.org/wiki/EA_Canada" TargetMode="External"/><Relationship Id="rId539" Type="http://schemas.openxmlformats.org/officeDocument/2006/relationships/hyperlink" Target="https://en.wikipedia.org/wiki/Nintendo_3DS" TargetMode="External"/><Relationship Id="rId746" Type="http://schemas.openxmlformats.org/officeDocument/2006/relationships/hyperlink" Target="https://en.wikipedia.org/wiki/Microsoft_Windows" TargetMode="External"/><Relationship Id="rId1071" Type="http://schemas.openxmlformats.org/officeDocument/2006/relationships/hyperlink" Target="https://en.wikipedia.org/wiki/Micro_Machines_(video_game_series)" TargetMode="External"/><Relationship Id="rId1169" Type="http://schemas.openxmlformats.org/officeDocument/2006/relationships/hyperlink" Target="https://en.wikipedia.org/wiki/NBA_Live_18" TargetMode="External"/><Relationship Id="rId1376" Type="http://schemas.openxmlformats.org/officeDocument/2006/relationships/hyperlink" Target="https://en.wikipedia.org/wiki/EA_Canada" TargetMode="External"/><Relationship Id="rId1583" Type="http://schemas.openxmlformats.org/officeDocument/2006/relationships/hyperlink" Target="https://en.wikipedia.org/wiki/Sea_of_Solitude" TargetMode="External"/><Relationship Id="rId2122" Type="http://schemas.openxmlformats.org/officeDocument/2006/relationships/hyperlink" Target="https://en.wikipedia.org/wiki/Microsoft_Windows" TargetMode="External"/><Relationship Id="rId2427" Type="http://schemas.openxmlformats.org/officeDocument/2006/relationships/hyperlink" Target="https://en.wikipedia.org/wiki/Microsoft_Windows" TargetMode="External"/><Relationship Id="rId301" Type="http://schemas.openxmlformats.org/officeDocument/2006/relationships/hyperlink" Target="https://en.wikipedia.org/wiki/Dead_Space_(mobile_game)" TargetMode="External"/><Relationship Id="rId953" Type="http://schemas.openxmlformats.org/officeDocument/2006/relationships/hyperlink" Target="https://en.wikipedia.org/wiki/Madden_NFL_18" TargetMode="External"/><Relationship Id="rId1029" Type="http://schemas.openxmlformats.org/officeDocument/2006/relationships/hyperlink" Target="https://en.wikipedia.org/wiki/BioWare" TargetMode="External"/><Relationship Id="rId1236" Type="http://schemas.openxmlformats.org/officeDocument/2006/relationships/hyperlink" Target="https://en.wikipedia.org/wiki/Ghost_Games" TargetMode="External"/><Relationship Id="rId1790" Type="http://schemas.openxmlformats.org/officeDocument/2006/relationships/hyperlink" Target="https://en.wikipedia.org/wiki/Edge_of_Reality" TargetMode="External"/><Relationship Id="rId1888" Type="http://schemas.openxmlformats.org/officeDocument/2006/relationships/hyperlink" Target="https://en.wikipedia.org/wiki/Maxis" TargetMode="External"/><Relationship Id="rId82" Type="http://schemas.openxmlformats.org/officeDocument/2006/relationships/hyperlink" Target="https://en.wikipedia.org/wiki/Android_(operating_system)" TargetMode="External"/><Relationship Id="rId606" Type="http://schemas.openxmlformats.org/officeDocument/2006/relationships/hyperlink" Target="https://en.wikipedia.org/wiki/EA_Canada" TargetMode="External"/><Relationship Id="rId813" Type="http://schemas.openxmlformats.org/officeDocument/2006/relationships/hyperlink" Target="https://en.wikipedia.org/wiki/Microsoft_Windows" TargetMode="External"/><Relationship Id="rId1443" Type="http://schemas.openxmlformats.org/officeDocument/2006/relationships/hyperlink" Target="https://en.wikipedia.org/wiki/PopCap_Games" TargetMode="External"/><Relationship Id="rId1650" Type="http://schemas.openxmlformats.org/officeDocument/2006/relationships/hyperlink" Target="https://en.wikipedia.org/wiki/SimCity_Deluxe" TargetMode="External"/><Relationship Id="rId1748" Type="http://schemas.openxmlformats.org/officeDocument/2006/relationships/hyperlink" Target="https://en.wikipedia.org/wiki/Android_(operating_system)" TargetMode="External"/><Relationship Id="rId1303" Type="http://schemas.openxmlformats.org/officeDocument/2006/relationships/hyperlink" Target="https://en.wikipedia.org/wiki/Need_for_Speed:_No_Limits" TargetMode="External"/><Relationship Id="rId1510" Type="http://schemas.openxmlformats.org/officeDocument/2006/relationships/hyperlink" Target="https://en.wikipedia.org/wiki/Pogo.com" TargetMode="External"/><Relationship Id="rId1955" Type="http://schemas.openxmlformats.org/officeDocument/2006/relationships/hyperlink" Target="https://en.wikipedia.org/wiki/The_Sims_4:_Get_Famous" TargetMode="External"/><Relationship Id="rId1608" Type="http://schemas.openxmlformats.org/officeDocument/2006/relationships/hyperlink" Target="https://en.wikipedia.org/wiki/Shank_(video_game)" TargetMode="External"/><Relationship Id="rId1815" Type="http://schemas.openxmlformats.org/officeDocument/2006/relationships/hyperlink" Target="https://en.wikipedia.org/wiki/Mobile_phones" TargetMode="External"/><Relationship Id="rId189" Type="http://schemas.openxmlformats.org/officeDocument/2006/relationships/hyperlink" Target="https://en.wikipedia.org/wiki/Android_(operating_system)" TargetMode="External"/><Relationship Id="rId396" Type="http://schemas.openxmlformats.org/officeDocument/2006/relationships/hyperlink" Target="https://en.wikipedia.org/wiki/Xbox_360" TargetMode="External"/><Relationship Id="rId2077" Type="http://schemas.openxmlformats.org/officeDocument/2006/relationships/hyperlink" Target="https://en.wikipedia.org/wiki/Maxis_Redwood_Shores" TargetMode="External"/><Relationship Id="rId2284" Type="http://schemas.openxmlformats.org/officeDocument/2006/relationships/hyperlink" Target="https://en.wikipedia.org/wiki/Xbox_Series_X" TargetMode="External"/><Relationship Id="rId2491" Type="http://schemas.openxmlformats.org/officeDocument/2006/relationships/hyperlink" Target="https://en.wikipedia.org/wiki/Android_(operating_system)" TargetMode="External"/><Relationship Id="rId256" Type="http://schemas.openxmlformats.org/officeDocument/2006/relationships/hyperlink" Target="https://en.wikipedia.org/wiki/Create_(video_game)" TargetMode="External"/><Relationship Id="rId463" Type="http://schemas.openxmlformats.org/officeDocument/2006/relationships/hyperlink" Target="https://en.wikipedia.org/wiki/FIFA_11" TargetMode="External"/><Relationship Id="rId670" Type="http://schemas.openxmlformats.org/officeDocument/2006/relationships/hyperlink" Target="https://en.wikipedia.org/wiki/FIFA_17" TargetMode="External"/><Relationship Id="rId1093" Type="http://schemas.openxmlformats.org/officeDocument/2006/relationships/hyperlink" Target="https://en.wikipedia.org/wiki/Microsoft_Windows" TargetMode="External"/><Relationship Id="rId2144" Type="http://schemas.openxmlformats.org/officeDocument/2006/relationships/hyperlink" Target="https://en.wikipedia.org/wiki/Xbox_360" TargetMode="External"/><Relationship Id="rId2351" Type="http://schemas.openxmlformats.org/officeDocument/2006/relationships/hyperlink" Target="https://en.wikipedia.org/wiki/PlayStation_5" TargetMode="External"/><Relationship Id="rId2589" Type="http://schemas.openxmlformats.org/officeDocument/2006/relationships/hyperlink" Target="https://en.wikipedia.org/wiki/The_Sims" TargetMode="External"/><Relationship Id="rId116" Type="http://schemas.openxmlformats.org/officeDocument/2006/relationships/hyperlink" Target="https://en.wikipedia.org/wiki/IOS" TargetMode="External"/><Relationship Id="rId323" Type="http://schemas.openxmlformats.org/officeDocument/2006/relationships/hyperlink" Target="https://en.wikipedia.org/wiki/Visceral_Games" TargetMode="External"/><Relationship Id="rId530" Type="http://schemas.openxmlformats.org/officeDocument/2006/relationships/hyperlink" Target="https://en.wikipedia.org/wiki/Xbox_360" TargetMode="External"/><Relationship Id="rId768" Type="http://schemas.openxmlformats.org/officeDocument/2006/relationships/hyperlink" Target="https://en.wikipedia.org/wiki/IOS" TargetMode="External"/><Relationship Id="rId975" Type="http://schemas.openxmlformats.org/officeDocument/2006/relationships/hyperlink" Target="https://en.wikipedia.org/wiki/IOS" TargetMode="External"/><Relationship Id="rId1160" Type="http://schemas.openxmlformats.org/officeDocument/2006/relationships/hyperlink" Target="https://en.wikipedia.org/wiki/NBA_Live_15" TargetMode="External"/><Relationship Id="rId1398" Type="http://schemas.openxmlformats.org/officeDocument/2006/relationships/hyperlink" Target="https://en.wikipedia.org/wiki/NHL_17" TargetMode="External"/><Relationship Id="rId2004" Type="http://schemas.openxmlformats.org/officeDocument/2006/relationships/hyperlink" Target="https://en.wikipedia.org/wiki/Macintosh" TargetMode="External"/><Relationship Id="rId2211" Type="http://schemas.openxmlformats.org/officeDocument/2006/relationships/hyperlink" Target="https://en.wikipedia.org/wiki/IOS" TargetMode="External"/><Relationship Id="rId2449" Type="http://schemas.openxmlformats.org/officeDocument/2006/relationships/hyperlink" Target="https://en.wikipedia.org/wiki/Xbox_Series_X_and_Series_S" TargetMode="External"/><Relationship Id="rId628" Type="http://schemas.openxmlformats.org/officeDocument/2006/relationships/hyperlink" Target="https://en.wikipedia.org/wiki/FIFA_15" TargetMode="External"/><Relationship Id="rId835" Type="http://schemas.openxmlformats.org/officeDocument/2006/relationships/hyperlink" Target="https://en.wikipedia.org/wiki/EA_Bright_Light" TargetMode="External"/><Relationship Id="rId1258" Type="http://schemas.openxmlformats.org/officeDocument/2006/relationships/hyperlink" Target="https://en.wikipedia.org/wiki/Need_for_Speed:_Hot_Pursuit_(2010_video_game)" TargetMode="External"/><Relationship Id="rId1465" Type="http://schemas.openxmlformats.org/officeDocument/2006/relationships/hyperlink" Target="https://en.wikipedia.org/wiki/PopCap_Games" TargetMode="External"/><Relationship Id="rId1672" Type="http://schemas.openxmlformats.org/officeDocument/2006/relationships/hyperlink" Target="https://en.wikipedia.org/wiki/Skate_It" TargetMode="External"/><Relationship Id="rId2309" Type="http://schemas.openxmlformats.org/officeDocument/2006/relationships/hyperlink" Target="https://en.wikipedia.org/wiki/Microsoft_Windows" TargetMode="External"/><Relationship Id="rId2516" Type="http://schemas.openxmlformats.org/officeDocument/2006/relationships/hyperlink" Target="https://en.wikipedia.org/wiki/PlayStation_5" TargetMode="External"/><Relationship Id="rId1020" Type="http://schemas.openxmlformats.org/officeDocument/2006/relationships/hyperlink" Target="https://en.wikipedia.org/wiki/BioWare" TargetMode="External"/><Relationship Id="rId1118" Type="http://schemas.openxmlformats.org/officeDocument/2006/relationships/hyperlink" Target="https://en.wikipedia.org/wiki/MySims_SkyHeroes" TargetMode="External"/><Relationship Id="rId1325" Type="http://schemas.openxmlformats.org/officeDocument/2006/relationships/hyperlink" Target="https://en.wikipedia.org/wiki/Xbox_360" TargetMode="External"/><Relationship Id="rId1532" Type="http://schemas.openxmlformats.org/officeDocument/2006/relationships/hyperlink" Target="https://en.wikipedia.org/wiki/Firemonkeys_Studios" TargetMode="External"/><Relationship Id="rId1977" Type="http://schemas.openxmlformats.org/officeDocument/2006/relationships/hyperlink" Target="https://en.wikipedia.org/wiki/Xbox_One" TargetMode="External"/><Relationship Id="rId902" Type="http://schemas.openxmlformats.org/officeDocument/2006/relationships/hyperlink" Target="https://en.wikipedia.org/wiki/Madden_NFL_13" TargetMode="External"/><Relationship Id="rId1837" Type="http://schemas.openxmlformats.org/officeDocument/2006/relationships/hyperlink" Target="https://en.wikipedia.org/wiki/Maxis_Redwood_Shores" TargetMode="External"/><Relationship Id="rId31" Type="http://schemas.openxmlformats.org/officeDocument/2006/relationships/hyperlink" Target="https://en.wikipedia.org/wiki/Alice:_Madness_Returns" TargetMode="External"/><Relationship Id="rId2099" Type="http://schemas.openxmlformats.org/officeDocument/2006/relationships/hyperlink" Target="https://en.wikipedia.org/wiki/The_Sims_FreePlay" TargetMode="External"/><Relationship Id="rId180" Type="http://schemas.openxmlformats.org/officeDocument/2006/relationships/hyperlink" Target="https://en.wikipedia.org/wiki/PlayStation_4" TargetMode="External"/><Relationship Id="rId278" Type="http://schemas.openxmlformats.org/officeDocument/2006/relationships/hyperlink" Target="https://en.wikipedia.org/wiki/Xbox_360" TargetMode="External"/><Relationship Id="rId1904" Type="http://schemas.openxmlformats.org/officeDocument/2006/relationships/hyperlink" Target="https://en.wikipedia.org/wiki/The_Sims_4_Stuff_packs" TargetMode="External"/><Relationship Id="rId485" Type="http://schemas.openxmlformats.org/officeDocument/2006/relationships/hyperlink" Target="https://en.wikipedia.org/wiki/PlayStation_Portable" TargetMode="External"/><Relationship Id="rId692" Type="http://schemas.openxmlformats.org/officeDocument/2006/relationships/hyperlink" Target="https://en.wikipedia.org/wiki/Xbox_360" TargetMode="External"/><Relationship Id="rId2166" Type="http://schemas.openxmlformats.org/officeDocument/2006/relationships/hyperlink" Target="https://en.wikipedia.org/wiki/EA_Tiburon" TargetMode="External"/><Relationship Id="rId2373" Type="http://schemas.openxmlformats.org/officeDocument/2006/relationships/hyperlink" Target="https://en.wikipedia.org/wiki/PlayStation_4" TargetMode="External"/><Relationship Id="rId2580" Type="http://schemas.openxmlformats.org/officeDocument/2006/relationships/hyperlink" Target="https://en.wikipedia.org/wiki/Respawn_Entertainment" TargetMode="External"/><Relationship Id="rId138" Type="http://schemas.openxmlformats.org/officeDocument/2006/relationships/hyperlink" Target="https://en.wikipedia.org/wiki/Battlefield_4" TargetMode="External"/><Relationship Id="rId345" Type="http://schemas.openxmlformats.org/officeDocument/2006/relationships/hyperlink" Target="https://en.wikipedia.org/wiki/DeathSpank:_Thongs_of_Virtue" TargetMode="External"/><Relationship Id="rId552" Type="http://schemas.openxmlformats.org/officeDocument/2006/relationships/hyperlink" Target="https://en.wikipedia.org/wiki/EA_Canada" TargetMode="External"/><Relationship Id="rId997" Type="http://schemas.openxmlformats.org/officeDocument/2006/relationships/hyperlink" Target="https://en.wikipedia.org/wiki/EA_Tiburon" TargetMode="External"/><Relationship Id="rId1182" Type="http://schemas.openxmlformats.org/officeDocument/2006/relationships/hyperlink" Target="https://en.wikipedia.org/wiki/Android_(operating_system)" TargetMode="External"/><Relationship Id="rId2026" Type="http://schemas.openxmlformats.org/officeDocument/2006/relationships/hyperlink" Target="https://en.wikipedia.org/wiki/Maxis_Redwood_Shores" TargetMode="External"/><Relationship Id="rId2233" Type="http://schemas.openxmlformats.org/officeDocument/2006/relationships/hyperlink" Target="https://en.wikipedia.org/wiki/WarFriends" TargetMode="External"/><Relationship Id="rId2440" Type="http://schemas.openxmlformats.org/officeDocument/2006/relationships/hyperlink" Target="https://en.wikipedia.org/wiki/Xbox_One" TargetMode="External"/><Relationship Id="rId205" Type="http://schemas.openxmlformats.org/officeDocument/2006/relationships/hyperlink" Target="https://en.wikipedia.org/wiki/PopCap_Games" TargetMode="External"/><Relationship Id="rId412" Type="http://schemas.openxmlformats.org/officeDocument/2006/relationships/hyperlink" Target="https://en.wikipedia.org/wiki/Xbox_360" TargetMode="External"/><Relationship Id="rId857" Type="http://schemas.openxmlformats.org/officeDocument/2006/relationships/hyperlink" Target="https://en.wikipedia.org/wiki/EA_Phenomic" TargetMode="External"/><Relationship Id="rId1042" Type="http://schemas.openxmlformats.org/officeDocument/2006/relationships/hyperlink" Target="https://en.wikipedia.org/wiki/PlayStation_4" TargetMode="External"/><Relationship Id="rId1487" Type="http://schemas.openxmlformats.org/officeDocument/2006/relationships/hyperlink" Target="https://en.wikipedia.org/wiki/Plants_vs._Zombies:_Garden_Warfare" TargetMode="External"/><Relationship Id="rId1694" Type="http://schemas.openxmlformats.org/officeDocument/2006/relationships/hyperlink" Target="https://en.wikipedia.org/wiki/Xbox_360" TargetMode="External"/><Relationship Id="rId2300" Type="http://schemas.openxmlformats.org/officeDocument/2006/relationships/hyperlink" Target="https://en.wikipedia.org/wiki/Microsoft_Windows" TargetMode="External"/><Relationship Id="rId2538" Type="http://schemas.openxmlformats.org/officeDocument/2006/relationships/hyperlink" Target="https://en.wikipedia.org/wiki/Xbox_Series_X_and_Series_S" TargetMode="External"/><Relationship Id="rId717" Type="http://schemas.openxmlformats.org/officeDocument/2006/relationships/hyperlink" Target="https://en.wikipedia.org/wiki/EA_Vancouver" TargetMode="External"/><Relationship Id="rId924" Type="http://schemas.openxmlformats.org/officeDocument/2006/relationships/hyperlink" Target="https://en.wikipedia.org/wiki/Xbox_One" TargetMode="External"/><Relationship Id="rId1347" Type="http://schemas.openxmlformats.org/officeDocument/2006/relationships/hyperlink" Target="https://en.wikipedia.org/wiki/NHL_11" TargetMode="External"/><Relationship Id="rId1554" Type="http://schemas.openxmlformats.org/officeDocument/2006/relationships/hyperlink" Target="https://en.wikipedia.org/wiki/PlayStation_Network" TargetMode="External"/><Relationship Id="rId1761" Type="http://schemas.openxmlformats.org/officeDocument/2006/relationships/hyperlink" Target="https://en.wikipedia.org/wiki/EA_Mobile" TargetMode="External"/><Relationship Id="rId1999" Type="http://schemas.openxmlformats.org/officeDocument/2006/relationships/hyperlink" Target="https://en.wikipedia.org/wiki/Maxis_Redwood_Shores" TargetMode="External"/><Relationship Id="rId53" Type="http://schemas.openxmlformats.org/officeDocument/2006/relationships/hyperlink" Target="https://en.wikipedia.org/wiki/PlayStation_4" TargetMode="External"/><Relationship Id="rId1207" Type="http://schemas.openxmlformats.org/officeDocument/2006/relationships/hyperlink" Target="https://en.wikipedia.org/wiki/NCAA_Football_13" TargetMode="External"/><Relationship Id="rId1414" Type="http://schemas.openxmlformats.org/officeDocument/2006/relationships/hyperlink" Target="https://en.wikipedia.org/wiki/PlayStation_4" TargetMode="External"/><Relationship Id="rId1621" Type="http://schemas.openxmlformats.org/officeDocument/2006/relationships/hyperlink" Target="https://en.wikipedia.org/wiki/Xbox_360" TargetMode="External"/><Relationship Id="rId1859" Type="http://schemas.openxmlformats.org/officeDocument/2006/relationships/hyperlink" Target="https://en.wikipedia.org/wiki/The_Sims_3:_Seasons" TargetMode="External"/><Relationship Id="rId1719" Type="http://schemas.openxmlformats.org/officeDocument/2006/relationships/hyperlink" Target="https://en.wikipedia.org/wiki/Respawn_Entertainment" TargetMode="External"/><Relationship Id="rId1926" Type="http://schemas.openxmlformats.org/officeDocument/2006/relationships/hyperlink" Target="https://en.wikipedia.org/wiki/PlayStation_4" TargetMode="External"/><Relationship Id="rId2090" Type="http://schemas.openxmlformats.org/officeDocument/2006/relationships/hyperlink" Target="https://en.wikipedia.org/wiki/The_Sims_4:_Vampires" TargetMode="External"/><Relationship Id="rId2188" Type="http://schemas.openxmlformats.org/officeDocument/2006/relationships/hyperlink" Target="https://en.wikipedia.org/wiki/Titanfall_2" TargetMode="External"/><Relationship Id="rId2395" Type="http://schemas.openxmlformats.org/officeDocument/2006/relationships/hyperlink" Target="https://en.wikipedia.org/wiki/EA_DICE" TargetMode="External"/><Relationship Id="rId367" Type="http://schemas.openxmlformats.org/officeDocument/2006/relationships/hyperlink" Target="https://en.wikipedia.org/wiki/Xbox_360" TargetMode="External"/><Relationship Id="rId574" Type="http://schemas.openxmlformats.org/officeDocument/2006/relationships/hyperlink" Target="https://en.wikipedia.org/wiki/FIFA_14" TargetMode="External"/><Relationship Id="rId2048" Type="http://schemas.openxmlformats.org/officeDocument/2006/relationships/hyperlink" Target="https://en.wikipedia.org/wiki/The_Sims_4:_Realm_of_Magic" TargetMode="External"/><Relationship Id="rId2255" Type="http://schemas.openxmlformats.org/officeDocument/2006/relationships/hyperlink" Target="https://en.wikipedia.org/wiki/Xbox_Live_Arcade" TargetMode="External"/><Relationship Id="rId227" Type="http://schemas.openxmlformats.org/officeDocument/2006/relationships/hyperlink" Target="https://en.wikipedia.org/wiki/Burnout_Paradise" TargetMode="External"/><Relationship Id="rId781" Type="http://schemas.openxmlformats.org/officeDocument/2006/relationships/hyperlink" Target="https://en.wikipedia.org/wiki/EA_Canada" TargetMode="External"/><Relationship Id="rId879" Type="http://schemas.openxmlformats.org/officeDocument/2006/relationships/hyperlink" Target="https://en.wikipedia.org/wiki/IOS" TargetMode="External"/><Relationship Id="rId2462" Type="http://schemas.openxmlformats.org/officeDocument/2006/relationships/hyperlink" Target="https://en.wikipedia.org/wiki/Dead_Space_(2023_video_game)" TargetMode="External"/><Relationship Id="rId434" Type="http://schemas.openxmlformats.org/officeDocument/2006/relationships/hyperlink" Target="https://en.wikipedia.org/wiki/PlayStation_4" TargetMode="External"/><Relationship Id="rId641" Type="http://schemas.openxmlformats.org/officeDocument/2006/relationships/hyperlink" Target="https://en.wikipedia.org/wiki/Windows_Phone" TargetMode="External"/><Relationship Id="rId739" Type="http://schemas.openxmlformats.org/officeDocument/2006/relationships/hyperlink" Target="https://en.wikipedia.org/wiki/FIFA_Mobile" TargetMode="External"/><Relationship Id="rId1064" Type="http://schemas.openxmlformats.org/officeDocument/2006/relationships/hyperlink" Target="https://en.wikipedia.org/wiki/Danger_Close_Games" TargetMode="External"/><Relationship Id="rId1271" Type="http://schemas.openxmlformats.org/officeDocument/2006/relationships/hyperlink" Target="https://en.wikipedia.org/wiki/Wii" TargetMode="External"/><Relationship Id="rId1369" Type="http://schemas.openxmlformats.org/officeDocument/2006/relationships/hyperlink" Target="https://en.wikipedia.org/wiki/Xbox_360" TargetMode="External"/><Relationship Id="rId1576" Type="http://schemas.openxmlformats.org/officeDocument/2006/relationships/hyperlink" Target="https://en.wikipedia.org/wiki/Xbox_One" TargetMode="External"/><Relationship Id="rId2115" Type="http://schemas.openxmlformats.org/officeDocument/2006/relationships/hyperlink" Target="https://en.wikipedia.org/wiki/The_Sims_Medieval" TargetMode="External"/><Relationship Id="rId2322" Type="http://schemas.openxmlformats.org/officeDocument/2006/relationships/hyperlink" Target="https://en.wikipedia.org/wiki/It_Takes_Two_(video_game)" TargetMode="External"/><Relationship Id="rId501" Type="http://schemas.openxmlformats.org/officeDocument/2006/relationships/hyperlink" Target="https://en.wikipedia.org/wiki/EA_Canada" TargetMode="External"/><Relationship Id="rId946" Type="http://schemas.openxmlformats.org/officeDocument/2006/relationships/hyperlink" Target="https://en.wikipedia.org/wiki/EA_Tiburon" TargetMode="External"/><Relationship Id="rId1131" Type="http://schemas.openxmlformats.org/officeDocument/2006/relationships/hyperlink" Target="https://en.wikipedia.org/wiki/IOS" TargetMode="External"/><Relationship Id="rId1229" Type="http://schemas.openxmlformats.org/officeDocument/2006/relationships/hyperlink" Target="https://en.wikipedia.org/wiki/Microsoft_Windows" TargetMode="External"/><Relationship Id="rId1783" Type="http://schemas.openxmlformats.org/officeDocument/2006/relationships/hyperlink" Target="https://en.wikipedia.org/wiki/Windows_Phone" TargetMode="External"/><Relationship Id="rId1990" Type="http://schemas.openxmlformats.org/officeDocument/2006/relationships/hyperlink" Target="https://en.wikipedia.org/wiki/Maxis_Redwood_Shores" TargetMode="External"/><Relationship Id="rId75" Type="http://schemas.openxmlformats.org/officeDocument/2006/relationships/hyperlink" Target="https://en.wikipedia.org/wiki/Respawn_Entertainment" TargetMode="External"/><Relationship Id="rId806" Type="http://schemas.openxmlformats.org/officeDocument/2006/relationships/hyperlink" Target="https://en.wikipedia.org/wiki/Harry_Potter_and_the_Deathly_Hallows_%E2%80%93_Part_2_(video_game)" TargetMode="External"/><Relationship Id="rId1436" Type="http://schemas.openxmlformats.org/officeDocument/2006/relationships/hyperlink" Target="https://en.wikipedia.org/wiki/PlayStation_4" TargetMode="External"/><Relationship Id="rId1643" Type="http://schemas.openxmlformats.org/officeDocument/2006/relationships/hyperlink" Target="https://en.wikipedia.org/wiki/Maxis_Emeryville" TargetMode="External"/><Relationship Id="rId1850" Type="http://schemas.openxmlformats.org/officeDocument/2006/relationships/hyperlink" Target="https://en.wikipedia.org/wiki/The_Sims_3:_Pets" TargetMode="External"/><Relationship Id="rId1503" Type="http://schemas.openxmlformats.org/officeDocument/2006/relationships/hyperlink" Target="https://en.wikipedia.org/wiki/Microsoft_Windows" TargetMode="External"/><Relationship Id="rId1710" Type="http://schemas.openxmlformats.org/officeDocument/2006/relationships/hyperlink" Target="https://en.wikipedia.org/wiki/EA_DICE" TargetMode="External"/><Relationship Id="rId1948" Type="http://schemas.openxmlformats.org/officeDocument/2006/relationships/hyperlink" Target="https://en.wikipedia.org/wiki/Maxis_Redwood_Shores" TargetMode="External"/><Relationship Id="rId291" Type="http://schemas.openxmlformats.org/officeDocument/2006/relationships/hyperlink" Target="https://en.wikipedia.org/wiki/Visceral_Games" TargetMode="External"/><Relationship Id="rId1808" Type="http://schemas.openxmlformats.org/officeDocument/2006/relationships/hyperlink" Target="https://en.wikipedia.org/wiki/The_Sims_3:_Ambitions" TargetMode="External"/><Relationship Id="rId151" Type="http://schemas.openxmlformats.org/officeDocument/2006/relationships/hyperlink" Target="https://en.wikipedia.org/wiki/PlayStation_3" TargetMode="External"/><Relationship Id="rId389" Type="http://schemas.openxmlformats.org/officeDocument/2006/relationships/hyperlink" Target="https://en.wikipedia.org/wiki/Dragon_Age:_Origins_%E2%80%93_Awakening" TargetMode="External"/><Relationship Id="rId596" Type="http://schemas.openxmlformats.org/officeDocument/2006/relationships/hyperlink" Target="https://en.wikipedia.org/wiki/Microsoft_Windows" TargetMode="External"/><Relationship Id="rId2277" Type="http://schemas.openxmlformats.org/officeDocument/2006/relationships/hyperlink" Target="https://en.wikipedia.org/wiki/Xbox_One" TargetMode="External"/><Relationship Id="rId2484" Type="http://schemas.openxmlformats.org/officeDocument/2006/relationships/hyperlink" Target="https://en.wikipedia.org/wiki/Star_Wars_Jedi:_Survivor" TargetMode="External"/><Relationship Id="rId249" Type="http://schemas.openxmlformats.org/officeDocument/2006/relationships/hyperlink" Target="https://en.wikipedia.org/wiki/IOS" TargetMode="External"/><Relationship Id="rId456" Type="http://schemas.openxmlformats.org/officeDocument/2006/relationships/hyperlink" Target="https://en.wikipedia.org/wiki/Zoink" TargetMode="External"/><Relationship Id="rId663" Type="http://schemas.openxmlformats.org/officeDocument/2006/relationships/hyperlink" Target="https://en.wikipedia.org/wiki/EA_Canada" TargetMode="External"/><Relationship Id="rId870" Type="http://schemas.openxmlformats.org/officeDocument/2006/relationships/hyperlink" Target="https://en.wikipedia.org/wiki/Madden_NFL_11" TargetMode="External"/><Relationship Id="rId1086" Type="http://schemas.openxmlformats.org/officeDocument/2006/relationships/hyperlink" Target="https://en.wikipedia.org/wiki/Mirror%27s_Edge" TargetMode="External"/><Relationship Id="rId1293" Type="http://schemas.openxmlformats.org/officeDocument/2006/relationships/hyperlink" Target="https://en.wikipedia.org/wiki/Criterion_Games" TargetMode="External"/><Relationship Id="rId2137" Type="http://schemas.openxmlformats.org/officeDocument/2006/relationships/hyperlink" Target="https://en.wikipedia.org/wiki/Tiger_Woods_PGA_Tour_11" TargetMode="External"/><Relationship Id="rId2344" Type="http://schemas.openxmlformats.org/officeDocument/2006/relationships/hyperlink" Target="https://en.wikipedia.org/wiki/Maxis_Redwood_Shores" TargetMode="External"/><Relationship Id="rId2551" Type="http://schemas.openxmlformats.org/officeDocument/2006/relationships/hyperlink" Target="https://en.wikipedia.org/wiki/PlayStation_4" TargetMode="External"/><Relationship Id="rId109" Type="http://schemas.openxmlformats.org/officeDocument/2006/relationships/hyperlink" Target="https://en.wikipedia.org/wiki/Auditorium_(video_game)" TargetMode="External"/><Relationship Id="rId316" Type="http://schemas.openxmlformats.org/officeDocument/2006/relationships/hyperlink" Target="https://en.wikipedia.org/wiki/Xbox_360" TargetMode="External"/><Relationship Id="rId523" Type="http://schemas.openxmlformats.org/officeDocument/2006/relationships/hyperlink" Target="https://en.wikipedia.org/wiki/FIFA_12" TargetMode="External"/><Relationship Id="rId968" Type="http://schemas.openxmlformats.org/officeDocument/2006/relationships/hyperlink" Target="https://en.wikipedia.org/wiki/Madden_NFL_20" TargetMode="External"/><Relationship Id="rId1153" Type="http://schemas.openxmlformats.org/officeDocument/2006/relationships/hyperlink" Target="https://en.wikipedia.org/wiki/EA_Tiburon" TargetMode="External"/><Relationship Id="rId1598" Type="http://schemas.openxmlformats.org/officeDocument/2006/relationships/hyperlink" Target="https://en.wikipedia.org/wiki/Grasshopper_Manufacture" TargetMode="External"/><Relationship Id="rId2204" Type="http://schemas.openxmlformats.org/officeDocument/2006/relationships/hyperlink" Target="https://en.wikipedia.org/wiki/EA_Canada" TargetMode="External"/><Relationship Id="rId97" Type="http://schemas.openxmlformats.org/officeDocument/2006/relationships/hyperlink" Target="https://en.wikipedia.org/wiki/PlayStation_3" TargetMode="External"/><Relationship Id="rId730" Type="http://schemas.openxmlformats.org/officeDocument/2006/relationships/hyperlink" Target="https://en.wikipedia.org/wiki/Microsoft_Windows" TargetMode="External"/><Relationship Id="rId828" Type="http://schemas.openxmlformats.org/officeDocument/2006/relationships/hyperlink" Target="https://en.wikipedia.org/wiki/PlayStation_3" TargetMode="External"/><Relationship Id="rId1013" Type="http://schemas.openxmlformats.org/officeDocument/2006/relationships/hyperlink" Target="https://en.wikipedia.org/wiki/Microsoft_Windows" TargetMode="External"/><Relationship Id="rId1360" Type="http://schemas.openxmlformats.org/officeDocument/2006/relationships/hyperlink" Target="https://en.wikipedia.org/wiki/PlayStation_3" TargetMode="External"/><Relationship Id="rId1458" Type="http://schemas.openxmlformats.org/officeDocument/2006/relationships/hyperlink" Target="https://en.wikipedia.org/wiki/BlackBerry_World" TargetMode="External"/><Relationship Id="rId1665" Type="http://schemas.openxmlformats.org/officeDocument/2006/relationships/hyperlink" Target="https://en.wikipedia.org/wiki/IOS" TargetMode="External"/><Relationship Id="rId1872" Type="http://schemas.openxmlformats.org/officeDocument/2006/relationships/hyperlink" Target="https://en.wikipedia.org/wiki/Macintosh" TargetMode="External"/><Relationship Id="rId2411" Type="http://schemas.openxmlformats.org/officeDocument/2006/relationships/hyperlink" Target="https://en.wikipedia.org/wiki/Xbox_Series_X_and_Series_S" TargetMode="External"/><Relationship Id="rId2509" Type="http://schemas.openxmlformats.org/officeDocument/2006/relationships/hyperlink" Target="https://en.wikipedia.org/wiki/PlayStation_4" TargetMode="External"/><Relationship Id="rId1220" Type="http://schemas.openxmlformats.org/officeDocument/2006/relationships/hyperlink" Target="https://en.wikipedia.org/wiki/Xbox_One" TargetMode="External"/><Relationship Id="rId1318" Type="http://schemas.openxmlformats.org/officeDocument/2006/relationships/hyperlink" Target="https://en.wikipedia.org/wiki/Need_for_Speed:_The_Run" TargetMode="External"/><Relationship Id="rId1525" Type="http://schemas.openxmlformats.org/officeDocument/2006/relationships/hyperlink" Target="https://en.wikipedia.org/wiki/Xbox_360" TargetMode="External"/><Relationship Id="rId1732" Type="http://schemas.openxmlformats.org/officeDocument/2006/relationships/hyperlink" Target="https://en.wikipedia.org/wiki/Star_Wars_Jedi:_Fallen_Order" TargetMode="External"/><Relationship Id="rId24" Type="http://schemas.openxmlformats.org/officeDocument/2006/relationships/hyperlink" Target="https://en.wikipedia.org/wiki/Hazelight_Studios" TargetMode="External"/><Relationship Id="rId2299" Type="http://schemas.openxmlformats.org/officeDocument/2006/relationships/hyperlink" Target="https://en.wikipedia.org/wiki/PlayStation_4" TargetMode="External"/><Relationship Id="rId173" Type="http://schemas.openxmlformats.org/officeDocument/2006/relationships/hyperlink" Target="https://en.wikipedia.org/wiki/Battlefield_Hardline" TargetMode="External"/><Relationship Id="rId380" Type="http://schemas.openxmlformats.org/officeDocument/2006/relationships/hyperlink" Target="https://en.wikipedia.org/wiki/Dragon_Age:_Inquisition" TargetMode="External"/><Relationship Id="rId2061" Type="http://schemas.openxmlformats.org/officeDocument/2006/relationships/hyperlink" Target="https://en.wikipedia.org/wiki/Xbox_One" TargetMode="External"/><Relationship Id="rId240" Type="http://schemas.openxmlformats.org/officeDocument/2006/relationships/hyperlink" Target="https://en.wikipedia.org/wiki/Command_%26_Conquer_4:_Tiberian_Twilight" TargetMode="External"/><Relationship Id="rId478" Type="http://schemas.openxmlformats.org/officeDocument/2006/relationships/hyperlink" Target="https://en.wikipedia.org/wiki/FIFA_11" TargetMode="External"/><Relationship Id="rId685" Type="http://schemas.openxmlformats.org/officeDocument/2006/relationships/hyperlink" Target="https://en.wikipedia.org/wiki/FIFA_18" TargetMode="External"/><Relationship Id="rId892" Type="http://schemas.openxmlformats.org/officeDocument/2006/relationships/hyperlink" Target="https://en.wikipedia.org/wiki/EA_Tiburon" TargetMode="External"/><Relationship Id="rId2159" Type="http://schemas.openxmlformats.org/officeDocument/2006/relationships/hyperlink" Target="https://en.wikipedia.org/wiki/Macintosh" TargetMode="External"/><Relationship Id="rId2366" Type="http://schemas.openxmlformats.org/officeDocument/2006/relationships/hyperlink" Target="https://en.wikipedia.org/wiki/Xbox_One" TargetMode="External"/><Relationship Id="rId2573" Type="http://schemas.openxmlformats.org/officeDocument/2006/relationships/hyperlink" Target="https://en.wikipedia.org/wiki/Microsoft_Windows" TargetMode="External"/><Relationship Id="rId100" Type="http://schemas.openxmlformats.org/officeDocument/2006/relationships/hyperlink" Target="https://en.wikipedia.org/wiki/Auditorium_(video_game)" TargetMode="External"/><Relationship Id="rId338" Type="http://schemas.openxmlformats.org/officeDocument/2006/relationships/hyperlink" Target="https://en.wikipedia.org/wiki/Hothead_Games" TargetMode="External"/><Relationship Id="rId545" Type="http://schemas.openxmlformats.org/officeDocument/2006/relationships/hyperlink" Target="https://en.wikipedia.org/wiki/PlayStation_3" TargetMode="External"/><Relationship Id="rId752" Type="http://schemas.openxmlformats.org/officeDocument/2006/relationships/hyperlink" Target="https://en.wikipedia.org/wiki/EA_Canada" TargetMode="External"/><Relationship Id="rId1175" Type="http://schemas.openxmlformats.org/officeDocument/2006/relationships/hyperlink" Target="https://en.wikipedia.org/wiki/NBA_Live_19" TargetMode="External"/><Relationship Id="rId1382" Type="http://schemas.openxmlformats.org/officeDocument/2006/relationships/hyperlink" Target="https://en.wikipedia.org/wiki/EA_Canada" TargetMode="External"/><Relationship Id="rId2019" Type="http://schemas.openxmlformats.org/officeDocument/2006/relationships/hyperlink" Target="https://en.wikipedia.org/wiki/Microsoft_Windows" TargetMode="External"/><Relationship Id="rId2226" Type="http://schemas.openxmlformats.org/officeDocument/2006/relationships/hyperlink" Target="https://en.wikipedia.org/wiki/Microsoft_Windows" TargetMode="External"/><Relationship Id="rId2433" Type="http://schemas.openxmlformats.org/officeDocument/2006/relationships/hyperlink" Target="https://en.wikipedia.org/wiki/Xbox_Series_X_and_Series_S" TargetMode="External"/><Relationship Id="rId405" Type="http://schemas.openxmlformats.org/officeDocument/2006/relationships/hyperlink" Target="https://en.wikipedia.org/wiki/EA_Sports_Active_2" TargetMode="External"/><Relationship Id="rId612" Type="http://schemas.openxmlformats.org/officeDocument/2006/relationships/hyperlink" Target="https://en.wikipedia.org/wiki/EA_Canada" TargetMode="External"/><Relationship Id="rId1035" Type="http://schemas.openxmlformats.org/officeDocument/2006/relationships/hyperlink" Target="https://en.wikipedia.org/wiki/Mass_Effect_Infiltrator" TargetMode="External"/><Relationship Id="rId1242" Type="http://schemas.openxmlformats.org/officeDocument/2006/relationships/hyperlink" Target="https://en.wikipedia.org/wiki/Ghost_Games" TargetMode="External"/><Relationship Id="rId1687" Type="http://schemas.openxmlformats.org/officeDocument/2006/relationships/hyperlink" Target="https://en.wikipedia.org/wiki/Spy_Mouse" TargetMode="External"/><Relationship Id="rId1894" Type="http://schemas.openxmlformats.org/officeDocument/2006/relationships/hyperlink" Target="https://en.wikipedia.org/wiki/Maxis" TargetMode="External"/><Relationship Id="rId2500" Type="http://schemas.openxmlformats.org/officeDocument/2006/relationships/hyperlink" Target="https://en.wikipedia.org/wiki/PlayStation_4" TargetMode="External"/><Relationship Id="rId917" Type="http://schemas.openxmlformats.org/officeDocument/2006/relationships/hyperlink" Target="https://en.wikipedia.org/wiki/Madden_NFL_15" TargetMode="External"/><Relationship Id="rId1102" Type="http://schemas.openxmlformats.org/officeDocument/2006/relationships/hyperlink" Target="https://en.wikipedia.org/wiki/EA_Salt_Lake" TargetMode="External"/><Relationship Id="rId1547" Type="http://schemas.openxmlformats.org/officeDocument/2006/relationships/hyperlink" Target="https://en.wikipedia.org/wiki/IOS" TargetMode="External"/><Relationship Id="rId1754" Type="http://schemas.openxmlformats.org/officeDocument/2006/relationships/hyperlink" Target="https://en.wikipedia.org/wiki/Microsoft_Windows" TargetMode="External"/><Relationship Id="rId1961" Type="http://schemas.openxmlformats.org/officeDocument/2006/relationships/hyperlink" Target="https://en.wikipedia.org/wiki/The_Sims_4:_Get_Famous" TargetMode="External"/><Relationship Id="rId46" Type="http://schemas.openxmlformats.org/officeDocument/2006/relationships/hyperlink" Target="https://en.wikipedia.org/wiki/American_McGee%27s_Alice" TargetMode="External"/><Relationship Id="rId1407" Type="http://schemas.openxmlformats.org/officeDocument/2006/relationships/hyperlink" Target="https://en.wikipedia.org/wiki/NHL_19" TargetMode="External"/><Relationship Id="rId1614" Type="http://schemas.openxmlformats.org/officeDocument/2006/relationships/hyperlink" Target="https://en.wikipedia.org/wiki/Shank_2" TargetMode="External"/><Relationship Id="rId1821" Type="http://schemas.openxmlformats.org/officeDocument/2006/relationships/hyperlink" Target="https://en.wikipedia.org/wiki/Macintosh" TargetMode="External"/><Relationship Id="rId195" Type="http://schemas.openxmlformats.org/officeDocument/2006/relationships/hyperlink" Target="https://en.wikipedia.org/wiki/IOS" TargetMode="External"/><Relationship Id="rId1919" Type="http://schemas.openxmlformats.org/officeDocument/2006/relationships/hyperlink" Target="https://en.wikipedia.org/wiki/The_Sims_4:_City_Living" TargetMode="External"/><Relationship Id="rId2083" Type="http://schemas.openxmlformats.org/officeDocument/2006/relationships/hyperlink" Target="https://en.wikipedia.org/wiki/Maxis_Redwood_Shores" TargetMode="External"/><Relationship Id="rId2290" Type="http://schemas.openxmlformats.org/officeDocument/2006/relationships/hyperlink" Target="https://en.wikipedia.org/wiki/Microsoft_Windows" TargetMode="External"/><Relationship Id="rId2388" Type="http://schemas.openxmlformats.org/officeDocument/2006/relationships/hyperlink" Target="https://en.wikipedia.org/wiki/PlayStation_4" TargetMode="External"/><Relationship Id="rId2595" Type="http://schemas.openxmlformats.org/officeDocument/2006/relationships/printerSettings" Target="../printerSettings/printerSettings3.bin"/><Relationship Id="rId262" Type="http://schemas.openxmlformats.org/officeDocument/2006/relationships/hyperlink" Target="https://en.wikipedia.org/wiki/Create_(video_game)" TargetMode="External"/><Relationship Id="rId567" Type="http://schemas.openxmlformats.org/officeDocument/2006/relationships/hyperlink" Target="https://en.wikipedia.org/wiki/EA_Canada" TargetMode="External"/><Relationship Id="rId1197" Type="http://schemas.openxmlformats.org/officeDocument/2006/relationships/hyperlink" Target="https://en.wikipedia.org/wiki/EA_Tiburon" TargetMode="External"/><Relationship Id="rId2150" Type="http://schemas.openxmlformats.org/officeDocument/2006/relationships/hyperlink" Target="https://en.wikipedia.org/wiki/PlayStation_3" TargetMode="External"/><Relationship Id="rId2248" Type="http://schemas.openxmlformats.org/officeDocument/2006/relationships/hyperlink" Target="https://en.wikipedia.org/wiki/Zuma%27s_Revenge!" TargetMode="External"/><Relationship Id="rId122" Type="http://schemas.openxmlformats.org/officeDocument/2006/relationships/hyperlink" Target="https://en.wikipedia.org/wiki/EA_DICE" TargetMode="External"/><Relationship Id="rId774" Type="http://schemas.openxmlformats.org/officeDocument/2006/relationships/hyperlink" Target="https://en.wikipedia.org/wiki/Xbox_360" TargetMode="External"/><Relationship Id="rId981" Type="http://schemas.openxmlformats.org/officeDocument/2006/relationships/hyperlink" Target="https://en.wikipedia.org/wiki/Xbox_360" TargetMode="External"/><Relationship Id="rId1057" Type="http://schemas.openxmlformats.org/officeDocument/2006/relationships/hyperlink" Target="https://en.wikipedia.org/wiki/Xbox_360" TargetMode="External"/><Relationship Id="rId2010" Type="http://schemas.openxmlformats.org/officeDocument/2006/relationships/hyperlink" Target="https://en.wikipedia.org/wiki/PlayStation_4" TargetMode="External"/><Relationship Id="rId2455" Type="http://schemas.openxmlformats.org/officeDocument/2006/relationships/hyperlink" Target="https://en.wikipedia.org/wiki/Xbox_One" TargetMode="External"/><Relationship Id="rId427" Type="http://schemas.openxmlformats.org/officeDocument/2006/relationships/hyperlink" Target="https://en.wikipedia.org/wiki/Xbox_360" TargetMode="External"/><Relationship Id="rId634" Type="http://schemas.openxmlformats.org/officeDocument/2006/relationships/hyperlink" Target="https://en.wikipedia.org/wiki/FIFA_15" TargetMode="External"/><Relationship Id="rId841" Type="http://schemas.openxmlformats.org/officeDocument/2006/relationships/hyperlink" Target="https://en.wikipedia.org/wiki/IOS" TargetMode="External"/><Relationship Id="rId1264" Type="http://schemas.openxmlformats.org/officeDocument/2006/relationships/hyperlink" Target="https://en.wikipedia.org/wiki/Need_for_Speed:_Hot_Pursuit_(2010_video_game)" TargetMode="External"/><Relationship Id="rId1471" Type="http://schemas.openxmlformats.org/officeDocument/2006/relationships/hyperlink" Target="https://en.wikipedia.org/wiki/PopCap_Games" TargetMode="External"/><Relationship Id="rId1569" Type="http://schemas.openxmlformats.org/officeDocument/2006/relationships/hyperlink" Target="https://en.wikipedia.org/wiki/Rock_Band_Reloaded" TargetMode="External"/><Relationship Id="rId2108" Type="http://schemas.openxmlformats.org/officeDocument/2006/relationships/hyperlink" Target="https://en.wikipedia.org/wiki/IOS" TargetMode="External"/><Relationship Id="rId2315" Type="http://schemas.openxmlformats.org/officeDocument/2006/relationships/hyperlink" Target="https://en.wikipedia.org/wiki/PlayStation_4" TargetMode="External"/><Relationship Id="rId2522" Type="http://schemas.openxmlformats.org/officeDocument/2006/relationships/hyperlink" Target="https://en.wikipedia.org/wiki/Ascendant_Studios" TargetMode="External"/><Relationship Id="rId701" Type="http://schemas.openxmlformats.org/officeDocument/2006/relationships/hyperlink" Target="https://en.wikipedia.org/wiki/PlayStation_3" TargetMode="External"/><Relationship Id="rId939" Type="http://schemas.openxmlformats.org/officeDocument/2006/relationships/hyperlink" Target="https://en.wikipedia.org/wiki/PlayStation_3" TargetMode="External"/><Relationship Id="rId1124" Type="http://schemas.openxmlformats.org/officeDocument/2006/relationships/hyperlink" Target="https://en.wikipedia.org/wiki/NBA_Jam_(2010_video_game)" TargetMode="External"/><Relationship Id="rId1331" Type="http://schemas.openxmlformats.org/officeDocument/2006/relationships/hyperlink" Target="https://en.wikipedia.org/wiki/Microsoft_Windows" TargetMode="External"/><Relationship Id="rId1776" Type="http://schemas.openxmlformats.org/officeDocument/2006/relationships/hyperlink" Target="https://en.wikipedia.org/wiki/The_Simpsons:_Tapped_Out" TargetMode="External"/><Relationship Id="rId1983" Type="http://schemas.openxmlformats.org/officeDocument/2006/relationships/hyperlink" Target="https://en.wikipedia.org/wiki/Microsoft_Windows" TargetMode="External"/><Relationship Id="rId68" Type="http://schemas.openxmlformats.org/officeDocument/2006/relationships/hyperlink" Target="https://en.wikipedia.org/wiki/Xbox_Series_X/S" TargetMode="External"/><Relationship Id="rId1429" Type="http://schemas.openxmlformats.org/officeDocument/2006/relationships/hyperlink" Target="https://en.wikipedia.org/wiki/Peggle_2" TargetMode="External"/><Relationship Id="rId1636" Type="http://schemas.openxmlformats.org/officeDocument/2006/relationships/hyperlink" Target="https://en.wikipedia.org/wiki/Xbox_360" TargetMode="External"/><Relationship Id="rId1843" Type="http://schemas.openxmlformats.org/officeDocument/2006/relationships/hyperlink" Target="https://en.wikipedia.org/wiki/Maxis_Redwood_Shores" TargetMode="External"/><Relationship Id="rId1703" Type="http://schemas.openxmlformats.org/officeDocument/2006/relationships/hyperlink" Target="https://en.wikipedia.org/wiki/Microsoft_Windows" TargetMode="External"/><Relationship Id="rId1910" Type="http://schemas.openxmlformats.org/officeDocument/2006/relationships/hyperlink" Target="https://en.wikipedia.org/wiki/The_Sims_4:_Cats_%26_Dogs" TargetMode="External"/><Relationship Id="rId284" Type="http://schemas.openxmlformats.org/officeDocument/2006/relationships/hyperlink" Target="https://en.wikipedia.org/wiki/Microsoft_Windows" TargetMode="External"/><Relationship Id="rId491" Type="http://schemas.openxmlformats.org/officeDocument/2006/relationships/hyperlink" Target="https://en.wikipedia.org/wiki/Microsoft_Windows" TargetMode="External"/><Relationship Id="rId2172" Type="http://schemas.openxmlformats.org/officeDocument/2006/relationships/hyperlink" Target="https://en.wikipedia.org/wiki/EA_Tiburon" TargetMode="External"/><Relationship Id="rId144" Type="http://schemas.openxmlformats.org/officeDocument/2006/relationships/hyperlink" Target="https://en.wikipedia.org/wiki/Battlefield_4" TargetMode="External"/><Relationship Id="rId589" Type="http://schemas.openxmlformats.org/officeDocument/2006/relationships/hyperlink" Target="https://en.wikipedia.org/wiki/FIFA_14" TargetMode="External"/><Relationship Id="rId796" Type="http://schemas.openxmlformats.org/officeDocument/2006/relationships/hyperlink" Target="https://en.wikipedia.org/wiki/EA_Bright_Light" TargetMode="External"/><Relationship Id="rId2477" Type="http://schemas.openxmlformats.org/officeDocument/2006/relationships/hyperlink" Target="https://en.wikipedia.org/wiki/Xbox_Series_X_and_Series_S" TargetMode="External"/><Relationship Id="rId351" Type="http://schemas.openxmlformats.org/officeDocument/2006/relationships/hyperlink" Target="https://en.wikipedia.org/wiki/DeathSpank:_Thongs_of_Virtue" TargetMode="External"/><Relationship Id="rId449" Type="http://schemas.openxmlformats.org/officeDocument/2006/relationships/hyperlink" Target="https://en.wikipedia.org/wiki/Nintendo_Switch" TargetMode="External"/><Relationship Id="rId656" Type="http://schemas.openxmlformats.org/officeDocument/2006/relationships/hyperlink" Target="https://en.wikipedia.org/wiki/Microsoft_Windows" TargetMode="External"/><Relationship Id="rId863" Type="http://schemas.openxmlformats.org/officeDocument/2006/relationships/hyperlink" Target="https://en.wikipedia.org/wiki/PlayStation_2" TargetMode="External"/><Relationship Id="rId1079" Type="http://schemas.openxmlformats.org/officeDocument/2006/relationships/hyperlink" Target="https://en.wikipedia.org/wiki/EA_Salt_Lake" TargetMode="External"/><Relationship Id="rId1286" Type="http://schemas.openxmlformats.org/officeDocument/2006/relationships/hyperlink" Target="https://en.wikipedia.org/wiki/PlayStation_3" TargetMode="External"/><Relationship Id="rId1493" Type="http://schemas.openxmlformats.org/officeDocument/2006/relationships/hyperlink" Target="https://en.wikipedia.org/wiki/Plants_vs._Zombies:_Garden_Warfare" TargetMode="External"/><Relationship Id="rId2032" Type="http://schemas.openxmlformats.org/officeDocument/2006/relationships/hyperlink" Target="https://en.wikipedia.org/wiki/Maxis_Redwood_Shores" TargetMode="External"/><Relationship Id="rId2337" Type="http://schemas.openxmlformats.org/officeDocument/2006/relationships/hyperlink" Target="https://en.wikipedia.org/wiki/PlayStation_4" TargetMode="External"/><Relationship Id="rId2544" Type="http://schemas.openxmlformats.org/officeDocument/2006/relationships/hyperlink" Target="https://en.wikipedia.org/wiki/PlayStation_5" TargetMode="External"/><Relationship Id="rId211" Type="http://schemas.openxmlformats.org/officeDocument/2006/relationships/hyperlink" Target="https://en.wikipedia.org/wiki/Bulletstorm" TargetMode="External"/><Relationship Id="rId309" Type="http://schemas.openxmlformats.org/officeDocument/2006/relationships/hyperlink" Target="https://en.wikipedia.org/wiki/Dead_Space_2" TargetMode="External"/><Relationship Id="rId516" Type="http://schemas.openxmlformats.org/officeDocument/2006/relationships/hyperlink" Target="https://en.wikipedia.org/wiki/EA_Canada" TargetMode="External"/><Relationship Id="rId1146" Type="http://schemas.openxmlformats.org/officeDocument/2006/relationships/hyperlink" Target="https://en.wikipedia.org/wiki/PlayStation_3" TargetMode="External"/><Relationship Id="rId1798" Type="http://schemas.openxmlformats.org/officeDocument/2006/relationships/hyperlink" Target="https://en.wikipedia.org/wiki/Nintendo_3DS" TargetMode="External"/><Relationship Id="rId723" Type="http://schemas.openxmlformats.org/officeDocument/2006/relationships/hyperlink" Target="https://en.wikipedia.org/wiki/EA_Vancouver" TargetMode="External"/><Relationship Id="rId930" Type="http://schemas.openxmlformats.org/officeDocument/2006/relationships/hyperlink" Target="https://en.wikipedia.org/wiki/PlayStation_4" TargetMode="External"/><Relationship Id="rId1006" Type="http://schemas.openxmlformats.org/officeDocument/2006/relationships/hyperlink" Target="https://en.wikipedia.org/wiki/Facebook" TargetMode="External"/><Relationship Id="rId1353" Type="http://schemas.openxmlformats.org/officeDocument/2006/relationships/hyperlink" Target="https://en.wikipedia.org/wiki/NHL_12" TargetMode="External"/><Relationship Id="rId1560" Type="http://schemas.openxmlformats.org/officeDocument/2006/relationships/hyperlink" Target="https://en.wikipedia.org/wiki/Rock_Band_3" TargetMode="External"/><Relationship Id="rId1658" Type="http://schemas.openxmlformats.org/officeDocument/2006/relationships/hyperlink" Target="https://en.wikipedia.org/wiki/Maxis" TargetMode="External"/><Relationship Id="rId1865" Type="http://schemas.openxmlformats.org/officeDocument/2006/relationships/hyperlink" Target="https://en.wikipedia.org/wiki/The_Sims_3:_Showtime" TargetMode="External"/><Relationship Id="rId2404" Type="http://schemas.openxmlformats.org/officeDocument/2006/relationships/hyperlink" Target="https://en.wikipedia.org/wiki/Microsoft_Windows" TargetMode="External"/><Relationship Id="rId1213" Type="http://schemas.openxmlformats.org/officeDocument/2006/relationships/hyperlink" Target="https://en.wikipedia.org/wiki/NCAA_Football_14" TargetMode="External"/><Relationship Id="rId1420" Type="http://schemas.openxmlformats.org/officeDocument/2006/relationships/hyperlink" Target="https://en.wikipedia.org/wiki/Wii" TargetMode="External"/><Relationship Id="rId1518" Type="http://schemas.openxmlformats.org/officeDocument/2006/relationships/hyperlink" Target="https://en.wikipedia.org/wiki/Rango_(video_game)" TargetMode="External"/><Relationship Id="rId1725" Type="http://schemas.openxmlformats.org/officeDocument/2006/relationships/hyperlink" Target="https://en.wikipedia.org/wiki/Respawn_Entertainment" TargetMode="External"/><Relationship Id="rId1932" Type="http://schemas.openxmlformats.org/officeDocument/2006/relationships/hyperlink" Target="https://en.wikipedia.org/wiki/Macintosh" TargetMode="External"/><Relationship Id="rId17" Type="http://schemas.openxmlformats.org/officeDocument/2006/relationships/hyperlink" Target="https://en.wikipedia.org/wiki/PlayStation_3" TargetMode="External"/><Relationship Id="rId2194" Type="http://schemas.openxmlformats.org/officeDocument/2006/relationships/hyperlink" Target="https://en.wikipedia.org/wiki/Titanfall_2" TargetMode="External"/><Relationship Id="rId166" Type="http://schemas.openxmlformats.org/officeDocument/2006/relationships/hyperlink" Target="https://en.wikipedia.org/wiki/Visceral_Games" TargetMode="External"/><Relationship Id="rId373" Type="http://schemas.openxmlformats.org/officeDocument/2006/relationships/hyperlink" Target="https://en.wikipedia.org/wiki/BioWare" TargetMode="External"/><Relationship Id="rId580" Type="http://schemas.openxmlformats.org/officeDocument/2006/relationships/hyperlink" Target="https://en.wikipedia.org/wiki/FIFA_14" TargetMode="External"/><Relationship Id="rId2054" Type="http://schemas.openxmlformats.org/officeDocument/2006/relationships/hyperlink" Target="https://en.wikipedia.org/wiki/The_Sims_4:_Seasons" TargetMode="External"/><Relationship Id="rId2261" Type="http://schemas.openxmlformats.org/officeDocument/2006/relationships/hyperlink" Target="https://en.wikipedia.org/wiki/Macintosh" TargetMode="External"/><Relationship Id="rId2499" Type="http://schemas.openxmlformats.org/officeDocument/2006/relationships/hyperlink" Target="https://en.wikipedia.org/wiki/F1_23" TargetMode="External"/><Relationship Id="rId1" Type="http://schemas.openxmlformats.org/officeDocument/2006/relationships/hyperlink" Target="https://en.wikipedia.org/wiki/2010_FIFA_World_Cup_South_Africa_(video_game)" TargetMode="External"/><Relationship Id="rId233" Type="http://schemas.openxmlformats.org/officeDocument/2006/relationships/hyperlink" Target="https://en.wikipedia.org/wiki/Burnout_Paradise" TargetMode="External"/><Relationship Id="rId440" Type="http://schemas.openxmlformats.org/officeDocument/2006/relationships/hyperlink" Target="https://en.wikipedia.org/wiki/PlayStation_4" TargetMode="External"/><Relationship Id="rId678" Type="http://schemas.openxmlformats.org/officeDocument/2006/relationships/hyperlink" Target="https://en.wikipedia.org/wiki/EA_Vancouver" TargetMode="External"/><Relationship Id="rId885" Type="http://schemas.openxmlformats.org/officeDocument/2006/relationships/hyperlink" Target="https://en.wikipedia.org/wiki/PlayStation_3" TargetMode="External"/><Relationship Id="rId1070" Type="http://schemas.openxmlformats.org/officeDocument/2006/relationships/hyperlink" Target="https://en.wikipedia.org/wiki/Danger_Close_Games" TargetMode="External"/><Relationship Id="rId2121" Type="http://schemas.openxmlformats.org/officeDocument/2006/relationships/hyperlink" Target="https://en.wikipedia.org/wiki/The_Sims_Medieval:_Pirates_and_Nobles" TargetMode="External"/><Relationship Id="rId2359" Type="http://schemas.openxmlformats.org/officeDocument/2006/relationships/hyperlink" Target="https://en.wikipedia.org/wiki/Xbox_One" TargetMode="External"/><Relationship Id="rId2566" Type="http://schemas.openxmlformats.org/officeDocument/2006/relationships/hyperlink" Target="https://en.wikipedia.org/wiki/Xbox_One" TargetMode="External"/><Relationship Id="rId300" Type="http://schemas.openxmlformats.org/officeDocument/2006/relationships/hyperlink" Target="https://en.wikipedia.org/wiki/Maxis_Emeryville" TargetMode="External"/><Relationship Id="rId538" Type="http://schemas.openxmlformats.org/officeDocument/2006/relationships/hyperlink" Target="https://en.wikipedia.org/wiki/FIFA_13" TargetMode="External"/><Relationship Id="rId745" Type="http://schemas.openxmlformats.org/officeDocument/2006/relationships/hyperlink" Target="https://en.wikipedia.org/wiki/FIFA_Online_4" TargetMode="External"/><Relationship Id="rId952" Type="http://schemas.openxmlformats.org/officeDocument/2006/relationships/hyperlink" Target="https://en.wikipedia.org/wiki/EA_Tiburon" TargetMode="External"/><Relationship Id="rId1168" Type="http://schemas.openxmlformats.org/officeDocument/2006/relationships/hyperlink" Target="https://en.wikipedia.org/wiki/EA_Tiburon" TargetMode="External"/><Relationship Id="rId1375" Type="http://schemas.openxmlformats.org/officeDocument/2006/relationships/hyperlink" Target="https://en.wikipedia.org/wiki/PlayStation_4" TargetMode="External"/><Relationship Id="rId1582" Type="http://schemas.openxmlformats.org/officeDocument/2006/relationships/hyperlink" Target="https://en.wikipedia.org/wiki/PlayStation_4" TargetMode="External"/><Relationship Id="rId2219" Type="http://schemas.openxmlformats.org/officeDocument/2006/relationships/hyperlink" Target="https://en.wikipedia.org/wiki/Unravel_(video_game)" TargetMode="External"/><Relationship Id="rId2426" Type="http://schemas.openxmlformats.org/officeDocument/2006/relationships/hyperlink" Target="https://en.wikipedia.org/wiki/Xbox_Series_X_and_Series_S" TargetMode="External"/><Relationship Id="rId81" Type="http://schemas.openxmlformats.org/officeDocument/2006/relationships/hyperlink" Target="https://en.wikipedia.org/wiki/Apex_Legends" TargetMode="External"/><Relationship Id="rId605" Type="http://schemas.openxmlformats.org/officeDocument/2006/relationships/hyperlink" Target="https://en.wikipedia.org/wiki/Xbox_One" TargetMode="External"/><Relationship Id="rId812" Type="http://schemas.openxmlformats.org/officeDocument/2006/relationships/hyperlink" Target="https://en.wikipedia.org/wiki/Harry_Potter_and_the_Deathly_Hallows_%E2%80%93_Part_2_(video_game)" TargetMode="External"/><Relationship Id="rId1028" Type="http://schemas.openxmlformats.org/officeDocument/2006/relationships/hyperlink" Target="https://en.wikipedia.org/wiki/Xbox_360" TargetMode="External"/><Relationship Id="rId1235" Type="http://schemas.openxmlformats.org/officeDocument/2006/relationships/hyperlink" Target="https://en.wikipedia.org/wiki/PlayStation_4" TargetMode="External"/><Relationship Id="rId1442" Type="http://schemas.openxmlformats.org/officeDocument/2006/relationships/hyperlink" Target="https://en.wikipedia.org/wiki/IOS" TargetMode="External"/><Relationship Id="rId1887" Type="http://schemas.openxmlformats.org/officeDocument/2006/relationships/hyperlink" Target="https://en.wikipedia.org/wiki/Macintosh" TargetMode="External"/><Relationship Id="rId1302" Type="http://schemas.openxmlformats.org/officeDocument/2006/relationships/hyperlink" Target="https://en.wikipedia.org/wiki/Firebrand_Games" TargetMode="External"/><Relationship Id="rId1747" Type="http://schemas.openxmlformats.org/officeDocument/2006/relationships/hyperlink" Target="https://en.wikipedia.org/wiki/Surviving_High_School" TargetMode="External"/><Relationship Id="rId1954" Type="http://schemas.openxmlformats.org/officeDocument/2006/relationships/hyperlink" Target="https://en.wikipedia.org/wiki/Maxis_Redwood_Shores" TargetMode="External"/><Relationship Id="rId39" Type="http://schemas.openxmlformats.org/officeDocument/2006/relationships/hyperlink" Target="https://en.wikipedia.org/wiki/Spicy_Horse" TargetMode="External"/><Relationship Id="rId1607" Type="http://schemas.openxmlformats.org/officeDocument/2006/relationships/hyperlink" Target="https://en.wikipedia.org/wiki/Klei_Entertainment" TargetMode="External"/><Relationship Id="rId1814" Type="http://schemas.openxmlformats.org/officeDocument/2006/relationships/hyperlink" Target="https://en.wikipedia.org/wiki/The_Sims_3:_Ambitions" TargetMode="External"/><Relationship Id="rId188" Type="http://schemas.openxmlformats.org/officeDocument/2006/relationships/hyperlink" Target="https://en.wikipedia.org/wiki/Bejeweled_2" TargetMode="External"/><Relationship Id="rId395" Type="http://schemas.openxmlformats.org/officeDocument/2006/relationships/hyperlink" Target="https://en.wikipedia.org/wiki/Dragon_Age:_Origins_%E2%80%93_Awakening" TargetMode="External"/><Relationship Id="rId2076" Type="http://schemas.openxmlformats.org/officeDocument/2006/relationships/hyperlink" Target="https://en.wikipedia.org/wiki/Macintosh" TargetMode="External"/><Relationship Id="rId2283" Type="http://schemas.openxmlformats.org/officeDocument/2006/relationships/hyperlink" Target="https://en.wikipedia.org/wiki/Microsoft_Windows" TargetMode="External"/><Relationship Id="rId2490" Type="http://schemas.openxmlformats.org/officeDocument/2006/relationships/hyperlink" Target="https://en.wikipedia.org/wiki/IOS" TargetMode="External"/><Relationship Id="rId2588" Type="http://schemas.openxmlformats.org/officeDocument/2006/relationships/hyperlink" Target="https://en.wikipedia.org/wiki/DICE_(company)" TargetMode="External"/><Relationship Id="rId255" Type="http://schemas.openxmlformats.org/officeDocument/2006/relationships/hyperlink" Target="https://en.wikipedia.org/wiki/EA_Bright_Light" TargetMode="External"/><Relationship Id="rId462" Type="http://schemas.openxmlformats.org/officeDocument/2006/relationships/hyperlink" Target="https://en.wikipedia.org/wiki/HB_Studios" TargetMode="External"/><Relationship Id="rId1092" Type="http://schemas.openxmlformats.org/officeDocument/2006/relationships/hyperlink" Target="https://en.wikipedia.org/wiki/Mirror%27s_Edge_Catalyst" TargetMode="External"/><Relationship Id="rId1397" Type="http://schemas.openxmlformats.org/officeDocument/2006/relationships/hyperlink" Target="https://en.wikipedia.org/wiki/EA_Canada" TargetMode="External"/><Relationship Id="rId2143" Type="http://schemas.openxmlformats.org/officeDocument/2006/relationships/hyperlink" Target="https://en.wikipedia.org/wiki/Tiger_Woods_PGA_Tour_11" TargetMode="External"/><Relationship Id="rId2350" Type="http://schemas.openxmlformats.org/officeDocument/2006/relationships/hyperlink" Target="https://en.wikipedia.org/wiki/Codemasters" TargetMode="External"/><Relationship Id="rId115" Type="http://schemas.openxmlformats.org/officeDocument/2006/relationships/hyperlink" Target="https://en.wikipedia.org/wiki/Android_(operating_system)" TargetMode="External"/><Relationship Id="rId322" Type="http://schemas.openxmlformats.org/officeDocument/2006/relationships/hyperlink" Target="https://en.wikipedia.org/wiki/Microsoft_Windows" TargetMode="External"/><Relationship Id="rId767" Type="http://schemas.openxmlformats.org/officeDocument/2006/relationships/hyperlink" Target="https://en.wikipedia.org/wiki/Ninja_Theory" TargetMode="External"/><Relationship Id="rId974" Type="http://schemas.openxmlformats.org/officeDocument/2006/relationships/hyperlink" Target="https://en.wikipedia.org/wiki/Madden_NFL_25" TargetMode="External"/><Relationship Id="rId2003" Type="http://schemas.openxmlformats.org/officeDocument/2006/relationships/hyperlink" Target="https://en.wikipedia.org/wiki/The_Sims_4:_Jungle_Adventure" TargetMode="External"/><Relationship Id="rId2210" Type="http://schemas.openxmlformats.org/officeDocument/2006/relationships/hyperlink" Target="https://en.wikipedia.org/wiki/EA_Sports_UFC" TargetMode="External"/><Relationship Id="rId2448" Type="http://schemas.openxmlformats.org/officeDocument/2006/relationships/hyperlink" Target="https://en.wikipedia.org/wiki/Xbox_One" TargetMode="External"/><Relationship Id="rId627" Type="http://schemas.openxmlformats.org/officeDocument/2006/relationships/hyperlink" Target="https://en.wikipedia.org/wiki/EA_Canada" TargetMode="External"/><Relationship Id="rId834" Type="http://schemas.openxmlformats.org/officeDocument/2006/relationships/hyperlink" Target="https://en.wikipedia.org/wiki/Xbox_360" TargetMode="External"/><Relationship Id="rId1257" Type="http://schemas.openxmlformats.org/officeDocument/2006/relationships/hyperlink" Target="https://en.wikipedia.org/wiki/Criterion_Games" TargetMode="External"/><Relationship Id="rId1464" Type="http://schemas.openxmlformats.org/officeDocument/2006/relationships/hyperlink" Target="https://en.wikipedia.org/wiki/IOS" TargetMode="External"/><Relationship Id="rId1671" Type="http://schemas.openxmlformats.org/officeDocument/2006/relationships/hyperlink" Target="https://en.wikipedia.org/wiki/EA_Black_Box" TargetMode="External"/><Relationship Id="rId2308" Type="http://schemas.openxmlformats.org/officeDocument/2006/relationships/hyperlink" Target="https://en.wikipedia.org/wiki/Criterion_Games" TargetMode="External"/><Relationship Id="rId2515" Type="http://schemas.openxmlformats.org/officeDocument/2006/relationships/hyperlink" Target="https://en.wikipedia.org/wiki/PlayStation_4" TargetMode="External"/><Relationship Id="rId901" Type="http://schemas.openxmlformats.org/officeDocument/2006/relationships/hyperlink" Target="https://en.wikipedia.org/wiki/EA_Tiburon" TargetMode="External"/><Relationship Id="rId1117" Type="http://schemas.openxmlformats.org/officeDocument/2006/relationships/hyperlink" Target="https://en.wikipedia.org/wiki/Behaviour_Interactive" TargetMode="External"/><Relationship Id="rId1324" Type="http://schemas.openxmlformats.org/officeDocument/2006/relationships/hyperlink" Target="https://en.wikipedia.org/wiki/Need_for_Speed:_The_Run" TargetMode="External"/><Relationship Id="rId1531" Type="http://schemas.openxmlformats.org/officeDocument/2006/relationships/hyperlink" Target="https://en.wikipedia.org/wiki/Android_(operating_system)" TargetMode="External"/><Relationship Id="rId1769" Type="http://schemas.openxmlformats.org/officeDocument/2006/relationships/hyperlink" Target="https://en.wikipedia.org/wiki/Kindle_Fire" TargetMode="External"/><Relationship Id="rId1976" Type="http://schemas.openxmlformats.org/officeDocument/2006/relationships/hyperlink" Target="https://en.wikipedia.org/wiki/The_Sims_4:_Get_to_Work" TargetMode="External"/><Relationship Id="rId30" Type="http://schemas.openxmlformats.org/officeDocument/2006/relationships/hyperlink" Target="https://en.wikipedia.org/wiki/Hazelight_Studios" TargetMode="External"/><Relationship Id="rId1629" Type="http://schemas.openxmlformats.org/officeDocument/2006/relationships/hyperlink" Target="https://en.wikipedia.org/wiki/Shift_2:_Unleashed" TargetMode="External"/><Relationship Id="rId1836" Type="http://schemas.openxmlformats.org/officeDocument/2006/relationships/hyperlink" Target="https://en.wikipedia.org/wiki/Microsoft_Windows" TargetMode="External"/><Relationship Id="rId1903" Type="http://schemas.openxmlformats.org/officeDocument/2006/relationships/hyperlink" Target="https://en.wikipedia.org/wiki/Maxis_Redwood_Shores" TargetMode="External"/><Relationship Id="rId2098" Type="http://schemas.openxmlformats.org/officeDocument/2006/relationships/hyperlink" Target="https://en.wikipedia.org/wiki/Maxis_Redwood_Shores" TargetMode="External"/><Relationship Id="rId277" Type="http://schemas.openxmlformats.org/officeDocument/2006/relationships/hyperlink" Target="https://en.wikipedia.org/wiki/Crysis_2" TargetMode="External"/><Relationship Id="rId484" Type="http://schemas.openxmlformats.org/officeDocument/2006/relationships/hyperlink" Target="https://en.wikipedia.org/wiki/FIFA_11" TargetMode="External"/><Relationship Id="rId2165" Type="http://schemas.openxmlformats.org/officeDocument/2006/relationships/hyperlink" Target="https://en.wikipedia.org/wiki/PlayStation_3" TargetMode="External"/><Relationship Id="rId137" Type="http://schemas.openxmlformats.org/officeDocument/2006/relationships/hyperlink" Target="https://en.wikipedia.org/wiki/EA_DICE" TargetMode="External"/><Relationship Id="rId344" Type="http://schemas.openxmlformats.org/officeDocument/2006/relationships/hyperlink" Target="https://en.wikipedia.org/wiki/Hothead_Games" TargetMode="External"/><Relationship Id="rId691" Type="http://schemas.openxmlformats.org/officeDocument/2006/relationships/hyperlink" Target="https://en.wikipedia.org/wiki/FIFA_18" TargetMode="External"/><Relationship Id="rId789" Type="http://schemas.openxmlformats.org/officeDocument/2006/relationships/hyperlink" Target="https://en.wikipedia.org/wiki/Nintendo_DS" TargetMode="External"/><Relationship Id="rId996" Type="http://schemas.openxmlformats.org/officeDocument/2006/relationships/hyperlink" Target="https://en.wikipedia.org/wiki/Android_(operating_system)" TargetMode="External"/><Relationship Id="rId2025" Type="http://schemas.openxmlformats.org/officeDocument/2006/relationships/hyperlink" Target="https://en.wikipedia.org/wiki/Xbox_One" TargetMode="External"/><Relationship Id="rId2372" Type="http://schemas.openxmlformats.org/officeDocument/2006/relationships/hyperlink" Target="https://en.wikipedia.org/wiki/Zoink" TargetMode="External"/><Relationship Id="rId551" Type="http://schemas.openxmlformats.org/officeDocument/2006/relationships/hyperlink" Target="https://en.wikipedia.org/wiki/PlayStation_Vita" TargetMode="External"/><Relationship Id="rId649" Type="http://schemas.openxmlformats.org/officeDocument/2006/relationships/hyperlink" Target="https://en.wikipedia.org/wiki/FIFA_16" TargetMode="External"/><Relationship Id="rId856" Type="http://schemas.openxmlformats.org/officeDocument/2006/relationships/hyperlink" Target="https://en.wikipedia.org/wiki/Microsoft_Windows" TargetMode="External"/><Relationship Id="rId1181" Type="http://schemas.openxmlformats.org/officeDocument/2006/relationships/hyperlink" Target="https://en.wikipedia.org/wiki/NBA_Live_Mobile" TargetMode="External"/><Relationship Id="rId1279" Type="http://schemas.openxmlformats.org/officeDocument/2006/relationships/hyperlink" Target="https://en.wikipedia.org/wiki/Need_for_Speed:_Most_Wanted_(2012_video_game)" TargetMode="External"/><Relationship Id="rId1486" Type="http://schemas.openxmlformats.org/officeDocument/2006/relationships/hyperlink" Target="https://en.wikipedia.org/wiki/PopCap_Games" TargetMode="External"/><Relationship Id="rId2232" Type="http://schemas.openxmlformats.org/officeDocument/2006/relationships/hyperlink" Target="https://en.wikipedia.org/wiki/Android_(operating_system)" TargetMode="External"/><Relationship Id="rId2537" Type="http://schemas.openxmlformats.org/officeDocument/2006/relationships/hyperlink" Target="https://en.wikipedia.org/wiki/Xbox_One" TargetMode="External"/><Relationship Id="rId204" Type="http://schemas.openxmlformats.org/officeDocument/2006/relationships/hyperlink" Target="https://en.wikipedia.org/wiki/Android_(operating_system)" TargetMode="External"/><Relationship Id="rId411" Type="http://schemas.openxmlformats.org/officeDocument/2006/relationships/hyperlink" Target="https://en.wikipedia.org/wiki/EA_Sports_Active_2" TargetMode="External"/><Relationship Id="rId509" Type="http://schemas.openxmlformats.org/officeDocument/2006/relationships/hyperlink" Target="https://en.wikipedia.org/wiki/PlayStation_2" TargetMode="External"/><Relationship Id="rId1041" Type="http://schemas.openxmlformats.org/officeDocument/2006/relationships/hyperlink" Target="https://en.wikipedia.org/wiki/Mass_Effect:_Andromeda" TargetMode="External"/><Relationship Id="rId1139" Type="http://schemas.openxmlformats.org/officeDocument/2006/relationships/hyperlink" Target="https://en.wikipedia.org/wiki/NBA_Jam_(2010_video_game)" TargetMode="External"/><Relationship Id="rId1346" Type="http://schemas.openxmlformats.org/officeDocument/2006/relationships/hyperlink" Target="https://en.wikipedia.org/wiki/Ghost_Games" TargetMode="External"/><Relationship Id="rId1693" Type="http://schemas.openxmlformats.org/officeDocument/2006/relationships/hyperlink" Target="https://en.wikipedia.org/wiki/SSX_(2012_video_game)" TargetMode="External"/><Relationship Id="rId1998" Type="http://schemas.openxmlformats.org/officeDocument/2006/relationships/hyperlink" Target="https://en.wikipedia.org/wiki/PlayStation_4" TargetMode="External"/><Relationship Id="rId716" Type="http://schemas.openxmlformats.org/officeDocument/2006/relationships/hyperlink" Target="https://en.wikipedia.org/wiki/Nintendo_Switch" TargetMode="External"/><Relationship Id="rId923" Type="http://schemas.openxmlformats.org/officeDocument/2006/relationships/hyperlink" Target="https://en.wikipedia.org/wiki/Madden_NFL_15" TargetMode="External"/><Relationship Id="rId1553" Type="http://schemas.openxmlformats.org/officeDocument/2006/relationships/hyperlink" Target="https://en.wikipedia.org/wiki/Risk:_Factions" TargetMode="External"/><Relationship Id="rId1760" Type="http://schemas.openxmlformats.org/officeDocument/2006/relationships/hyperlink" Target="https://en.wikipedia.org/wiki/Windows_Phone" TargetMode="External"/><Relationship Id="rId1858" Type="http://schemas.openxmlformats.org/officeDocument/2006/relationships/hyperlink" Target="https://en.wikipedia.org/wiki/Edge_of_Reality" TargetMode="External"/><Relationship Id="rId52" Type="http://schemas.openxmlformats.org/officeDocument/2006/relationships/hyperlink" Target="https://en.wikipedia.org/wiki/Anthem_(video_game)" TargetMode="External"/><Relationship Id="rId1206" Type="http://schemas.openxmlformats.org/officeDocument/2006/relationships/hyperlink" Target="https://en.wikipedia.org/wiki/EA_Tiburon" TargetMode="External"/><Relationship Id="rId1413" Type="http://schemas.openxmlformats.org/officeDocument/2006/relationships/hyperlink" Target="https://en.wikipedia.org/wiki/NHL_20" TargetMode="External"/><Relationship Id="rId1620" Type="http://schemas.openxmlformats.org/officeDocument/2006/relationships/hyperlink" Target="https://en.wikipedia.org/wiki/Shank_2" TargetMode="External"/><Relationship Id="rId1718" Type="http://schemas.openxmlformats.org/officeDocument/2006/relationships/hyperlink" Target="https://en.wikipedia.org/wiki/PlayStation_4" TargetMode="External"/><Relationship Id="rId1925" Type="http://schemas.openxmlformats.org/officeDocument/2006/relationships/hyperlink" Target="https://en.wikipedia.org/wiki/The_Sims_4:_City_Living" TargetMode="External"/><Relationship Id="rId299" Type="http://schemas.openxmlformats.org/officeDocument/2006/relationships/hyperlink" Target="https://en.wikipedia.org/wiki/Microsoft_Windows" TargetMode="External"/><Relationship Id="rId2187" Type="http://schemas.openxmlformats.org/officeDocument/2006/relationships/hyperlink" Target="https://en.wikipedia.org/wiki/Respawn_Entertainment" TargetMode="External"/><Relationship Id="rId2394" Type="http://schemas.openxmlformats.org/officeDocument/2006/relationships/hyperlink" Target="https://en.wikipedia.org/wiki/PlayStation_4" TargetMode="External"/><Relationship Id="rId159" Type="http://schemas.openxmlformats.org/officeDocument/2006/relationships/hyperlink" Target="https://en.wikipedia.org/wiki/IOS" TargetMode="External"/><Relationship Id="rId366" Type="http://schemas.openxmlformats.org/officeDocument/2006/relationships/hyperlink" Target="https://en.wikipedia.org/wiki/Dragon_Age_II" TargetMode="External"/><Relationship Id="rId573" Type="http://schemas.openxmlformats.org/officeDocument/2006/relationships/hyperlink" Target="https://en.wikipedia.org/wiki/EA_Canada" TargetMode="External"/><Relationship Id="rId780" Type="http://schemas.openxmlformats.org/officeDocument/2006/relationships/hyperlink" Target="https://en.wikipedia.org/wiki/Xbox_360" TargetMode="External"/><Relationship Id="rId2047" Type="http://schemas.openxmlformats.org/officeDocument/2006/relationships/hyperlink" Target="https://en.wikipedia.org/wiki/Maxis_Redwood_Shores" TargetMode="External"/><Relationship Id="rId2254" Type="http://schemas.openxmlformats.org/officeDocument/2006/relationships/hyperlink" Target="https://en.wikipedia.org/wiki/Zuma%27s_Revenge!" TargetMode="External"/><Relationship Id="rId2461" Type="http://schemas.openxmlformats.org/officeDocument/2006/relationships/hyperlink" Target="https://en.wikipedia.org/wiki/Microsoft_Windows" TargetMode="External"/><Relationship Id="rId226" Type="http://schemas.openxmlformats.org/officeDocument/2006/relationships/hyperlink" Target="https://en.wikipedia.org/wiki/Criterion_Games" TargetMode="External"/><Relationship Id="rId433" Type="http://schemas.openxmlformats.org/officeDocument/2006/relationships/hyperlink" Target="https://en.wikipedia.org/wiki/EA_Sports_UFC_2" TargetMode="External"/><Relationship Id="rId878" Type="http://schemas.openxmlformats.org/officeDocument/2006/relationships/hyperlink" Target="https://en.wikipedia.org/wiki/Madden_NFL_12" TargetMode="External"/><Relationship Id="rId1063" Type="http://schemas.openxmlformats.org/officeDocument/2006/relationships/hyperlink" Target="https://en.wikipedia.org/wiki/PlayStation_3" TargetMode="External"/><Relationship Id="rId1270" Type="http://schemas.openxmlformats.org/officeDocument/2006/relationships/hyperlink" Target="https://en.wikipedia.org/wiki/Need_for_Speed:_Hot_Pursuit_(2010_video_game)" TargetMode="External"/><Relationship Id="rId2114" Type="http://schemas.openxmlformats.org/officeDocument/2006/relationships/hyperlink" Target="https://en.wikipedia.org/wiki/Maxis_Redwood_Shores" TargetMode="External"/><Relationship Id="rId2559" Type="http://schemas.openxmlformats.org/officeDocument/2006/relationships/hyperlink" Target="https://en.wikipedia.org/wiki/PlayStation_5" TargetMode="External"/><Relationship Id="rId640" Type="http://schemas.openxmlformats.org/officeDocument/2006/relationships/hyperlink" Target="https://en.wikipedia.org/wiki/FIFA_15" TargetMode="External"/><Relationship Id="rId738" Type="http://schemas.openxmlformats.org/officeDocument/2006/relationships/hyperlink" Target="https://en.wikipedia.org/wiki/IOS" TargetMode="External"/><Relationship Id="rId945" Type="http://schemas.openxmlformats.org/officeDocument/2006/relationships/hyperlink" Target="https://en.wikipedia.org/wiki/Xbox_360" TargetMode="External"/><Relationship Id="rId1368" Type="http://schemas.openxmlformats.org/officeDocument/2006/relationships/hyperlink" Target="https://en.wikipedia.org/wiki/NHL_14" TargetMode="External"/><Relationship Id="rId1575" Type="http://schemas.openxmlformats.org/officeDocument/2006/relationships/hyperlink" Target="https://en.wikipedia.org/wiki/Rory_McIlroy_PGA_Tour" TargetMode="External"/><Relationship Id="rId1782" Type="http://schemas.openxmlformats.org/officeDocument/2006/relationships/hyperlink" Target="https://en.wikipedia.org/wiki/The_Sims_3" TargetMode="External"/><Relationship Id="rId2321" Type="http://schemas.openxmlformats.org/officeDocument/2006/relationships/hyperlink" Target="https://en.wikipedia.org/wiki/Steam_VR" TargetMode="External"/><Relationship Id="rId2419" Type="http://schemas.openxmlformats.org/officeDocument/2006/relationships/hyperlink" Target="https://en.wikipedia.org/wiki/Microsoft_Windows" TargetMode="External"/><Relationship Id="rId74" Type="http://schemas.openxmlformats.org/officeDocument/2006/relationships/hyperlink" Target="https://en.wikipedia.org/wiki/Microsoft_Windows" TargetMode="External"/><Relationship Id="rId500" Type="http://schemas.openxmlformats.org/officeDocument/2006/relationships/hyperlink" Target="https://en.wikipedia.org/wiki/IOS" TargetMode="External"/><Relationship Id="rId805" Type="http://schemas.openxmlformats.org/officeDocument/2006/relationships/hyperlink" Target="https://en.wikipedia.org/wiki/EA_Bright_Light" TargetMode="External"/><Relationship Id="rId1130" Type="http://schemas.openxmlformats.org/officeDocument/2006/relationships/hyperlink" Target="https://en.wikipedia.org/wiki/NBA_Jam_(2010_video_game)" TargetMode="External"/><Relationship Id="rId1228" Type="http://schemas.openxmlformats.org/officeDocument/2006/relationships/hyperlink" Target="https://en.wikipedia.org/wiki/Need_for_Speed_Payback" TargetMode="External"/><Relationship Id="rId1435" Type="http://schemas.openxmlformats.org/officeDocument/2006/relationships/hyperlink" Target="https://en.wikipedia.org/wiki/Peggle_2" TargetMode="External"/><Relationship Id="rId1642" Type="http://schemas.openxmlformats.org/officeDocument/2006/relationships/hyperlink" Target="https://en.wikipedia.org/wiki/Microsoft_Windows" TargetMode="External"/><Relationship Id="rId1947" Type="http://schemas.openxmlformats.org/officeDocument/2006/relationships/hyperlink" Target="https://en.wikipedia.org/wiki/Microsoft_Windows" TargetMode="External"/><Relationship Id="rId1502" Type="http://schemas.openxmlformats.org/officeDocument/2006/relationships/hyperlink" Target="https://en.wikipedia.org/wiki/Plants_vs._Zombies:_Garden_Warfare_2" TargetMode="External"/><Relationship Id="rId1807" Type="http://schemas.openxmlformats.org/officeDocument/2006/relationships/hyperlink" Target="https://en.wikipedia.org/wiki/Maxis_Redwood_Shores" TargetMode="External"/><Relationship Id="rId290" Type="http://schemas.openxmlformats.org/officeDocument/2006/relationships/hyperlink" Target="https://en.wikipedia.org/wiki/PlayStation_3" TargetMode="External"/><Relationship Id="rId388" Type="http://schemas.openxmlformats.org/officeDocument/2006/relationships/hyperlink" Target="https://en.wikipedia.org/wiki/BioWare" TargetMode="External"/><Relationship Id="rId2069" Type="http://schemas.openxmlformats.org/officeDocument/2006/relationships/hyperlink" Target="https://en.wikipedia.org/wiki/The_Sims_4:_Spa_Day" TargetMode="External"/><Relationship Id="rId150" Type="http://schemas.openxmlformats.org/officeDocument/2006/relationships/hyperlink" Target="https://en.wikipedia.org/wiki/Battlefield_Bad_Company_2" TargetMode="External"/><Relationship Id="rId595" Type="http://schemas.openxmlformats.org/officeDocument/2006/relationships/hyperlink" Target="https://en.wikipedia.org/wiki/FIFA_14" TargetMode="External"/><Relationship Id="rId2276" Type="http://schemas.openxmlformats.org/officeDocument/2006/relationships/hyperlink" Target="https://en.wikipedia.org/wiki/EA_Canada" TargetMode="External"/><Relationship Id="rId2483" Type="http://schemas.openxmlformats.org/officeDocument/2006/relationships/hyperlink" Target="https://en.wikipedia.org/wiki/Microsoft_Windows" TargetMode="External"/><Relationship Id="rId248" Type="http://schemas.openxmlformats.org/officeDocument/2006/relationships/hyperlink" Target="https://en.wikipedia.org/wiki/Command_%26_Conquer:_Rivals" TargetMode="External"/><Relationship Id="rId455" Type="http://schemas.openxmlformats.org/officeDocument/2006/relationships/hyperlink" Target="https://en.wikipedia.org/wiki/Microsoft_Windows" TargetMode="External"/><Relationship Id="rId662" Type="http://schemas.openxmlformats.org/officeDocument/2006/relationships/hyperlink" Target="https://en.wikipedia.org/wiki/Xbox_One" TargetMode="External"/><Relationship Id="rId1085" Type="http://schemas.openxmlformats.org/officeDocument/2006/relationships/hyperlink" Target="https://en.wikipedia.org/wiki/EA_DICE" TargetMode="External"/><Relationship Id="rId1292" Type="http://schemas.openxmlformats.org/officeDocument/2006/relationships/hyperlink" Target="https://en.wikipedia.org/wiki/Microsoft_Windows" TargetMode="External"/><Relationship Id="rId2136" Type="http://schemas.openxmlformats.org/officeDocument/2006/relationships/hyperlink" Target="https://en.wikipedia.org/wiki/EA_Tiburon" TargetMode="External"/><Relationship Id="rId2343" Type="http://schemas.openxmlformats.org/officeDocument/2006/relationships/hyperlink" Target="https://en.wikipedia.org/wiki/Macintosh" TargetMode="External"/><Relationship Id="rId2550" Type="http://schemas.openxmlformats.org/officeDocument/2006/relationships/hyperlink" Target="https://en.wikipedia.org/wiki/Maxis_Redwood_Shores" TargetMode="External"/><Relationship Id="rId108" Type="http://schemas.openxmlformats.org/officeDocument/2006/relationships/hyperlink" Target="https://en.wikipedia.org/wiki/Cipher_Prime" TargetMode="External"/><Relationship Id="rId315" Type="http://schemas.openxmlformats.org/officeDocument/2006/relationships/hyperlink" Target="https://en.wikipedia.org/wiki/Dead_Space_2" TargetMode="External"/><Relationship Id="rId522" Type="http://schemas.openxmlformats.org/officeDocument/2006/relationships/hyperlink" Target="https://en.wikipedia.org/wiki/EA_Canada" TargetMode="External"/><Relationship Id="rId967" Type="http://schemas.openxmlformats.org/officeDocument/2006/relationships/hyperlink" Target="https://en.wikipedia.org/wiki/EA_Tiburon" TargetMode="External"/><Relationship Id="rId1152" Type="http://schemas.openxmlformats.org/officeDocument/2006/relationships/hyperlink" Target="https://en.wikipedia.org/wiki/PlayStation_4" TargetMode="External"/><Relationship Id="rId1597" Type="http://schemas.openxmlformats.org/officeDocument/2006/relationships/hyperlink" Target="https://en.wikipedia.org/wiki/Xbox_360" TargetMode="External"/><Relationship Id="rId2203" Type="http://schemas.openxmlformats.org/officeDocument/2006/relationships/hyperlink" Target="https://en.wikipedia.org/wiki/Microsoft_Windows" TargetMode="External"/><Relationship Id="rId2410" Type="http://schemas.openxmlformats.org/officeDocument/2006/relationships/hyperlink" Target="https://en.wikipedia.org/wiki/Xbox_One" TargetMode="External"/><Relationship Id="rId96" Type="http://schemas.openxmlformats.org/officeDocument/2006/relationships/hyperlink" Target="https://en.wikipedia.org/wiki/Army_of_Two:_The_Devil%27s_Cartel" TargetMode="External"/><Relationship Id="rId827" Type="http://schemas.openxmlformats.org/officeDocument/2006/relationships/hyperlink" Target="https://en.wikipedia.org/wiki/Hasbro_Family_Game_Night_4:_The_Game_Show" TargetMode="External"/><Relationship Id="rId1012" Type="http://schemas.openxmlformats.org/officeDocument/2006/relationships/hyperlink" Target="https://en.wikipedia.org/wiki/Mass_Effect_2" TargetMode="External"/><Relationship Id="rId1457" Type="http://schemas.openxmlformats.org/officeDocument/2006/relationships/hyperlink" Target="https://en.wikipedia.org/wiki/Plants_vs._Zombies" TargetMode="External"/><Relationship Id="rId1664" Type="http://schemas.openxmlformats.org/officeDocument/2006/relationships/hyperlink" Target="https://en.wikipedia.org/wiki/SimCity:_BuildIt" TargetMode="External"/><Relationship Id="rId1871" Type="http://schemas.openxmlformats.org/officeDocument/2006/relationships/hyperlink" Target="https://en.wikipedia.org/wiki/The_Sims_3:_Supernatural" TargetMode="External"/><Relationship Id="rId2508" Type="http://schemas.openxmlformats.org/officeDocument/2006/relationships/hyperlink" Target="https://en.wikipedia.org/wiki/Maxis_Redwood_Shores" TargetMode="External"/><Relationship Id="rId1317" Type="http://schemas.openxmlformats.org/officeDocument/2006/relationships/hyperlink" Target="https://en.wikipedia.org/wiki/Firebrand_Games" TargetMode="External"/><Relationship Id="rId1524" Type="http://schemas.openxmlformats.org/officeDocument/2006/relationships/hyperlink" Target="https://en.wikipedia.org/wiki/Rango_(video_game)" TargetMode="External"/><Relationship Id="rId1731" Type="http://schemas.openxmlformats.org/officeDocument/2006/relationships/hyperlink" Target="https://en.wikipedia.org/wiki/Respawn_Entertainment" TargetMode="External"/><Relationship Id="rId1969" Type="http://schemas.openxmlformats.org/officeDocument/2006/relationships/hyperlink" Target="https://en.wikipedia.org/wiki/Maxis_Redwood_Shores" TargetMode="External"/><Relationship Id="rId23" Type="http://schemas.openxmlformats.org/officeDocument/2006/relationships/hyperlink" Target="https://en.wikipedia.org/wiki/PlayStation_4" TargetMode="External"/><Relationship Id="rId1829" Type="http://schemas.openxmlformats.org/officeDocument/2006/relationships/hyperlink" Target="https://en.wikipedia.org/wiki/The_Sims_3:_Into_the_Future" TargetMode="External"/><Relationship Id="rId2298" Type="http://schemas.openxmlformats.org/officeDocument/2006/relationships/hyperlink" Target="https://en.wikipedia.org/wiki/Nintendo_Switch" TargetMode="External"/><Relationship Id="rId172" Type="http://schemas.openxmlformats.org/officeDocument/2006/relationships/hyperlink" Target="https://en.wikipedia.org/wiki/Visceral_Games" TargetMode="External"/><Relationship Id="rId477" Type="http://schemas.openxmlformats.org/officeDocument/2006/relationships/hyperlink" Target="https://en.wikipedia.org/wiki/Exient_Entertainment" TargetMode="External"/><Relationship Id="rId684" Type="http://schemas.openxmlformats.org/officeDocument/2006/relationships/hyperlink" Target="https://en.wikipedia.org/wiki/EA_Vancouver" TargetMode="External"/><Relationship Id="rId2060" Type="http://schemas.openxmlformats.org/officeDocument/2006/relationships/hyperlink" Target="https://en.wikipedia.org/wiki/The_Sims_4:_Seasons" TargetMode="External"/><Relationship Id="rId2158" Type="http://schemas.openxmlformats.org/officeDocument/2006/relationships/hyperlink" Target="https://en.wikipedia.org/wiki/Tiger_Woods_PGA_Tour_12" TargetMode="External"/><Relationship Id="rId2365" Type="http://schemas.openxmlformats.org/officeDocument/2006/relationships/hyperlink" Target="https://en.wikipedia.org/wiki/PlayStation_5" TargetMode="External"/><Relationship Id="rId337" Type="http://schemas.openxmlformats.org/officeDocument/2006/relationships/hyperlink" Target="https://en.wikipedia.org/wiki/Xbox_360" TargetMode="External"/><Relationship Id="rId891" Type="http://schemas.openxmlformats.org/officeDocument/2006/relationships/hyperlink" Target="https://en.wikipedia.org/wiki/Wii" TargetMode="External"/><Relationship Id="rId989" Type="http://schemas.openxmlformats.org/officeDocument/2006/relationships/hyperlink" Target="https://en.wikipedia.org/wiki/Madden_NFL_25" TargetMode="External"/><Relationship Id="rId2018" Type="http://schemas.openxmlformats.org/officeDocument/2006/relationships/hyperlink" Target="https://en.wikipedia.org/wiki/The_Sims_4:_Outdoor_Retreat" TargetMode="External"/><Relationship Id="rId2572" Type="http://schemas.openxmlformats.org/officeDocument/2006/relationships/hyperlink" Target="https://en.wikipedia.org/wiki/Xbox_Series_X_and_Series_S" TargetMode="External"/><Relationship Id="rId544" Type="http://schemas.openxmlformats.org/officeDocument/2006/relationships/hyperlink" Target="https://en.wikipedia.org/wiki/FIFA_13" TargetMode="External"/><Relationship Id="rId751" Type="http://schemas.openxmlformats.org/officeDocument/2006/relationships/hyperlink" Target="https://en.wikipedia.org/wiki/Xbox_360" TargetMode="External"/><Relationship Id="rId849" Type="http://schemas.openxmlformats.org/officeDocument/2006/relationships/hyperlink" Target="https://en.wikipedia.org/wiki/Microsoft_Windows" TargetMode="External"/><Relationship Id="rId1174" Type="http://schemas.openxmlformats.org/officeDocument/2006/relationships/hyperlink" Target="https://en.wikipedia.org/wiki/EA_Tiburon" TargetMode="External"/><Relationship Id="rId1381" Type="http://schemas.openxmlformats.org/officeDocument/2006/relationships/hyperlink" Target="https://en.wikipedia.org/wiki/Xbox_One" TargetMode="External"/><Relationship Id="rId1479" Type="http://schemas.openxmlformats.org/officeDocument/2006/relationships/hyperlink" Target="https://en.wikipedia.org/wiki/Xbox_One" TargetMode="External"/><Relationship Id="rId1686" Type="http://schemas.openxmlformats.org/officeDocument/2006/relationships/hyperlink" Target="https://en.wikipedia.org/wiki/Firemint" TargetMode="External"/><Relationship Id="rId2225" Type="http://schemas.openxmlformats.org/officeDocument/2006/relationships/hyperlink" Target="https://en.wikipedia.org/wiki/Unravel_Two" TargetMode="External"/><Relationship Id="rId2432" Type="http://schemas.openxmlformats.org/officeDocument/2006/relationships/hyperlink" Target="https://en.wikipedia.org/wiki/Xbox_One" TargetMode="External"/><Relationship Id="rId404" Type="http://schemas.openxmlformats.org/officeDocument/2006/relationships/hyperlink" Target="https://en.wikipedia.org/wiki/Mythic_Entertainment" TargetMode="External"/><Relationship Id="rId611" Type="http://schemas.openxmlformats.org/officeDocument/2006/relationships/hyperlink" Target="https://en.wikipedia.org/wiki/Android_(operating_system)" TargetMode="External"/><Relationship Id="rId1034" Type="http://schemas.openxmlformats.org/officeDocument/2006/relationships/hyperlink" Target="https://en.wikipedia.org/wiki/IOS" TargetMode="External"/><Relationship Id="rId1241" Type="http://schemas.openxmlformats.org/officeDocument/2006/relationships/hyperlink" Target="https://en.wikipedia.org/wiki/Microsoft_Windows" TargetMode="External"/><Relationship Id="rId1339" Type="http://schemas.openxmlformats.org/officeDocument/2006/relationships/hyperlink" Target="https://en.wikipedia.org/wiki/PlayStation_4" TargetMode="External"/><Relationship Id="rId1893" Type="http://schemas.openxmlformats.org/officeDocument/2006/relationships/hyperlink" Target="https://en.wikipedia.org/wiki/Xbox_One" TargetMode="External"/><Relationship Id="rId709" Type="http://schemas.openxmlformats.org/officeDocument/2006/relationships/hyperlink" Target="https://en.wikipedia.org/wiki/FIFA_19" TargetMode="External"/><Relationship Id="rId916" Type="http://schemas.openxmlformats.org/officeDocument/2006/relationships/hyperlink" Target="https://en.wikipedia.org/wiki/EA_Tiburon" TargetMode="External"/><Relationship Id="rId1101" Type="http://schemas.openxmlformats.org/officeDocument/2006/relationships/hyperlink" Target="https://en.wikipedia.org/wiki/PlayStation_3" TargetMode="External"/><Relationship Id="rId1546" Type="http://schemas.openxmlformats.org/officeDocument/2006/relationships/hyperlink" Target="https://en.wikipedia.org/wiki/EA_Mobile" TargetMode="External"/><Relationship Id="rId1753" Type="http://schemas.openxmlformats.org/officeDocument/2006/relationships/hyperlink" Target="https://en.wikipedia.org/wiki/Syndicate_(2012_video_game)" TargetMode="External"/><Relationship Id="rId1960" Type="http://schemas.openxmlformats.org/officeDocument/2006/relationships/hyperlink" Target="https://en.wikipedia.org/wiki/Maxis_Redwood_Shores" TargetMode="External"/><Relationship Id="rId45" Type="http://schemas.openxmlformats.org/officeDocument/2006/relationships/hyperlink" Target="https://en.wikipedia.org/wiki/Spicy_Horse" TargetMode="External"/><Relationship Id="rId1406" Type="http://schemas.openxmlformats.org/officeDocument/2006/relationships/hyperlink" Target="https://en.wikipedia.org/wiki/EA_Canada" TargetMode="External"/><Relationship Id="rId1613" Type="http://schemas.openxmlformats.org/officeDocument/2006/relationships/hyperlink" Target="https://en.wikipedia.org/wiki/Klei_Entertainment" TargetMode="External"/><Relationship Id="rId1820" Type="http://schemas.openxmlformats.org/officeDocument/2006/relationships/hyperlink" Target="https://en.wikipedia.org/wiki/The_Sims_3:_Generations" TargetMode="External"/><Relationship Id="rId194" Type="http://schemas.openxmlformats.org/officeDocument/2006/relationships/hyperlink" Target="https://en.wikipedia.org/wiki/Bejeweled_Blitz" TargetMode="External"/><Relationship Id="rId1918" Type="http://schemas.openxmlformats.org/officeDocument/2006/relationships/hyperlink" Target="https://en.wikipedia.org/wiki/Maxis_Redwood_Shores" TargetMode="External"/><Relationship Id="rId2082" Type="http://schemas.openxmlformats.org/officeDocument/2006/relationships/hyperlink" Target="https://en.wikipedia.org/wiki/PlayStation_4" TargetMode="External"/><Relationship Id="rId261" Type="http://schemas.openxmlformats.org/officeDocument/2006/relationships/hyperlink" Target="https://en.wikipedia.org/wiki/EA_Bright_Light" TargetMode="External"/><Relationship Id="rId499" Type="http://schemas.openxmlformats.org/officeDocument/2006/relationships/hyperlink" Target="https://en.wikipedia.org/wiki/FIFA_12" TargetMode="External"/><Relationship Id="rId2387" Type="http://schemas.openxmlformats.org/officeDocument/2006/relationships/hyperlink" Target="https://en.wikipedia.org/wiki/NHL_22" TargetMode="External"/><Relationship Id="rId2594" Type="http://schemas.openxmlformats.org/officeDocument/2006/relationships/hyperlink" Target="https://en.wikipedia.org/wiki/Xbox_Series_X" TargetMode="External"/><Relationship Id="rId359" Type="http://schemas.openxmlformats.org/officeDocument/2006/relationships/hyperlink" Target="https://en.wikipedia.org/wiki/BioWare" TargetMode="External"/><Relationship Id="rId566" Type="http://schemas.openxmlformats.org/officeDocument/2006/relationships/hyperlink" Target="https://en.wikipedia.org/wiki/Windows_Phone_8" TargetMode="External"/><Relationship Id="rId773" Type="http://schemas.openxmlformats.org/officeDocument/2006/relationships/hyperlink" Target="https://en.wikipedia.org/wiki/Fuse_(video_game)" TargetMode="External"/><Relationship Id="rId1196" Type="http://schemas.openxmlformats.org/officeDocument/2006/relationships/hyperlink" Target="https://en.wikipedia.org/wiki/IOS" TargetMode="External"/><Relationship Id="rId2247" Type="http://schemas.openxmlformats.org/officeDocument/2006/relationships/hyperlink" Target="https://en.wikipedia.org/wiki/IOS" TargetMode="External"/><Relationship Id="rId2454" Type="http://schemas.openxmlformats.org/officeDocument/2006/relationships/hyperlink" Target="https://en.wikipedia.org/wiki/PlayStation_5" TargetMode="External"/><Relationship Id="rId121" Type="http://schemas.openxmlformats.org/officeDocument/2006/relationships/hyperlink" Target="https://en.wikipedia.org/wiki/Microsoft_Windows" TargetMode="External"/><Relationship Id="rId219" Type="http://schemas.openxmlformats.org/officeDocument/2006/relationships/hyperlink" Target="https://en.wikipedia.org/wiki/Xbox_Live_Arcade" TargetMode="External"/><Relationship Id="rId426" Type="http://schemas.openxmlformats.org/officeDocument/2006/relationships/hyperlink" Target="https://en.wikipedia.org/wiki/EA_Sports_MMA" TargetMode="External"/><Relationship Id="rId633" Type="http://schemas.openxmlformats.org/officeDocument/2006/relationships/hyperlink" Target="https://en.wikipedia.org/wiki/EA_Canada" TargetMode="External"/><Relationship Id="rId980" Type="http://schemas.openxmlformats.org/officeDocument/2006/relationships/hyperlink" Target="https://en.wikipedia.org/wiki/Madden_NFL_25" TargetMode="External"/><Relationship Id="rId1056" Type="http://schemas.openxmlformats.org/officeDocument/2006/relationships/hyperlink" Target="https://en.wikipedia.org/wiki/Medal_of_Honor_(2010_video_game)" TargetMode="External"/><Relationship Id="rId1263" Type="http://schemas.openxmlformats.org/officeDocument/2006/relationships/hyperlink" Target="https://en.wikipedia.org/wiki/Criterion_Games" TargetMode="External"/><Relationship Id="rId2107" Type="http://schemas.openxmlformats.org/officeDocument/2006/relationships/hyperlink" Target="https://en.wikipedia.org/wiki/The_Sims_Medieval" TargetMode="External"/><Relationship Id="rId2314" Type="http://schemas.openxmlformats.org/officeDocument/2006/relationships/hyperlink" Target="https://en.wikipedia.org/wiki/Maxis_Redwood_Shores" TargetMode="External"/><Relationship Id="rId840" Type="http://schemas.openxmlformats.org/officeDocument/2006/relationships/hyperlink" Target="https://en.wikipedia.org/wiki/IOS" TargetMode="External"/><Relationship Id="rId938" Type="http://schemas.openxmlformats.org/officeDocument/2006/relationships/hyperlink" Target="https://en.wikipedia.org/wiki/Madden_NFL_17" TargetMode="External"/><Relationship Id="rId1470" Type="http://schemas.openxmlformats.org/officeDocument/2006/relationships/hyperlink" Target="https://en.wikipedia.org/wiki/Android_(operating_system)" TargetMode="External"/><Relationship Id="rId1568" Type="http://schemas.openxmlformats.org/officeDocument/2006/relationships/hyperlink" Target="https://en.wikipedia.org/wiki/Harmonix" TargetMode="External"/><Relationship Id="rId1775" Type="http://schemas.openxmlformats.org/officeDocument/2006/relationships/hyperlink" Target="https://en.wikipedia.org/wiki/EA_Mobile" TargetMode="External"/><Relationship Id="rId2521" Type="http://schemas.openxmlformats.org/officeDocument/2006/relationships/hyperlink" Target="https://en.wikipedia.org/wiki/PlayStation_5" TargetMode="External"/><Relationship Id="rId67" Type="http://schemas.openxmlformats.org/officeDocument/2006/relationships/hyperlink" Target="https://en.wikipedia.org/wiki/Apex_Legends" TargetMode="External"/><Relationship Id="rId700" Type="http://schemas.openxmlformats.org/officeDocument/2006/relationships/hyperlink" Target="https://en.wikipedia.org/wiki/FIFA_19" TargetMode="External"/><Relationship Id="rId1123" Type="http://schemas.openxmlformats.org/officeDocument/2006/relationships/hyperlink" Target="https://en.wikipedia.org/wiki/EA_Canada" TargetMode="External"/><Relationship Id="rId1330" Type="http://schemas.openxmlformats.org/officeDocument/2006/relationships/hyperlink" Target="https://en.wikipedia.org/wiki/Need_for_Speed:_World" TargetMode="External"/><Relationship Id="rId1428" Type="http://schemas.openxmlformats.org/officeDocument/2006/relationships/hyperlink" Target="https://en.wikipedia.org/wiki/Insomniac_Games" TargetMode="External"/><Relationship Id="rId1635" Type="http://schemas.openxmlformats.org/officeDocument/2006/relationships/hyperlink" Target="https://en.wikipedia.org/wiki/Shift_2:_Unleashed" TargetMode="External"/><Relationship Id="rId1982" Type="http://schemas.openxmlformats.org/officeDocument/2006/relationships/hyperlink" Target="https://en.wikipedia.org/wiki/The_Sims_4:_Get_Together" TargetMode="External"/><Relationship Id="rId1842" Type="http://schemas.openxmlformats.org/officeDocument/2006/relationships/hyperlink" Target="https://en.wikipedia.org/wiki/Microsoft_Windows" TargetMode="External"/><Relationship Id="rId1702" Type="http://schemas.openxmlformats.org/officeDocument/2006/relationships/hyperlink" Target="https://en.wikipedia.org/wiki/Star_Wars_Battlefront_(2015_video_game)" TargetMode="External"/><Relationship Id="rId283" Type="http://schemas.openxmlformats.org/officeDocument/2006/relationships/hyperlink" Target="https://en.wikipedia.org/wiki/Crysis_3" TargetMode="External"/><Relationship Id="rId490" Type="http://schemas.openxmlformats.org/officeDocument/2006/relationships/hyperlink" Target="https://en.wikipedia.org/wiki/FIFA_11" TargetMode="External"/><Relationship Id="rId2171" Type="http://schemas.openxmlformats.org/officeDocument/2006/relationships/hyperlink" Target="https://en.wikipedia.org/wiki/PlayStation_3" TargetMode="External"/><Relationship Id="rId143" Type="http://schemas.openxmlformats.org/officeDocument/2006/relationships/hyperlink" Target="https://en.wikipedia.org/wiki/EA_DICE" TargetMode="External"/><Relationship Id="rId350" Type="http://schemas.openxmlformats.org/officeDocument/2006/relationships/hyperlink" Target="https://en.wikipedia.org/wiki/Hothead_Games" TargetMode="External"/><Relationship Id="rId588" Type="http://schemas.openxmlformats.org/officeDocument/2006/relationships/hyperlink" Target="https://en.wikipedia.org/wiki/EA_Canada" TargetMode="External"/><Relationship Id="rId795" Type="http://schemas.openxmlformats.org/officeDocument/2006/relationships/hyperlink" Target="https://en.wikipedia.org/wiki/Wii" TargetMode="External"/><Relationship Id="rId2031" Type="http://schemas.openxmlformats.org/officeDocument/2006/relationships/hyperlink" Target="https://en.wikipedia.org/wiki/Microsoft_Windows" TargetMode="External"/><Relationship Id="rId2269" Type="http://schemas.openxmlformats.org/officeDocument/2006/relationships/hyperlink" Target="https://en.wikipedia.org/wiki/Xbox_One" TargetMode="External"/><Relationship Id="rId2476" Type="http://schemas.openxmlformats.org/officeDocument/2006/relationships/hyperlink" Target="https://en.wikipedia.org/wiki/Xbox_One" TargetMode="External"/><Relationship Id="rId9" Type="http://schemas.openxmlformats.org/officeDocument/2006/relationships/hyperlink" Target="https://en.wikipedia.org/wiki/HB_Studios" TargetMode="External"/><Relationship Id="rId210" Type="http://schemas.openxmlformats.org/officeDocument/2006/relationships/hyperlink" Target="https://en.wikipedia.org/wiki/PlayStation_3" TargetMode="External"/><Relationship Id="rId448" Type="http://schemas.openxmlformats.org/officeDocument/2006/relationships/hyperlink" Target="https://en.wikipedia.org/wiki/Fe_(video_game)" TargetMode="External"/><Relationship Id="rId655" Type="http://schemas.openxmlformats.org/officeDocument/2006/relationships/hyperlink" Target="https://en.wikipedia.org/wiki/FIFA_16" TargetMode="External"/><Relationship Id="rId862" Type="http://schemas.openxmlformats.org/officeDocument/2006/relationships/hyperlink" Target="https://en.wikipedia.org/wiki/Madden_NFL_11" TargetMode="External"/><Relationship Id="rId1078" Type="http://schemas.openxmlformats.org/officeDocument/2006/relationships/hyperlink" Target="https://en.wikipedia.org/wiki/Android_(operating_system)" TargetMode="External"/><Relationship Id="rId1285" Type="http://schemas.openxmlformats.org/officeDocument/2006/relationships/hyperlink" Target="https://en.wikipedia.org/wiki/Need_for_Speed:_Most_Wanted_(2012_video_game)" TargetMode="External"/><Relationship Id="rId1492" Type="http://schemas.openxmlformats.org/officeDocument/2006/relationships/hyperlink" Target="https://en.wikipedia.org/wiki/PopCap_Games" TargetMode="External"/><Relationship Id="rId2129" Type="http://schemas.openxmlformats.org/officeDocument/2006/relationships/hyperlink" Target="https://en.wikipedia.org/wiki/Facebook" TargetMode="External"/><Relationship Id="rId2336" Type="http://schemas.openxmlformats.org/officeDocument/2006/relationships/hyperlink" Target="https://en.wikipedia.org/wiki/Nintendo_Switch" TargetMode="External"/><Relationship Id="rId2543" Type="http://schemas.openxmlformats.org/officeDocument/2006/relationships/hyperlink" Target="https://en.wikipedia.org/wiki/EA_Sports_WRC" TargetMode="External"/><Relationship Id="rId308" Type="http://schemas.openxmlformats.org/officeDocument/2006/relationships/hyperlink" Target="https://en.wikipedia.org/wiki/Android_(operating_system)" TargetMode="External"/><Relationship Id="rId515" Type="http://schemas.openxmlformats.org/officeDocument/2006/relationships/hyperlink" Target="https://en.wikipedia.org/wiki/PlayStation_Portable" TargetMode="External"/><Relationship Id="rId722" Type="http://schemas.openxmlformats.org/officeDocument/2006/relationships/hyperlink" Target="https://en.wikipedia.org/wiki/Microsoft_Windows" TargetMode="External"/><Relationship Id="rId1145" Type="http://schemas.openxmlformats.org/officeDocument/2006/relationships/hyperlink" Target="https://en.wikipedia.org/wiki/NBA_Jam:_On_Fire_Edition" TargetMode="External"/><Relationship Id="rId1352" Type="http://schemas.openxmlformats.org/officeDocument/2006/relationships/hyperlink" Target="https://en.wikipedia.org/wiki/EA_Canada" TargetMode="External"/><Relationship Id="rId1797" Type="http://schemas.openxmlformats.org/officeDocument/2006/relationships/hyperlink" Target="https://en.wikipedia.org/wiki/The_Sims_3" TargetMode="External"/><Relationship Id="rId2403" Type="http://schemas.openxmlformats.org/officeDocument/2006/relationships/hyperlink" Target="https://en.wikipedia.org/wiki/PlayStation_4" TargetMode="External"/><Relationship Id="rId89" Type="http://schemas.openxmlformats.org/officeDocument/2006/relationships/hyperlink" Target="https://en.wikipedia.org/wiki/EA_Montreal" TargetMode="External"/><Relationship Id="rId1005" Type="http://schemas.openxmlformats.org/officeDocument/2006/relationships/hyperlink" Target="https://en.wikipedia.org/wiki/Madden_NFL_Social" TargetMode="External"/><Relationship Id="rId1212" Type="http://schemas.openxmlformats.org/officeDocument/2006/relationships/hyperlink" Target="https://en.wikipedia.org/wiki/EA_Tiburon" TargetMode="External"/><Relationship Id="rId1657" Type="http://schemas.openxmlformats.org/officeDocument/2006/relationships/hyperlink" Target="https://en.wikipedia.org/wiki/BlackBerry_World" TargetMode="External"/><Relationship Id="rId1864" Type="http://schemas.openxmlformats.org/officeDocument/2006/relationships/hyperlink" Target="https://en.wikipedia.org/wiki/Maxis_Redwood_Shores" TargetMode="External"/><Relationship Id="rId1517" Type="http://schemas.openxmlformats.org/officeDocument/2006/relationships/hyperlink" Target="https://en.wikipedia.org/wiki/Behaviour_Interactive" TargetMode="External"/><Relationship Id="rId1724" Type="http://schemas.openxmlformats.org/officeDocument/2006/relationships/hyperlink" Target="https://en.wikipedia.org/wiki/Xbox_One" TargetMode="External"/><Relationship Id="rId16" Type="http://schemas.openxmlformats.org/officeDocument/2006/relationships/hyperlink" Target="https://en.wikipedia.org/wiki/2014_FIFA_World_Cup_Brazil_(video_game)" TargetMode="External"/><Relationship Id="rId1931" Type="http://schemas.openxmlformats.org/officeDocument/2006/relationships/hyperlink" Target="https://en.wikipedia.org/wiki/The_Sims_4:_Dine_Out" TargetMode="External"/><Relationship Id="rId2193" Type="http://schemas.openxmlformats.org/officeDocument/2006/relationships/hyperlink" Target="https://en.wikipedia.org/wiki/Respawn_Entertainment" TargetMode="External"/><Relationship Id="rId2498" Type="http://schemas.openxmlformats.org/officeDocument/2006/relationships/hyperlink" Target="https://en.wikipedia.org/wiki/Microsoft_Windows" TargetMode="External"/><Relationship Id="rId165" Type="http://schemas.openxmlformats.org/officeDocument/2006/relationships/hyperlink" Target="https://en.wikipedia.org/wiki/PlayStation_3" TargetMode="External"/><Relationship Id="rId372" Type="http://schemas.openxmlformats.org/officeDocument/2006/relationships/hyperlink" Target="https://en.wikipedia.org/wiki/PlayStation_3" TargetMode="External"/><Relationship Id="rId677" Type="http://schemas.openxmlformats.org/officeDocument/2006/relationships/hyperlink" Target="https://en.wikipedia.org/wiki/Xbox_One" TargetMode="External"/><Relationship Id="rId2053" Type="http://schemas.openxmlformats.org/officeDocument/2006/relationships/hyperlink" Target="https://en.wikipedia.org/wiki/Maxis_Redwood_Shores" TargetMode="External"/><Relationship Id="rId2260" Type="http://schemas.openxmlformats.org/officeDocument/2006/relationships/hyperlink" Target="https://en.wikipedia.org/wiki/The_Sims_4:_Eco_Lifestyle" TargetMode="External"/><Relationship Id="rId2358" Type="http://schemas.openxmlformats.org/officeDocument/2006/relationships/hyperlink" Target="https://en.wikipedia.org/wiki/PlayStation_5" TargetMode="External"/><Relationship Id="rId232" Type="http://schemas.openxmlformats.org/officeDocument/2006/relationships/hyperlink" Target="https://en.wikipedia.org/wiki/Criterion_Games" TargetMode="External"/><Relationship Id="rId884" Type="http://schemas.openxmlformats.org/officeDocument/2006/relationships/hyperlink" Target="https://en.wikipedia.org/wiki/Madden_NFL_12" TargetMode="External"/><Relationship Id="rId2120" Type="http://schemas.openxmlformats.org/officeDocument/2006/relationships/hyperlink" Target="https://en.wikipedia.org/wiki/Maxis_Redwood_Shores" TargetMode="External"/><Relationship Id="rId2565" Type="http://schemas.openxmlformats.org/officeDocument/2006/relationships/hyperlink" Target="https://en.wikipedia.org/wiki/PlayStation_5" TargetMode="External"/><Relationship Id="rId537" Type="http://schemas.openxmlformats.org/officeDocument/2006/relationships/hyperlink" Target="https://en.wikipedia.org/wiki/EA_Canada" TargetMode="External"/><Relationship Id="rId744" Type="http://schemas.openxmlformats.org/officeDocument/2006/relationships/hyperlink" Target="https://en.wikipedia.org/wiki/Microsoft_Windows" TargetMode="External"/><Relationship Id="rId951" Type="http://schemas.openxmlformats.org/officeDocument/2006/relationships/hyperlink" Target="https://en.wikipedia.org/wiki/PlayStation_4" TargetMode="External"/><Relationship Id="rId1167" Type="http://schemas.openxmlformats.org/officeDocument/2006/relationships/hyperlink" Target="https://en.wikipedia.org/wiki/Xbox_One" TargetMode="External"/><Relationship Id="rId1374" Type="http://schemas.openxmlformats.org/officeDocument/2006/relationships/hyperlink" Target="https://en.wikipedia.org/wiki/NHL_15" TargetMode="External"/><Relationship Id="rId1581" Type="http://schemas.openxmlformats.org/officeDocument/2006/relationships/hyperlink" Target="https://en.wikipedia.org/wiki/Sea_of_Solitude" TargetMode="External"/><Relationship Id="rId1679" Type="http://schemas.openxmlformats.org/officeDocument/2006/relationships/hyperlink" Target="https://en.wikipedia.org/wiki/Xbox_360" TargetMode="External"/><Relationship Id="rId2218" Type="http://schemas.openxmlformats.org/officeDocument/2006/relationships/hyperlink" Target="https://en.wikipedia.org/wiki/PlayStation_4" TargetMode="External"/><Relationship Id="rId2425" Type="http://schemas.openxmlformats.org/officeDocument/2006/relationships/hyperlink" Target="https://en.wikipedia.org/wiki/Xbox_One" TargetMode="External"/><Relationship Id="rId80" Type="http://schemas.openxmlformats.org/officeDocument/2006/relationships/hyperlink" Target="https://en.wikipedia.org/wiki/Nintendo_Switch" TargetMode="External"/><Relationship Id="rId604" Type="http://schemas.openxmlformats.org/officeDocument/2006/relationships/hyperlink" Target="https://en.wikipedia.org/wiki/FIFA_14" TargetMode="External"/><Relationship Id="rId811" Type="http://schemas.openxmlformats.org/officeDocument/2006/relationships/hyperlink" Target="https://en.wikipedia.org/wiki/EA_Bright_Light" TargetMode="External"/><Relationship Id="rId1027" Type="http://schemas.openxmlformats.org/officeDocument/2006/relationships/hyperlink" Target="https://en.wikipedia.org/wiki/Mass_Effect_3" TargetMode="External"/><Relationship Id="rId1234" Type="http://schemas.openxmlformats.org/officeDocument/2006/relationships/hyperlink" Target="https://en.wikipedia.org/wiki/Need_for_Speed_Rivals" TargetMode="External"/><Relationship Id="rId1441" Type="http://schemas.openxmlformats.org/officeDocument/2006/relationships/hyperlink" Target="https://en.wikipedia.org/wiki/Peggle_Blast" TargetMode="External"/><Relationship Id="rId1886" Type="http://schemas.openxmlformats.org/officeDocument/2006/relationships/hyperlink" Target="https://en.wikipedia.org/wiki/The_Sims_4" TargetMode="External"/><Relationship Id="rId909" Type="http://schemas.openxmlformats.org/officeDocument/2006/relationships/hyperlink" Target="https://en.wikipedia.org/wiki/IOS" TargetMode="External"/><Relationship Id="rId1301" Type="http://schemas.openxmlformats.org/officeDocument/2006/relationships/hyperlink" Target="https://en.wikipedia.org/wiki/Nintendo_DSi" TargetMode="External"/><Relationship Id="rId1539" Type="http://schemas.openxmlformats.org/officeDocument/2006/relationships/hyperlink" Target="https://en.wikipedia.org/wiki/Real_Racing_3" TargetMode="External"/><Relationship Id="rId1746" Type="http://schemas.openxmlformats.org/officeDocument/2006/relationships/hyperlink" Target="https://en.wikipedia.org/wiki/EA_Mobile" TargetMode="External"/><Relationship Id="rId1953" Type="http://schemas.openxmlformats.org/officeDocument/2006/relationships/hyperlink" Target="https://en.wikipedia.org/wiki/Xbox_One" TargetMode="External"/><Relationship Id="rId38" Type="http://schemas.openxmlformats.org/officeDocument/2006/relationships/hyperlink" Target="https://en.wikipedia.org/wiki/Microsoft_Windows" TargetMode="External"/><Relationship Id="rId1606" Type="http://schemas.openxmlformats.org/officeDocument/2006/relationships/hyperlink" Target="https://en.wikipedia.org/wiki/Microsoft_Windows" TargetMode="External"/><Relationship Id="rId1813" Type="http://schemas.openxmlformats.org/officeDocument/2006/relationships/hyperlink" Target="https://en.wikipedia.org/wiki/Maxis_Redwood_Shores" TargetMode="External"/><Relationship Id="rId187" Type="http://schemas.openxmlformats.org/officeDocument/2006/relationships/hyperlink" Target="https://en.wikipedia.org/wiki/EA_DICE" TargetMode="External"/><Relationship Id="rId394" Type="http://schemas.openxmlformats.org/officeDocument/2006/relationships/hyperlink" Target="https://en.wikipedia.org/wiki/BioWare" TargetMode="External"/><Relationship Id="rId2075" Type="http://schemas.openxmlformats.org/officeDocument/2006/relationships/hyperlink" Target="https://en.wikipedia.org/wiki/The_Sims_4:_StrangerVille" TargetMode="External"/><Relationship Id="rId2282" Type="http://schemas.openxmlformats.org/officeDocument/2006/relationships/hyperlink" Target="https://en.wikipedia.org/wiki/Xbox_One" TargetMode="External"/><Relationship Id="rId254" Type="http://schemas.openxmlformats.org/officeDocument/2006/relationships/hyperlink" Target="https://en.wikipedia.org/wiki/PlayStation_3" TargetMode="External"/><Relationship Id="rId699" Type="http://schemas.openxmlformats.org/officeDocument/2006/relationships/hyperlink" Target="https://en.wikipedia.org/wiki/EA_Vancouver" TargetMode="External"/><Relationship Id="rId1091" Type="http://schemas.openxmlformats.org/officeDocument/2006/relationships/hyperlink" Target="https://en.wikipedia.org/wiki/EA_DICE" TargetMode="External"/><Relationship Id="rId2587" Type="http://schemas.openxmlformats.org/officeDocument/2006/relationships/hyperlink" Target="https://en.wikipedia.org/wiki/Battlefield_(video_game_series)" TargetMode="External"/><Relationship Id="rId114" Type="http://schemas.openxmlformats.org/officeDocument/2006/relationships/hyperlink" Target="https://en.wikipedia.org/wiki/Cipher_Prime" TargetMode="External"/><Relationship Id="rId461" Type="http://schemas.openxmlformats.org/officeDocument/2006/relationships/hyperlink" Target="https://en.wikipedia.org/wiki/Android_(operating_system)" TargetMode="External"/><Relationship Id="rId559" Type="http://schemas.openxmlformats.org/officeDocument/2006/relationships/hyperlink" Target="https://en.wikipedia.org/wiki/FIFA_13" TargetMode="External"/><Relationship Id="rId766" Type="http://schemas.openxmlformats.org/officeDocument/2006/relationships/hyperlink" Target="https://en.wikipedia.org/wiki/IOS" TargetMode="External"/><Relationship Id="rId1189" Type="http://schemas.openxmlformats.org/officeDocument/2006/relationships/hyperlink" Target="https://en.wikipedia.org/wiki/NCAA_Football_11" TargetMode="External"/><Relationship Id="rId1396" Type="http://schemas.openxmlformats.org/officeDocument/2006/relationships/hyperlink" Target="https://en.wikipedia.org/wiki/PlayStation_4" TargetMode="External"/><Relationship Id="rId2142" Type="http://schemas.openxmlformats.org/officeDocument/2006/relationships/hyperlink" Target="https://en.wikipedia.org/wiki/EA_Tiburon" TargetMode="External"/><Relationship Id="rId2447" Type="http://schemas.openxmlformats.org/officeDocument/2006/relationships/hyperlink" Target="https://en.wikipedia.org/wiki/PlayStation_5" TargetMode="External"/><Relationship Id="rId321" Type="http://schemas.openxmlformats.org/officeDocument/2006/relationships/hyperlink" Target="https://en.wikipedia.org/wiki/Dead_Space_3" TargetMode="External"/><Relationship Id="rId419" Type="http://schemas.openxmlformats.org/officeDocument/2006/relationships/hyperlink" Target="https://en.wikipedia.org/wiki/Playfish" TargetMode="External"/><Relationship Id="rId626" Type="http://schemas.openxmlformats.org/officeDocument/2006/relationships/hyperlink" Target="https://en.wikipedia.org/wiki/PlayStation_Vita" TargetMode="External"/><Relationship Id="rId973" Type="http://schemas.openxmlformats.org/officeDocument/2006/relationships/hyperlink" Target="https://en.wikipedia.org/wiki/EA_Tiburon" TargetMode="External"/><Relationship Id="rId1049" Type="http://schemas.openxmlformats.org/officeDocument/2006/relationships/hyperlink" Target="https://en.wikipedia.org/wiki/BioWare" TargetMode="External"/><Relationship Id="rId1256" Type="http://schemas.openxmlformats.org/officeDocument/2006/relationships/hyperlink" Target="https://en.wikipedia.org/wiki/Java_ME" TargetMode="External"/><Relationship Id="rId2002" Type="http://schemas.openxmlformats.org/officeDocument/2006/relationships/hyperlink" Target="https://en.wikipedia.org/wiki/Maxis_Redwood_Shores" TargetMode="External"/><Relationship Id="rId2307" Type="http://schemas.openxmlformats.org/officeDocument/2006/relationships/hyperlink" Target="https://en.wikipedia.org/wiki/PlayStation_4" TargetMode="External"/><Relationship Id="rId833" Type="http://schemas.openxmlformats.org/officeDocument/2006/relationships/hyperlink" Target="https://en.wikipedia.org/wiki/Hasbro_Family_Game_Night_4:_The_Game_Show" TargetMode="External"/><Relationship Id="rId1116" Type="http://schemas.openxmlformats.org/officeDocument/2006/relationships/hyperlink" Target="https://en.wikipedia.org/wiki/Wii" TargetMode="External"/><Relationship Id="rId1463" Type="http://schemas.openxmlformats.org/officeDocument/2006/relationships/hyperlink" Target="https://en.wikipedia.org/wiki/Plants_vs._Zombies_2:_It%27s_About_Time" TargetMode="External"/><Relationship Id="rId1670" Type="http://schemas.openxmlformats.org/officeDocument/2006/relationships/hyperlink" Target="https://en.wikipedia.org/wiki/Xbox_360" TargetMode="External"/><Relationship Id="rId1768" Type="http://schemas.openxmlformats.org/officeDocument/2006/relationships/hyperlink" Target="https://en.wikipedia.org/wiki/Texas_Hold_%27em_(video_game)" TargetMode="External"/><Relationship Id="rId2514" Type="http://schemas.openxmlformats.org/officeDocument/2006/relationships/hyperlink" Target="https://en.wikipedia.org/wiki/EA_Tiburon" TargetMode="External"/><Relationship Id="rId900" Type="http://schemas.openxmlformats.org/officeDocument/2006/relationships/hyperlink" Target="https://en.wikipedia.org/wiki/PlayStation_Vita" TargetMode="External"/><Relationship Id="rId1323" Type="http://schemas.openxmlformats.org/officeDocument/2006/relationships/hyperlink" Target="https://en.wikipedia.org/wiki/EA_Black_Box" TargetMode="External"/><Relationship Id="rId1530" Type="http://schemas.openxmlformats.org/officeDocument/2006/relationships/hyperlink" Target="https://en.wikipedia.org/wiki/Real_Racing_2" TargetMode="External"/><Relationship Id="rId1628" Type="http://schemas.openxmlformats.org/officeDocument/2006/relationships/hyperlink" Target="https://en.wikipedia.org/wiki/Klei_Entertainment" TargetMode="External"/><Relationship Id="rId1975" Type="http://schemas.openxmlformats.org/officeDocument/2006/relationships/hyperlink" Target="https://en.wikipedia.org/wiki/Maxis_Redwood_Shores" TargetMode="External"/><Relationship Id="rId1835" Type="http://schemas.openxmlformats.org/officeDocument/2006/relationships/hyperlink" Target="https://en.wikipedia.org/wiki/The_Sims_3:_Island_Paradise" TargetMode="External"/><Relationship Id="rId1902" Type="http://schemas.openxmlformats.org/officeDocument/2006/relationships/hyperlink" Target="https://en.wikipedia.org/wiki/Microsoft_Windows" TargetMode="External"/><Relationship Id="rId2097" Type="http://schemas.openxmlformats.org/officeDocument/2006/relationships/hyperlink" Target="https://en.wikipedia.org/wiki/Xbox_One" TargetMode="External"/><Relationship Id="rId276" Type="http://schemas.openxmlformats.org/officeDocument/2006/relationships/hyperlink" Target="https://en.wikipedia.org/wiki/Crytek" TargetMode="External"/><Relationship Id="rId483" Type="http://schemas.openxmlformats.org/officeDocument/2006/relationships/hyperlink" Target="https://en.wikipedia.org/wiki/EA_Canada" TargetMode="External"/><Relationship Id="rId690" Type="http://schemas.openxmlformats.org/officeDocument/2006/relationships/hyperlink" Target="https://en.wikipedia.org/wiki/EA_Vancouver" TargetMode="External"/><Relationship Id="rId2164" Type="http://schemas.openxmlformats.org/officeDocument/2006/relationships/hyperlink" Target="https://en.wikipedia.org/wiki/Tiger_Woods_PGA_Tour_13" TargetMode="External"/><Relationship Id="rId2371" Type="http://schemas.openxmlformats.org/officeDocument/2006/relationships/hyperlink" Target="https://en.wikipedia.org/wiki/Nintendo_Switch" TargetMode="External"/><Relationship Id="rId136" Type="http://schemas.openxmlformats.org/officeDocument/2006/relationships/hyperlink" Target="https://en.wikipedia.org/wiki/PlayStation_3" TargetMode="External"/><Relationship Id="rId343" Type="http://schemas.openxmlformats.org/officeDocument/2006/relationships/hyperlink" Target="https://en.wikipedia.org/wiki/Macintosh" TargetMode="External"/><Relationship Id="rId550" Type="http://schemas.openxmlformats.org/officeDocument/2006/relationships/hyperlink" Target="https://en.wikipedia.org/wiki/FIFA_13" TargetMode="External"/><Relationship Id="rId788" Type="http://schemas.openxmlformats.org/officeDocument/2006/relationships/hyperlink" Target="https://en.wikipedia.org/wiki/Harry_Potter_and_the_Deathly_Hallows_%E2%80%93_Part_1_(video_game)" TargetMode="External"/><Relationship Id="rId995" Type="http://schemas.openxmlformats.org/officeDocument/2006/relationships/hyperlink" Target="https://en.wikipedia.org/wiki/Madden_NFL_Mobile" TargetMode="External"/><Relationship Id="rId1180" Type="http://schemas.openxmlformats.org/officeDocument/2006/relationships/hyperlink" Target="https://en.wikipedia.org/wiki/EA_Tiburon" TargetMode="External"/><Relationship Id="rId2024" Type="http://schemas.openxmlformats.org/officeDocument/2006/relationships/hyperlink" Target="https://en.wikipedia.org/wiki/The_Sims_4:_Outdoor_Retreat" TargetMode="External"/><Relationship Id="rId2231" Type="http://schemas.openxmlformats.org/officeDocument/2006/relationships/hyperlink" Target="https://en.wikipedia.org/wiki/WarFriends" TargetMode="External"/><Relationship Id="rId2469" Type="http://schemas.openxmlformats.org/officeDocument/2006/relationships/hyperlink" Target="https://en.wikipedia.org/wiki/Omega_Force" TargetMode="External"/><Relationship Id="rId203" Type="http://schemas.openxmlformats.org/officeDocument/2006/relationships/hyperlink" Target="https://en.wikipedia.org/wiki/Bejeweled_Stars" TargetMode="External"/><Relationship Id="rId648" Type="http://schemas.openxmlformats.org/officeDocument/2006/relationships/hyperlink" Target="https://en.wikipedia.org/wiki/EA_Canada" TargetMode="External"/><Relationship Id="rId855" Type="http://schemas.openxmlformats.org/officeDocument/2006/relationships/hyperlink" Target="https://en.wikipedia.org/wiki/Lord_of_Ultima" TargetMode="External"/><Relationship Id="rId1040" Type="http://schemas.openxmlformats.org/officeDocument/2006/relationships/hyperlink" Target="https://en.wikipedia.org/wiki/BlackBerry_World" TargetMode="External"/><Relationship Id="rId1278" Type="http://schemas.openxmlformats.org/officeDocument/2006/relationships/hyperlink" Target="https://en.wikipedia.org/wiki/Criterion_Games" TargetMode="External"/><Relationship Id="rId1485" Type="http://schemas.openxmlformats.org/officeDocument/2006/relationships/hyperlink" Target="https://en.wikipedia.org/wiki/Xbox_360" TargetMode="External"/><Relationship Id="rId1692" Type="http://schemas.openxmlformats.org/officeDocument/2006/relationships/hyperlink" Target="https://en.wikipedia.org/wiki/EA_Canada" TargetMode="External"/><Relationship Id="rId2329" Type="http://schemas.openxmlformats.org/officeDocument/2006/relationships/hyperlink" Target="https://en.wikipedia.org/wiki/Nintendo_Switch" TargetMode="External"/><Relationship Id="rId2536" Type="http://schemas.openxmlformats.org/officeDocument/2006/relationships/hyperlink" Target="https://en.wikipedia.org/wiki/PlayStation_5" TargetMode="External"/><Relationship Id="rId410" Type="http://schemas.openxmlformats.org/officeDocument/2006/relationships/hyperlink" Target="https://en.wikipedia.org/wiki/EA_Canada" TargetMode="External"/><Relationship Id="rId508" Type="http://schemas.openxmlformats.org/officeDocument/2006/relationships/hyperlink" Target="https://en.wikipedia.org/wiki/FIFA_12" TargetMode="External"/><Relationship Id="rId715" Type="http://schemas.openxmlformats.org/officeDocument/2006/relationships/hyperlink" Target="https://en.wikipedia.org/wiki/FIFA_20" TargetMode="External"/><Relationship Id="rId922" Type="http://schemas.openxmlformats.org/officeDocument/2006/relationships/hyperlink" Target="https://en.wikipedia.org/wiki/EA_Tiburon" TargetMode="External"/><Relationship Id="rId1138" Type="http://schemas.openxmlformats.org/officeDocument/2006/relationships/hyperlink" Target="https://en.wikipedia.org/wiki/EA_Canada" TargetMode="External"/><Relationship Id="rId1345" Type="http://schemas.openxmlformats.org/officeDocument/2006/relationships/hyperlink" Target="https://en.wikipedia.org/wiki/Xbox_One" TargetMode="External"/><Relationship Id="rId1552" Type="http://schemas.openxmlformats.org/officeDocument/2006/relationships/hyperlink" Target="https://en.wikipedia.org/wiki/Xbox_Live_Arcade" TargetMode="External"/><Relationship Id="rId1997" Type="http://schemas.openxmlformats.org/officeDocument/2006/relationships/hyperlink" Target="https://en.wikipedia.org/wiki/The_Sims_4:_Island_Living" TargetMode="External"/><Relationship Id="rId1205" Type="http://schemas.openxmlformats.org/officeDocument/2006/relationships/hyperlink" Target="https://en.wikipedia.org/wiki/PlayStation_3" TargetMode="External"/><Relationship Id="rId1857" Type="http://schemas.openxmlformats.org/officeDocument/2006/relationships/hyperlink" Target="https://en.wikipedia.org/wiki/Xbox_360" TargetMode="External"/><Relationship Id="rId51" Type="http://schemas.openxmlformats.org/officeDocument/2006/relationships/hyperlink" Target="https://en.wikipedia.org/wiki/Rogue_Entertainment" TargetMode="External"/><Relationship Id="rId1412" Type="http://schemas.openxmlformats.org/officeDocument/2006/relationships/hyperlink" Target="https://en.wikipedia.org/wiki/EA_Vancouver" TargetMode="External"/><Relationship Id="rId1717" Type="http://schemas.openxmlformats.org/officeDocument/2006/relationships/hyperlink" Target="https://en.wikipedia.org/wiki/Star_Wars_Jedi:_Fallen_Order" TargetMode="External"/><Relationship Id="rId1924" Type="http://schemas.openxmlformats.org/officeDocument/2006/relationships/hyperlink" Target="https://en.wikipedia.org/wiki/Maxis_Redwood_Shores" TargetMode="External"/><Relationship Id="rId298" Type="http://schemas.openxmlformats.org/officeDocument/2006/relationships/hyperlink" Target="https://en.wikipedia.org/wiki/Darkspore" TargetMode="External"/><Relationship Id="rId158" Type="http://schemas.openxmlformats.org/officeDocument/2006/relationships/hyperlink" Target="https://en.wikipedia.org/wiki/Battlefield_Bad_Company_2" TargetMode="External"/><Relationship Id="rId2186" Type="http://schemas.openxmlformats.org/officeDocument/2006/relationships/hyperlink" Target="https://en.wikipedia.org/wiki/Xbox_One" TargetMode="External"/><Relationship Id="rId2393" Type="http://schemas.openxmlformats.org/officeDocument/2006/relationships/hyperlink" Target="https://en.wikipedia.org/wiki/Battlefield_2042" TargetMode="External"/><Relationship Id="rId365" Type="http://schemas.openxmlformats.org/officeDocument/2006/relationships/hyperlink" Target="https://en.wikipedia.org/wiki/BioWare" TargetMode="External"/><Relationship Id="rId572" Type="http://schemas.openxmlformats.org/officeDocument/2006/relationships/hyperlink" Target="https://en.wikipedia.org/wiki/IOS" TargetMode="External"/><Relationship Id="rId2046" Type="http://schemas.openxmlformats.org/officeDocument/2006/relationships/hyperlink" Target="https://en.wikipedia.org/wiki/PlayStation_4" TargetMode="External"/><Relationship Id="rId2253" Type="http://schemas.openxmlformats.org/officeDocument/2006/relationships/hyperlink" Target="https://en.wikipedia.org/wiki/PopCap_Games" TargetMode="External"/><Relationship Id="rId2460" Type="http://schemas.openxmlformats.org/officeDocument/2006/relationships/hyperlink" Target="https://en.wikipedia.org/wiki/Xbox_Series_X_and_Series_S" TargetMode="External"/><Relationship Id="rId225" Type="http://schemas.openxmlformats.org/officeDocument/2006/relationships/hyperlink" Target="https://en.wikipedia.org/wiki/PlayStation_4" TargetMode="External"/><Relationship Id="rId432" Type="http://schemas.openxmlformats.org/officeDocument/2006/relationships/hyperlink" Target="https://en.wikipedia.org/wiki/Xbox_One" TargetMode="External"/><Relationship Id="rId877" Type="http://schemas.openxmlformats.org/officeDocument/2006/relationships/hyperlink" Target="https://en.wikipedia.org/wiki/EA_Tiburon" TargetMode="External"/><Relationship Id="rId1062" Type="http://schemas.openxmlformats.org/officeDocument/2006/relationships/hyperlink" Target="https://en.wikipedia.org/wiki/Medal_of_Honor:_Warfighter" TargetMode="External"/><Relationship Id="rId2113" Type="http://schemas.openxmlformats.org/officeDocument/2006/relationships/hyperlink" Target="https://en.wikipedia.org/wiki/Microsoft_Windows" TargetMode="External"/><Relationship Id="rId2320" Type="http://schemas.openxmlformats.org/officeDocument/2006/relationships/hyperlink" Target="https://en.wikipedia.org/wiki/Respawn_Entertainment" TargetMode="External"/><Relationship Id="rId2558" Type="http://schemas.openxmlformats.org/officeDocument/2006/relationships/hyperlink" Target="https://en.wikipedia.org/wiki/Surgent_Studios" TargetMode="External"/><Relationship Id="rId737" Type="http://schemas.openxmlformats.org/officeDocument/2006/relationships/hyperlink" Target="https://en.wikipedia.org/wiki/FIFA_Mobile" TargetMode="External"/><Relationship Id="rId944" Type="http://schemas.openxmlformats.org/officeDocument/2006/relationships/hyperlink" Target="https://en.wikipedia.org/wiki/Madden_NFL_17" TargetMode="External"/><Relationship Id="rId1367" Type="http://schemas.openxmlformats.org/officeDocument/2006/relationships/hyperlink" Target="https://en.wikipedia.org/wiki/EA_Canada" TargetMode="External"/><Relationship Id="rId1574" Type="http://schemas.openxmlformats.org/officeDocument/2006/relationships/hyperlink" Target="https://en.wikipedia.org/wiki/EA_Tiburon" TargetMode="External"/><Relationship Id="rId1781" Type="http://schemas.openxmlformats.org/officeDocument/2006/relationships/hyperlink" Target="https://en.wikipedia.org/wiki/EA_Mobile" TargetMode="External"/><Relationship Id="rId2418" Type="http://schemas.openxmlformats.org/officeDocument/2006/relationships/hyperlink" Target="https://en.wikipedia.org/wiki/PlayStation_4" TargetMode="External"/><Relationship Id="rId73" Type="http://schemas.openxmlformats.org/officeDocument/2006/relationships/hyperlink" Target="https://en.wikipedia.org/wiki/Apex_Legends" TargetMode="External"/><Relationship Id="rId804" Type="http://schemas.openxmlformats.org/officeDocument/2006/relationships/hyperlink" Target="https://en.wikipedia.org/wiki/Nintendo_DS" TargetMode="External"/><Relationship Id="rId1227" Type="http://schemas.openxmlformats.org/officeDocument/2006/relationships/hyperlink" Target="https://en.wikipedia.org/wiki/Ghost_Games" TargetMode="External"/><Relationship Id="rId1434" Type="http://schemas.openxmlformats.org/officeDocument/2006/relationships/hyperlink" Target="https://en.wikipedia.org/wiki/PopCap_Games" TargetMode="External"/><Relationship Id="rId1641" Type="http://schemas.openxmlformats.org/officeDocument/2006/relationships/hyperlink" Target="https://en.wikipedia.org/wiki/SimCity_(2013_video_game)" TargetMode="External"/><Relationship Id="rId1879" Type="http://schemas.openxmlformats.org/officeDocument/2006/relationships/hyperlink" Target="https://en.wikipedia.org/wiki/EA_Salt_Lake" TargetMode="External"/><Relationship Id="rId1501" Type="http://schemas.openxmlformats.org/officeDocument/2006/relationships/hyperlink" Target="https://en.wikipedia.org/wiki/PopCap_Games" TargetMode="External"/><Relationship Id="rId1739" Type="http://schemas.openxmlformats.org/officeDocument/2006/relationships/hyperlink" Target="https://en.wikipedia.org/wiki/IOS" TargetMode="External"/><Relationship Id="rId1946" Type="http://schemas.openxmlformats.org/officeDocument/2006/relationships/hyperlink" Target="https://en.wikipedia.org/wiki/The_Sims_4:_Discover_University" TargetMode="External"/><Relationship Id="rId1806" Type="http://schemas.openxmlformats.org/officeDocument/2006/relationships/hyperlink" Target="https://en.wikipedia.org/wiki/Microsoft_Windows" TargetMode="External"/><Relationship Id="rId387" Type="http://schemas.openxmlformats.org/officeDocument/2006/relationships/hyperlink" Target="https://en.wikipedia.org/wiki/Macintosh" TargetMode="External"/><Relationship Id="rId594" Type="http://schemas.openxmlformats.org/officeDocument/2006/relationships/hyperlink" Target="https://en.wikipedia.org/wiki/EA_Canada" TargetMode="External"/><Relationship Id="rId2068" Type="http://schemas.openxmlformats.org/officeDocument/2006/relationships/hyperlink" Target="https://en.wikipedia.org/wiki/Maxis_Redwood_Shores" TargetMode="External"/><Relationship Id="rId2275" Type="http://schemas.openxmlformats.org/officeDocument/2006/relationships/hyperlink" Target="https://en.wikipedia.org/wiki/PlayStation_4" TargetMode="External"/><Relationship Id="rId247" Type="http://schemas.openxmlformats.org/officeDocument/2006/relationships/hyperlink" Target="https://en.wikipedia.org/wiki/Android_(operating_system)" TargetMode="External"/><Relationship Id="rId899" Type="http://schemas.openxmlformats.org/officeDocument/2006/relationships/hyperlink" Target="https://en.wikipedia.org/wiki/Madden_NFL_13" TargetMode="External"/><Relationship Id="rId1084" Type="http://schemas.openxmlformats.org/officeDocument/2006/relationships/hyperlink" Target="https://en.wikipedia.org/wiki/IOS" TargetMode="External"/><Relationship Id="rId2482" Type="http://schemas.openxmlformats.org/officeDocument/2006/relationships/hyperlink" Target="https://en.wikipedia.org/wiki/Xbox_Series_X_and_Series_S" TargetMode="External"/><Relationship Id="rId107" Type="http://schemas.openxmlformats.org/officeDocument/2006/relationships/hyperlink" Target="https://en.wikipedia.org/wiki/Xbox_360" TargetMode="External"/><Relationship Id="rId454" Type="http://schemas.openxmlformats.org/officeDocument/2006/relationships/hyperlink" Target="https://en.wikipedia.org/wiki/Fe_(video_game)" TargetMode="External"/><Relationship Id="rId661" Type="http://schemas.openxmlformats.org/officeDocument/2006/relationships/hyperlink" Target="https://en.wikipedia.org/wiki/FIFA_16" TargetMode="External"/><Relationship Id="rId759" Type="http://schemas.openxmlformats.org/officeDocument/2006/relationships/hyperlink" Target="https://en.wikipedia.org/wiki/Fight_Night_Champion" TargetMode="External"/><Relationship Id="rId966" Type="http://schemas.openxmlformats.org/officeDocument/2006/relationships/hyperlink" Target="https://en.wikipedia.org/wiki/PlayStation_4" TargetMode="External"/><Relationship Id="rId1291" Type="http://schemas.openxmlformats.org/officeDocument/2006/relationships/hyperlink" Target="https://en.wikipedia.org/wiki/Need_for_Speed:_Most_Wanted_(2012_video_game)" TargetMode="External"/><Relationship Id="rId1389" Type="http://schemas.openxmlformats.org/officeDocument/2006/relationships/hyperlink" Target="https://en.wikipedia.org/wiki/NHL_16" TargetMode="External"/><Relationship Id="rId1596" Type="http://schemas.openxmlformats.org/officeDocument/2006/relationships/hyperlink" Target="https://en.wikipedia.org/wiki/Shadows_of_the_Damned" TargetMode="External"/><Relationship Id="rId2135" Type="http://schemas.openxmlformats.org/officeDocument/2006/relationships/hyperlink" Target="https://en.wikipedia.org/wiki/IOS" TargetMode="External"/><Relationship Id="rId2342" Type="http://schemas.openxmlformats.org/officeDocument/2006/relationships/hyperlink" Target="https://en.wikipedia.org/wiki/The_Sims_4:_Dream_Home_Decorator" TargetMode="External"/><Relationship Id="rId314" Type="http://schemas.openxmlformats.org/officeDocument/2006/relationships/hyperlink" Target="https://en.wikipedia.org/wiki/Visceral_Games" TargetMode="External"/><Relationship Id="rId521" Type="http://schemas.openxmlformats.org/officeDocument/2006/relationships/hyperlink" Target="https://en.wikipedia.org/wiki/Sony_Ericsson_Xperia_Play" TargetMode="External"/><Relationship Id="rId619" Type="http://schemas.openxmlformats.org/officeDocument/2006/relationships/hyperlink" Target="https://en.wikipedia.org/wiki/FIFA_15" TargetMode="External"/><Relationship Id="rId1151" Type="http://schemas.openxmlformats.org/officeDocument/2006/relationships/hyperlink" Target="https://en.wikipedia.org/wiki/NBA_Live_14" TargetMode="External"/><Relationship Id="rId1249" Type="http://schemas.openxmlformats.org/officeDocument/2006/relationships/hyperlink" Target="https://en.wikipedia.org/wiki/Need_for_Speed:_Hot_Pursuit_(2010_video_game)" TargetMode="External"/><Relationship Id="rId2202" Type="http://schemas.openxmlformats.org/officeDocument/2006/relationships/hyperlink" Target="https://en.wikipedia.org/wiki/UEFA_Euro_2012_(video_game)" TargetMode="External"/><Relationship Id="rId95" Type="http://schemas.openxmlformats.org/officeDocument/2006/relationships/hyperlink" Target="https://en.wikipedia.org/wiki/Buzz_Monkey_Software" TargetMode="External"/><Relationship Id="rId826" Type="http://schemas.openxmlformats.org/officeDocument/2006/relationships/hyperlink" Target="https://en.wikipedia.org/wiki/EA_Bright_Light" TargetMode="External"/><Relationship Id="rId1011" Type="http://schemas.openxmlformats.org/officeDocument/2006/relationships/hyperlink" Target="https://en.wikipedia.org/wiki/Playfish" TargetMode="External"/><Relationship Id="rId1109" Type="http://schemas.openxmlformats.org/officeDocument/2006/relationships/hyperlink" Target="https://en.wikipedia.org/wiki/MySims_SkyHeroes" TargetMode="External"/><Relationship Id="rId1456" Type="http://schemas.openxmlformats.org/officeDocument/2006/relationships/hyperlink" Target="https://en.wikipedia.org/wiki/PopCap_Games" TargetMode="External"/><Relationship Id="rId1663" Type="http://schemas.openxmlformats.org/officeDocument/2006/relationships/hyperlink" Target="https://en.wikipedia.org/wiki/Android_(operating_system)" TargetMode="External"/><Relationship Id="rId1870" Type="http://schemas.openxmlformats.org/officeDocument/2006/relationships/hyperlink" Target="https://en.wikipedia.org/wiki/EA_Salt_Lake" TargetMode="External"/><Relationship Id="rId1968" Type="http://schemas.openxmlformats.org/officeDocument/2006/relationships/hyperlink" Target="https://en.wikipedia.org/wiki/Macintosh" TargetMode="External"/><Relationship Id="rId2507" Type="http://schemas.openxmlformats.org/officeDocument/2006/relationships/hyperlink" Target="https://en.wikipedia.org/wiki/Macintosh" TargetMode="External"/><Relationship Id="rId1316" Type="http://schemas.openxmlformats.org/officeDocument/2006/relationships/hyperlink" Target="https://en.wikipedia.org/wiki/Wii" TargetMode="External"/><Relationship Id="rId1523" Type="http://schemas.openxmlformats.org/officeDocument/2006/relationships/hyperlink" Target="https://en.wikipedia.org/wiki/Behaviour_Interactive" TargetMode="External"/><Relationship Id="rId1730" Type="http://schemas.openxmlformats.org/officeDocument/2006/relationships/hyperlink" Target="https://en.wikipedia.org/wiki/PlayStation_5" TargetMode="External"/><Relationship Id="rId22" Type="http://schemas.openxmlformats.org/officeDocument/2006/relationships/hyperlink" Target="https://en.wikipedia.org/wiki/A_Way_Out_(video_game)" TargetMode="External"/><Relationship Id="rId1828" Type="http://schemas.openxmlformats.org/officeDocument/2006/relationships/hyperlink" Target="https://en.wikipedia.org/wiki/EA_Salt_Lake" TargetMode="External"/><Relationship Id="rId171" Type="http://schemas.openxmlformats.org/officeDocument/2006/relationships/hyperlink" Target="https://en.wikipedia.org/wiki/Microsoft_Windows" TargetMode="External"/><Relationship Id="rId2297" Type="http://schemas.openxmlformats.org/officeDocument/2006/relationships/hyperlink" Target="https://en.wikipedia.org/wiki/FIFA_21" TargetMode="External"/><Relationship Id="rId269" Type="http://schemas.openxmlformats.org/officeDocument/2006/relationships/hyperlink" Target="https://en.wikipedia.org/wiki/Xbox_360" TargetMode="External"/><Relationship Id="rId476" Type="http://schemas.openxmlformats.org/officeDocument/2006/relationships/hyperlink" Target="https://en.wikipedia.org/wiki/Nintendo_DS" TargetMode="External"/><Relationship Id="rId683" Type="http://schemas.openxmlformats.org/officeDocument/2006/relationships/hyperlink" Target="https://en.wikipedia.org/wiki/PlayStation_3" TargetMode="External"/><Relationship Id="rId890" Type="http://schemas.openxmlformats.org/officeDocument/2006/relationships/hyperlink" Target="https://en.wikipedia.org/wiki/Madden_NFL_12" TargetMode="External"/><Relationship Id="rId2157" Type="http://schemas.openxmlformats.org/officeDocument/2006/relationships/hyperlink" Target="https://en.wikipedia.org/wiki/EA_Tiburon" TargetMode="External"/><Relationship Id="rId2364" Type="http://schemas.openxmlformats.org/officeDocument/2006/relationships/hyperlink" Target="https://en.wikipedia.org/wiki/EA_Tiburon" TargetMode="External"/><Relationship Id="rId2571" Type="http://schemas.openxmlformats.org/officeDocument/2006/relationships/hyperlink" Target="https://en.wikipedia.org/wiki/BioWare" TargetMode="External"/><Relationship Id="rId129" Type="http://schemas.openxmlformats.org/officeDocument/2006/relationships/hyperlink" Target="https://en.wikipedia.org/wiki/Battlefield_3" TargetMode="External"/><Relationship Id="rId336" Type="http://schemas.openxmlformats.org/officeDocument/2006/relationships/hyperlink" Target="https://en.wikipedia.org/wiki/DeathSpank" TargetMode="External"/><Relationship Id="rId543" Type="http://schemas.openxmlformats.org/officeDocument/2006/relationships/hyperlink" Target="https://en.wikipedia.org/wiki/EA_Canada" TargetMode="External"/><Relationship Id="rId988" Type="http://schemas.openxmlformats.org/officeDocument/2006/relationships/hyperlink" Target="https://en.wikipedia.org/wiki/EA_Tiburon" TargetMode="External"/><Relationship Id="rId1173" Type="http://schemas.openxmlformats.org/officeDocument/2006/relationships/hyperlink" Target="https://en.wikipedia.org/wiki/Xbox_One" TargetMode="External"/><Relationship Id="rId1380" Type="http://schemas.openxmlformats.org/officeDocument/2006/relationships/hyperlink" Target="https://en.wikipedia.org/wiki/NHL_15" TargetMode="External"/><Relationship Id="rId2017" Type="http://schemas.openxmlformats.org/officeDocument/2006/relationships/hyperlink" Target="https://en.wikipedia.org/wiki/Maxis_Redwood_Shores" TargetMode="External"/><Relationship Id="rId2224" Type="http://schemas.openxmlformats.org/officeDocument/2006/relationships/hyperlink" Target="https://en.wikipedia.org/wiki/PlayStation_4" TargetMode="External"/><Relationship Id="rId403" Type="http://schemas.openxmlformats.org/officeDocument/2006/relationships/hyperlink" Target="https://en.wikipedia.org/wiki/IOS" TargetMode="External"/><Relationship Id="rId750" Type="http://schemas.openxmlformats.org/officeDocument/2006/relationships/hyperlink" Target="https://en.wikipedia.org/wiki/FIFA_Street_(2012_video_game)" TargetMode="External"/><Relationship Id="rId848" Type="http://schemas.openxmlformats.org/officeDocument/2006/relationships/hyperlink" Target="https://en.wikipedia.org/wiki/Kingdoms_of_Amalur:_Reckoning" TargetMode="External"/><Relationship Id="rId1033" Type="http://schemas.openxmlformats.org/officeDocument/2006/relationships/hyperlink" Target="https://en.wikipedia.org/wiki/Mass_Effect_Infiltrator" TargetMode="External"/><Relationship Id="rId1478" Type="http://schemas.openxmlformats.org/officeDocument/2006/relationships/hyperlink" Target="https://en.wikipedia.org/wiki/Plants_vs._Zombies:_Battle_for_Neighborville" TargetMode="External"/><Relationship Id="rId1685" Type="http://schemas.openxmlformats.org/officeDocument/2006/relationships/hyperlink" Target="https://en.wikipedia.org/wiki/Android_(operating_system)" TargetMode="External"/><Relationship Id="rId1892" Type="http://schemas.openxmlformats.org/officeDocument/2006/relationships/hyperlink" Target="https://en.wikipedia.org/wiki/The_Sims_4" TargetMode="External"/><Relationship Id="rId2431" Type="http://schemas.openxmlformats.org/officeDocument/2006/relationships/hyperlink" Target="https://en.wikipedia.org/wiki/PlayStation_5" TargetMode="External"/><Relationship Id="rId2529" Type="http://schemas.openxmlformats.org/officeDocument/2006/relationships/hyperlink" Target="https://en.wikipedia.org/wiki/PlayStation_5" TargetMode="External"/><Relationship Id="rId610" Type="http://schemas.openxmlformats.org/officeDocument/2006/relationships/hyperlink" Target="https://en.wikipedia.org/wiki/FIFA_15" TargetMode="External"/><Relationship Id="rId708" Type="http://schemas.openxmlformats.org/officeDocument/2006/relationships/hyperlink" Target="https://en.wikipedia.org/wiki/EA_Vancouver" TargetMode="External"/><Relationship Id="rId915" Type="http://schemas.openxmlformats.org/officeDocument/2006/relationships/hyperlink" Target="https://en.wikipedia.org/wiki/PlayStation_3" TargetMode="External"/><Relationship Id="rId1240" Type="http://schemas.openxmlformats.org/officeDocument/2006/relationships/hyperlink" Target="https://en.wikipedia.org/wiki/Need_for_Speed_Rivals" TargetMode="External"/><Relationship Id="rId1338" Type="http://schemas.openxmlformats.org/officeDocument/2006/relationships/hyperlink" Target="https://en.wikipedia.org/wiki/Need_for_Speed_Heat" TargetMode="External"/><Relationship Id="rId1545" Type="http://schemas.openxmlformats.org/officeDocument/2006/relationships/hyperlink" Target="https://en.wikipedia.org/wiki/Android_(operating_system)" TargetMode="External"/><Relationship Id="rId1100" Type="http://schemas.openxmlformats.org/officeDocument/2006/relationships/hyperlink" Target="https://en.wikipedia.org/wiki/Monopoly_Streets" TargetMode="External"/><Relationship Id="rId1405" Type="http://schemas.openxmlformats.org/officeDocument/2006/relationships/hyperlink" Target="https://en.wikipedia.org/wiki/Xbox_One" TargetMode="External"/><Relationship Id="rId1752" Type="http://schemas.openxmlformats.org/officeDocument/2006/relationships/hyperlink" Target="https://en.wikipedia.org/wiki/Starbreeze_Studios" TargetMode="External"/><Relationship Id="rId44" Type="http://schemas.openxmlformats.org/officeDocument/2006/relationships/hyperlink" Target="https://en.wikipedia.org/wiki/Xbox_One" TargetMode="External"/><Relationship Id="rId1612" Type="http://schemas.openxmlformats.org/officeDocument/2006/relationships/hyperlink" Target="https://en.wikipedia.org/wiki/Linux" TargetMode="External"/><Relationship Id="rId1917" Type="http://schemas.openxmlformats.org/officeDocument/2006/relationships/hyperlink" Target="https://en.wikipedia.org/wiki/Xbox_One" TargetMode="External"/><Relationship Id="rId193" Type="http://schemas.openxmlformats.org/officeDocument/2006/relationships/hyperlink" Target="https://en.wikipedia.org/wiki/PopCap_Games" TargetMode="External"/><Relationship Id="rId498" Type="http://schemas.openxmlformats.org/officeDocument/2006/relationships/hyperlink" Target="https://en.wikipedia.org/wiki/EA_Canada" TargetMode="External"/><Relationship Id="rId2081" Type="http://schemas.openxmlformats.org/officeDocument/2006/relationships/hyperlink" Target="https://en.wikipedia.org/wiki/The_Sims_4:_StrangerVille" TargetMode="External"/><Relationship Id="rId2179" Type="http://schemas.openxmlformats.org/officeDocument/2006/relationships/hyperlink" Target="https://en.wikipedia.org/wiki/Titanfall" TargetMode="External"/><Relationship Id="rId260" Type="http://schemas.openxmlformats.org/officeDocument/2006/relationships/hyperlink" Target="https://en.wikipedia.org/wiki/Microsoft_Windows" TargetMode="External"/><Relationship Id="rId2386" Type="http://schemas.openxmlformats.org/officeDocument/2006/relationships/hyperlink" Target="https://en.wikipedia.org/wiki/Google_Stadia" TargetMode="External"/><Relationship Id="rId2593" Type="http://schemas.openxmlformats.org/officeDocument/2006/relationships/hyperlink" Target="https://en.wikipedia.org/wiki/PlayStation_5" TargetMode="External"/><Relationship Id="rId120" Type="http://schemas.openxmlformats.org/officeDocument/2006/relationships/hyperlink" Target="https://en.wikipedia.org/wiki/Battlefield_1" TargetMode="External"/><Relationship Id="rId358" Type="http://schemas.openxmlformats.org/officeDocument/2006/relationships/hyperlink" Target="https://en.wikipedia.org/wiki/Macintosh" TargetMode="External"/><Relationship Id="rId565" Type="http://schemas.openxmlformats.org/officeDocument/2006/relationships/hyperlink" Target="https://en.wikipedia.org/wiki/FIFA_13" TargetMode="External"/><Relationship Id="rId772" Type="http://schemas.openxmlformats.org/officeDocument/2006/relationships/hyperlink" Target="https://en.wikipedia.org/wiki/Insomniac_Games" TargetMode="External"/><Relationship Id="rId1195" Type="http://schemas.openxmlformats.org/officeDocument/2006/relationships/hyperlink" Target="https://en.wikipedia.org/wiki/NCAA_Football_12" TargetMode="External"/><Relationship Id="rId2039" Type="http://schemas.openxmlformats.org/officeDocument/2006/relationships/hyperlink" Target="https://en.wikipedia.org/wiki/The_Sims_4:_Realm_of_Magic" TargetMode="External"/><Relationship Id="rId2246" Type="http://schemas.openxmlformats.org/officeDocument/2006/relationships/hyperlink" Target="https://en.wikipedia.org/wiki/Left_Field_Productions" TargetMode="External"/><Relationship Id="rId2453" Type="http://schemas.openxmlformats.org/officeDocument/2006/relationships/hyperlink" Target="https://en.wikipedia.org/wiki/EA_Vancouver" TargetMode="External"/><Relationship Id="rId218" Type="http://schemas.openxmlformats.org/officeDocument/2006/relationships/hyperlink" Target="https://en.wikipedia.org/wiki/Burnout_Crash!" TargetMode="External"/><Relationship Id="rId425" Type="http://schemas.openxmlformats.org/officeDocument/2006/relationships/hyperlink" Target="https://en.wikipedia.org/wiki/EA_Tiburon" TargetMode="External"/><Relationship Id="rId632" Type="http://schemas.openxmlformats.org/officeDocument/2006/relationships/hyperlink" Target="https://en.wikipedia.org/wiki/Microsoft_Windows" TargetMode="External"/><Relationship Id="rId1055" Type="http://schemas.openxmlformats.org/officeDocument/2006/relationships/hyperlink" Target="https://en.wikipedia.org/wiki/Danger_Close_Games" TargetMode="External"/><Relationship Id="rId1262" Type="http://schemas.openxmlformats.org/officeDocument/2006/relationships/hyperlink" Target="https://en.wikipedia.org/wiki/Microsoft_Windows" TargetMode="External"/><Relationship Id="rId2106" Type="http://schemas.openxmlformats.org/officeDocument/2006/relationships/hyperlink" Target="https://en.wikipedia.org/wiki/Windows_Phone" TargetMode="External"/><Relationship Id="rId2313" Type="http://schemas.openxmlformats.org/officeDocument/2006/relationships/hyperlink" Target="https://en.wikipedia.org/wiki/Macintosh" TargetMode="External"/><Relationship Id="rId2520" Type="http://schemas.openxmlformats.org/officeDocument/2006/relationships/hyperlink" Target="https://en.wikipedia.org/wiki/Immortals_of_Aveum" TargetMode="External"/><Relationship Id="rId937" Type="http://schemas.openxmlformats.org/officeDocument/2006/relationships/hyperlink" Target="https://en.wikipedia.org/wiki/EA_Tiburon" TargetMode="External"/><Relationship Id="rId1122" Type="http://schemas.openxmlformats.org/officeDocument/2006/relationships/hyperlink" Target="https://en.wikipedia.org/wiki/IOS" TargetMode="External"/><Relationship Id="rId1567" Type="http://schemas.openxmlformats.org/officeDocument/2006/relationships/hyperlink" Target="https://en.wikipedia.org/wiki/Xbox_360" TargetMode="External"/><Relationship Id="rId1774" Type="http://schemas.openxmlformats.org/officeDocument/2006/relationships/hyperlink" Target="https://en.wikipedia.org/wiki/IOS" TargetMode="External"/><Relationship Id="rId1981" Type="http://schemas.openxmlformats.org/officeDocument/2006/relationships/hyperlink" Target="https://en.wikipedia.org/wiki/Maxis_Redwood_Shores" TargetMode="External"/><Relationship Id="rId66" Type="http://schemas.openxmlformats.org/officeDocument/2006/relationships/hyperlink" Target="https://en.wikipedia.org/wiki/Respawn_Entertainment" TargetMode="External"/><Relationship Id="rId1427" Type="http://schemas.openxmlformats.org/officeDocument/2006/relationships/hyperlink" Target="https://en.wikipedia.org/wiki/IOS" TargetMode="External"/><Relationship Id="rId1634" Type="http://schemas.openxmlformats.org/officeDocument/2006/relationships/hyperlink" Target="https://en.wikipedia.org/wiki/Slightly_Mad_Studios" TargetMode="External"/><Relationship Id="rId1841" Type="http://schemas.openxmlformats.org/officeDocument/2006/relationships/hyperlink" Target="https://en.wikipedia.org/wiki/The_Sims_3:_Late_Night" TargetMode="External"/><Relationship Id="rId1939" Type="http://schemas.openxmlformats.org/officeDocument/2006/relationships/hyperlink" Target="https://en.wikipedia.org/wiki/Maxis_Redwood_Shores" TargetMode="External"/><Relationship Id="rId1701" Type="http://schemas.openxmlformats.org/officeDocument/2006/relationships/hyperlink" Target="https://en.wikipedia.org/wiki/EA_DICE" TargetMode="External"/><Relationship Id="rId282" Type="http://schemas.openxmlformats.org/officeDocument/2006/relationships/hyperlink" Target="https://en.wikipedia.org/wiki/Crytek" TargetMode="External"/><Relationship Id="rId587" Type="http://schemas.openxmlformats.org/officeDocument/2006/relationships/hyperlink" Target="https://en.wikipedia.org/wiki/PlayStation_Portable" TargetMode="External"/><Relationship Id="rId2170" Type="http://schemas.openxmlformats.org/officeDocument/2006/relationships/hyperlink" Target="https://en.wikipedia.org/wiki/Tiger_Woods_PGA_Tour_14" TargetMode="External"/><Relationship Id="rId2268" Type="http://schemas.openxmlformats.org/officeDocument/2006/relationships/hyperlink" Target="https://en.wikipedia.org/wiki/Microsoft_Windows" TargetMode="External"/><Relationship Id="rId8" Type="http://schemas.openxmlformats.org/officeDocument/2006/relationships/hyperlink" Target="https://en.wikipedia.org/wiki/Wii" TargetMode="External"/><Relationship Id="rId142" Type="http://schemas.openxmlformats.org/officeDocument/2006/relationships/hyperlink" Target="https://en.wikipedia.org/wiki/Xbox_360" TargetMode="External"/><Relationship Id="rId447" Type="http://schemas.openxmlformats.org/officeDocument/2006/relationships/hyperlink" Target="https://en.wikipedia.org/wiki/IOS" TargetMode="External"/><Relationship Id="rId794" Type="http://schemas.openxmlformats.org/officeDocument/2006/relationships/hyperlink" Target="https://en.wikipedia.org/wiki/Harry_Potter_and_the_Deathly_Hallows_%E2%80%93_Part_1_(video_game)" TargetMode="External"/><Relationship Id="rId1077" Type="http://schemas.openxmlformats.org/officeDocument/2006/relationships/hyperlink" Target="https://en.wikipedia.org/wiki/Minions_Paradise" TargetMode="External"/><Relationship Id="rId2030" Type="http://schemas.openxmlformats.org/officeDocument/2006/relationships/hyperlink" Target="https://en.wikipedia.org/wiki/The_Sims_4:_Parenthood" TargetMode="External"/><Relationship Id="rId2128" Type="http://schemas.openxmlformats.org/officeDocument/2006/relationships/hyperlink" Target="https://en.wikipedia.org/wiki/The_Sims_Social" TargetMode="External"/><Relationship Id="rId2475" Type="http://schemas.openxmlformats.org/officeDocument/2006/relationships/hyperlink" Target="https://en.wikipedia.org/wiki/PlayStation_4" TargetMode="External"/><Relationship Id="rId654" Type="http://schemas.openxmlformats.org/officeDocument/2006/relationships/hyperlink" Target="https://en.wikipedia.org/wiki/EA_Canada" TargetMode="External"/><Relationship Id="rId861" Type="http://schemas.openxmlformats.org/officeDocument/2006/relationships/hyperlink" Target="https://en.wikipedia.org/wiki/BlackBerry_World" TargetMode="External"/><Relationship Id="rId959" Type="http://schemas.openxmlformats.org/officeDocument/2006/relationships/hyperlink" Target="https://en.wikipedia.org/wiki/Madden_NFL_19" TargetMode="External"/><Relationship Id="rId1284" Type="http://schemas.openxmlformats.org/officeDocument/2006/relationships/hyperlink" Target="https://en.wikipedia.org/wiki/Criterion_Games" TargetMode="External"/><Relationship Id="rId1491" Type="http://schemas.openxmlformats.org/officeDocument/2006/relationships/hyperlink" Target="https://en.wikipedia.org/wiki/Microsoft_Windows" TargetMode="External"/><Relationship Id="rId1589" Type="http://schemas.openxmlformats.org/officeDocument/2006/relationships/hyperlink" Target="https://en.wikipedia.org/wiki/EA_Mobile" TargetMode="External"/><Relationship Id="rId2335" Type="http://schemas.openxmlformats.org/officeDocument/2006/relationships/hyperlink" Target="https://en.wikipedia.org/wiki/Knockout_City" TargetMode="External"/><Relationship Id="rId2542" Type="http://schemas.openxmlformats.org/officeDocument/2006/relationships/hyperlink" Target="https://en.wikipedia.org/wiki/Xbox_Series_X_and_Series_S" TargetMode="External"/><Relationship Id="rId307" Type="http://schemas.openxmlformats.org/officeDocument/2006/relationships/hyperlink" Target="https://en.wikipedia.org/wiki/Dead_Space_(mobile_game)" TargetMode="External"/><Relationship Id="rId514" Type="http://schemas.openxmlformats.org/officeDocument/2006/relationships/hyperlink" Target="https://en.wikipedia.org/wiki/FIFA_12" TargetMode="External"/><Relationship Id="rId721" Type="http://schemas.openxmlformats.org/officeDocument/2006/relationships/hyperlink" Target="https://en.wikipedia.org/wiki/FIFA_20" TargetMode="External"/><Relationship Id="rId1144" Type="http://schemas.openxmlformats.org/officeDocument/2006/relationships/hyperlink" Target="https://en.wikipedia.org/wiki/EA_Canada" TargetMode="External"/><Relationship Id="rId1351" Type="http://schemas.openxmlformats.org/officeDocument/2006/relationships/hyperlink" Target="https://en.wikipedia.org/wiki/Xbox_360" TargetMode="External"/><Relationship Id="rId1449" Type="http://schemas.openxmlformats.org/officeDocument/2006/relationships/hyperlink" Target="https://en.wikipedia.org/wiki/Windows_Phone" TargetMode="External"/><Relationship Id="rId1796" Type="http://schemas.openxmlformats.org/officeDocument/2006/relationships/hyperlink" Target="https://en.wikipedia.org/wiki/Edge_of_Reality" TargetMode="External"/><Relationship Id="rId2402" Type="http://schemas.openxmlformats.org/officeDocument/2006/relationships/hyperlink" Target="https://en.wikipedia.org/wiki/Maxis_Redwood_Shores" TargetMode="External"/><Relationship Id="rId88" Type="http://schemas.openxmlformats.org/officeDocument/2006/relationships/hyperlink" Target="https://en.wikipedia.org/wiki/PlayStation_3" TargetMode="External"/><Relationship Id="rId819" Type="http://schemas.openxmlformats.org/officeDocument/2006/relationships/hyperlink" Target="https://en.wikipedia.org/wiki/PlayStation_3" TargetMode="External"/><Relationship Id="rId1004" Type="http://schemas.openxmlformats.org/officeDocument/2006/relationships/hyperlink" Target="https://en.wikipedia.org/wiki/IOS" TargetMode="External"/><Relationship Id="rId1211" Type="http://schemas.openxmlformats.org/officeDocument/2006/relationships/hyperlink" Target="https://en.wikipedia.org/wiki/PlayStation_3" TargetMode="External"/><Relationship Id="rId1656" Type="http://schemas.openxmlformats.org/officeDocument/2006/relationships/hyperlink" Target="https://en.wikipedia.org/wiki/SimCity_Deluxe" TargetMode="External"/><Relationship Id="rId1863" Type="http://schemas.openxmlformats.org/officeDocument/2006/relationships/hyperlink" Target="https://en.wikipedia.org/wiki/Microsoft_Windows" TargetMode="External"/><Relationship Id="rId1309" Type="http://schemas.openxmlformats.org/officeDocument/2006/relationships/hyperlink" Target="https://en.wikipedia.org/wiki/Need_for_Speed:_The_Run" TargetMode="External"/><Relationship Id="rId1516" Type="http://schemas.openxmlformats.org/officeDocument/2006/relationships/hyperlink" Target="https://en.wikipedia.org/wiki/Nintendo_DS" TargetMode="External"/><Relationship Id="rId1723" Type="http://schemas.openxmlformats.org/officeDocument/2006/relationships/hyperlink" Target="https://en.wikipedia.org/wiki/Star_Wars_Jedi:_Fallen_Order" TargetMode="External"/><Relationship Id="rId1930" Type="http://schemas.openxmlformats.org/officeDocument/2006/relationships/hyperlink" Target="https://en.wikipedia.org/wiki/Maxis_Redwood_Shores" TargetMode="External"/><Relationship Id="rId15" Type="http://schemas.openxmlformats.org/officeDocument/2006/relationships/hyperlink" Target="https://en.wikipedia.org/wiki/EA_Canada" TargetMode="External"/><Relationship Id="rId2192" Type="http://schemas.openxmlformats.org/officeDocument/2006/relationships/hyperlink" Target="https://en.wikipedia.org/wiki/Microsoft_Windows" TargetMode="External"/><Relationship Id="rId164" Type="http://schemas.openxmlformats.org/officeDocument/2006/relationships/hyperlink" Target="https://en.wikipedia.org/wiki/Battlefield_Hardline" TargetMode="External"/><Relationship Id="rId371" Type="http://schemas.openxmlformats.org/officeDocument/2006/relationships/hyperlink" Target="https://en.wikipedia.org/wiki/Dragon_Age:_Inquisition" TargetMode="External"/><Relationship Id="rId2052" Type="http://schemas.openxmlformats.org/officeDocument/2006/relationships/hyperlink" Target="https://en.wikipedia.org/wiki/Macintosh" TargetMode="External"/><Relationship Id="rId2497" Type="http://schemas.openxmlformats.org/officeDocument/2006/relationships/hyperlink" Target="https://en.wikipedia.org/wiki/Xbox_Series_X_and_Series_S" TargetMode="External"/><Relationship Id="rId469" Type="http://schemas.openxmlformats.org/officeDocument/2006/relationships/hyperlink" Target="https://en.wikipedia.org/wiki/FIFA_11" TargetMode="External"/><Relationship Id="rId676" Type="http://schemas.openxmlformats.org/officeDocument/2006/relationships/hyperlink" Target="https://en.wikipedia.org/wiki/FIFA_17" TargetMode="External"/><Relationship Id="rId883" Type="http://schemas.openxmlformats.org/officeDocument/2006/relationships/hyperlink" Target="https://en.wikipedia.org/wiki/EA_Tiburon" TargetMode="External"/><Relationship Id="rId1099" Type="http://schemas.openxmlformats.org/officeDocument/2006/relationships/hyperlink" Target="https://en.wikipedia.org/wiki/Windows_Phone" TargetMode="External"/><Relationship Id="rId2357" Type="http://schemas.openxmlformats.org/officeDocument/2006/relationships/hyperlink" Target="https://en.wikipedia.org/wiki/Maxis_Redwood_Shores" TargetMode="External"/><Relationship Id="rId2564" Type="http://schemas.openxmlformats.org/officeDocument/2006/relationships/hyperlink" Target="https://en.wikipedia.org/wiki/Codemasters" TargetMode="External"/><Relationship Id="rId231" Type="http://schemas.openxmlformats.org/officeDocument/2006/relationships/hyperlink" Target="https://en.wikipedia.org/wiki/Microsoft_Windows" TargetMode="External"/><Relationship Id="rId329" Type="http://schemas.openxmlformats.org/officeDocument/2006/relationships/hyperlink" Target="https://en.wikipedia.org/wiki/Dead_Space_Ignition" TargetMode="External"/><Relationship Id="rId536" Type="http://schemas.openxmlformats.org/officeDocument/2006/relationships/hyperlink" Target="https://en.wikipedia.org/wiki/Java_ME" TargetMode="External"/><Relationship Id="rId1166" Type="http://schemas.openxmlformats.org/officeDocument/2006/relationships/hyperlink" Target="https://en.wikipedia.org/wiki/NBA_Live_16" TargetMode="External"/><Relationship Id="rId1373" Type="http://schemas.openxmlformats.org/officeDocument/2006/relationships/hyperlink" Target="https://en.wikipedia.org/wiki/EA_Canada" TargetMode="External"/><Relationship Id="rId2217" Type="http://schemas.openxmlformats.org/officeDocument/2006/relationships/hyperlink" Target="https://en.wikipedia.org/wiki/Unravel_(video_game)" TargetMode="External"/><Relationship Id="rId743" Type="http://schemas.openxmlformats.org/officeDocument/2006/relationships/hyperlink" Target="https://en.wikipedia.org/wiki/FIFA_Online_3" TargetMode="External"/><Relationship Id="rId950" Type="http://schemas.openxmlformats.org/officeDocument/2006/relationships/hyperlink" Target="https://en.wikipedia.org/wiki/Madden_NFL_18" TargetMode="External"/><Relationship Id="rId1026" Type="http://schemas.openxmlformats.org/officeDocument/2006/relationships/hyperlink" Target="https://en.wikipedia.org/wiki/BioWare" TargetMode="External"/><Relationship Id="rId1580" Type="http://schemas.openxmlformats.org/officeDocument/2006/relationships/hyperlink" Target="https://en.wikipedia.org/wiki/EA_Mobile" TargetMode="External"/><Relationship Id="rId1678" Type="http://schemas.openxmlformats.org/officeDocument/2006/relationships/hyperlink" Target="https://en.wikipedia.org/wiki/Spare_Parts_(video_game)" TargetMode="External"/><Relationship Id="rId1885" Type="http://schemas.openxmlformats.org/officeDocument/2006/relationships/hyperlink" Target="https://en.wikipedia.org/wiki/Maxis" TargetMode="External"/><Relationship Id="rId2424" Type="http://schemas.openxmlformats.org/officeDocument/2006/relationships/hyperlink" Target="https://en.wikipedia.org/wiki/PlayStation_5" TargetMode="External"/><Relationship Id="rId603" Type="http://schemas.openxmlformats.org/officeDocument/2006/relationships/hyperlink" Target="https://en.wikipedia.org/wiki/EA_Canada" TargetMode="External"/><Relationship Id="rId810" Type="http://schemas.openxmlformats.org/officeDocument/2006/relationships/hyperlink" Target="https://en.wikipedia.org/wiki/Wii" TargetMode="External"/><Relationship Id="rId908" Type="http://schemas.openxmlformats.org/officeDocument/2006/relationships/hyperlink" Target="https://en.wikipedia.org/wiki/Madden_NFL_13" TargetMode="External"/><Relationship Id="rId1233" Type="http://schemas.openxmlformats.org/officeDocument/2006/relationships/hyperlink" Target="https://en.wikipedia.org/wiki/Ghost_Games" TargetMode="External"/><Relationship Id="rId1440" Type="http://schemas.openxmlformats.org/officeDocument/2006/relationships/hyperlink" Target="https://en.wikipedia.org/wiki/PopCap_Games" TargetMode="External"/><Relationship Id="rId1538" Type="http://schemas.openxmlformats.org/officeDocument/2006/relationships/hyperlink" Target="https://en.wikipedia.org/wiki/Firemonkeys_Studios" TargetMode="External"/><Relationship Id="rId1300" Type="http://schemas.openxmlformats.org/officeDocument/2006/relationships/hyperlink" Target="https://en.wikipedia.org/wiki/Need_for_Speed:_Nitro-X" TargetMode="External"/><Relationship Id="rId1745" Type="http://schemas.openxmlformats.org/officeDocument/2006/relationships/hyperlink" Target="https://en.wikipedia.org/wiki/Nintendo_DS" TargetMode="External"/><Relationship Id="rId1952" Type="http://schemas.openxmlformats.org/officeDocument/2006/relationships/hyperlink" Target="https://en.wikipedia.org/wiki/The_Sims_4:_Discover_University" TargetMode="External"/><Relationship Id="rId37" Type="http://schemas.openxmlformats.org/officeDocument/2006/relationships/hyperlink" Target="https://en.wikipedia.org/wiki/Alice:_Madness_Returns" TargetMode="External"/><Relationship Id="rId1605" Type="http://schemas.openxmlformats.org/officeDocument/2006/relationships/hyperlink" Target="https://en.wikipedia.org/wiki/Shank_(video_game)" TargetMode="External"/><Relationship Id="rId1812" Type="http://schemas.openxmlformats.org/officeDocument/2006/relationships/hyperlink" Target="https://en.wikipedia.org/wiki/Macintosh" TargetMode="External"/><Relationship Id="rId186" Type="http://schemas.openxmlformats.org/officeDocument/2006/relationships/hyperlink" Target="https://en.wikipedia.org/wiki/Xbox_One" TargetMode="External"/><Relationship Id="rId393" Type="http://schemas.openxmlformats.org/officeDocument/2006/relationships/hyperlink" Target="https://en.wikipedia.org/wiki/Microsoft_Windows" TargetMode="External"/><Relationship Id="rId2074" Type="http://schemas.openxmlformats.org/officeDocument/2006/relationships/hyperlink" Target="https://en.wikipedia.org/wiki/Maxis_Redwood_Shores" TargetMode="External"/><Relationship Id="rId2281" Type="http://schemas.openxmlformats.org/officeDocument/2006/relationships/hyperlink" Target="https://en.wikipedia.org/wiki/Google_Stadia" TargetMode="External"/><Relationship Id="rId253" Type="http://schemas.openxmlformats.org/officeDocument/2006/relationships/hyperlink" Target="https://en.wikipedia.org/wiki/Create_(video_game)" TargetMode="External"/><Relationship Id="rId460" Type="http://schemas.openxmlformats.org/officeDocument/2006/relationships/hyperlink" Target="https://en.wikipedia.org/wiki/FIFA_11" TargetMode="External"/><Relationship Id="rId698" Type="http://schemas.openxmlformats.org/officeDocument/2006/relationships/hyperlink" Target="https://en.wikipedia.org/wiki/Nintendo_Switch" TargetMode="External"/><Relationship Id="rId1090" Type="http://schemas.openxmlformats.org/officeDocument/2006/relationships/hyperlink" Target="https://en.wikipedia.org/wiki/PlayStation_4" TargetMode="External"/><Relationship Id="rId2141" Type="http://schemas.openxmlformats.org/officeDocument/2006/relationships/hyperlink" Target="https://en.wikipedia.org/wiki/Wii" TargetMode="External"/><Relationship Id="rId2379" Type="http://schemas.openxmlformats.org/officeDocument/2006/relationships/hyperlink" Target="https://en.wikipedia.org/wiki/Nintendo_Switch" TargetMode="External"/><Relationship Id="rId2586" Type="http://schemas.openxmlformats.org/officeDocument/2006/relationships/hyperlink" Target="https://en.wikipedia.org/wiki/BioWare" TargetMode="External"/><Relationship Id="rId113" Type="http://schemas.openxmlformats.org/officeDocument/2006/relationships/hyperlink" Target="https://en.wikipedia.org/wiki/Microsoft_Windows" TargetMode="External"/><Relationship Id="rId320" Type="http://schemas.openxmlformats.org/officeDocument/2006/relationships/hyperlink" Target="https://en.wikipedia.org/wiki/Visceral_Games" TargetMode="External"/><Relationship Id="rId558" Type="http://schemas.openxmlformats.org/officeDocument/2006/relationships/hyperlink" Target="https://en.wikipedia.org/wiki/EA_Canada" TargetMode="External"/><Relationship Id="rId765" Type="http://schemas.openxmlformats.org/officeDocument/2006/relationships/hyperlink" Target="https://en.wikipedia.org/wiki/Ninja_Theory" TargetMode="External"/><Relationship Id="rId972" Type="http://schemas.openxmlformats.org/officeDocument/2006/relationships/hyperlink" Target="https://en.wikipedia.org/wiki/Microsoft_Windows" TargetMode="External"/><Relationship Id="rId1188" Type="http://schemas.openxmlformats.org/officeDocument/2006/relationships/hyperlink" Target="https://en.wikipedia.org/wiki/IOS" TargetMode="External"/><Relationship Id="rId1395" Type="http://schemas.openxmlformats.org/officeDocument/2006/relationships/hyperlink" Target="https://en.wikipedia.org/wiki/NHL_17" TargetMode="External"/><Relationship Id="rId2001" Type="http://schemas.openxmlformats.org/officeDocument/2006/relationships/hyperlink" Target="https://en.wikipedia.org/wiki/Xbox_One" TargetMode="External"/><Relationship Id="rId2239" Type="http://schemas.openxmlformats.org/officeDocument/2006/relationships/hyperlink" Target="https://en.wikipedia.org/wiki/PlayStation_3" TargetMode="External"/><Relationship Id="rId2446" Type="http://schemas.openxmlformats.org/officeDocument/2006/relationships/hyperlink" Target="https://en.wikipedia.org/wiki/PlayStation_4" TargetMode="External"/><Relationship Id="rId418" Type="http://schemas.openxmlformats.org/officeDocument/2006/relationships/hyperlink" Target="https://en.wikipedia.org/wiki/Social_network_game" TargetMode="External"/><Relationship Id="rId625" Type="http://schemas.openxmlformats.org/officeDocument/2006/relationships/hyperlink" Target="https://en.wikipedia.org/wiki/FIFA_15" TargetMode="External"/><Relationship Id="rId832" Type="http://schemas.openxmlformats.org/officeDocument/2006/relationships/hyperlink" Target="https://en.wikipedia.org/wiki/Virtuos" TargetMode="External"/><Relationship Id="rId1048" Type="http://schemas.openxmlformats.org/officeDocument/2006/relationships/hyperlink" Target="https://en.wikipedia.org/wiki/Xbox_One" TargetMode="External"/><Relationship Id="rId1255" Type="http://schemas.openxmlformats.org/officeDocument/2006/relationships/hyperlink" Target="https://en.wikipedia.org/wiki/Need_for_Speed:_Hot_Pursuit_(2010_video_game)" TargetMode="External"/><Relationship Id="rId1462" Type="http://schemas.openxmlformats.org/officeDocument/2006/relationships/hyperlink" Target="https://en.wikipedia.org/wiki/PopCap_Games" TargetMode="External"/><Relationship Id="rId2306" Type="http://schemas.openxmlformats.org/officeDocument/2006/relationships/hyperlink" Target="https://en.wikipedia.org/wiki/Need_for_Speed:_Hot_Pursuit_(2010_video_game)" TargetMode="External"/><Relationship Id="rId2513" Type="http://schemas.openxmlformats.org/officeDocument/2006/relationships/hyperlink" Target="https://en.wikipedia.org/wiki/Macintosh" TargetMode="External"/><Relationship Id="rId1115" Type="http://schemas.openxmlformats.org/officeDocument/2006/relationships/hyperlink" Target="https://en.wikipedia.org/wiki/MySims_SkyHeroes" TargetMode="External"/><Relationship Id="rId1322" Type="http://schemas.openxmlformats.org/officeDocument/2006/relationships/hyperlink" Target="https://en.wikipedia.org/wiki/Windows_Mobile" TargetMode="External"/><Relationship Id="rId1767" Type="http://schemas.openxmlformats.org/officeDocument/2006/relationships/hyperlink" Target="https://en.wikipedia.org/wiki/EA_Mobile" TargetMode="External"/><Relationship Id="rId1974" Type="http://schemas.openxmlformats.org/officeDocument/2006/relationships/hyperlink" Target="https://en.wikipedia.org/wiki/PlayStation_4" TargetMode="External"/><Relationship Id="rId59" Type="http://schemas.openxmlformats.org/officeDocument/2006/relationships/hyperlink" Target="https://en.wikipedia.org/wiki/Xbox_One" TargetMode="External"/><Relationship Id="rId1627" Type="http://schemas.openxmlformats.org/officeDocument/2006/relationships/hyperlink" Target="https://en.wikipedia.org/wiki/Macintosh" TargetMode="External"/><Relationship Id="rId1834" Type="http://schemas.openxmlformats.org/officeDocument/2006/relationships/hyperlink" Target="https://en.wikipedia.org/wiki/Maxis_Redwood_Shores" TargetMode="External"/><Relationship Id="rId2096" Type="http://schemas.openxmlformats.org/officeDocument/2006/relationships/hyperlink" Target="https://en.wikipedia.org/wiki/The_Sims_4:_Vampires" TargetMode="External"/><Relationship Id="rId1901" Type="http://schemas.openxmlformats.org/officeDocument/2006/relationships/hyperlink" Target="https://en.wikipedia.org/wiki/The_Sims_4_Stuff_packs" TargetMode="External"/><Relationship Id="rId275" Type="http://schemas.openxmlformats.org/officeDocument/2006/relationships/hyperlink" Target="https://en.wikipedia.org/wiki/Microsoft_Windows" TargetMode="External"/><Relationship Id="rId482" Type="http://schemas.openxmlformats.org/officeDocument/2006/relationships/hyperlink" Target="https://en.wikipedia.org/wiki/PlayStation_3" TargetMode="External"/><Relationship Id="rId2163" Type="http://schemas.openxmlformats.org/officeDocument/2006/relationships/hyperlink" Target="https://en.wikipedia.org/wiki/EA_Tiburon" TargetMode="External"/><Relationship Id="rId2370" Type="http://schemas.openxmlformats.org/officeDocument/2006/relationships/hyperlink" Target="https://en.wikipedia.org/wiki/Lost_in_Random" TargetMode="External"/><Relationship Id="rId135" Type="http://schemas.openxmlformats.org/officeDocument/2006/relationships/hyperlink" Target="https://en.wikipedia.org/wiki/Battlefield_4" TargetMode="External"/><Relationship Id="rId342" Type="http://schemas.openxmlformats.org/officeDocument/2006/relationships/hyperlink" Target="https://en.wikipedia.org/wiki/DeathSpank" TargetMode="External"/><Relationship Id="rId787" Type="http://schemas.openxmlformats.org/officeDocument/2006/relationships/hyperlink" Target="https://en.wikipedia.org/wiki/Xbox_360" TargetMode="External"/><Relationship Id="rId994" Type="http://schemas.openxmlformats.org/officeDocument/2006/relationships/hyperlink" Target="https://en.wikipedia.org/wiki/EA_Sports" TargetMode="External"/><Relationship Id="rId2023" Type="http://schemas.openxmlformats.org/officeDocument/2006/relationships/hyperlink" Target="https://en.wikipedia.org/wiki/Maxis_Redwood_Shores" TargetMode="External"/><Relationship Id="rId2230" Type="http://schemas.openxmlformats.org/officeDocument/2006/relationships/hyperlink" Target="https://en.wikipedia.org/wiki/Nintendo_Switch" TargetMode="External"/><Relationship Id="rId2468" Type="http://schemas.openxmlformats.org/officeDocument/2006/relationships/hyperlink" Target="https://en.wikipedia.org/wiki/PlayStation_5" TargetMode="External"/><Relationship Id="rId202" Type="http://schemas.openxmlformats.org/officeDocument/2006/relationships/hyperlink" Target="https://en.wikipedia.org/wiki/PopCap_Games" TargetMode="External"/><Relationship Id="rId647" Type="http://schemas.openxmlformats.org/officeDocument/2006/relationships/hyperlink" Target="https://en.wikipedia.org/wiki/IOS" TargetMode="External"/><Relationship Id="rId854" Type="http://schemas.openxmlformats.org/officeDocument/2006/relationships/hyperlink" Target="https://en.wikipedia.org/wiki/Hasbro" TargetMode="External"/><Relationship Id="rId1277" Type="http://schemas.openxmlformats.org/officeDocument/2006/relationships/hyperlink" Target="https://en.wikipedia.org/wiki/Android_(operating_system)" TargetMode="External"/><Relationship Id="rId1484" Type="http://schemas.openxmlformats.org/officeDocument/2006/relationships/hyperlink" Target="https://en.wikipedia.org/wiki/Plants_vs._Zombies:_Garden_Warfare" TargetMode="External"/><Relationship Id="rId1691" Type="http://schemas.openxmlformats.org/officeDocument/2006/relationships/hyperlink" Target="https://en.wikipedia.org/wiki/PlayStation_3" TargetMode="External"/><Relationship Id="rId2328" Type="http://schemas.openxmlformats.org/officeDocument/2006/relationships/hyperlink" Target="https://en.wikipedia.org/wiki/Xbox_Series_X_and_Series_S" TargetMode="External"/><Relationship Id="rId2535" Type="http://schemas.openxmlformats.org/officeDocument/2006/relationships/hyperlink" Target="https://en.wikipedia.org/wiki/EA_Vancouver" TargetMode="External"/><Relationship Id="rId507" Type="http://schemas.openxmlformats.org/officeDocument/2006/relationships/hyperlink" Target="https://en.wikipedia.org/wiki/EA_Canada" TargetMode="External"/><Relationship Id="rId714" Type="http://schemas.openxmlformats.org/officeDocument/2006/relationships/hyperlink" Target="https://en.wikipedia.org/wiki/EA_Vancouver" TargetMode="External"/><Relationship Id="rId921" Type="http://schemas.openxmlformats.org/officeDocument/2006/relationships/hyperlink" Target="https://en.wikipedia.org/wiki/Xbox_360" TargetMode="External"/><Relationship Id="rId1137" Type="http://schemas.openxmlformats.org/officeDocument/2006/relationships/hyperlink" Target="https://en.wikipedia.org/wiki/Macintosh" TargetMode="External"/><Relationship Id="rId1344" Type="http://schemas.openxmlformats.org/officeDocument/2006/relationships/hyperlink" Target="https://en.wikipedia.org/wiki/Need_for_Speed_Heat" TargetMode="External"/><Relationship Id="rId1551" Type="http://schemas.openxmlformats.org/officeDocument/2006/relationships/hyperlink" Target="https://en.wikipedia.org/wiki/Risk:_Factions" TargetMode="External"/><Relationship Id="rId1789" Type="http://schemas.openxmlformats.org/officeDocument/2006/relationships/hyperlink" Target="https://en.wikipedia.org/wiki/PlayStation_3" TargetMode="External"/><Relationship Id="rId1996" Type="http://schemas.openxmlformats.org/officeDocument/2006/relationships/hyperlink" Target="https://en.wikipedia.org/wiki/Maxis_Redwood_Shores" TargetMode="External"/><Relationship Id="rId50" Type="http://schemas.openxmlformats.org/officeDocument/2006/relationships/hyperlink" Target="https://en.wikipedia.org/wiki/Xbox_360" TargetMode="External"/><Relationship Id="rId1204" Type="http://schemas.openxmlformats.org/officeDocument/2006/relationships/hyperlink" Target="https://en.wikipedia.org/wiki/NCAA_Football_13" TargetMode="External"/><Relationship Id="rId1411" Type="http://schemas.openxmlformats.org/officeDocument/2006/relationships/hyperlink" Target="https://en.wikipedia.org/wiki/Xbox_One" TargetMode="External"/><Relationship Id="rId1649" Type="http://schemas.openxmlformats.org/officeDocument/2006/relationships/hyperlink" Target="https://en.wikipedia.org/wiki/Maxis" TargetMode="External"/><Relationship Id="rId1856" Type="http://schemas.openxmlformats.org/officeDocument/2006/relationships/hyperlink" Target="https://en.wikipedia.org/wiki/The_Sims_3:_Pets" TargetMode="External"/><Relationship Id="rId1509" Type="http://schemas.openxmlformats.org/officeDocument/2006/relationships/hyperlink" Target="https://en.wikipedia.org/wiki/IOS" TargetMode="External"/><Relationship Id="rId1716" Type="http://schemas.openxmlformats.org/officeDocument/2006/relationships/hyperlink" Target="https://en.wikipedia.org/wiki/EA_DICE" TargetMode="External"/><Relationship Id="rId1923" Type="http://schemas.openxmlformats.org/officeDocument/2006/relationships/hyperlink" Target="https://en.wikipedia.org/wiki/Microsoft_Windows" TargetMode="External"/><Relationship Id="rId297" Type="http://schemas.openxmlformats.org/officeDocument/2006/relationships/hyperlink" Target="https://en.wikipedia.org/wiki/Artificial_Mind_and_Movement" TargetMode="External"/><Relationship Id="rId2185" Type="http://schemas.openxmlformats.org/officeDocument/2006/relationships/hyperlink" Target="https://en.wikipedia.org/wiki/Titanfall" TargetMode="External"/><Relationship Id="rId2392" Type="http://schemas.openxmlformats.org/officeDocument/2006/relationships/hyperlink" Target="https://en.wikipedia.org/wiki/Xbox_Series_X_and_Series_S" TargetMode="External"/><Relationship Id="rId157" Type="http://schemas.openxmlformats.org/officeDocument/2006/relationships/hyperlink" Target="https://en.wikipedia.org/wiki/EA_DICE" TargetMode="External"/><Relationship Id="rId364" Type="http://schemas.openxmlformats.org/officeDocument/2006/relationships/hyperlink" Target="https://en.wikipedia.org/wiki/Microsoft_Windows" TargetMode="External"/><Relationship Id="rId2045" Type="http://schemas.openxmlformats.org/officeDocument/2006/relationships/hyperlink" Target="https://en.wikipedia.org/wiki/The_Sims_4:_Realm_of_Magic" TargetMode="External"/><Relationship Id="rId571" Type="http://schemas.openxmlformats.org/officeDocument/2006/relationships/hyperlink" Target="https://en.wikipedia.org/wiki/FIFA_14" TargetMode="External"/><Relationship Id="rId669" Type="http://schemas.openxmlformats.org/officeDocument/2006/relationships/hyperlink" Target="https://en.wikipedia.org/wiki/EA_Vancouver" TargetMode="External"/><Relationship Id="rId876" Type="http://schemas.openxmlformats.org/officeDocument/2006/relationships/hyperlink" Target="https://en.wikipedia.org/wiki/BlackBerry_PlayBook" TargetMode="External"/><Relationship Id="rId1299" Type="http://schemas.openxmlformats.org/officeDocument/2006/relationships/hyperlink" Target="https://en.wikipedia.org/wiki/Criterion_Games" TargetMode="External"/><Relationship Id="rId2252" Type="http://schemas.openxmlformats.org/officeDocument/2006/relationships/hyperlink" Target="https://en.wikipedia.org/wiki/IOS" TargetMode="External"/><Relationship Id="rId2557" Type="http://schemas.openxmlformats.org/officeDocument/2006/relationships/hyperlink" Target="https://en.wikipedia.org/wiki/Nintendo_Switch" TargetMode="External"/><Relationship Id="rId224" Type="http://schemas.openxmlformats.org/officeDocument/2006/relationships/hyperlink" Target="https://en.wikipedia.org/wiki/Burnout_Paradise" TargetMode="External"/><Relationship Id="rId431" Type="http://schemas.openxmlformats.org/officeDocument/2006/relationships/hyperlink" Target="https://en.wikipedia.org/wiki/EA_Sports_UFC" TargetMode="External"/><Relationship Id="rId529" Type="http://schemas.openxmlformats.org/officeDocument/2006/relationships/hyperlink" Target="https://en.wikipedia.org/wiki/FIFA_12" TargetMode="External"/><Relationship Id="rId736" Type="http://schemas.openxmlformats.org/officeDocument/2006/relationships/hyperlink" Target="https://en.wikipedia.org/wiki/Android_(operating_system)" TargetMode="External"/><Relationship Id="rId1061" Type="http://schemas.openxmlformats.org/officeDocument/2006/relationships/hyperlink" Target="https://en.wikipedia.org/wiki/EA_Los_Angeles" TargetMode="External"/><Relationship Id="rId1159" Type="http://schemas.openxmlformats.org/officeDocument/2006/relationships/hyperlink" Target="https://en.wikipedia.org/wiki/EA_Tiburon" TargetMode="External"/><Relationship Id="rId1366" Type="http://schemas.openxmlformats.org/officeDocument/2006/relationships/hyperlink" Target="https://en.wikipedia.org/wiki/PlayStation_3" TargetMode="External"/><Relationship Id="rId2112" Type="http://schemas.openxmlformats.org/officeDocument/2006/relationships/hyperlink" Target="https://en.wikipedia.org/wiki/The_Sims_Medieval" TargetMode="External"/><Relationship Id="rId2417" Type="http://schemas.openxmlformats.org/officeDocument/2006/relationships/hyperlink" Target="https://en.wikipedia.org/wiki/Maxis_Redwood_Shores" TargetMode="External"/><Relationship Id="rId943" Type="http://schemas.openxmlformats.org/officeDocument/2006/relationships/hyperlink" Target="https://en.wikipedia.org/wiki/EA_Tiburon" TargetMode="External"/><Relationship Id="rId1019" Type="http://schemas.openxmlformats.org/officeDocument/2006/relationships/hyperlink" Target="https://en.wikipedia.org/wiki/PlayStation_3" TargetMode="External"/><Relationship Id="rId1573" Type="http://schemas.openxmlformats.org/officeDocument/2006/relationships/hyperlink" Target="https://en.wikipedia.org/wiki/PlayStation_4" TargetMode="External"/><Relationship Id="rId1780" Type="http://schemas.openxmlformats.org/officeDocument/2006/relationships/hyperlink" Target="https://en.wikipedia.org/wiki/Kindle_Fire" TargetMode="External"/><Relationship Id="rId1878" Type="http://schemas.openxmlformats.org/officeDocument/2006/relationships/hyperlink" Target="https://en.wikipedia.org/wiki/Macintosh" TargetMode="External"/><Relationship Id="rId72" Type="http://schemas.openxmlformats.org/officeDocument/2006/relationships/hyperlink" Target="https://en.wikipedia.org/wiki/Respawn_Entertainment" TargetMode="External"/><Relationship Id="rId803" Type="http://schemas.openxmlformats.org/officeDocument/2006/relationships/hyperlink" Target="https://en.wikipedia.org/wiki/Harry_Potter_and_the_Deathly_Hallows_%E2%80%93_Part_2_(video_game)" TargetMode="External"/><Relationship Id="rId1226" Type="http://schemas.openxmlformats.org/officeDocument/2006/relationships/hyperlink" Target="https://en.wikipedia.org/wiki/PlayStation_4" TargetMode="External"/><Relationship Id="rId1433" Type="http://schemas.openxmlformats.org/officeDocument/2006/relationships/hyperlink" Target="https://en.wikipedia.org/wiki/Xbox_360" TargetMode="External"/><Relationship Id="rId1640" Type="http://schemas.openxmlformats.org/officeDocument/2006/relationships/hyperlink" Target="https://en.wikipedia.org/wiki/Straight_Right" TargetMode="External"/><Relationship Id="rId1738" Type="http://schemas.openxmlformats.org/officeDocument/2006/relationships/hyperlink" Target="https://en.wikipedia.org/wiki/Star_Wars:_Galaxy_of_Heroes" TargetMode="External"/><Relationship Id="rId1500" Type="http://schemas.openxmlformats.org/officeDocument/2006/relationships/hyperlink" Target="https://en.wikipedia.org/wiki/PlayStation_4" TargetMode="External"/><Relationship Id="rId1945" Type="http://schemas.openxmlformats.org/officeDocument/2006/relationships/hyperlink" Target="https://en.wikipedia.org/wiki/Maxis_Redwood_Shores" TargetMode="External"/><Relationship Id="rId1805" Type="http://schemas.openxmlformats.org/officeDocument/2006/relationships/hyperlink" Target="https://en.wikipedia.org/wiki/The_Sims_3_Stuff_packs" TargetMode="External"/><Relationship Id="rId179" Type="http://schemas.openxmlformats.org/officeDocument/2006/relationships/hyperlink" Target="https://en.wikipedia.org/wiki/Battlefield_V" TargetMode="External"/><Relationship Id="rId386" Type="http://schemas.openxmlformats.org/officeDocument/2006/relationships/hyperlink" Target="https://en.wikipedia.org/wiki/Dragon_Age:_Origins_%E2%80%93_Awakening" TargetMode="External"/><Relationship Id="rId593" Type="http://schemas.openxmlformats.org/officeDocument/2006/relationships/hyperlink" Target="https://en.wikipedia.org/wiki/Wii" TargetMode="External"/><Relationship Id="rId2067" Type="http://schemas.openxmlformats.org/officeDocument/2006/relationships/hyperlink" Target="https://en.wikipedia.org/wiki/Microsoft_Windows" TargetMode="External"/><Relationship Id="rId2274" Type="http://schemas.openxmlformats.org/officeDocument/2006/relationships/hyperlink" Target="https://en.wikipedia.org/wiki/EA_Sports_UFC_4" TargetMode="External"/><Relationship Id="rId2481" Type="http://schemas.openxmlformats.org/officeDocument/2006/relationships/hyperlink" Target="https://en.wikipedia.org/wiki/EA_Tiburon" TargetMode="External"/><Relationship Id="rId246" Type="http://schemas.openxmlformats.org/officeDocument/2006/relationships/hyperlink" Target="https://en.wikipedia.org/wiki/Command_%26_Conquer:_Rivals" TargetMode="External"/><Relationship Id="rId453" Type="http://schemas.openxmlformats.org/officeDocument/2006/relationships/hyperlink" Target="https://en.wikipedia.org/wiki/Zoink" TargetMode="External"/><Relationship Id="rId660" Type="http://schemas.openxmlformats.org/officeDocument/2006/relationships/hyperlink" Target="https://en.wikipedia.org/wiki/EA_Canada" TargetMode="External"/><Relationship Id="rId898" Type="http://schemas.openxmlformats.org/officeDocument/2006/relationships/hyperlink" Target="https://en.wikipedia.org/wiki/EA_Tiburon" TargetMode="External"/><Relationship Id="rId1083" Type="http://schemas.openxmlformats.org/officeDocument/2006/relationships/hyperlink" Target="https://en.wikipedia.org/wiki/Mirror%27s_Edge" TargetMode="External"/><Relationship Id="rId1290" Type="http://schemas.openxmlformats.org/officeDocument/2006/relationships/hyperlink" Target="https://en.wikipedia.org/wiki/Criterion_Games" TargetMode="External"/><Relationship Id="rId2134" Type="http://schemas.openxmlformats.org/officeDocument/2006/relationships/hyperlink" Target="https://en.wikipedia.org/wiki/Tiger_Woods_PGA_Tour_11" TargetMode="External"/><Relationship Id="rId2341" Type="http://schemas.openxmlformats.org/officeDocument/2006/relationships/hyperlink" Target="https://en.wikipedia.org/wiki/Xbox_Series_X_and_Series_S" TargetMode="External"/><Relationship Id="rId2579" Type="http://schemas.openxmlformats.org/officeDocument/2006/relationships/hyperlink" Target="https://en.wikipedia.org/wiki/Respawn_Entertainment" TargetMode="External"/><Relationship Id="rId106" Type="http://schemas.openxmlformats.org/officeDocument/2006/relationships/hyperlink" Target="https://en.wikipedia.org/wiki/Auditorium_(video_game)" TargetMode="External"/><Relationship Id="rId313" Type="http://schemas.openxmlformats.org/officeDocument/2006/relationships/hyperlink" Target="https://en.wikipedia.org/wiki/Microsoft_Windows" TargetMode="External"/><Relationship Id="rId758" Type="http://schemas.openxmlformats.org/officeDocument/2006/relationships/hyperlink" Target="https://en.wikipedia.org/wiki/HB_Studios" TargetMode="External"/><Relationship Id="rId965" Type="http://schemas.openxmlformats.org/officeDocument/2006/relationships/hyperlink" Target="https://en.wikipedia.org/wiki/Madden_NFL_20" TargetMode="External"/><Relationship Id="rId1150" Type="http://schemas.openxmlformats.org/officeDocument/2006/relationships/hyperlink" Target="https://en.wikipedia.org/wiki/EA_Canada" TargetMode="External"/><Relationship Id="rId1388" Type="http://schemas.openxmlformats.org/officeDocument/2006/relationships/hyperlink" Target="https://en.wikipedia.org/wiki/EA_Canada" TargetMode="External"/><Relationship Id="rId1595" Type="http://schemas.openxmlformats.org/officeDocument/2006/relationships/hyperlink" Target="https://en.wikipedia.org/wiki/Grasshopper_Manufacture" TargetMode="External"/><Relationship Id="rId2439" Type="http://schemas.openxmlformats.org/officeDocument/2006/relationships/hyperlink" Target="https://en.wikipedia.org/wiki/PlayStation_5" TargetMode="External"/><Relationship Id="rId94" Type="http://schemas.openxmlformats.org/officeDocument/2006/relationships/hyperlink" Target="https://en.wikipedia.org/wiki/PlayStation_Portable" TargetMode="External"/><Relationship Id="rId520" Type="http://schemas.openxmlformats.org/officeDocument/2006/relationships/hyperlink" Target="https://en.wikipedia.org/wiki/FIFA_12" TargetMode="External"/><Relationship Id="rId618" Type="http://schemas.openxmlformats.org/officeDocument/2006/relationships/hyperlink" Target="https://en.wikipedia.org/wiki/EA_Canada" TargetMode="External"/><Relationship Id="rId825" Type="http://schemas.openxmlformats.org/officeDocument/2006/relationships/hyperlink" Target="https://en.wikipedia.org/wiki/Xbox_360" TargetMode="External"/><Relationship Id="rId1248" Type="http://schemas.openxmlformats.org/officeDocument/2006/relationships/hyperlink" Target="https://en.wikipedia.org/wiki/Ghost_Games" TargetMode="External"/><Relationship Id="rId1455" Type="http://schemas.openxmlformats.org/officeDocument/2006/relationships/hyperlink" Target="https://en.wikipedia.org/wiki/PlayStation_Vita" TargetMode="External"/><Relationship Id="rId1662" Type="http://schemas.openxmlformats.org/officeDocument/2006/relationships/hyperlink" Target="https://en.wikipedia.org/wiki/SimCity:_BuildIt" TargetMode="External"/><Relationship Id="rId2201" Type="http://schemas.openxmlformats.org/officeDocument/2006/relationships/hyperlink" Target="https://en.wikipedia.org/wiki/EA_Canada" TargetMode="External"/><Relationship Id="rId2506" Type="http://schemas.openxmlformats.org/officeDocument/2006/relationships/hyperlink" Target="https://en.wikipedia.org/wiki/The_Sims_4:_Horse_Ranch" TargetMode="External"/><Relationship Id="rId1010" Type="http://schemas.openxmlformats.org/officeDocument/2006/relationships/hyperlink" Target="https://en.wikipedia.org/wiki/Facebook" TargetMode="External"/><Relationship Id="rId1108" Type="http://schemas.openxmlformats.org/officeDocument/2006/relationships/hyperlink" Target="https://en.wikipedia.org/wiki/EA_Salt_Lake" TargetMode="External"/><Relationship Id="rId1315" Type="http://schemas.openxmlformats.org/officeDocument/2006/relationships/hyperlink" Target="https://en.wikipedia.org/wiki/Need_for_Speed:_The_Run" TargetMode="External"/><Relationship Id="rId1967" Type="http://schemas.openxmlformats.org/officeDocument/2006/relationships/hyperlink" Target="https://en.wikipedia.org/wiki/The_Sims_4:_Get_to_Work" TargetMode="External"/><Relationship Id="rId1522" Type="http://schemas.openxmlformats.org/officeDocument/2006/relationships/hyperlink" Target="https://en.wikipedia.org/wiki/Wii" TargetMode="External"/><Relationship Id="rId21" Type="http://schemas.openxmlformats.org/officeDocument/2006/relationships/hyperlink" Target="https://en.wikipedia.org/wiki/EA_Canada" TargetMode="External"/><Relationship Id="rId2089" Type="http://schemas.openxmlformats.org/officeDocument/2006/relationships/hyperlink" Target="https://en.wikipedia.org/wiki/Maxis_Redwood_Shores" TargetMode="External"/><Relationship Id="rId2296" Type="http://schemas.openxmlformats.org/officeDocument/2006/relationships/hyperlink" Target="https://en.wikipedia.org/wiki/Microsoft_Windows" TargetMode="External"/><Relationship Id="rId268" Type="http://schemas.openxmlformats.org/officeDocument/2006/relationships/hyperlink" Target="https://en.wikipedia.org/wiki/Crysis_(video_game)" TargetMode="External"/><Relationship Id="rId475" Type="http://schemas.openxmlformats.org/officeDocument/2006/relationships/hyperlink" Target="https://en.wikipedia.org/wiki/FIFA_11" TargetMode="External"/><Relationship Id="rId682" Type="http://schemas.openxmlformats.org/officeDocument/2006/relationships/hyperlink" Target="https://en.wikipedia.org/wiki/FIFA_18" TargetMode="External"/><Relationship Id="rId2156" Type="http://schemas.openxmlformats.org/officeDocument/2006/relationships/hyperlink" Target="https://en.wikipedia.org/wiki/Xbox_360" TargetMode="External"/><Relationship Id="rId2363" Type="http://schemas.openxmlformats.org/officeDocument/2006/relationships/hyperlink" Target="https://en.wikipedia.org/wiki/PlayStation_4" TargetMode="External"/><Relationship Id="rId2570" Type="http://schemas.openxmlformats.org/officeDocument/2006/relationships/hyperlink" Target="https://en.wikipedia.org/wiki/PlayStation_5" TargetMode="External"/><Relationship Id="rId128" Type="http://schemas.openxmlformats.org/officeDocument/2006/relationships/hyperlink" Target="https://en.wikipedia.org/wiki/EA_DICE" TargetMode="External"/><Relationship Id="rId335" Type="http://schemas.openxmlformats.org/officeDocument/2006/relationships/hyperlink" Target="https://en.wikipedia.org/wiki/Hothead_Games" TargetMode="External"/><Relationship Id="rId542" Type="http://schemas.openxmlformats.org/officeDocument/2006/relationships/hyperlink" Target="https://en.wikipedia.org/wiki/PlayStation_2" TargetMode="External"/><Relationship Id="rId1172" Type="http://schemas.openxmlformats.org/officeDocument/2006/relationships/hyperlink" Target="https://en.wikipedia.org/wiki/NBA_Live_18" TargetMode="External"/><Relationship Id="rId2016" Type="http://schemas.openxmlformats.org/officeDocument/2006/relationships/hyperlink" Target="https://en.wikipedia.org/wiki/Macintosh" TargetMode="External"/><Relationship Id="rId2223" Type="http://schemas.openxmlformats.org/officeDocument/2006/relationships/hyperlink" Target="https://en.wikipedia.org/wiki/Unravel_Two" TargetMode="External"/><Relationship Id="rId2430" Type="http://schemas.openxmlformats.org/officeDocument/2006/relationships/hyperlink" Target="https://en.wikipedia.org/wiki/Maxis_Redwood_Shores" TargetMode="External"/><Relationship Id="rId402" Type="http://schemas.openxmlformats.org/officeDocument/2006/relationships/hyperlink" Target="https://en.wikipedia.org/wiki/Dungeon_Keeper_(2014_video_game)" TargetMode="External"/><Relationship Id="rId1032" Type="http://schemas.openxmlformats.org/officeDocument/2006/relationships/hyperlink" Target="https://en.wikipedia.org/wiki/BioWare" TargetMode="External"/><Relationship Id="rId1989" Type="http://schemas.openxmlformats.org/officeDocument/2006/relationships/hyperlink" Target="https://en.wikipedia.org/wiki/Xbox_One" TargetMode="External"/><Relationship Id="rId1849" Type="http://schemas.openxmlformats.org/officeDocument/2006/relationships/hyperlink" Target="https://en.wikipedia.org/wiki/Maxis_Redwood_Shores" TargetMode="External"/><Relationship Id="rId192" Type="http://schemas.openxmlformats.org/officeDocument/2006/relationships/hyperlink" Target="https://en.wikipedia.org/wiki/Microsoft_Windows" TargetMode="External"/><Relationship Id="rId1709" Type="http://schemas.openxmlformats.org/officeDocument/2006/relationships/hyperlink" Target="https://en.wikipedia.org/wiki/PlayStation_4" TargetMode="External"/><Relationship Id="rId1916" Type="http://schemas.openxmlformats.org/officeDocument/2006/relationships/hyperlink" Target="https://en.wikipedia.org/wiki/The_Sims_4:_Cats_%26_Dogs" TargetMode="External"/><Relationship Id="rId2080" Type="http://schemas.openxmlformats.org/officeDocument/2006/relationships/hyperlink" Target="https://en.wikipedia.org/wiki/Maxis_Redwood_Shores" TargetMode="External"/><Relationship Id="rId869" Type="http://schemas.openxmlformats.org/officeDocument/2006/relationships/hyperlink" Target="https://en.wikipedia.org/wiki/Wii" TargetMode="External"/><Relationship Id="rId1499" Type="http://schemas.openxmlformats.org/officeDocument/2006/relationships/hyperlink" Target="https://en.wikipedia.org/wiki/Plants_vs._Zombies:_Garden_Warfare_2" TargetMode="External"/><Relationship Id="rId729" Type="http://schemas.openxmlformats.org/officeDocument/2006/relationships/hyperlink" Target="https://en.wikipedia.org/wiki/FIFA_Manager_12" TargetMode="External"/><Relationship Id="rId1359" Type="http://schemas.openxmlformats.org/officeDocument/2006/relationships/hyperlink" Target="https://en.wikipedia.org/wiki/NHL_13" TargetMode="External"/><Relationship Id="rId936" Type="http://schemas.openxmlformats.org/officeDocument/2006/relationships/hyperlink" Target="https://en.wikipedia.org/wiki/Xbox_One" TargetMode="External"/><Relationship Id="rId1219" Type="http://schemas.openxmlformats.org/officeDocument/2006/relationships/hyperlink" Target="https://en.wikipedia.org/wiki/Need_for_Speed_(2015_video_game)" TargetMode="External"/><Relationship Id="rId1566" Type="http://schemas.openxmlformats.org/officeDocument/2006/relationships/hyperlink" Target="https://en.wikipedia.org/wiki/Rock_Band_3" TargetMode="External"/><Relationship Id="rId1773" Type="http://schemas.openxmlformats.org/officeDocument/2006/relationships/hyperlink" Target="https://en.wikipedia.org/wiki/The_Simpsons:_Tapped_Out" TargetMode="External"/><Relationship Id="rId1980" Type="http://schemas.openxmlformats.org/officeDocument/2006/relationships/hyperlink" Target="https://en.wikipedia.org/wiki/Macintosh" TargetMode="External"/><Relationship Id="rId65" Type="http://schemas.openxmlformats.org/officeDocument/2006/relationships/hyperlink" Target="https://en.wikipedia.org/wiki/PlayStation_5" TargetMode="External"/><Relationship Id="rId1426" Type="http://schemas.openxmlformats.org/officeDocument/2006/relationships/hyperlink" Target="https://en.wikipedia.org/wiki/Outernauts" TargetMode="External"/><Relationship Id="rId1633" Type="http://schemas.openxmlformats.org/officeDocument/2006/relationships/hyperlink" Target="https://en.wikipedia.org/wiki/Microsoft_Windows" TargetMode="External"/><Relationship Id="rId1840" Type="http://schemas.openxmlformats.org/officeDocument/2006/relationships/hyperlink" Target="https://en.wikipedia.org/wiki/Maxis_Redwood_Shores" TargetMode="External"/><Relationship Id="rId1700" Type="http://schemas.openxmlformats.org/officeDocument/2006/relationships/hyperlink" Target="https://en.wikipedia.org/wiki/PlayStation_4" TargetMode="External"/><Relationship Id="rId379" Type="http://schemas.openxmlformats.org/officeDocument/2006/relationships/hyperlink" Target="https://en.wikipedia.org/wiki/BioWare" TargetMode="External"/><Relationship Id="rId586" Type="http://schemas.openxmlformats.org/officeDocument/2006/relationships/hyperlink" Target="https://en.wikipedia.org/wiki/FIFA_14" TargetMode="External"/><Relationship Id="rId793" Type="http://schemas.openxmlformats.org/officeDocument/2006/relationships/hyperlink" Target="https://en.wikipedia.org/wiki/EA_Bright_Light" TargetMode="External"/><Relationship Id="rId2267" Type="http://schemas.openxmlformats.org/officeDocument/2006/relationships/hyperlink" Target="https://en.wikipedia.org/wiki/PlayStation_4" TargetMode="External"/><Relationship Id="rId2474" Type="http://schemas.openxmlformats.org/officeDocument/2006/relationships/hyperlink" Target="https://en.wikipedia.org/wiki/Maxis_Redwood_Shores" TargetMode="External"/><Relationship Id="rId239" Type="http://schemas.openxmlformats.org/officeDocument/2006/relationships/hyperlink" Target="https://en.wikipedia.org/wiki/IOS" TargetMode="External"/><Relationship Id="rId446" Type="http://schemas.openxmlformats.org/officeDocument/2006/relationships/hyperlink" Target="https://en.wikipedia.org/wiki/PlayStation_Network" TargetMode="External"/><Relationship Id="rId653" Type="http://schemas.openxmlformats.org/officeDocument/2006/relationships/hyperlink" Target="https://en.wikipedia.org/wiki/PlayStation_4" TargetMode="External"/><Relationship Id="rId1076" Type="http://schemas.openxmlformats.org/officeDocument/2006/relationships/hyperlink" Target="https://en.wikipedia.org/wiki/Codemasters" TargetMode="External"/><Relationship Id="rId1283" Type="http://schemas.openxmlformats.org/officeDocument/2006/relationships/hyperlink" Target="https://en.wikipedia.org/wiki/Kindle_Fire" TargetMode="External"/><Relationship Id="rId1490" Type="http://schemas.openxmlformats.org/officeDocument/2006/relationships/hyperlink" Target="https://en.wikipedia.org/wiki/Plants_vs._Zombies:_Garden_Warfare" TargetMode="External"/><Relationship Id="rId2127" Type="http://schemas.openxmlformats.org/officeDocument/2006/relationships/hyperlink" Target="https://en.wikipedia.org/wiki/IOS" TargetMode="External"/><Relationship Id="rId2334" Type="http://schemas.openxmlformats.org/officeDocument/2006/relationships/hyperlink" Target="https://en.wikipedia.org/wiki/Xbox_One" TargetMode="External"/><Relationship Id="rId306" Type="http://schemas.openxmlformats.org/officeDocument/2006/relationships/hyperlink" Target="https://en.wikipedia.org/wiki/Xperia_Play" TargetMode="External"/><Relationship Id="rId860" Type="http://schemas.openxmlformats.org/officeDocument/2006/relationships/hyperlink" Target="https://en.wikipedia.org/wiki/Madden_NFL_11" TargetMode="External"/><Relationship Id="rId1143" Type="http://schemas.openxmlformats.org/officeDocument/2006/relationships/hyperlink" Target="https://en.wikipedia.org/wiki/Windows_Phone" TargetMode="External"/><Relationship Id="rId2541" Type="http://schemas.openxmlformats.org/officeDocument/2006/relationships/hyperlink" Target="https://en.wikipedia.org/wiki/EA_Vancouver" TargetMode="External"/><Relationship Id="rId513" Type="http://schemas.openxmlformats.org/officeDocument/2006/relationships/hyperlink" Target="https://en.wikipedia.org/wiki/EA_Canada" TargetMode="External"/><Relationship Id="rId720" Type="http://schemas.openxmlformats.org/officeDocument/2006/relationships/hyperlink" Target="https://en.wikipedia.org/wiki/EA_Vancouver" TargetMode="External"/><Relationship Id="rId1350" Type="http://schemas.openxmlformats.org/officeDocument/2006/relationships/hyperlink" Target="https://en.wikipedia.org/wiki/NHL_11" TargetMode="External"/><Relationship Id="rId2401" Type="http://schemas.openxmlformats.org/officeDocument/2006/relationships/hyperlink" Target="https://en.wikipedia.org/wiki/Macintosh" TargetMode="External"/><Relationship Id="rId1003" Type="http://schemas.openxmlformats.org/officeDocument/2006/relationships/hyperlink" Target="https://en.wikipedia.org/wiki/Madden_NFL_Overdrive" TargetMode="External"/><Relationship Id="rId1210" Type="http://schemas.openxmlformats.org/officeDocument/2006/relationships/hyperlink" Target="https://en.wikipedia.org/wiki/NCAA_Football_14" TargetMode="External"/><Relationship Id="rId2191" Type="http://schemas.openxmlformats.org/officeDocument/2006/relationships/hyperlink" Target="https://en.wikipedia.org/wiki/Titanfall_2" TargetMode="External"/><Relationship Id="rId163" Type="http://schemas.openxmlformats.org/officeDocument/2006/relationships/hyperlink" Target="https://en.wikipedia.org/wiki/EA_DICE" TargetMode="External"/><Relationship Id="rId370" Type="http://schemas.openxmlformats.org/officeDocument/2006/relationships/hyperlink" Target="https://en.wikipedia.org/wiki/Facebook" TargetMode="External"/><Relationship Id="rId2051" Type="http://schemas.openxmlformats.org/officeDocument/2006/relationships/hyperlink" Target="https://en.wikipedia.org/wiki/The_Sims_4:_Seasons" TargetMode="External"/><Relationship Id="rId230" Type="http://schemas.openxmlformats.org/officeDocument/2006/relationships/hyperlink" Target="https://en.wikipedia.org/wiki/Burnout_Paradise" TargetMode="External"/><Relationship Id="rId1677" Type="http://schemas.openxmlformats.org/officeDocument/2006/relationships/hyperlink" Target="https://en.wikipedia.org/wiki/EA_Bright_Light" TargetMode="External"/><Relationship Id="rId1884" Type="http://schemas.openxmlformats.org/officeDocument/2006/relationships/hyperlink" Target="https://en.wikipedia.org/wiki/Microsoft_Windows" TargetMode="External"/><Relationship Id="rId907" Type="http://schemas.openxmlformats.org/officeDocument/2006/relationships/hyperlink" Target="https://en.wikipedia.org/wiki/EA_Tiburon" TargetMode="External"/><Relationship Id="rId1537" Type="http://schemas.openxmlformats.org/officeDocument/2006/relationships/hyperlink" Target="https://en.wikipedia.org/wiki/Android_(operating_system)" TargetMode="External"/><Relationship Id="rId1744" Type="http://schemas.openxmlformats.org/officeDocument/2006/relationships/hyperlink" Target="https://en.wikipedia.org/wiki/Surviving_High_School" TargetMode="External"/><Relationship Id="rId1951" Type="http://schemas.openxmlformats.org/officeDocument/2006/relationships/hyperlink" Target="https://en.wikipedia.org/wiki/Maxis_Redwood_Shores" TargetMode="External"/><Relationship Id="rId36" Type="http://schemas.openxmlformats.org/officeDocument/2006/relationships/hyperlink" Target="https://en.wikipedia.org/wiki/Spicy_Horse" TargetMode="External"/><Relationship Id="rId1604" Type="http://schemas.openxmlformats.org/officeDocument/2006/relationships/hyperlink" Target="https://en.wikipedia.org/wiki/Klei_Entertainment" TargetMode="External"/><Relationship Id="rId1811" Type="http://schemas.openxmlformats.org/officeDocument/2006/relationships/hyperlink" Target="https://en.wikipedia.org/wiki/The_Sims_3:_Ambitions" TargetMode="External"/><Relationship Id="rId697" Type="http://schemas.openxmlformats.org/officeDocument/2006/relationships/hyperlink" Target="https://en.wikipedia.org/wiki/FIFA_19" TargetMode="External"/><Relationship Id="rId2378" Type="http://schemas.openxmlformats.org/officeDocument/2006/relationships/hyperlink" Target="https://en.wikipedia.org/wiki/FIFA_22" TargetMode="External"/><Relationship Id="rId1187" Type="http://schemas.openxmlformats.org/officeDocument/2006/relationships/hyperlink" Target="https://en.wikipedia.org/wiki/NCAA_Football_11" TargetMode="External"/><Relationship Id="rId2585" Type="http://schemas.openxmlformats.org/officeDocument/2006/relationships/hyperlink" Target="https://en.wikipedia.org/wiki/Mass_Effect" TargetMode="External"/><Relationship Id="rId557" Type="http://schemas.openxmlformats.org/officeDocument/2006/relationships/hyperlink" Target="https://en.wikipedia.org/wiki/Microsoft_Windows" TargetMode="External"/><Relationship Id="rId764" Type="http://schemas.openxmlformats.org/officeDocument/2006/relationships/hyperlink" Target="https://en.wikipedia.org/wiki/EA_Canada" TargetMode="External"/><Relationship Id="rId971" Type="http://schemas.openxmlformats.org/officeDocument/2006/relationships/hyperlink" Target="https://en.wikipedia.org/wiki/Madden_NFL_20" TargetMode="External"/><Relationship Id="rId1394" Type="http://schemas.openxmlformats.org/officeDocument/2006/relationships/hyperlink" Target="https://en.wikipedia.org/wiki/EA_Canada" TargetMode="External"/><Relationship Id="rId2238" Type="http://schemas.openxmlformats.org/officeDocument/2006/relationships/hyperlink" Target="https://en.wikipedia.org/wiki/Warp_(2012_video_game)" TargetMode="External"/><Relationship Id="rId2445" Type="http://schemas.openxmlformats.org/officeDocument/2006/relationships/hyperlink" Target="https://en.wikipedia.org/wiki/EA_Vancouver" TargetMode="External"/><Relationship Id="rId417" Type="http://schemas.openxmlformats.org/officeDocument/2006/relationships/hyperlink" Target="https://en.wikipedia.org/wiki/EA_Sports_FIFA_Superstars" TargetMode="External"/><Relationship Id="rId624" Type="http://schemas.openxmlformats.org/officeDocument/2006/relationships/hyperlink" Target="https://en.wikipedia.org/wiki/EA_Canada" TargetMode="External"/><Relationship Id="rId831" Type="http://schemas.openxmlformats.org/officeDocument/2006/relationships/hyperlink" Target="https://en.wikipedia.org/wiki/Wii" TargetMode="External"/><Relationship Id="rId1047" Type="http://schemas.openxmlformats.org/officeDocument/2006/relationships/hyperlink" Target="https://en.wikipedia.org/wiki/Mass_Effect:_Andromeda" TargetMode="External"/><Relationship Id="rId1254" Type="http://schemas.openxmlformats.org/officeDocument/2006/relationships/hyperlink" Target="https://en.wikipedia.org/wiki/Criterion_Games" TargetMode="External"/><Relationship Id="rId1461" Type="http://schemas.openxmlformats.org/officeDocument/2006/relationships/hyperlink" Target="https://en.wikipedia.org/wiki/Android_(operating_system)" TargetMode="External"/><Relationship Id="rId2305" Type="http://schemas.openxmlformats.org/officeDocument/2006/relationships/hyperlink" Target="https://en.wikipedia.org/wiki/Xbox_One" TargetMode="External"/><Relationship Id="rId2512" Type="http://schemas.openxmlformats.org/officeDocument/2006/relationships/hyperlink" Target="https://en.wikipedia.org/wiki/Madden_NFL_24" TargetMode="External"/><Relationship Id="rId1114" Type="http://schemas.openxmlformats.org/officeDocument/2006/relationships/hyperlink" Target="https://en.wikipedia.org/wiki/Behaviour_Interactive" TargetMode="External"/><Relationship Id="rId1321" Type="http://schemas.openxmlformats.org/officeDocument/2006/relationships/hyperlink" Target="https://en.wikipedia.org/wiki/Need_for_Speed:_The_Run" TargetMode="External"/><Relationship Id="rId2095" Type="http://schemas.openxmlformats.org/officeDocument/2006/relationships/hyperlink" Target="https://en.wikipedia.org/wiki/Maxis_Redwood_Shores" TargetMode="External"/><Relationship Id="rId274" Type="http://schemas.openxmlformats.org/officeDocument/2006/relationships/hyperlink" Target="https://en.wikipedia.org/wiki/Crysis_2" TargetMode="External"/><Relationship Id="rId481" Type="http://schemas.openxmlformats.org/officeDocument/2006/relationships/hyperlink" Target="https://en.wikipedia.org/wiki/FIFA_11" TargetMode="External"/><Relationship Id="rId2162" Type="http://schemas.openxmlformats.org/officeDocument/2006/relationships/hyperlink" Target="https://en.wikipedia.org/wiki/Microsoft_Windows" TargetMode="External"/><Relationship Id="rId134" Type="http://schemas.openxmlformats.org/officeDocument/2006/relationships/hyperlink" Target="https://en.wikipedia.org/wiki/EA_DICE" TargetMode="External"/><Relationship Id="rId341" Type="http://schemas.openxmlformats.org/officeDocument/2006/relationships/hyperlink" Target="https://en.wikipedia.org/wiki/Hothead_Games" TargetMode="External"/><Relationship Id="rId2022" Type="http://schemas.openxmlformats.org/officeDocument/2006/relationships/hyperlink" Target="https://en.wikipedia.org/wiki/PlayStation_4" TargetMode="External"/><Relationship Id="rId201" Type="http://schemas.openxmlformats.org/officeDocument/2006/relationships/hyperlink" Target="https://en.wikipedia.org/wiki/IOS" TargetMode="External"/><Relationship Id="rId1788" Type="http://schemas.openxmlformats.org/officeDocument/2006/relationships/hyperlink" Target="https://en.wikipedia.org/wiki/The_Sims_3" TargetMode="External"/><Relationship Id="rId1995" Type="http://schemas.openxmlformats.org/officeDocument/2006/relationships/hyperlink" Target="https://en.wikipedia.org/wiki/Microsoft_Windows" TargetMode="External"/><Relationship Id="rId1648" Type="http://schemas.openxmlformats.org/officeDocument/2006/relationships/hyperlink" Target="https://en.wikipedia.org/wiki/Microsoft_Windows" TargetMode="External"/><Relationship Id="rId1508" Type="http://schemas.openxmlformats.org/officeDocument/2006/relationships/hyperlink" Target="https://en.wikipedia.org/wiki/Pogo.com" TargetMode="External"/><Relationship Id="rId1855" Type="http://schemas.openxmlformats.org/officeDocument/2006/relationships/hyperlink" Target="https://en.wikipedia.org/wiki/Maxis_Redwood_Shores" TargetMode="External"/><Relationship Id="rId1715" Type="http://schemas.openxmlformats.org/officeDocument/2006/relationships/hyperlink" Target="https://en.wikipedia.org/wiki/Xbox_One" TargetMode="External"/><Relationship Id="rId1922" Type="http://schemas.openxmlformats.org/officeDocument/2006/relationships/hyperlink" Target="https://en.wikipedia.org/wiki/The_Sims_4:_City_Living" TargetMode="External"/><Relationship Id="rId2489" Type="http://schemas.openxmlformats.org/officeDocument/2006/relationships/hyperlink" Target="https://en.wikipedia.org/wiki/The_Lord_of_the_Rings:_Heroes_of_Middle-earth" TargetMode="External"/><Relationship Id="rId668" Type="http://schemas.openxmlformats.org/officeDocument/2006/relationships/hyperlink" Target="https://en.wikipedia.org/wiki/PlayStation_4" TargetMode="External"/><Relationship Id="rId875" Type="http://schemas.openxmlformats.org/officeDocument/2006/relationships/hyperlink" Target="https://en.wikipedia.org/wiki/Madden_NFL_12" TargetMode="External"/><Relationship Id="rId1298" Type="http://schemas.openxmlformats.org/officeDocument/2006/relationships/hyperlink" Target="https://en.wikipedia.org/wiki/Wii_U" TargetMode="External"/><Relationship Id="rId2349" Type="http://schemas.openxmlformats.org/officeDocument/2006/relationships/hyperlink" Target="https://en.wikipedia.org/wiki/PlayStation_4" TargetMode="External"/><Relationship Id="rId2556" Type="http://schemas.openxmlformats.org/officeDocument/2006/relationships/hyperlink" Target="https://en.wikipedia.org/wiki/Tales_of_Kenzera:_Zau" TargetMode="External"/><Relationship Id="rId528" Type="http://schemas.openxmlformats.org/officeDocument/2006/relationships/hyperlink" Target="https://en.wikipedia.org/wiki/EA_Canada" TargetMode="External"/><Relationship Id="rId735" Type="http://schemas.openxmlformats.org/officeDocument/2006/relationships/hyperlink" Target="https://en.wikipedia.org/wiki/FIFA_Mobile" TargetMode="External"/><Relationship Id="rId942" Type="http://schemas.openxmlformats.org/officeDocument/2006/relationships/hyperlink" Target="https://en.wikipedia.org/wiki/PlayStation_4" TargetMode="External"/><Relationship Id="rId1158" Type="http://schemas.openxmlformats.org/officeDocument/2006/relationships/hyperlink" Target="https://en.wikipedia.org/wiki/PlayStation_4" TargetMode="External"/><Relationship Id="rId1365" Type="http://schemas.openxmlformats.org/officeDocument/2006/relationships/hyperlink" Target="https://en.wikipedia.org/wiki/NHL_14" TargetMode="External"/><Relationship Id="rId1572" Type="http://schemas.openxmlformats.org/officeDocument/2006/relationships/hyperlink" Target="https://en.wikipedia.org/wiki/Rory_McIlroy_PGA_Tour" TargetMode="External"/><Relationship Id="rId2209" Type="http://schemas.openxmlformats.org/officeDocument/2006/relationships/hyperlink" Target="https://en.wikipedia.org/wiki/Android_(operating_system)" TargetMode="External"/><Relationship Id="rId2416" Type="http://schemas.openxmlformats.org/officeDocument/2006/relationships/hyperlink" Target="https://en.wikipedia.org/wiki/Macintosh" TargetMode="External"/><Relationship Id="rId1018" Type="http://schemas.openxmlformats.org/officeDocument/2006/relationships/hyperlink" Target="https://en.wikipedia.org/wiki/Mass_Effect_2" TargetMode="External"/><Relationship Id="rId1225" Type="http://schemas.openxmlformats.org/officeDocument/2006/relationships/hyperlink" Target="https://en.wikipedia.org/wiki/Need_for_Speed_Payback" TargetMode="External"/><Relationship Id="rId1432" Type="http://schemas.openxmlformats.org/officeDocument/2006/relationships/hyperlink" Target="https://en.wikipedia.org/wiki/Peggle_2" TargetMode="External"/><Relationship Id="rId71" Type="http://schemas.openxmlformats.org/officeDocument/2006/relationships/hyperlink" Target="https://en.wikipedia.org/wiki/PlayStation_4" TargetMode="External"/><Relationship Id="rId802" Type="http://schemas.openxmlformats.org/officeDocument/2006/relationships/hyperlink" Target="https://en.wikipedia.org/wiki/EA_Bright_Light" TargetMode="External"/><Relationship Id="rId178" Type="http://schemas.openxmlformats.org/officeDocument/2006/relationships/hyperlink" Target="https://en.wikipedia.org/wiki/Visceral_Games" TargetMode="External"/><Relationship Id="rId385" Type="http://schemas.openxmlformats.org/officeDocument/2006/relationships/hyperlink" Target="https://en.wikipedia.org/wiki/BioWare" TargetMode="External"/><Relationship Id="rId592" Type="http://schemas.openxmlformats.org/officeDocument/2006/relationships/hyperlink" Target="https://en.wikipedia.org/wiki/FIFA_14" TargetMode="External"/><Relationship Id="rId2066" Type="http://schemas.openxmlformats.org/officeDocument/2006/relationships/hyperlink" Target="https://en.wikipedia.org/wiki/The_Sims_4:_Spa_Day" TargetMode="External"/><Relationship Id="rId2273" Type="http://schemas.openxmlformats.org/officeDocument/2006/relationships/hyperlink" Target="https://en.wikipedia.org/wiki/IOS" TargetMode="External"/><Relationship Id="rId2480" Type="http://schemas.openxmlformats.org/officeDocument/2006/relationships/hyperlink" Target="https://en.wikipedia.org/wiki/PlayStation_5" TargetMode="External"/><Relationship Id="rId245" Type="http://schemas.openxmlformats.org/officeDocument/2006/relationships/hyperlink" Target="https://en.wikipedia.org/wiki/EA_Los_Angeles" TargetMode="External"/><Relationship Id="rId452" Type="http://schemas.openxmlformats.org/officeDocument/2006/relationships/hyperlink" Target="https://en.wikipedia.org/wiki/PlayStation_4" TargetMode="External"/><Relationship Id="rId1082" Type="http://schemas.openxmlformats.org/officeDocument/2006/relationships/hyperlink" Target="https://en.wikipedia.org/wiki/EA_Salt_Lake" TargetMode="External"/><Relationship Id="rId2133" Type="http://schemas.openxmlformats.org/officeDocument/2006/relationships/hyperlink" Target="https://en.wikipedia.org/wiki/Bullfrog_Productions" TargetMode="External"/><Relationship Id="rId2340" Type="http://schemas.openxmlformats.org/officeDocument/2006/relationships/hyperlink" Target="https://en.wikipedia.org/wiki/Xbox_One" TargetMode="External"/><Relationship Id="rId105" Type="http://schemas.openxmlformats.org/officeDocument/2006/relationships/hyperlink" Target="https://en.wikipedia.org/wiki/Cipher_Prime" TargetMode="External"/><Relationship Id="rId312" Type="http://schemas.openxmlformats.org/officeDocument/2006/relationships/hyperlink" Target="https://en.wikipedia.org/wiki/Dead_Space_2" TargetMode="External"/><Relationship Id="rId2200" Type="http://schemas.openxmlformats.org/officeDocument/2006/relationships/hyperlink" Target="https://en.wikipedia.org/wiki/PlayStation_3" TargetMode="External"/><Relationship Id="rId1899" Type="http://schemas.openxmlformats.org/officeDocument/2006/relationships/hyperlink" Target="https://en.wikipedia.org/wiki/PlayStation_4" TargetMode="External"/><Relationship Id="rId1759" Type="http://schemas.openxmlformats.org/officeDocument/2006/relationships/hyperlink" Target="https://en.wikipedia.org/wiki/Tetris_(Electronic_Arts)" TargetMode="External"/><Relationship Id="rId1966" Type="http://schemas.openxmlformats.org/officeDocument/2006/relationships/hyperlink" Target="https://en.wikipedia.org/wiki/Maxis_Redwood_Shores" TargetMode="External"/><Relationship Id="rId1619" Type="http://schemas.openxmlformats.org/officeDocument/2006/relationships/hyperlink" Target="https://en.wikipedia.org/wiki/Klei_Entertainment" TargetMode="External"/><Relationship Id="rId1826" Type="http://schemas.openxmlformats.org/officeDocument/2006/relationships/hyperlink" Target="https://en.wikipedia.org/wiki/The_Sims_3:_Into_the_Future" TargetMode="External"/><Relationship Id="rId779" Type="http://schemas.openxmlformats.org/officeDocument/2006/relationships/hyperlink" Target="https://en.wikipedia.org/wiki/Grand_Slam_Tennis_2" TargetMode="External"/><Relationship Id="rId986" Type="http://schemas.openxmlformats.org/officeDocument/2006/relationships/hyperlink" Target="https://en.wikipedia.org/wiki/Madden_NFL_25" TargetMode="External"/><Relationship Id="rId639" Type="http://schemas.openxmlformats.org/officeDocument/2006/relationships/hyperlink" Target="https://en.wikipedia.org/wiki/EA_Canada" TargetMode="External"/><Relationship Id="rId1269" Type="http://schemas.openxmlformats.org/officeDocument/2006/relationships/hyperlink" Target="https://en.wikipedia.org/wiki/Criterion_Games" TargetMode="External"/><Relationship Id="rId1476" Type="http://schemas.openxmlformats.org/officeDocument/2006/relationships/hyperlink" Target="https://en.wikipedia.org/wiki/Microsoft_Windows" TargetMode="External"/><Relationship Id="rId846" Type="http://schemas.openxmlformats.org/officeDocument/2006/relationships/hyperlink" Target="https://en.wikipedia.org/wiki/Kingdoms_of_Amalur:_Reckoning" TargetMode="External"/><Relationship Id="rId1129" Type="http://schemas.openxmlformats.org/officeDocument/2006/relationships/hyperlink" Target="https://en.wikipedia.org/wiki/EA_Canada" TargetMode="External"/><Relationship Id="rId1683" Type="http://schemas.openxmlformats.org/officeDocument/2006/relationships/hyperlink" Target="https://en.wikipedia.org/wiki/Griptonite_Games" TargetMode="External"/><Relationship Id="rId1890" Type="http://schemas.openxmlformats.org/officeDocument/2006/relationships/hyperlink" Target="https://en.wikipedia.org/wiki/PlayStation_4" TargetMode="External"/><Relationship Id="rId2527" Type="http://schemas.openxmlformats.org/officeDocument/2006/relationships/hyperlink" Target="https://en.wikipedia.org/wiki/EA_Vancouver" TargetMode="External"/><Relationship Id="rId706" Type="http://schemas.openxmlformats.org/officeDocument/2006/relationships/hyperlink" Target="https://en.wikipedia.org/wiki/FIFA_19" TargetMode="External"/><Relationship Id="rId913" Type="http://schemas.openxmlformats.org/officeDocument/2006/relationships/hyperlink" Target="https://en.wikipedia.org/wiki/EA_Tiburon" TargetMode="External"/><Relationship Id="rId1336" Type="http://schemas.openxmlformats.org/officeDocument/2006/relationships/hyperlink" Target="https://en.wikipedia.org/wiki/Xbox_Live_Arcade" TargetMode="External"/><Relationship Id="rId1543" Type="http://schemas.openxmlformats.org/officeDocument/2006/relationships/hyperlink" Target="https://en.wikipedia.org/wiki/BlackBerry_World" TargetMode="External"/><Relationship Id="rId1750" Type="http://schemas.openxmlformats.org/officeDocument/2006/relationships/hyperlink" Target="https://en.wikipedia.org/wiki/Syndicate_(2012_video_game)" TargetMode="External"/><Relationship Id="rId42" Type="http://schemas.openxmlformats.org/officeDocument/2006/relationships/hyperlink" Target="https://en.wikipedia.org/wiki/Spicy_Horse" TargetMode="External"/><Relationship Id="rId1403" Type="http://schemas.openxmlformats.org/officeDocument/2006/relationships/hyperlink" Target="https://en.wikipedia.org/wiki/EA_Canada" TargetMode="External"/><Relationship Id="rId1610" Type="http://schemas.openxmlformats.org/officeDocument/2006/relationships/hyperlink" Target="https://en.wikipedia.org/wiki/Klei_Entertainment" TargetMode="External"/><Relationship Id="rId289" Type="http://schemas.openxmlformats.org/officeDocument/2006/relationships/hyperlink" Target="https://en.wikipedia.org/wiki/Dante%27s_Inferno_(video_game)" TargetMode="External"/><Relationship Id="rId496" Type="http://schemas.openxmlformats.org/officeDocument/2006/relationships/hyperlink" Target="https://en.wikipedia.org/wiki/FIFA_12" TargetMode="External"/><Relationship Id="rId2177" Type="http://schemas.openxmlformats.org/officeDocument/2006/relationships/hyperlink" Target="https://en.wikipedia.org/wiki/Microsoft_Windows" TargetMode="External"/><Relationship Id="rId2384" Type="http://schemas.openxmlformats.org/officeDocument/2006/relationships/hyperlink" Target="https://en.wikipedia.org/wiki/Xbox_Series_X_and_Series_S" TargetMode="External"/><Relationship Id="rId2591" Type="http://schemas.openxmlformats.org/officeDocument/2006/relationships/hyperlink" Target="https://en.wikipedia.org/wiki/Black_Panther_(character)" TargetMode="External"/><Relationship Id="rId149" Type="http://schemas.openxmlformats.org/officeDocument/2006/relationships/hyperlink" Target="https://en.wikipedia.org/wiki/EA_DICE" TargetMode="External"/><Relationship Id="rId356" Type="http://schemas.openxmlformats.org/officeDocument/2006/relationships/hyperlink" Target="https://en.wikipedia.org/wiki/Hothead_Games" TargetMode="External"/><Relationship Id="rId563" Type="http://schemas.openxmlformats.org/officeDocument/2006/relationships/hyperlink" Target="https://en.wikipedia.org/wiki/Wii_U" TargetMode="External"/><Relationship Id="rId770" Type="http://schemas.openxmlformats.org/officeDocument/2006/relationships/hyperlink" Target="https://en.wikipedia.org/wiki/Fuse_(video_game)" TargetMode="External"/><Relationship Id="rId1193" Type="http://schemas.openxmlformats.org/officeDocument/2006/relationships/hyperlink" Target="https://en.wikipedia.org/wiki/NCAA_Football_11" TargetMode="External"/><Relationship Id="rId2037" Type="http://schemas.openxmlformats.org/officeDocument/2006/relationships/hyperlink" Target="https://en.wikipedia.org/wiki/Xbox_One" TargetMode="External"/><Relationship Id="rId2244" Type="http://schemas.openxmlformats.org/officeDocument/2006/relationships/hyperlink" Target="https://en.wikipedia.org/wiki/World_Series_of_Poker_(video_game)" TargetMode="External"/><Relationship Id="rId2451" Type="http://schemas.openxmlformats.org/officeDocument/2006/relationships/hyperlink" Target="https://en.wikipedia.org/wiki/NHL_23" TargetMode="External"/><Relationship Id="rId216" Type="http://schemas.openxmlformats.org/officeDocument/2006/relationships/hyperlink" Target="https://en.wikipedia.org/wiki/PlayStation_Network" TargetMode="External"/><Relationship Id="rId423" Type="http://schemas.openxmlformats.org/officeDocument/2006/relationships/hyperlink" Target="https://en.wikipedia.org/wiki/EA_Sports_MMA" TargetMode="External"/><Relationship Id="rId1053" Type="http://schemas.openxmlformats.org/officeDocument/2006/relationships/hyperlink" Target="https://en.wikipedia.org/wiki/Medal_of_Honor_(2010_video_game)" TargetMode="External"/><Relationship Id="rId1260" Type="http://schemas.openxmlformats.org/officeDocument/2006/relationships/hyperlink" Target="https://en.wikipedia.org/wiki/Criterion_Games" TargetMode="External"/><Relationship Id="rId2104" Type="http://schemas.openxmlformats.org/officeDocument/2006/relationships/hyperlink" Target="https://en.wikipedia.org/wiki/BlackBerry_World" TargetMode="External"/><Relationship Id="rId630" Type="http://schemas.openxmlformats.org/officeDocument/2006/relationships/hyperlink" Target="https://en.wikipedia.org/wiki/EA_Canada" TargetMode="External"/><Relationship Id="rId2311" Type="http://schemas.openxmlformats.org/officeDocument/2006/relationships/hyperlink" Target="https://en.wikipedia.org/wiki/Nintendo_Switch" TargetMode="External"/><Relationship Id="rId1120" Type="http://schemas.openxmlformats.org/officeDocument/2006/relationships/hyperlink" Target="https://en.wikipedia.org/wiki/Behaviour_Interactive" TargetMode="External"/><Relationship Id="rId1937" Type="http://schemas.openxmlformats.org/officeDocument/2006/relationships/hyperlink" Target="https://en.wikipedia.org/wiki/The_Sims_4:_Dine_Out" TargetMode="External"/><Relationship Id="rId280" Type="http://schemas.openxmlformats.org/officeDocument/2006/relationships/hyperlink" Target="https://en.wikipedia.org/wiki/Crysis_3" TargetMode="External"/><Relationship Id="rId140" Type="http://schemas.openxmlformats.org/officeDocument/2006/relationships/hyperlink" Target="https://en.wikipedia.org/wiki/EA_DICE" TargetMode="External"/><Relationship Id="rId6" Type="http://schemas.openxmlformats.org/officeDocument/2006/relationships/hyperlink" Target="https://en.wikipedia.org/wiki/HB_Studios" TargetMode="External"/><Relationship Id="rId957" Type="http://schemas.openxmlformats.org/officeDocument/2006/relationships/hyperlink" Target="https://en.wikipedia.org/wiki/PlayStation_4" TargetMode="External"/><Relationship Id="rId1587" Type="http://schemas.openxmlformats.org/officeDocument/2006/relationships/hyperlink" Target="https://en.wikipedia.org/wiki/The_Secret_Life_of_Pets" TargetMode="External"/><Relationship Id="rId1794" Type="http://schemas.openxmlformats.org/officeDocument/2006/relationships/hyperlink" Target="https://en.wikipedia.org/wiki/The_Sims_3" TargetMode="External"/><Relationship Id="rId86" Type="http://schemas.openxmlformats.org/officeDocument/2006/relationships/hyperlink" Target="https://en.wikipedia.org/wiki/Respawn_Entertainment" TargetMode="External"/><Relationship Id="rId817" Type="http://schemas.openxmlformats.org/officeDocument/2006/relationships/hyperlink" Target="https://en.wikipedia.org/wiki/EA_Bright_Light" TargetMode="External"/><Relationship Id="rId1447" Type="http://schemas.openxmlformats.org/officeDocument/2006/relationships/hyperlink" Target="https://en.wikipedia.org/wiki/IOS" TargetMode="External"/><Relationship Id="rId1654" Type="http://schemas.openxmlformats.org/officeDocument/2006/relationships/hyperlink" Target="https://en.wikipedia.org/wiki/IOS" TargetMode="External"/><Relationship Id="rId1861" Type="http://schemas.openxmlformats.org/officeDocument/2006/relationships/hyperlink" Target="https://en.wikipedia.org/wiki/Maxis_Redwood_Shores" TargetMode="External"/><Relationship Id="rId1307" Type="http://schemas.openxmlformats.org/officeDocument/2006/relationships/hyperlink" Target="https://en.wikipedia.org/wiki/IOS" TargetMode="External"/><Relationship Id="rId1514" Type="http://schemas.openxmlformats.org/officeDocument/2006/relationships/hyperlink" Target="https://en.wikipedia.org/wiki/Irem" TargetMode="External"/><Relationship Id="rId1721" Type="http://schemas.openxmlformats.org/officeDocument/2006/relationships/hyperlink" Target="https://en.wikipedia.org/wiki/Microsoft_Windows" TargetMode="External"/><Relationship Id="rId13" Type="http://schemas.openxmlformats.org/officeDocument/2006/relationships/hyperlink" Target="https://en.wikipedia.org/wiki/2010_FIFA_World_Cup_South_Africa_(video_game)" TargetMode="External"/><Relationship Id="rId2288" Type="http://schemas.openxmlformats.org/officeDocument/2006/relationships/hyperlink" Target="https://en.wikipedia.org/wiki/Maxis_Redwood_Shores" TargetMode="External"/><Relationship Id="rId2495" Type="http://schemas.openxmlformats.org/officeDocument/2006/relationships/hyperlink" Target="https://en.wikipedia.org/wiki/PlayStation_5" TargetMode="External"/><Relationship Id="rId467" Type="http://schemas.openxmlformats.org/officeDocument/2006/relationships/hyperlink" Target="https://en.wikipedia.org/wiki/IOS" TargetMode="External"/><Relationship Id="rId1097" Type="http://schemas.openxmlformats.org/officeDocument/2006/relationships/hyperlink" Target="https://en.wikipedia.org/wiki/EA_DICE" TargetMode="External"/><Relationship Id="rId2148" Type="http://schemas.openxmlformats.org/officeDocument/2006/relationships/hyperlink" Target="https://en.wikipedia.org/wiki/EA_Tiburon" TargetMode="External"/><Relationship Id="rId674" Type="http://schemas.openxmlformats.org/officeDocument/2006/relationships/hyperlink" Target="https://en.wikipedia.org/wiki/Xbox_360" TargetMode="External"/><Relationship Id="rId881" Type="http://schemas.openxmlformats.org/officeDocument/2006/relationships/hyperlink" Target="https://en.wikipedia.org/wiki/Madden_NFL_12" TargetMode="External"/><Relationship Id="rId2355" Type="http://schemas.openxmlformats.org/officeDocument/2006/relationships/hyperlink" Target="https://en.wikipedia.org/wiki/The_Sims_4:_Cottage_Living" TargetMode="External"/><Relationship Id="rId2562" Type="http://schemas.openxmlformats.org/officeDocument/2006/relationships/hyperlink" Target="https://en.wikipedia.org/wiki/F1_24" TargetMode="External"/><Relationship Id="rId327" Type="http://schemas.openxmlformats.org/officeDocument/2006/relationships/hyperlink" Target="https://en.wikipedia.org/wiki/Dead_Space_Ignition" TargetMode="External"/><Relationship Id="rId534" Type="http://schemas.openxmlformats.org/officeDocument/2006/relationships/hyperlink" Target="https://en.wikipedia.org/wiki/EA_Canada" TargetMode="External"/><Relationship Id="rId741" Type="http://schemas.openxmlformats.org/officeDocument/2006/relationships/hyperlink" Target="https://en.wikipedia.org/wiki/FIFA_Online_(western_version)" TargetMode="External"/><Relationship Id="rId1164" Type="http://schemas.openxmlformats.org/officeDocument/2006/relationships/hyperlink" Target="https://en.wikipedia.org/wiki/PlayStation_4" TargetMode="External"/><Relationship Id="rId1371" Type="http://schemas.openxmlformats.org/officeDocument/2006/relationships/hyperlink" Target="https://en.wikipedia.org/wiki/NHL_15" TargetMode="External"/><Relationship Id="rId2008" Type="http://schemas.openxmlformats.org/officeDocument/2006/relationships/hyperlink" Target="https://en.wikipedia.org/wiki/Maxis_Redwood_Shores" TargetMode="External"/><Relationship Id="rId2215" Type="http://schemas.openxmlformats.org/officeDocument/2006/relationships/hyperlink" Target="https://en.wikipedia.org/wiki/Ultimate_Mortal_Kombat_3" TargetMode="External"/><Relationship Id="rId2422" Type="http://schemas.openxmlformats.org/officeDocument/2006/relationships/hyperlink" Target="https://en.wikipedia.org/wiki/PlayStation_4" TargetMode="External"/><Relationship Id="rId601" Type="http://schemas.openxmlformats.org/officeDocument/2006/relationships/hyperlink" Target="https://en.wikipedia.org/wiki/FIFA_14" TargetMode="External"/><Relationship Id="rId1024" Type="http://schemas.openxmlformats.org/officeDocument/2006/relationships/hyperlink" Target="https://en.wikipedia.org/wiki/Mass_Effect_3" TargetMode="External"/><Relationship Id="rId1231" Type="http://schemas.openxmlformats.org/officeDocument/2006/relationships/hyperlink" Target="https://en.wikipedia.org/wiki/Need_for_Speed_Payback" TargetMode="External"/><Relationship Id="rId184" Type="http://schemas.openxmlformats.org/officeDocument/2006/relationships/hyperlink" Target="https://en.wikipedia.org/wiki/EA_DICE" TargetMode="External"/><Relationship Id="rId391" Type="http://schemas.openxmlformats.org/officeDocument/2006/relationships/hyperlink" Target="https://en.wikipedia.org/wiki/BioWare" TargetMode="External"/><Relationship Id="rId1908" Type="http://schemas.openxmlformats.org/officeDocument/2006/relationships/hyperlink" Target="https://en.wikipedia.org/wiki/Macintosh" TargetMode="External"/><Relationship Id="rId2072" Type="http://schemas.openxmlformats.org/officeDocument/2006/relationships/hyperlink" Target="https://en.wikipedia.org/wiki/The_Sims_4:_Spa_Day" TargetMode="External"/><Relationship Id="rId251" Type="http://schemas.openxmlformats.org/officeDocument/2006/relationships/hyperlink" Target="https://en.wikipedia.org/wiki/Microsoft_Windows" TargetMode="External"/><Relationship Id="rId111" Type="http://schemas.openxmlformats.org/officeDocument/2006/relationships/hyperlink" Target="https://en.wikipedia.org/wiki/Cipher_Prime" TargetMode="External"/><Relationship Id="rId1698" Type="http://schemas.openxmlformats.org/officeDocument/2006/relationships/hyperlink" Target="https://en.wikipedia.org/wiki/EA_Canada" TargetMode="External"/><Relationship Id="rId928" Type="http://schemas.openxmlformats.org/officeDocument/2006/relationships/hyperlink" Target="https://en.wikipedia.org/wiki/EA_Tiburon" TargetMode="External"/><Relationship Id="rId1558" Type="http://schemas.openxmlformats.org/officeDocument/2006/relationships/hyperlink" Target="https://en.wikipedia.org/wiki/Nintendo_DS" TargetMode="External"/><Relationship Id="rId1765" Type="http://schemas.openxmlformats.org/officeDocument/2006/relationships/hyperlink" Target="https://en.wikipedia.org/wiki/Tetris_(Electronic_Arts)" TargetMode="External"/><Relationship Id="rId57" Type="http://schemas.openxmlformats.org/officeDocument/2006/relationships/hyperlink" Target="https://en.wikipedia.org/wiki/BioWare" TargetMode="External"/><Relationship Id="rId1418" Type="http://schemas.openxmlformats.org/officeDocument/2006/relationships/hyperlink" Target="https://en.wikipedia.org/wiki/EA_Vancouver" TargetMode="External"/><Relationship Id="rId1972" Type="http://schemas.openxmlformats.org/officeDocument/2006/relationships/hyperlink" Target="https://en.wikipedia.org/wiki/Maxis_Redwood_Shores" TargetMode="External"/><Relationship Id="rId1625" Type="http://schemas.openxmlformats.org/officeDocument/2006/relationships/hyperlink" Target="https://en.wikipedia.org/wiki/Klei_Entertainment" TargetMode="External"/><Relationship Id="rId1832" Type="http://schemas.openxmlformats.org/officeDocument/2006/relationships/hyperlink" Target="https://en.wikipedia.org/wiki/The_Sims_3:_Island_Paradise" TargetMode="External"/><Relationship Id="rId2399" Type="http://schemas.openxmlformats.org/officeDocument/2006/relationships/hyperlink" Target="https://en.wikipedia.org/wiki/Microsoft_Windows" TargetMode="External"/><Relationship Id="rId578" Type="http://schemas.openxmlformats.org/officeDocument/2006/relationships/hyperlink" Target="https://en.wikipedia.org/wiki/Nintendo_3DS" TargetMode="External"/><Relationship Id="rId785" Type="http://schemas.openxmlformats.org/officeDocument/2006/relationships/hyperlink" Target="https://en.wikipedia.org/wiki/Wii" TargetMode="External"/><Relationship Id="rId992" Type="http://schemas.openxmlformats.org/officeDocument/2006/relationships/hyperlink" Target="https://en.wikipedia.org/wiki/Madden_NFL_Football" TargetMode="External"/><Relationship Id="rId2259" Type="http://schemas.openxmlformats.org/officeDocument/2006/relationships/hyperlink" Target="https://en.wikipedia.org/wiki/Petroglyph_Games" TargetMode="External"/><Relationship Id="rId2466" Type="http://schemas.openxmlformats.org/officeDocument/2006/relationships/hyperlink" Target="https://en.wikipedia.org/wiki/Microsoft_Windows" TargetMode="External"/><Relationship Id="rId438" Type="http://schemas.openxmlformats.org/officeDocument/2006/relationships/hyperlink" Target="https://en.wikipedia.org/wiki/EA_Canada" TargetMode="External"/><Relationship Id="rId645" Type="http://schemas.openxmlformats.org/officeDocument/2006/relationships/hyperlink" Target="https://en.wikipedia.org/wiki/EA_Canada" TargetMode="External"/><Relationship Id="rId852" Type="http://schemas.openxmlformats.org/officeDocument/2006/relationships/hyperlink" Target="https://en.wikipedia.org/wiki/Lite-Brite" TargetMode="External"/><Relationship Id="rId1068" Type="http://schemas.openxmlformats.org/officeDocument/2006/relationships/hyperlink" Target="https://en.wikipedia.org/wiki/Medal_of_Honor:_Warfighter" TargetMode="External"/><Relationship Id="rId1275" Type="http://schemas.openxmlformats.org/officeDocument/2006/relationships/hyperlink" Target="https://en.wikipedia.org/wiki/Criterion_Games" TargetMode="External"/><Relationship Id="rId1482" Type="http://schemas.openxmlformats.org/officeDocument/2006/relationships/hyperlink" Target="https://en.wikipedia.org/wiki/Nintendo_Switch" TargetMode="External"/><Relationship Id="rId2119" Type="http://schemas.openxmlformats.org/officeDocument/2006/relationships/hyperlink" Target="https://en.wikipedia.org/wiki/Macintosh" TargetMode="External"/><Relationship Id="rId2326" Type="http://schemas.openxmlformats.org/officeDocument/2006/relationships/hyperlink" Target="https://en.wikipedia.org/wiki/Microsoft_Windows" TargetMode="External"/><Relationship Id="rId2533" Type="http://schemas.openxmlformats.org/officeDocument/2006/relationships/hyperlink" Target="https://en.wikipedia.org/wiki/NHL_24" TargetMode="External"/><Relationship Id="rId505" Type="http://schemas.openxmlformats.org/officeDocument/2006/relationships/hyperlink" Target="https://en.wikipedia.org/wiki/FIFA_12" TargetMode="External"/><Relationship Id="rId712" Type="http://schemas.openxmlformats.org/officeDocument/2006/relationships/hyperlink" Target="https://en.wikipedia.org/wiki/FIFA_19" TargetMode="External"/><Relationship Id="rId1135" Type="http://schemas.openxmlformats.org/officeDocument/2006/relationships/hyperlink" Target="https://en.wikipedia.org/wiki/EA_Canada" TargetMode="External"/><Relationship Id="rId1342" Type="http://schemas.openxmlformats.org/officeDocument/2006/relationships/hyperlink" Target="https://en.wikipedia.org/wiki/Microsoft_Windows" TargetMode="External"/><Relationship Id="rId1202" Type="http://schemas.openxmlformats.org/officeDocument/2006/relationships/hyperlink" Target="https://en.wikipedia.org/wiki/Xbox_360" TargetMode="External"/><Relationship Id="rId295" Type="http://schemas.openxmlformats.org/officeDocument/2006/relationships/hyperlink" Target="https://en.wikipedia.org/wiki/Dante%27s_Inferno_(video_game)" TargetMode="External"/><Relationship Id="rId2183" Type="http://schemas.openxmlformats.org/officeDocument/2006/relationships/hyperlink" Target="https://en.wikipedia.org/wiki/Xbox_360" TargetMode="External"/><Relationship Id="rId2390" Type="http://schemas.openxmlformats.org/officeDocument/2006/relationships/hyperlink" Target="https://en.wikipedia.org/wiki/PlayStation_5" TargetMode="External"/><Relationship Id="rId155" Type="http://schemas.openxmlformats.org/officeDocument/2006/relationships/hyperlink" Target="https://en.wikipedia.org/wiki/Battlefield_Bad_Company_2" TargetMode="External"/><Relationship Id="rId362" Type="http://schemas.openxmlformats.org/officeDocument/2006/relationships/hyperlink" Target="https://en.wikipedia.org/wiki/BioWare" TargetMode="External"/><Relationship Id="rId2043" Type="http://schemas.openxmlformats.org/officeDocument/2006/relationships/hyperlink" Target="https://en.wikipedia.org/wiki/Microsoft_Windows" TargetMode="External"/><Relationship Id="rId2250" Type="http://schemas.openxmlformats.org/officeDocument/2006/relationships/hyperlink" Target="https://en.wikipedia.org/wiki/PopCap_Games" TargetMode="External"/><Relationship Id="rId222" Type="http://schemas.openxmlformats.org/officeDocument/2006/relationships/hyperlink" Target="https://en.wikipedia.org/wiki/IOS" TargetMode="External"/><Relationship Id="rId2110" Type="http://schemas.openxmlformats.org/officeDocument/2006/relationships/hyperlink" Target="https://en.wikipedia.org/wiki/Macintosh" TargetMode="External"/><Relationship Id="rId1669" Type="http://schemas.openxmlformats.org/officeDocument/2006/relationships/hyperlink" Target="https://en.wikipedia.org/wiki/Skate_3" TargetMode="External"/><Relationship Id="rId1876" Type="http://schemas.openxmlformats.org/officeDocument/2006/relationships/hyperlink" Target="https://en.wikipedia.org/wiki/EA_Salt_Lake" TargetMode="External"/><Relationship Id="rId1529" Type="http://schemas.openxmlformats.org/officeDocument/2006/relationships/hyperlink" Target="https://en.wikipedia.org/wiki/Firemonkeys_Studios" TargetMode="External"/><Relationship Id="rId1736" Type="http://schemas.openxmlformats.org/officeDocument/2006/relationships/hyperlink" Target="https://en.wikipedia.org/wiki/Android_(operating_system)" TargetMode="External"/><Relationship Id="rId1943" Type="http://schemas.openxmlformats.org/officeDocument/2006/relationships/hyperlink" Target="https://en.wikipedia.org/wiki/The_Sims_4:_Discover_University" TargetMode="External"/><Relationship Id="rId28" Type="http://schemas.openxmlformats.org/officeDocument/2006/relationships/hyperlink" Target="https://en.wikipedia.org/wiki/A_Way_Out_(video_game)" TargetMode="External"/><Relationship Id="rId1803" Type="http://schemas.openxmlformats.org/officeDocument/2006/relationships/hyperlink" Target="https://en.wikipedia.org/wiki/Macintosh" TargetMode="External"/><Relationship Id="rId689" Type="http://schemas.openxmlformats.org/officeDocument/2006/relationships/hyperlink" Target="https://en.wikipedia.org/wiki/Microsoft_Windows" TargetMode="External"/><Relationship Id="rId896" Type="http://schemas.openxmlformats.org/officeDocument/2006/relationships/hyperlink" Target="https://en.wikipedia.org/wiki/Madden_NFL_13" TargetMode="External"/><Relationship Id="rId2577" Type="http://schemas.openxmlformats.org/officeDocument/2006/relationships/hyperlink" Target="https://en.wikipedia.org/wiki/IOS" TargetMode="External"/><Relationship Id="rId549" Type="http://schemas.openxmlformats.org/officeDocument/2006/relationships/hyperlink" Target="https://en.wikipedia.org/wiki/EA_Canada" TargetMode="External"/><Relationship Id="rId756" Type="http://schemas.openxmlformats.org/officeDocument/2006/relationships/hyperlink" Target="https://en.wikipedia.org/wiki/Fight_Night_Champion" TargetMode="External"/><Relationship Id="rId1179" Type="http://schemas.openxmlformats.org/officeDocument/2006/relationships/hyperlink" Target="https://en.wikipedia.org/wiki/Xbox_One" TargetMode="External"/><Relationship Id="rId1386" Type="http://schemas.openxmlformats.org/officeDocument/2006/relationships/hyperlink" Target="https://en.wikipedia.org/wiki/NHL_16" TargetMode="External"/><Relationship Id="rId1593" Type="http://schemas.openxmlformats.org/officeDocument/2006/relationships/hyperlink" Target="https://en.wikipedia.org/wiki/Shadows_of_the_Damned" TargetMode="External"/><Relationship Id="rId2437" Type="http://schemas.openxmlformats.org/officeDocument/2006/relationships/hyperlink" Target="https://en.wikipedia.org/wiki/EA_Tiburon" TargetMode="External"/><Relationship Id="rId409" Type="http://schemas.openxmlformats.org/officeDocument/2006/relationships/hyperlink" Target="https://en.wikipedia.org/wiki/Wii" TargetMode="External"/><Relationship Id="rId963" Type="http://schemas.openxmlformats.org/officeDocument/2006/relationships/hyperlink" Target="https://en.wikipedia.org/wiki/Xbox_One" TargetMode="External"/><Relationship Id="rId1039" Type="http://schemas.openxmlformats.org/officeDocument/2006/relationships/hyperlink" Target="https://en.wikipedia.org/wiki/Mass_Effect_Infiltrator" TargetMode="External"/><Relationship Id="rId1246" Type="http://schemas.openxmlformats.org/officeDocument/2006/relationships/hyperlink" Target="https://en.wikipedia.org/wiki/Need_for_Speed_Rivals" TargetMode="External"/><Relationship Id="rId92" Type="http://schemas.openxmlformats.org/officeDocument/2006/relationships/hyperlink" Target="https://en.wikipedia.org/wiki/EA_Montreal" TargetMode="External"/><Relationship Id="rId616" Type="http://schemas.openxmlformats.org/officeDocument/2006/relationships/hyperlink" Target="https://en.wikipedia.org/wiki/FIFA_15" TargetMode="External"/><Relationship Id="rId823" Type="http://schemas.openxmlformats.org/officeDocument/2006/relationships/hyperlink" Target="https://en.wikipedia.org/wiki/Virtuos" TargetMode="External"/><Relationship Id="rId1453" Type="http://schemas.openxmlformats.org/officeDocument/2006/relationships/hyperlink" Target="https://en.wikipedia.org/wiki/PopCap_Games" TargetMode="External"/><Relationship Id="rId1660" Type="http://schemas.openxmlformats.org/officeDocument/2006/relationships/hyperlink" Target="https://en.wikipedia.org/wiki/Facebook" TargetMode="External"/><Relationship Id="rId2504" Type="http://schemas.openxmlformats.org/officeDocument/2006/relationships/hyperlink" Target="https://en.wikipedia.org/wiki/Xbox_Series_X_and_Series_S" TargetMode="External"/><Relationship Id="rId1106" Type="http://schemas.openxmlformats.org/officeDocument/2006/relationships/hyperlink" Target="https://en.wikipedia.org/wiki/Monopoly_Streets" TargetMode="External"/><Relationship Id="rId1313" Type="http://schemas.openxmlformats.org/officeDocument/2006/relationships/hyperlink" Target="https://en.wikipedia.org/wiki/PlayStation_3" TargetMode="External"/><Relationship Id="rId1520" Type="http://schemas.openxmlformats.org/officeDocument/2006/relationships/hyperlink" Target="https://en.wikipedia.org/wiki/Behaviour_Interactive" TargetMode="External"/><Relationship Id="rId199" Type="http://schemas.openxmlformats.org/officeDocument/2006/relationships/hyperlink" Target="https://en.wikipedia.org/wiki/PopCap_Games" TargetMode="External"/><Relationship Id="rId2087" Type="http://schemas.openxmlformats.org/officeDocument/2006/relationships/hyperlink" Target="https://en.wikipedia.org/wiki/The_Sims_4:_Vampires" TargetMode="External"/><Relationship Id="rId2294" Type="http://schemas.openxmlformats.org/officeDocument/2006/relationships/hyperlink" Target="https://en.wikipedia.org/wiki/Motive_Studios" TargetMode="External"/><Relationship Id="rId266" Type="http://schemas.openxmlformats.org/officeDocument/2006/relationships/hyperlink" Target="https://en.wikipedia.org/wiki/PlayStation_3" TargetMode="External"/><Relationship Id="rId473" Type="http://schemas.openxmlformats.org/officeDocument/2006/relationships/hyperlink" Target="https://en.wikipedia.org/wiki/Macintosh" TargetMode="External"/><Relationship Id="rId680" Type="http://schemas.openxmlformats.org/officeDocument/2006/relationships/hyperlink" Target="https://en.wikipedia.org/wiki/Nintendo_Switch" TargetMode="External"/><Relationship Id="rId2154" Type="http://schemas.openxmlformats.org/officeDocument/2006/relationships/hyperlink" Target="https://en.wikipedia.org/wiki/EA_Tiburon" TargetMode="External"/><Relationship Id="rId2361" Type="http://schemas.openxmlformats.org/officeDocument/2006/relationships/hyperlink" Target="https://en.wikipedia.org/wiki/Microsoft_Windows" TargetMode="External"/><Relationship Id="rId126" Type="http://schemas.openxmlformats.org/officeDocument/2006/relationships/hyperlink" Target="https://en.wikipedia.org/wiki/Battlefield_3" TargetMode="External"/><Relationship Id="rId333" Type="http://schemas.openxmlformats.org/officeDocument/2006/relationships/hyperlink" Target="https://en.wikipedia.org/wiki/DeathSpank" TargetMode="External"/><Relationship Id="rId540" Type="http://schemas.openxmlformats.org/officeDocument/2006/relationships/hyperlink" Target="https://en.wikipedia.org/wiki/EA_Canada" TargetMode="External"/><Relationship Id="rId1170" Type="http://schemas.openxmlformats.org/officeDocument/2006/relationships/hyperlink" Target="https://en.wikipedia.org/wiki/PlayStation_4" TargetMode="External"/><Relationship Id="rId2014" Type="http://schemas.openxmlformats.org/officeDocument/2006/relationships/hyperlink" Target="https://en.wikipedia.org/wiki/Maxis_Redwood_Shores" TargetMode="External"/><Relationship Id="rId2221" Type="http://schemas.openxmlformats.org/officeDocument/2006/relationships/hyperlink" Target="https://en.wikipedia.org/wiki/Unravel_(video_game)" TargetMode="External"/><Relationship Id="rId1030" Type="http://schemas.openxmlformats.org/officeDocument/2006/relationships/hyperlink" Target="https://en.wikipedia.org/wiki/Mass_Effect_3" TargetMode="External"/><Relationship Id="rId400" Type="http://schemas.openxmlformats.org/officeDocument/2006/relationships/hyperlink" Target="https://en.wikipedia.org/wiki/Android_(operating_system)" TargetMode="External"/><Relationship Id="rId1987" Type="http://schemas.openxmlformats.org/officeDocument/2006/relationships/hyperlink" Target="https://en.wikipedia.org/wiki/Maxis_Redwood_Shores" TargetMode="External"/><Relationship Id="rId1847" Type="http://schemas.openxmlformats.org/officeDocument/2006/relationships/hyperlink" Target="https://en.wikipedia.org/wiki/The_Sims_3:_Pets" TargetMode="External"/><Relationship Id="rId1707" Type="http://schemas.openxmlformats.org/officeDocument/2006/relationships/hyperlink" Target="https://en.wikipedia.org/wiki/EA_DICE" TargetMode="External"/><Relationship Id="rId190" Type="http://schemas.openxmlformats.org/officeDocument/2006/relationships/hyperlink" Target="https://en.wikipedia.org/wiki/PopCap_Games" TargetMode="External"/><Relationship Id="rId1914" Type="http://schemas.openxmlformats.org/officeDocument/2006/relationships/hyperlink" Target="https://en.wikipedia.org/wiki/PlayStation_4" TargetMode="External"/><Relationship Id="rId867" Type="http://schemas.openxmlformats.org/officeDocument/2006/relationships/hyperlink" Target="https://en.wikipedia.org/wiki/PlayStation_Portable" TargetMode="External"/><Relationship Id="rId1497" Type="http://schemas.openxmlformats.org/officeDocument/2006/relationships/hyperlink" Target="https://en.wikipedia.org/wiki/PlayStation_4" TargetMode="External"/><Relationship Id="rId2548" Type="http://schemas.openxmlformats.org/officeDocument/2006/relationships/hyperlink" Target="https://en.wikipedia.org/wiki/The_Sims_4:_For_Rent" TargetMode="External"/><Relationship Id="rId727" Type="http://schemas.openxmlformats.org/officeDocument/2006/relationships/hyperlink" Target="https://en.wikipedia.org/wiki/FIFA_Manager_11" TargetMode="External"/><Relationship Id="rId934" Type="http://schemas.openxmlformats.org/officeDocument/2006/relationships/hyperlink" Target="https://en.wikipedia.org/wiki/EA_Tiburon" TargetMode="External"/><Relationship Id="rId1357" Type="http://schemas.openxmlformats.org/officeDocument/2006/relationships/hyperlink" Target="https://en.wikipedia.org/wiki/Xbox_360" TargetMode="External"/><Relationship Id="rId1564" Type="http://schemas.openxmlformats.org/officeDocument/2006/relationships/hyperlink" Target="https://en.wikipedia.org/wiki/Wii" TargetMode="External"/><Relationship Id="rId1771" Type="http://schemas.openxmlformats.org/officeDocument/2006/relationships/hyperlink" Target="https://en.wikipedia.org/wiki/Microsoft_Windows" TargetMode="External"/><Relationship Id="rId2408" Type="http://schemas.openxmlformats.org/officeDocument/2006/relationships/hyperlink" Target="https://en.wikipedia.org/wiki/Codemasters" TargetMode="External"/><Relationship Id="rId63" Type="http://schemas.openxmlformats.org/officeDocument/2006/relationships/hyperlink" Target="https://en.wikipedia.org/wiki/Realtime_Worlds" TargetMode="External"/><Relationship Id="rId1217" Type="http://schemas.openxmlformats.org/officeDocument/2006/relationships/hyperlink" Target="https://en.wikipedia.org/wiki/PlayStation_4" TargetMode="External"/><Relationship Id="rId1424" Type="http://schemas.openxmlformats.org/officeDocument/2006/relationships/hyperlink" Target="https://en.wikipedia.org/wiki/Facebook" TargetMode="External"/><Relationship Id="rId1631" Type="http://schemas.openxmlformats.org/officeDocument/2006/relationships/hyperlink" Target="https://en.wikipedia.org/wiki/Slightly_Mad_Studios" TargetMode="External"/><Relationship Id="rId2198" Type="http://schemas.openxmlformats.org/officeDocument/2006/relationships/hyperlink" Target="https://en.wikipedia.org/wiki/IOS" TargetMode="External"/><Relationship Id="rId377" Type="http://schemas.openxmlformats.org/officeDocument/2006/relationships/hyperlink" Target="https://en.wikipedia.org/wiki/Dragon_Age:_Inquisition" TargetMode="External"/><Relationship Id="rId584" Type="http://schemas.openxmlformats.org/officeDocument/2006/relationships/hyperlink" Target="https://en.wikipedia.org/wiki/PlayStation_3" TargetMode="External"/><Relationship Id="rId2058" Type="http://schemas.openxmlformats.org/officeDocument/2006/relationships/hyperlink" Target="https://en.wikipedia.org/wiki/PlayStation_4" TargetMode="External"/><Relationship Id="rId2265" Type="http://schemas.openxmlformats.org/officeDocument/2006/relationships/hyperlink" Target="https://en.wikipedia.org/wiki/Xbox_One" TargetMode="External"/><Relationship Id="rId237" Type="http://schemas.openxmlformats.org/officeDocument/2006/relationships/hyperlink" Target="https://en.wikipedia.org/wiki/IOS" TargetMode="External"/><Relationship Id="rId791" Type="http://schemas.openxmlformats.org/officeDocument/2006/relationships/hyperlink" Target="https://en.wikipedia.org/wiki/Harry_Potter_and_the_Deathly_Hallows_%E2%80%93_Part_1_(video_game)" TargetMode="External"/><Relationship Id="rId1074" Type="http://schemas.openxmlformats.org/officeDocument/2006/relationships/hyperlink" Target="https://en.wikipedia.org/wiki/Micro_Machines_(video_game_series)" TargetMode="External"/><Relationship Id="rId2472" Type="http://schemas.openxmlformats.org/officeDocument/2006/relationships/hyperlink" Target="https://en.wikipedia.org/wiki/The_Sims_4:_Growing_Together" TargetMode="External"/><Relationship Id="rId444" Type="http://schemas.openxmlformats.org/officeDocument/2006/relationships/hyperlink" Target="https://en.wikipedia.org/wiki/EA_Canada" TargetMode="External"/><Relationship Id="rId651" Type="http://schemas.openxmlformats.org/officeDocument/2006/relationships/hyperlink" Target="https://en.wikipedia.org/wiki/EA_Canada" TargetMode="External"/><Relationship Id="rId1281" Type="http://schemas.openxmlformats.org/officeDocument/2006/relationships/hyperlink" Target="https://en.wikipedia.org/wiki/Criterion_Games" TargetMode="External"/><Relationship Id="rId2125" Type="http://schemas.openxmlformats.org/officeDocument/2006/relationships/hyperlink" Target="https://en.wikipedia.org/wiki/Android_(operating_system)" TargetMode="External"/><Relationship Id="rId2332" Type="http://schemas.openxmlformats.org/officeDocument/2006/relationships/hyperlink" Target="https://en.wikipedia.org/wiki/BioWare" TargetMode="External"/><Relationship Id="rId304" Type="http://schemas.openxmlformats.org/officeDocument/2006/relationships/hyperlink" Target="https://en.wikipedia.org/wiki/Blackberry_World" TargetMode="External"/><Relationship Id="rId511" Type="http://schemas.openxmlformats.org/officeDocument/2006/relationships/hyperlink" Target="https://en.wikipedia.org/wiki/FIFA_12" TargetMode="External"/><Relationship Id="rId1141" Type="http://schemas.openxmlformats.org/officeDocument/2006/relationships/hyperlink" Target="https://en.wikipedia.org/wiki/EA_Canada" TargetMode="External"/><Relationship Id="rId1001" Type="http://schemas.openxmlformats.org/officeDocument/2006/relationships/hyperlink" Target="https://en.wikipedia.org/wiki/Madden_NFL_Overdrive" TargetMode="External"/><Relationship Id="rId1958" Type="http://schemas.openxmlformats.org/officeDocument/2006/relationships/hyperlink" Target="https://en.wikipedia.org/wiki/The_Sims_4:_Get_Famo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96F8-C720-43D9-81FC-3E53032AE722}">
  <dimension ref="A1:FR682"/>
  <sheetViews>
    <sheetView showGridLines="0" tabSelected="1" zoomScaleNormal="100" zoomScaleSheetLayoutView="100" workbookViewId="0">
      <pane xSplit="2" ySplit="5" topLeftCell="C6" activePane="bottomRight" state="frozen"/>
      <selection activeCell="B2" sqref="B2"/>
      <selection pane="topRight" activeCell="B2" sqref="B2"/>
      <selection pane="bottomLeft" activeCell="B2" sqref="B2"/>
      <selection pane="bottomRight" activeCell="B2" sqref="B2"/>
    </sheetView>
  </sheetViews>
  <sheetFormatPr defaultColWidth="9.7109375" defaultRowHeight="15" outlineLevelRow="1" outlineLevelCol="1" x14ac:dyDescent="0.25"/>
  <cols>
    <col min="1" max="1" width="3.7109375" customWidth="1"/>
    <col min="2" max="2" width="41.7109375" customWidth="1"/>
    <col min="3" max="18" width="0.85546875" hidden="1" customWidth="1" outlineLevel="1"/>
    <col min="19" max="38" width="9.7109375" hidden="1" customWidth="1" outlineLevel="1"/>
    <col min="39" max="39" width="9.7109375" customWidth="1" collapsed="1"/>
    <col min="40" max="46" width="9.7109375" customWidth="1"/>
    <col min="55" max="55" width="9.7109375" customWidth="1"/>
    <col min="58" max="70" width="9.7109375" customWidth="1"/>
    <col min="71" max="82" width="9.7109375" hidden="1" customWidth="1" outlineLevel="1"/>
    <col min="83" max="83" width="9.7109375" customWidth="1" collapsed="1"/>
    <col min="84" max="90" width="9.7109375" hidden="1" customWidth="1" outlineLevel="1"/>
    <col min="91" max="91" width="9.7109375" customWidth="1" collapsed="1"/>
    <col min="92" max="102" width="9.7109375" customWidth="1"/>
    <col min="104" max="104" width="11.140625" bestFit="1" customWidth="1"/>
  </cols>
  <sheetData>
    <row r="1" spans="1:103" ht="15" customHeight="1" x14ac:dyDescent="0.25">
      <c r="A1" s="1"/>
      <c r="AI1" s="2"/>
      <c r="AJ1" s="2"/>
      <c r="AK1" s="2"/>
      <c r="AL1" s="2"/>
      <c r="AM1" s="2"/>
      <c r="AN1" s="2"/>
      <c r="AO1" s="2"/>
      <c r="AP1" s="2"/>
      <c r="AQ1" s="2"/>
      <c r="AR1" s="2"/>
      <c r="AS1" s="2"/>
      <c r="AT1" s="2"/>
      <c r="AU1" s="3" t="s">
        <v>0</v>
      </c>
      <c r="AV1" s="2"/>
      <c r="AW1" s="2"/>
      <c r="AX1" s="2"/>
      <c r="AY1" s="2"/>
      <c r="AZ1" s="2"/>
      <c r="BA1" s="4" t="s">
        <v>1</v>
      </c>
      <c r="BB1" s="2"/>
      <c r="BC1" s="2"/>
      <c r="BD1" s="5" t="s">
        <v>2</v>
      </c>
      <c r="BE1" s="2"/>
      <c r="BF1" s="5" t="s">
        <v>3</v>
      </c>
      <c r="BG1" s="2"/>
      <c r="BH1" s="2"/>
      <c r="BI1" s="2"/>
      <c r="BJ1" s="2"/>
      <c r="BK1" s="2"/>
      <c r="BL1" s="2"/>
      <c r="BM1" s="2"/>
      <c r="BN1" s="2"/>
      <c r="BO1" s="2"/>
      <c r="BP1" s="2"/>
      <c r="BQ1" s="2"/>
      <c r="BR1" s="2"/>
      <c r="BS1" s="2"/>
      <c r="BT1" s="2"/>
      <c r="BU1" s="2"/>
      <c r="BV1" s="2"/>
      <c r="BW1" s="2"/>
      <c r="BX1" s="2"/>
      <c r="BY1" s="2"/>
      <c r="BZ1" s="2"/>
      <c r="CA1" s="2"/>
      <c r="CB1" s="2"/>
      <c r="CC1" s="2"/>
      <c r="CD1" s="2"/>
      <c r="CF1" s="2"/>
      <c r="CG1" s="2"/>
      <c r="CH1" s="2"/>
      <c r="CI1" s="2"/>
      <c r="CJ1" s="2"/>
      <c r="CK1" s="2"/>
      <c r="CL1" s="2"/>
      <c r="CM1" s="2"/>
      <c r="CN1" s="5" t="s">
        <v>4</v>
      </c>
      <c r="CO1" s="2"/>
      <c r="CP1" s="2"/>
      <c r="CQ1" s="3" t="s">
        <v>5</v>
      </c>
      <c r="CR1" s="2"/>
      <c r="CS1" s="2"/>
      <c r="CT1" s="2"/>
      <c r="CU1" s="2"/>
      <c r="CV1" s="6" t="s">
        <v>6</v>
      </c>
      <c r="CW1" s="2"/>
      <c r="CX1" s="2"/>
    </row>
    <row r="2" spans="1:103" ht="15" customHeight="1" x14ac:dyDescent="0.25">
      <c r="A2" s="1"/>
      <c r="AL2" s="5" t="s">
        <v>4</v>
      </c>
      <c r="AS2" s="4" t="s">
        <v>7</v>
      </c>
      <c r="AW2" s="5" t="s">
        <v>8</v>
      </c>
      <c r="BA2" s="5"/>
      <c r="BF2" s="7" t="s">
        <v>9</v>
      </c>
      <c r="CF2" s="8" t="s">
        <v>10</v>
      </c>
      <c r="CG2" s="8"/>
      <c r="CH2" s="8"/>
      <c r="CI2" s="8"/>
      <c r="CJ2" s="8"/>
      <c r="CK2" s="8"/>
      <c r="CL2" s="8"/>
      <c r="CM2" s="8" t="s">
        <v>11</v>
      </c>
      <c r="CN2" s="8"/>
      <c r="CO2" s="8"/>
      <c r="CP2" s="8"/>
      <c r="CQ2" s="8"/>
      <c r="CR2" s="8"/>
      <c r="CS2" s="8"/>
      <c r="CT2" s="8"/>
      <c r="CU2" s="8"/>
      <c r="CV2" s="8"/>
      <c r="CW2" s="8"/>
      <c r="CX2" s="8"/>
    </row>
    <row r="3" spans="1:103" s="10" customFormat="1" ht="15" customHeight="1" x14ac:dyDescent="0.25">
      <c r="A3" s="9"/>
      <c r="S3" s="11">
        <f>+YEAR(S5)+1</f>
        <v>2015</v>
      </c>
      <c r="T3" s="11"/>
      <c r="U3" s="11"/>
      <c r="V3" s="11"/>
      <c r="W3" s="11">
        <f>+YEAR(W5)+1</f>
        <v>2016</v>
      </c>
      <c r="X3" s="11"/>
      <c r="Y3" s="11"/>
      <c r="Z3" s="11"/>
      <c r="AA3" s="11">
        <f>+YEAR(AA5)+1</f>
        <v>2017</v>
      </c>
      <c r="AB3" s="11"/>
      <c r="AC3" s="11"/>
      <c r="AD3" s="11"/>
      <c r="AE3" s="11">
        <f>+YEAR(AE5)+1</f>
        <v>2018</v>
      </c>
      <c r="AF3" s="11"/>
      <c r="AG3" s="11"/>
      <c r="AH3" s="11"/>
      <c r="AI3" s="11">
        <f>+YEAR(AI5)+1</f>
        <v>2019</v>
      </c>
      <c r="AJ3" s="11"/>
      <c r="AK3" s="11"/>
      <c r="AL3" s="11"/>
      <c r="AM3" s="11">
        <f>+YEAR(AM5)+1</f>
        <v>2020</v>
      </c>
      <c r="AN3" s="11"/>
      <c r="AO3" s="11"/>
      <c r="AP3" s="11"/>
      <c r="AQ3" s="11">
        <f>+YEAR(AQ5)+1</f>
        <v>2021</v>
      </c>
      <c r="AR3" s="11"/>
      <c r="AS3" s="11"/>
      <c r="AT3" s="11"/>
      <c r="AU3" s="11">
        <f>+YEAR(AU5)+1</f>
        <v>2022</v>
      </c>
      <c r="AV3" s="11"/>
      <c r="AW3" s="11"/>
      <c r="AX3" s="11"/>
      <c r="AY3" s="11">
        <f>+YEAR(AY5)+1</f>
        <v>2023</v>
      </c>
      <c r="AZ3" s="11"/>
      <c r="BA3" s="11"/>
      <c r="BB3" s="11"/>
      <c r="BC3" s="11">
        <f>+YEAR(BC5)+1</f>
        <v>2024</v>
      </c>
      <c r="BD3" s="11"/>
      <c r="BE3" s="11"/>
      <c r="BF3" s="11"/>
      <c r="BG3" s="11">
        <f>+YEAR(BG5)+1</f>
        <v>2025</v>
      </c>
      <c r="BH3" s="11"/>
      <c r="BI3" s="11"/>
      <c r="BJ3" s="11"/>
      <c r="BK3" s="11">
        <f>+YEAR(BK5)+1</f>
        <v>2026</v>
      </c>
      <c r="BL3" s="11"/>
      <c r="BM3" s="11"/>
      <c r="BN3" s="11"/>
      <c r="BO3" s="11">
        <f>+YEAR(BO5)+1</f>
        <v>2027</v>
      </c>
      <c r="BP3" s="11"/>
      <c r="BQ3" s="11"/>
      <c r="BR3" s="11"/>
      <c r="BS3" s="11">
        <f>+YEAR(BS5)+1</f>
        <v>2028</v>
      </c>
      <c r="BT3" s="11"/>
      <c r="BU3" s="11"/>
      <c r="BV3" s="11"/>
      <c r="BW3" s="11">
        <f>+YEAR(BW5)+1</f>
        <v>2029</v>
      </c>
      <c r="BX3" s="11"/>
      <c r="BY3" s="11"/>
      <c r="BZ3" s="11"/>
      <c r="CA3" s="11">
        <f>+YEAR(CA5)+1</f>
        <v>2030</v>
      </c>
      <c r="CB3" s="11"/>
      <c r="CC3" s="11"/>
      <c r="CD3" s="11"/>
      <c r="CE3"/>
      <c r="CF3" s="9">
        <v>2011</v>
      </c>
      <c r="CG3" s="9">
        <f>+CF3+1</f>
        <v>2012</v>
      </c>
      <c r="CH3" s="9">
        <f t="shared" ref="CH3:CX3" si="0">+CG3+1</f>
        <v>2013</v>
      </c>
      <c r="CI3" s="9">
        <f t="shared" si="0"/>
        <v>2014</v>
      </c>
      <c r="CJ3" s="9">
        <f t="shared" si="0"/>
        <v>2015</v>
      </c>
      <c r="CK3" s="9">
        <f t="shared" si="0"/>
        <v>2016</v>
      </c>
      <c r="CL3" s="9">
        <f t="shared" si="0"/>
        <v>2017</v>
      </c>
      <c r="CM3" s="9">
        <f t="shared" si="0"/>
        <v>2018</v>
      </c>
      <c r="CN3" s="9">
        <f t="shared" si="0"/>
        <v>2019</v>
      </c>
      <c r="CO3" s="9">
        <f t="shared" si="0"/>
        <v>2020</v>
      </c>
      <c r="CP3" s="9">
        <f t="shared" si="0"/>
        <v>2021</v>
      </c>
      <c r="CQ3" s="9">
        <f t="shared" si="0"/>
        <v>2022</v>
      </c>
      <c r="CR3" s="9">
        <f t="shared" si="0"/>
        <v>2023</v>
      </c>
      <c r="CS3" s="9">
        <f t="shared" si="0"/>
        <v>2024</v>
      </c>
      <c r="CT3" s="9">
        <f t="shared" si="0"/>
        <v>2025</v>
      </c>
      <c r="CU3" s="9">
        <f t="shared" si="0"/>
        <v>2026</v>
      </c>
      <c r="CV3" s="9">
        <f t="shared" si="0"/>
        <v>2027</v>
      </c>
      <c r="CW3" s="9">
        <f t="shared" si="0"/>
        <v>2028</v>
      </c>
      <c r="CX3" s="9">
        <f t="shared" si="0"/>
        <v>2029</v>
      </c>
      <c r="CY3"/>
    </row>
    <row r="4" spans="1:103" ht="15" customHeight="1" x14ac:dyDescent="0.25">
      <c r="A4" s="1"/>
      <c r="B4" s="10" t="s">
        <v>956</v>
      </c>
      <c r="C4" s="10"/>
      <c r="D4" s="10"/>
      <c r="E4" s="10"/>
      <c r="F4" s="10"/>
      <c r="G4" s="10"/>
      <c r="H4" s="10"/>
      <c r="I4" s="10"/>
      <c r="J4" s="10"/>
      <c r="K4" s="10"/>
      <c r="L4" s="10"/>
      <c r="M4" s="10"/>
      <c r="N4" s="10"/>
      <c r="O4" s="10"/>
      <c r="P4" s="10"/>
      <c r="Q4" s="10"/>
      <c r="R4" s="10"/>
      <c r="S4" s="12" t="s">
        <v>12</v>
      </c>
      <c r="T4" s="12" t="s">
        <v>13</v>
      </c>
      <c r="U4" s="12" t="s">
        <v>14</v>
      </c>
      <c r="V4" s="12" t="s">
        <v>15</v>
      </c>
      <c r="W4" s="12" t="s">
        <v>12</v>
      </c>
      <c r="X4" s="12" t="s">
        <v>13</v>
      </c>
      <c r="Y4" s="12" t="s">
        <v>14</v>
      </c>
      <c r="Z4" s="12" t="s">
        <v>15</v>
      </c>
      <c r="AA4" s="12" t="s">
        <v>12</v>
      </c>
      <c r="AB4" s="12" t="s">
        <v>13</v>
      </c>
      <c r="AC4" s="12" t="s">
        <v>14</v>
      </c>
      <c r="AD4" s="12" t="s">
        <v>15</v>
      </c>
      <c r="AE4" s="12" t="s">
        <v>12</v>
      </c>
      <c r="AF4" s="12" t="s">
        <v>13</v>
      </c>
      <c r="AG4" s="12" t="s">
        <v>14</v>
      </c>
      <c r="AH4" s="12" t="s">
        <v>15</v>
      </c>
      <c r="AI4" s="12" t="s">
        <v>12</v>
      </c>
      <c r="AJ4" s="12" t="s">
        <v>13</v>
      </c>
      <c r="AK4" s="12" t="s">
        <v>14</v>
      </c>
      <c r="AL4" s="12" t="s">
        <v>15</v>
      </c>
      <c r="AM4" s="12" t="str">
        <f>+AI4</f>
        <v>Q1</v>
      </c>
      <c r="AN4" s="12" t="str">
        <f t="shared" ref="AN4:BV4" si="1">+AJ4</f>
        <v>Q2</v>
      </c>
      <c r="AO4" s="12" t="str">
        <f t="shared" si="1"/>
        <v>Q3</v>
      </c>
      <c r="AP4" s="12" t="str">
        <f t="shared" si="1"/>
        <v>Q4</v>
      </c>
      <c r="AQ4" s="12" t="str">
        <f t="shared" si="1"/>
        <v>Q1</v>
      </c>
      <c r="AR4" s="12" t="str">
        <f t="shared" si="1"/>
        <v>Q2</v>
      </c>
      <c r="AS4" s="12" t="str">
        <f t="shared" si="1"/>
        <v>Q3</v>
      </c>
      <c r="AT4" s="12" t="str">
        <f t="shared" si="1"/>
        <v>Q4</v>
      </c>
      <c r="AU4" s="12" t="str">
        <f t="shared" si="1"/>
        <v>Q1</v>
      </c>
      <c r="AV4" s="12" t="str">
        <f t="shared" si="1"/>
        <v>Q2</v>
      </c>
      <c r="AW4" s="12" t="str">
        <f t="shared" si="1"/>
        <v>Q3</v>
      </c>
      <c r="AX4" s="12" t="str">
        <f t="shared" si="1"/>
        <v>Q4</v>
      </c>
      <c r="AY4" s="12" t="str">
        <f t="shared" si="1"/>
        <v>Q1</v>
      </c>
      <c r="AZ4" s="12" t="str">
        <f t="shared" si="1"/>
        <v>Q2</v>
      </c>
      <c r="BA4" s="12" t="str">
        <f t="shared" si="1"/>
        <v>Q3</v>
      </c>
      <c r="BB4" s="12" t="str">
        <f t="shared" si="1"/>
        <v>Q4</v>
      </c>
      <c r="BC4" s="12" t="str">
        <f t="shared" si="1"/>
        <v>Q1</v>
      </c>
      <c r="BD4" s="12" t="str">
        <f t="shared" si="1"/>
        <v>Q2</v>
      </c>
      <c r="BE4" s="12" t="str">
        <f t="shared" si="1"/>
        <v>Q3</v>
      </c>
      <c r="BF4" s="12" t="str">
        <f t="shared" si="1"/>
        <v>Q4</v>
      </c>
      <c r="BG4" s="12" t="str">
        <f t="shared" si="1"/>
        <v>Q1</v>
      </c>
      <c r="BH4" s="12" t="str">
        <f t="shared" si="1"/>
        <v>Q2</v>
      </c>
      <c r="BI4" s="12" t="str">
        <f t="shared" si="1"/>
        <v>Q3</v>
      </c>
      <c r="BJ4" s="12" t="str">
        <f t="shared" si="1"/>
        <v>Q4</v>
      </c>
      <c r="BK4" s="12" t="str">
        <f t="shared" si="1"/>
        <v>Q1</v>
      </c>
      <c r="BL4" s="12" t="str">
        <f t="shared" si="1"/>
        <v>Q2</v>
      </c>
      <c r="BM4" s="12" t="str">
        <f t="shared" si="1"/>
        <v>Q3</v>
      </c>
      <c r="BN4" s="12" t="str">
        <f t="shared" si="1"/>
        <v>Q4</v>
      </c>
      <c r="BO4" s="12" t="str">
        <f t="shared" si="1"/>
        <v>Q1</v>
      </c>
      <c r="BP4" s="12" t="str">
        <f t="shared" si="1"/>
        <v>Q2</v>
      </c>
      <c r="BQ4" s="12" t="str">
        <f t="shared" si="1"/>
        <v>Q3</v>
      </c>
      <c r="BR4" s="12" t="str">
        <f t="shared" si="1"/>
        <v>Q4</v>
      </c>
      <c r="BS4" s="12" t="str">
        <f t="shared" si="1"/>
        <v>Q1</v>
      </c>
      <c r="BT4" s="12" t="str">
        <f t="shared" si="1"/>
        <v>Q2</v>
      </c>
      <c r="BU4" s="12" t="str">
        <f t="shared" si="1"/>
        <v>Q3</v>
      </c>
      <c r="BV4" s="12" t="str">
        <f t="shared" si="1"/>
        <v>Q4</v>
      </c>
      <c r="BW4" s="12" t="str">
        <f t="shared" ref="BW4:CD4" si="2">+BO4</f>
        <v>Q1</v>
      </c>
      <c r="BX4" s="12" t="str">
        <f t="shared" si="2"/>
        <v>Q2</v>
      </c>
      <c r="BY4" s="12" t="str">
        <f t="shared" si="2"/>
        <v>Q3</v>
      </c>
      <c r="BZ4" s="12" t="str">
        <f t="shared" si="2"/>
        <v>Q4</v>
      </c>
      <c r="CA4" s="12" t="str">
        <f t="shared" si="2"/>
        <v>Q1</v>
      </c>
      <c r="CB4" s="12" t="str">
        <f t="shared" si="2"/>
        <v>Q2</v>
      </c>
      <c r="CC4" s="12" t="str">
        <f t="shared" si="2"/>
        <v>Q3</v>
      </c>
      <c r="CD4" s="12" t="str">
        <f t="shared" si="2"/>
        <v>Q4</v>
      </c>
      <c r="CF4" s="13" t="s">
        <v>16</v>
      </c>
      <c r="CG4" s="13" t="s">
        <v>16</v>
      </c>
      <c r="CH4" s="13" t="s">
        <v>16</v>
      </c>
      <c r="CI4" s="13" t="s">
        <v>16</v>
      </c>
      <c r="CJ4" s="13" t="s">
        <v>16</v>
      </c>
      <c r="CK4" s="13" t="s">
        <v>16</v>
      </c>
      <c r="CL4" s="13" t="s">
        <v>16</v>
      </c>
      <c r="CM4" s="13" t="s">
        <v>16</v>
      </c>
      <c r="CN4" s="13" t="s">
        <v>16</v>
      </c>
      <c r="CO4" s="13" t="s">
        <v>16</v>
      </c>
      <c r="CP4" s="13" t="s">
        <v>16</v>
      </c>
      <c r="CQ4" s="13" t="s">
        <v>16</v>
      </c>
      <c r="CR4" s="13" t="s">
        <v>16</v>
      </c>
      <c r="CS4" s="13" t="s">
        <v>16</v>
      </c>
      <c r="CT4" s="13" t="s">
        <v>16</v>
      </c>
      <c r="CU4" s="13" t="s">
        <v>16</v>
      </c>
      <c r="CV4" s="13" t="s">
        <v>16</v>
      </c>
      <c r="CW4" s="13" t="s">
        <v>16</v>
      </c>
      <c r="CX4" s="13" t="s">
        <v>16</v>
      </c>
    </row>
    <row r="5" spans="1:103" ht="15" customHeight="1" x14ac:dyDescent="0.25">
      <c r="A5" s="1"/>
      <c r="B5" s="5" t="s">
        <v>17</v>
      </c>
      <c r="C5" s="5"/>
      <c r="D5" s="5"/>
      <c r="E5" s="5"/>
      <c r="F5" s="5"/>
      <c r="G5" s="5"/>
      <c r="H5" s="5"/>
      <c r="I5" s="5"/>
      <c r="J5" s="5"/>
      <c r="K5" s="5"/>
      <c r="L5" s="5"/>
      <c r="M5" s="5"/>
      <c r="N5" s="5"/>
      <c r="O5" s="5"/>
      <c r="P5" s="5"/>
      <c r="Q5" s="5"/>
      <c r="R5" s="5"/>
      <c r="S5" s="14">
        <v>41820</v>
      </c>
      <c r="T5" s="14">
        <f t="shared" ref="T5:CD5" si="3">+EOMONTH(S5,3)</f>
        <v>41912</v>
      </c>
      <c r="U5" s="14">
        <f t="shared" si="3"/>
        <v>42004</v>
      </c>
      <c r="V5" s="14">
        <f t="shared" si="3"/>
        <v>42094</v>
      </c>
      <c r="W5" s="14">
        <f t="shared" si="3"/>
        <v>42185</v>
      </c>
      <c r="X5" s="14">
        <f t="shared" si="3"/>
        <v>42277</v>
      </c>
      <c r="Y5" s="14">
        <f t="shared" si="3"/>
        <v>42369</v>
      </c>
      <c r="Z5" s="14">
        <f t="shared" si="3"/>
        <v>42460</v>
      </c>
      <c r="AA5" s="14">
        <f t="shared" si="3"/>
        <v>42551</v>
      </c>
      <c r="AB5" s="14">
        <f t="shared" si="3"/>
        <v>42643</v>
      </c>
      <c r="AC5" s="14">
        <f t="shared" si="3"/>
        <v>42735</v>
      </c>
      <c r="AD5" s="14">
        <f t="shared" si="3"/>
        <v>42825</v>
      </c>
      <c r="AE5" s="14">
        <f t="shared" si="3"/>
        <v>42916</v>
      </c>
      <c r="AF5" s="14">
        <f t="shared" si="3"/>
        <v>43008</v>
      </c>
      <c r="AG5" s="14">
        <f t="shared" si="3"/>
        <v>43100</v>
      </c>
      <c r="AH5" s="14">
        <f t="shared" si="3"/>
        <v>43190</v>
      </c>
      <c r="AI5" s="14">
        <f t="shared" si="3"/>
        <v>43281</v>
      </c>
      <c r="AJ5" s="14">
        <f t="shared" si="3"/>
        <v>43373</v>
      </c>
      <c r="AK5" s="14">
        <f t="shared" si="3"/>
        <v>43465</v>
      </c>
      <c r="AL5" s="14">
        <f t="shared" si="3"/>
        <v>43555</v>
      </c>
      <c r="AM5" s="14">
        <f t="shared" si="3"/>
        <v>43646</v>
      </c>
      <c r="AN5" s="14">
        <f t="shared" si="3"/>
        <v>43738</v>
      </c>
      <c r="AO5" s="14">
        <f t="shared" si="3"/>
        <v>43830</v>
      </c>
      <c r="AP5" s="14">
        <f t="shared" si="3"/>
        <v>43921</v>
      </c>
      <c r="AQ5" s="14">
        <f t="shared" si="3"/>
        <v>44012</v>
      </c>
      <c r="AR5" s="14">
        <f t="shared" si="3"/>
        <v>44104</v>
      </c>
      <c r="AS5" s="14">
        <f t="shared" si="3"/>
        <v>44196</v>
      </c>
      <c r="AT5" s="14">
        <f t="shared" si="3"/>
        <v>44286</v>
      </c>
      <c r="AU5" s="14">
        <f t="shared" si="3"/>
        <v>44377</v>
      </c>
      <c r="AV5" s="14">
        <f t="shared" si="3"/>
        <v>44469</v>
      </c>
      <c r="AW5" s="14">
        <f t="shared" si="3"/>
        <v>44561</v>
      </c>
      <c r="AX5" s="14">
        <f t="shared" si="3"/>
        <v>44651</v>
      </c>
      <c r="AY5" s="14">
        <f t="shared" si="3"/>
        <v>44742</v>
      </c>
      <c r="AZ5" s="14">
        <f t="shared" si="3"/>
        <v>44834</v>
      </c>
      <c r="BA5" s="14">
        <f t="shared" si="3"/>
        <v>44926</v>
      </c>
      <c r="BB5" s="14">
        <f t="shared" si="3"/>
        <v>45016</v>
      </c>
      <c r="BC5" s="14">
        <f t="shared" si="3"/>
        <v>45107</v>
      </c>
      <c r="BD5" s="14">
        <f t="shared" si="3"/>
        <v>45199</v>
      </c>
      <c r="BE5" s="14">
        <f t="shared" si="3"/>
        <v>45291</v>
      </c>
      <c r="BF5" s="14">
        <f t="shared" si="3"/>
        <v>45382</v>
      </c>
      <c r="BG5" s="14">
        <f t="shared" si="3"/>
        <v>45473</v>
      </c>
      <c r="BH5" s="14">
        <f t="shared" si="3"/>
        <v>45565</v>
      </c>
      <c r="BI5" s="14">
        <f t="shared" si="3"/>
        <v>45657</v>
      </c>
      <c r="BJ5" s="14">
        <f t="shared" si="3"/>
        <v>45747</v>
      </c>
      <c r="BK5" s="14">
        <f t="shared" si="3"/>
        <v>45838</v>
      </c>
      <c r="BL5" s="14">
        <f t="shared" si="3"/>
        <v>45930</v>
      </c>
      <c r="BM5" s="14">
        <f t="shared" si="3"/>
        <v>46022</v>
      </c>
      <c r="BN5" s="14">
        <f t="shared" si="3"/>
        <v>46112</v>
      </c>
      <c r="BO5" s="14">
        <f t="shared" si="3"/>
        <v>46203</v>
      </c>
      <c r="BP5" s="14">
        <f t="shared" si="3"/>
        <v>46295</v>
      </c>
      <c r="BQ5" s="14">
        <f t="shared" si="3"/>
        <v>46387</v>
      </c>
      <c r="BR5" s="14">
        <f t="shared" si="3"/>
        <v>46477</v>
      </c>
      <c r="BS5" s="14">
        <f t="shared" si="3"/>
        <v>46568</v>
      </c>
      <c r="BT5" s="14">
        <f t="shared" si="3"/>
        <v>46660</v>
      </c>
      <c r="BU5" s="14">
        <f t="shared" si="3"/>
        <v>46752</v>
      </c>
      <c r="BV5" s="14">
        <f t="shared" si="3"/>
        <v>46843</v>
      </c>
      <c r="BW5" s="14">
        <f t="shared" si="3"/>
        <v>46934</v>
      </c>
      <c r="BX5" s="14">
        <f t="shared" si="3"/>
        <v>47026</v>
      </c>
      <c r="BY5" s="14">
        <f t="shared" si="3"/>
        <v>47118</v>
      </c>
      <c r="BZ5" s="14">
        <f t="shared" si="3"/>
        <v>47208</v>
      </c>
      <c r="CA5" s="14">
        <f t="shared" si="3"/>
        <v>47299</v>
      </c>
      <c r="CB5" s="14">
        <f t="shared" si="3"/>
        <v>47391</v>
      </c>
      <c r="CC5" s="14">
        <f t="shared" si="3"/>
        <v>47483</v>
      </c>
      <c r="CD5" s="14">
        <f t="shared" si="3"/>
        <v>47573</v>
      </c>
      <c r="CF5" s="15">
        <f t="shared" ref="CF5:CX5" si="4">+DATE(CF3,3,31)</f>
        <v>40633</v>
      </c>
      <c r="CG5" s="15">
        <f t="shared" si="4"/>
        <v>40999</v>
      </c>
      <c r="CH5" s="15">
        <f t="shared" si="4"/>
        <v>41364</v>
      </c>
      <c r="CI5" s="15">
        <f t="shared" si="4"/>
        <v>41729</v>
      </c>
      <c r="CJ5" s="15">
        <f t="shared" si="4"/>
        <v>42094</v>
      </c>
      <c r="CK5" s="15">
        <f t="shared" si="4"/>
        <v>42460</v>
      </c>
      <c r="CL5" s="15">
        <f t="shared" si="4"/>
        <v>42825</v>
      </c>
      <c r="CM5" s="15">
        <f t="shared" si="4"/>
        <v>43190</v>
      </c>
      <c r="CN5" s="15">
        <f t="shared" si="4"/>
        <v>43555</v>
      </c>
      <c r="CO5" s="15">
        <f t="shared" si="4"/>
        <v>43921</v>
      </c>
      <c r="CP5" s="15">
        <f t="shared" si="4"/>
        <v>44286</v>
      </c>
      <c r="CQ5" s="15">
        <f t="shared" si="4"/>
        <v>44651</v>
      </c>
      <c r="CR5" s="15">
        <f t="shared" si="4"/>
        <v>45016</v>
      </c>
      <c r="CS5" s="15">
        <f t="shared" si="4"/>
        <v>45382</v>
      </c>
      <c r="CT5" s="15">
        <f t="shared" si="4"/>
        <v>45747</v>
      </c>
      <c r="CU5" s="15">
        <f t="shared" si="4"/>
        <v>46112</v>
      </c>
      <c r="CV5" s="15">
        <f t="shared" si="4"/>
        <v>46477</v>
      </c>
      <c r="CW5" s="15">
        <f t="shared" si="4"/>
        <v>46843</v>
      </c>
      <c r="CX5" s="15">
        <f t="shared" si="4"/>
        <v>47208</v>
      </c>
    </row>
    <row r="6" spans="1:103" ht="15" customHeight="1" x14ac:dyDescent="0.25">
      <c r="A6" s="1" t="s">
        <v>18</v>
      </c>
      <c r="B6" s="16" t="s">
        <v>19</v>
      </c>
      <c r="C6" s="17"/>
      <c r="D6" s="17"/>
      <c r="E6" s="17"/>
      <c r="F6" s="17"/>
      <c r="G6" s="17"/>
      <c r="H6" s="17"/>
      <c r="I6" s="17"/>
      <c r="J6" s="17"/>
      <c r="K6" s="17"/>
      <c r="L6" s="17"/>
      <c r="M6" s="17"/>
      <c r="N6" s="17"/>
      <c r="O6" s="17"/>
      <c r="P6" s="17"/>
      <c r="Q6" s="17"/>
      <c r="R6" s="17"/>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F6" s="19" t="str">
        <f>+B6</f>
        <v>Revenue Build</v>
      </c>
      <c r="CG6" s="20"/>
      <c r="CH6" s="20"/>
      <c r="CI6" s="20"/>
      <c r="CJ6" s="20"/>
      <c r="CK6" s="20"/>
      <c r="CL6" s="20"/>
      <c r="CM6" s="21" t="str">
        <f>+B6</f>
        <v>Revenue Build</v>
      </c>
      <c r="CN6" s="20"/>
      <c r="CO6" s="20"/>
      <c r="CP6" s="20"/>
      <c r="CQ6" s="20"/>
      <c r="CR6" s="20"/>
      <c r="CS6" s="20"/>
      <c r="CT6" s="20"/>
      <c r="CU6" s="20"/>
      <c r="CV6" s="20"/>
      <c r="CW6" s="20"/>
      <c r="CX6" s="20"/>
    </row>
    <row r="7" spans="1:103" x14ac:dyDescent="0.25">
      <c r="B7" s="22" t="s">
        <v>20</v>
      </c>
      <c r="C7" s="22"/>
      <c r="D7" s="22"/>
      <c r="E7" s="22"/>
      <c r="F7" s="22"/>
      <c r="G7" s="22"/>
      <c r="H7" s="22"/>
      <c r="I7" s="22"/>
      <c r="J7" s="22"/>
      <c r="K7" s="22"/>
      <c r="L7" s="22"/>
      <c r="M7" s="22"/>
      <c r="N7" s="22"/>
      <c r="O7" s="22"/>
      <c r="P7" s="22"/>
      <c r="Q7" s="22"/>
      <c r="R7" s="22"/>
    </row>
    <row r="8" spans="1:103" x14ac:dyDescent="0.25">
      <c r="A8" s="1"/>
      <c r="B8" s="23" t="s">
        <v>21</v>
      </c>
      <c r="C8" s="23"/>
      <c r="D8" s="23"/>
      <c r="E8" s="23"/>
      <c r="F8" s="23"/>
      <c r="G8" s="23"/>
      <c r="H8" s="23"/>
      <c r="I8" s="23"/>
      <c r="J8" s="23"/>
      <c r="K8" s="23"/>
      <c r="L8" s="23"/>
      <c r="M8" s="23"/>
      <c r="N8" s="23"/>
      <c r="O8" s="23"/>
      <c r="P8" s="23"/>
      <c r="Q8" s="23"/>
      <c r="R8" s="23"/>
      <c r="S8" s="24"/>
      <c r="T8" s="24"/>
      <c r="U8" s="24"/>
      <c r="V8" s="24"/>
      <c r="W8" s="25">
        <f>+SUM($V642:W642)/10^3</f>
        <v>25.099999999999994</v>
      </c>
      <c r="X8" s="25">
        <f>+SUM($V642:X642)/10^3</f>
        <v>29.099999999999994</v>
      </c>
      <c r="Y8" s="25">
        <f>+SUM($V642:Y642)/10^3</f>
        <v>37.499999999999993</v>
      </c>
      <c r="Z8" s="25">
        <f>+SUM($V642:Z642)/10^3</f>
        <v>39.79999999999999</v>
      </c>
      <c r="AA8" s="25">
        <f>+SUM($V642:AA642)/10^3</f>
        <v>43.29999999999999</v>
      </c>
      <c r="AB8" s="25">
        <f>+SUM($V642:AB642)/10^3</f>
        <v>47.199999999999996</v>
      </c>
      <c r="AC8" s="25">
        <f>+SUM($V642:AC642)/10^3</f>
        <v>56.899999999999991</v>
      </c>
      <c r="AD8" s="25">
        <f>+SUM($V642:AD642)/10^3</f>
        <v>59.79999999999999</v>
      </c>
      <c r="AE8" s="25">
        <f>+SUM($V642:AE642)/10^3</f>
        <v>63.099999999999994</v>
      </c>
      <c r="AF8" s="25">
        <f>+SUM($V642:AF642)/10^3</f>
        <v>67.3</v>
      </c>
      <c r="AG8" s="25">
        <f>+SUM($V642:AG642)/10^3</f>
        <v>76.3</v>
      </c>
      <c r="AH8" s="25">
        <f>+SUM($V642:AH642)/10^3</f>
        <v>78.8</v>
      </c>
      <c r="AI8" s="25">
        <f>+SUM($V642:AI642)/10^3</f>
        <v>82</v>
      </c>
      <c r="AJ8" s="25">
        <f>+SUM($V642:AJ642)/10^3</f>
        <v>85.9</v>
      </c>
      <c r="AK8" s="25">
        <f>+SUM($V642:AK642)/10^3</f>
        <v>94</v>
      </c>
      <c r="AL8" s="25">
        <f>+SUM($V642:AL642)/10^3</f>
        <v>96.6</v>
      </c>
      <c r="AM8" s="25">
        <f>+SUM($V642:AM642)/10^3</f>
        <v>99.8</v>
      </c>
      <c r="AN8" s="25">
        <f>+SUM($V642:AN642)/10^3</f>
        <v>102.6</v>
      </c>
      <c r="AO8" s="25">
        <f>+SUM($V642:AO642)/10^3</f>
        <v>108.7</v>
      </c>
      <c r="AP8" s="25">
        <f>+SUM($V642:AP642)/10^3</f>
        <v>110.1</v>
      </c>
      <c r="AQ8" s="25">
        <f>+SUM($V642:AQ642)/10^3</f>
        <v>112</v>
      </c>
      <c r="AR8" s="25">
        <f>+SUM($V642:AR642)/10^3</f>
        <v>113.5</v>
      </c>
      <c r="AS8" s="25">
        <f>+SUM($V642:AS642)/10^3</f>
        <v>114.9</v>
      </c>
      <c r="AT8" s="25">
        <f>+SUM($V642:AT642)/10^3</f>
        <v>115.9</v>
      </c>
      <c r="AU8" s="25">
        <f>+SUM($V642:AU642)/10^3</f>
        <v>116.4</v>
      </c>
      <c r="AV8" s="25">
        <f>+SUM($V642:AV642)/10^3</f>
        <v>116.6</v>
      </c>
      <c r="AW8" s="25">
        <f>+SUM($V642:AW642)/10^3</f>
        <v>116.8</v>
      </c>
      <c r="AX8" s="25">
        <f>+SUM($V642:AX642)/10^3</f>
        <v>116.9</v>
      </c>
      <c r="AY8" s="25">
        <f>+SUM($V642:AY642)/10^3</f>
        <v>117.07620166666666</v>
      </c>
      <c r="AZ8" s="25">
        <f>+SUM($V642:AZ642)/10^3</f>
        <v>117.21824799999999</v>
      </c>
      <c r="BA8" s="25">
        <f>+SUM($V642:BA642)/10^3</f>
        <v>117.45158133333332</v>
      </c>
      <c r="BB8" s="25">
        <f>+SUM($V642:BB642)/10^3</f>
        <v>117.55158133333332</v>
      </c>
      <c r="BC8" s="25">
        <f>+SUM($V642:BC642)/10^3</f>
        <v>117.65158133333333</v>
      </c>
      <c r="BD8" s="25">
        <f>+SUM($V642:BD642)/10^3</f>
        <v>117.75158133333332</v>
      </c>
      <c r="BE8" s="25">
        <f>+SUM($V642:BE642)/10^3</f>
        <v>117.75158133333332</v>
      </c>
      <c r="BF8" s="25" t="e">
        <f ca="1">+SUM($V642:BF642)/10^3</f>
        <v>#NAME?</v>
      </c>
      <c r="BG8" s="25" t="e">
        <f ca="1">+SUM($V642:BG642)/10^3</f>
        <v>#NAME?</v>
      </c>
      <c r="BH8" s="25" t="e">
        <f ca="1">+SUM($V642:BH642)/10^3</f>
        <v>#NAME?</v>
      </c>
      <c r="BI8" s="25" t="e">
        <f ca="1">+SUM($V642:BI642)/10^3</f>
        <v>#NAME?</v>
      </c>
      <c r="BJ8" s="25" t="e">
        <f ca="1">+SUM($V642:BJ642)/10^3</f>
        <v>#NAME?</v>
      </c>
      <c r="BK8" s="25" t="e">
        <f ca="1">+SUM($V642:BK642)/10^3</f>
        <v>#NAME?</v>
      </c>
      <c r="BL8" s="25" t="e">
        <f ca="1">+SUM($V642:BL642)/10^3</f>
        <v>#NAME?</v>
      </c>
      <c r="BM8" s="25" t="e">
        <f ca="1">+SUM($V642:BM642)/10^3</f>
        <v>#NAME?</v>
      </c>
      <c r="BN8" s="25" t="e">
        <f ca="1">+SUM($V642:BN642)/10^3</f>
        <v>#NAME?</v>
      </c>
      <c r="BO8" s="25" t="e">
        <f ca="1">+SUM($V642:BO642)/10^3</f>
        <v>#NAME?</v>
      </c>
      <c r="BP8" s="25" t="e">
        <f ca="1">+SUM($V642:BP642)/10^3</f>
        <v>#NAME?</v>
      </c>
      <c r="BQ8" s="25" t="e">
        <f ca="1">+SUM($V642:BQ642)/10^3</f>
        <v>#NAME?</v>
      </c>
      <c r="BR8" s="25" t="e">
        <f ca="1">+SUM($V642:BR642)/10^3</f>
        <v>#NAME?</v>
      </c>
      <c r="BS8" s="25" t="e">
        <f ca="1">+SUM($V642:BS642)/10^3</f>
        <v>#NAME?</v>
      </c>
      <c r="BT8" s="25" t="e">
        <f ca="1">+SUM($V642:BT642)/10^3</f>
        <v>#NAME?</v>
      </c>
      <c r="BU8" s="25" t="e">
        <f ca="1">+SUM($V642:BU642)/10^3</f>
        <v>#NAME?</v>
      </c>
      <c r="BV8" s="25" t="e">
        <f ca="1">+SUM($V642:BV642)/10^3</f>
        <v>#NAME?</v>
      </c>
      <c r="BW8" s="25" t="e">
        <f ca="1">+SUM($V642:BW642)/10^3</f>
        <v>#NAME?</v>
      </c>
      <c r="BX8" s="25" t="e">
        <f ca="1">+SUM($V642:BX642)/10^3</f>
        <v>#NAME?</v>
      </c>
      <c r="BY8" s="25" t="e">
        <f ca="1">+SUM($V642:BY642)/10^3</f>
        <v>#NAME?</v>
      </c>
      <c r="BZ8" s="25" t="e">
        <f ca="1">+SUM($V642:BZ642)/10^3</f>
        <v>#NAME?</v>
      </c>
      <c r="CA8" s="25" t="e">
        <f ca="1">+SUM($V642:CA642)/10^3</f>
        <v>#NAME?</v>
      </c>
      <c r="CB8" s="25" t="e">
        <f ca="1">+SUM($V642:CB642)/10^3</f>
        <v>#NAME?</v>
      </c>
      <c r="CC8" s="25" t="e">
        <f ca="1">+SUM($V642:CC642)/10^3</f>
        <v>#NAME?</v>
      </c>
      <c r="CD8" s="25" t="e">
        <f ca="1">+SUM($V642:CD642)/10^3</f>
        <v>#NAME?</v>
      </c>
      <c r="CF8" s="24"/>
      <c r="CG8" s="24"/>
      <c r="CH8" s="24"/>
      <c r="CI8" s="24"/>
      <c r="CJ8" s="24"/>
      <c r="CK8" s="24"/>
      <c r="CL8" s="24"/>
      <c r="CM8" s="25">
        <f t="shared" ref="CM8:CX14" si="5">+SUMIF($S$5:$CD$5,"="&amp;CM$5,$S8:$CD8)</f>
        <v>78.8</v>
      </c>
      <c r="CN8" s="25">
        <f t="shared" si="5"/>
        <v>96.6</v>
      </c>
      <c r="CO8" s="25">
        <f t="shared" si="5"/>
        <v>110.1</v>
      </c>
      <c r="CP8" s="25">
        <f t="shared" si="5"/>
        <v>115.9</v>
      </c>
      <c r="CQ8" s="25">
        <f t="shared" si="5"/>
        <v>116.9</v>
      </c>
      <c r="CR8" s="25">
        <f t="shared" si="5"/>
        <v>117.55158133333332</v>
      </c>
      <c r="CS8" s="25" t="e">
        <f t="shared" ca="1" si="5"/>
        <v>#NAME?</v>
      </c>
      <c r="CT8" s="25" t="e">
        <f t="shared" ca="1" si="5"/>
        <v>#NAME?</v>
      </c>
      <c r="CU8" s="25" t="e">
        <f t="shared" ca="1" si="5"/>
        <v>#NAME?</v>
      </c>
      <c r="CV8" s="25" t="e">
        <f t="shared" ca="1" si="5"/>
        <v>#NAME?</v>
      </c>
      <c r="CW8" s="25" t="e">
        <f t="shared" ca="1" si="5"/>
        <v>#NAME?</v>
      </c>
      <c r="CX8" s="25" t="e">
        <f t="shared" ca="1" si="5"/>
        <v>#NAME?</v>
      </c>
    </row>
    <row r="9" spans="1:103" x14ac:dyDescent="0.25">
      <c r="A9" s="1"/>
      <c r="B9" s="26" t="s">
        <v>22</v>
      </c>
      <c r="C9" s="26"/>
      <c r="D9" s="26"/>
      <c r="E9" s="26"/>
      <c r="F9" s="26"/>
      <c r="G9" s="26"/>
      <c r="H9" s="26"/>
      <c r="I9" s="26"/>
      <c r="J9" s="26"/>
      <c r="K9" s="26"/>
      <c r="L9" s="26"/>
      <c r="M9" s="26"/>
      <c r="N9" s="26"/>
      <c r="O9" s="26"/>
      <c r="P9" s="26"/>
      <c r="Q9" s="26"/>
      <c r="R9" s="26"/>
      <c r="S9" s="24"/>
      <c r="T9" s="24"/>
      <c r="U9" s="24"/>
      <c r="V9" s="24"/>
      <c r="W9" s="25"/>
      <c r="X9" s="25"/>
      <c r="Y9" s="25"/>
      <c r="Z9" s="25"/>
      <c r="AA9" s="25">
        <f t="shared" ref="AA9:CD9" si="6">+AA8-W8</f>
        <v>18.199999999999996</v>
      </c>
      <c r="AB9" s="25">
        <f t="shared" si="6"/>
        <v>18.100000000000001</v>
      </c>
      <c r="AC9" s="25">
        <f t="shared" si="6"/>
        <v>19.399999999999999</v>
      </c>
      <c r="AD9" s="25">
        <f t="shared" si="6"/>
        <v>20</v>
      </c>
      <c r="AE9" s="25">
        <f t="shared" si="6"/>
        <v>19.800000000000004</v>
      </c>
      <c r="AF9" s="25">
        <f t="shared" si="6"/>
        <v>20.100000000000001</v>
      </c>
      <c r="AG9" s="25">
        <f t="shared" si="6"/>
        <v>19.400000000000006</v>
      </c>
      <c r="AH9" s="25">
        <f t="shared" si="6"/>
        <v>19.000000000000007</v>
      </c>
      <c r="AI9" s="25">
        <f t="shared" si="6"/>
        <v>18.900000000000006</v>
      </c>
      <c r="AJ9" s="25">
        <f t="shared" si="6"/>
        <v>18.600000000000009</v>
      </c>
      <c r="AK9" s="25">
        <f t="shared" si="6"/>
        <v>17.700000000000003</v>
      </c>
      <c r="AL9" s="25">
        <f t="shared" si="6"/>
        <v>17.799999999999997</v>
      </c>
      <c r="AM9" s="25">
        <f t="shared" si="6"/>
        <v>17.799999999999997</v>
      </c>
      <c r="AN9" s="25">
        <f t="shared" si="6"/>
        <v>16.699999999999989</v>
      </c>
      <c r="AO9" s="25">
        <f t="shared" si="6"/>
        <v>14.700000000000003</v>
      </c>
      <c r="AP9" s="25">
        <f t="shared" si="6"/>
        <v>13.5</v>
      </c>
      <c r="AQ9" s="25">
        <f t="shared" si="6"/>
        <v>12.200000000000003</v>
      </c>
      <c r="AR9" s="25">
        <f t="shared" si="6"/>
        <v>10.900000000000006</v>
      </c>
      <c r="AS9" s="25">
        <f t="shared" si="6"/>
        <v>6.2000000000000028</v>
      </c>
      <c r="AT9" s="25">
        <f t="shared" si="6"/>
        <v>5.8000000000000114</v>
      </c>
      <c r="AU9" s="25">
        <f t="shared" si="6"/>
        <v>4.4000000000000057</v>
      </c>
      <c r="AV9" s="25">
        <f t="shared" si="6"/>
        <v>3.0999999999999943</v>
      </c>
      <c r="AW9" s="25">
        <f t="shared" si="6"/>
        <v>1.8999999999999915</v>
      </c>
      <c r="AX9" s="25">
        <f t="shared" si="6"/>
        <v>1</v>
      </c>
      <c r="AY9" s="25">
        <f t="shared" si="6"/>
        <v>0.67620166666665682</v>
      </c>
      <c r="AZ9" s="25">
        <f t="shared" si="6"/>
        <v>0.61824799999999414</v>
      </c>
      <c r="BA9" s="25">
        <f t="shared" si="6"/>
        <v>0.65158133333332557</v>
      </c>
      <c r="BB9" s="25">
        <f t="shared" si="6"/>
        <v>0.65158133333331136</v>
      </c>
      <c r="BC9" s="25">
        <f t="shared" si="6"/>
        <v>0.57537966666666307</v>
      </c>
      <c r="BD9" s="25">
        <f t="shared" si="6"/>
        <v>0.53333333333333144</v>
      </c>
      <c r="BE9" s="25">
        <f t="shared" si="6"/>
        <v>0.29999999999999716</v>
      </c>
      <c r="BF9" s="25" t="e">
        <f t="shared" ca="1" si="6"/>
        <v>#NAME?</v>
      </c>
      <c r="BG9" s="25" t="e">
        <f t="shared" ca="1" si="6"/>
        <v>#NAME?</v>
      </c>
      <c r="BH9" s="25" t="e">
        <f t="shared" ca="1" si="6"/>
        <v>#NAME?</v>
      </c>
      <c r="BI9" s="25" t="e">
        <f t="shared" ca="1" si="6"/>
        <v>#NAME?</v>
      </c>
      <c r="BJ9" s="25" t="e">
        <f t="shared" ca="1" si="6"/>
        <v>#NAME?</v>
      </c>
      <c r="BK9" s="25" t="e">
        <f t="shared" ca="1" si="6"/>
        <v>#NAME?</v>
      </c>
      <c r="BL9" s="25" t="e">
        <f t="shared" ca="1" si="6"/>
        <v>#NAME?</v>
      </c>
      <c r="BM9" s="25" t="e">
        <f t="shared" ca="1" si="6"/>
        <v>#NAME?</v>
      </c>
      <c r="BN9" s="25" t="e">
        <f t="shared" ca="1" si="6"/>
        <v>#NAME?</v>
      </c>
      <c r="BO9" s="25" t="e">
        <f t="shared" ca="1" si="6"/>
        <v>#NAME?</v>
      </c>
      <c r="BP9" s="25" t="e">
        <f t="shared" ca="1" si="6"/>
        <v>#NAME?</v>
      </c>
      <c r="BQ9" s="25" t="e">
        <f t="shared" ca="1" si="6"/>
        <v>#NAME?</v>
      </c>
      <c r="BR9" s="25" t="e">
        <f t="shared" ca="1" si="6"/>
        <v>#NAME?</v>
      </c>
      <c r="BS9" s="25" t="e">
        <f t="shared" ca="1" si="6"/>
        <v>#NAME?</v>
      </c>
      <c r="BT9" s="25" t="e">
        <f t="shared" ca="1" si="6"/>
        <v>#NAME?</v>
      </c>
      <c r="BU9" s="25" t="e">
        <f t="shared" ca="1" si="6"/>
        <v>#NAME?</v>
      </c>
      <c r="BV9" s="25" t="e">
        <f t="shared" ca="1" si="6"/>
        <v>#NAME?</v>
      </c>
      <c r="BW9" s="25" t="e">
        <f t="shared" ca="1" si="6"/>
        <v>#NAME?</v>
      </c>
      <c r="BX9" s="25" t="e">
        <f t="shared" ca="1" si="6"/>
        <v>#NAME?</v>
      </c>
      <c r="BY9" s="25" t="e">
        <f t="shared" ca="1" si="6"/>
        <v>#NAME?</v>
      </c>
      <c r="BZ9" s="25" t="e">
        <f t="shared" ca="1" si="6"/>
        <v>#NAME?</v>
      </c>
      <c r="CA9" s="25" t="e">
        <f t="shared" ca="1" si="6"/>
        <v>#NAME?</v>
      </c>
      <c r="CB9" s="25" t="e">
        <f t="shared" ca="1" si="6"/>
        <v>#NAME?</v>
      </c>
      <c r="CC9" s="25" t="e">
        <f t="shared" ca="1" si="6"/>
        <v>#NAME?</v>
      </c>
      <c r="CD9" s="25" t="e">
        <f t="shared" ca="1" si="6"/>
        <v>#NAME?</v>
      </c>
      <c r="CF9" s="24"/>
      <c r="CG9" s="24"/>
      <c r="CH9" s="24"/>
      <c r="CI9" s="24"/>
      <c r="CJ9" s="24"/>
      <c r="CK9" s="24"/>
      <c r="CL9" s="24"/>
      <c r="CM9" s="25"/>
      <c r="CN9" s="25">
        <f>+CN8-CM8</f>
        <v>17.799999999999997</v>
      </c>
      <c r="CO9" s="25">
        <f t="shared" ref="CO9:CX9" si="7">+CO8-CN8</f>
        <v>13.5</v>
      </c>
      <c r="CP9" s="25">
        <f t="shared" si="7"/>
        <v>5.8000000000000114</v>
      </c>
      <c r="CQ9" s="25">
        <f t="shared" si="7"/>
        <v>1</v>
      </c>
      <c r="CR9" s="25">
        <f t="shared" si="7"/>
        <v>0.65158133333331136</v>
      </c>
      <c r="CS9" s="25" t="e">
        <f t="shared" ca="1" si="7"/>
        <v>#NAME?</v>
      </c>
      <c r="CT9" s="25" t="e">
        <f t="shared" ca="1" si="7"/>
        <v>#NAME?</v>
      </c>
      <c r="CU9" s="25" t="e">
        <f t="shared" ca="1" si="7"/>
        <v>#NAME?</v>
      </c>
      <c r="CV9" s="25" t="e">
        <f t="shared" ca="1" si="7"/>
        <v>#NAME?</v>
      </c>
      <c r="CW9" s="25" t="e">
        <f t="shared" ca="1" si="7"/>
        <v>#NAME?</v>
      </c>
      <c r="CX9" s="25" t="e">
        <f t="shared" ca="1" si="7"/>
        <v>#NAME?</v>
      </c>
    </row>
    <row r="10" spans="1:103" x14ac:dyDescent="0.25">
      <c r="A10" s="1"/>
      <c r="B10" s="26"/>
      <c r="C10" s="26"/>
      <c r="D10" s="26"/>
      <c r="E10" s="26"/>
      <c r="F10" s="26"/>
      <c r="G10" s="26"/>
      <c r="H10" s="26"/>
      <c r="I10" s="26"/>
      <c r="J10" s="26"/>
      <c r="K10" s="26"/>
      <c r="L10" s="26"/>
      <c r="M10" s="26"/>
      <c r="N10" s="26"/>
      <c r="O10" s="26"/>
      <c r="P10" s="26"/>
      <c r="Q10" s="26"/>
      <c r="R10" s="26"/>
      <c r="S10" s="24"/>
      <c r="T10" s="24"/>
      <c r="U10" s="24"/>
      <c r="V10" s="24"/>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F10" s="24"/>
      <c r="CG10" s="24"/>
      <c r="CH10" s="24"/>
      <c r="CI10" s="24"/>
      <c r="CJ10" s="24"/>
      <c r="CK10" s="24"/>
      <c r="CL10" s="24"/>
      <c r="CM10" s="25"/>
      <c r="CN10" s="25"/>
      <c r="CO10" s="25"/>
      <c r="CP10" s="25"/>
      <c r="CQ10" s="25"/>
      <c r="CR10" s="25"/>
      <c r="CS10" s="25"/>
      <c r="CT10" s="25"/>
      <c r="CU10" s="25"/>
      <c r="CV10" s="25"/>
      <c r="CW10" s="25"/>
      <c r="CX10" s="25"/>
    </row>
    <row r="11" spans="1:103" x14ac:dyDescent="0.25">
      <c r="A11" s="1"/>
      <c r="B11" s="23" t="s">
        <v>23</v>
      </c>
      <c r="C11" s="23"/>
      <c r="D11" s="23"/>
      <c r="E11" s="23"/>
      <c r="F11" s="23"/>
      <c r="G11" s="23"/>
      <c r="H11" s="23"/>
      <c r="I11" s="23"/>
      <c r="J11" s="23"/>
      <c r="K11" s="23"/>
      <c r="L11" s="23"/>
      <c r="M11" s="23"/>
      <c r="N11" s="23"/>
      <c r="O11" s="23"/>
      <c r="P11" s="23"/>
      <c r="Q11" s="23"/>
      <c r="R11" s="23"/>
      <c r="S11" s="24"/>
      <c r="T11" s="24"/>
      <c r="U11" s="24"/>
      <c r="V11" s="24"/>
      <c r="W11" s="25" t="e">
        <f ca="1">+SUM($V676:W676)</f>
        <v>#NAME?</v>
      </c>
      <c r="X11" s="25" t="e">
        <f ca="1">+SUM($V676:X676)</f>
        <v>#NAME?</v>
      </c>
      <c r="Y11" s="25" t="e">
        <f ca="1">+SUM($V676:Y676)</f>
        <v>#NAME?</v>
      </c>
      <c r="Z11" s="25" t="e">
        <f ca="1">+SUM($V676:Z676)</f>
        <v>#NAME?</v>
      </c>
      <c r="AA11" s="25" t="e">
        <f ca="1">+SUM($V676:AA676)</f>
        <v>#NAME?</v>
      </c>
      <c r="AB11" s="25" t="e">
        <f ca="1">+SUM($V676:AB676)</f>
        <v>#NAME?</v>
      </c>
      <c r="AC11" s="25" t="e">
        <f ca="1">+SUM($V676:AC676)</f>
        <v>#NAME?</v>
      </c>
      <c r="AD11" s="25" t="e">
        <f ca="1">+SUM($V676:AD676)</f>
        <v>#NAME?</v>
      </c>
      <c r="AE11" s="25" t="e">
        <f ca="1">+SUM($V676:AE676)</f>
        <v>#NAME?</v>
      </c>
      <c r="AF11" s="25" t="e">
        <f ca="1">+SUM($V676:AF676)</f>
        <v>#NAME?</v>
      </c>
      <c r="AG11" s="25" t="e">
        <f ca="1">+SUM($V676:AG676)</f>
        <v>#NAME?</v>
      </c>
      <c r="AH11" s="25" t="e">
        <f ca="1">+SUM($V676:AH676)</f>
        <v>#NAME?</v>
      </c>
      <c r="AI11" s="25" t="e">
        <f ca="1">+SUM($V676:AI676)</f>
        <v>#NAME?</v>
      </c>
      <c r="AJ11" s="25" t="e">
        <f ca="1">+SUM($V676:AJ676)</f>
        <v>#NAME?</v>
      </c>
      <c r="AK11" s="25" t="e">
        <f ca="1">+SUM($V676:AK676)</f>
        <v>#NAME?</v>
      </c>
      <c r="AL11" s="25" t="e">
        <f ca="1">+SUM($V676:AL676)</f>
        <v>#NAME?</v>
      </c>
      <c r="AM11" s="25" t="e">
        <f ca="1">+SUM($V676:AM676)</f>
        <v>#NAME?</v>
      </c>
      <c r="AN11" s="25" t="e">
        <f ca="1">+SUM($V676:AN676)</f>
        <v>#NAME?</v>
      </c>
      <c r="AO11" s="25" t="e">
        <f ca="1">+SUM($V676:AO676)</f>
        <v>#NAME?</v>
      </c>
      <c r="AP11" s="25" t="e">
        <f ca="1">+SUM($V676:AP676)</f>
        <v>#NAME?</v>
      </c>
      <c r="AQ11" s="25" t="e">
        <f ca="1">+SUM($V676:AQ676)</f>
        <v>#NAME?</v>
      </c>
      <c r="AR11" s="25" t="e">
        <f ca="1">+SUM($V676:AR676)</f>
        <v>#NAME?</v>
      </c>
      <c r="AS11" s="27" t="e">
        <f ca="1">+AR11</f>
        <v>#NAME?</v>
      </c>
      <c r="AT11" s="27" t="e">
        <f t="shared" ref="AT11:CD11" ca="1" si="8">+AS11</f>
        <v>#NAME?</v>
      </c>
      <c r="AU11" s="27" t="e">
        <f t="shared" ca="1" si="8"/>
        <v>#NAME?</v>
      </c>
      <c r="AV11" s="27" t="e">
        <f t="shared" ca="1" si="8"/>
        <v>#NAME?</v>
      </c>
      <c r="AW11" s="27" t="e">
        <f t="shared" ca="1" si="8"/>
        <v>#NAME?</v>
      </c>
      <c r="AX11" s="27" t="e">
        <f t="shared" ca="1" si="8"/>
        <v>#NAME?</v>
      </c>
      <c r="AY11" s="27" t="e">
        <f t="shared" ca="1" si="8"/>
        <v>#NAME?</v>
      </c>
      <c r="AZ11" s="27" t="e">
        <f t="shared" ca="1" si="8"/>
        <v>#NAME?</v>
      </c>
      <c r="BA11" s="27" t="e">
        <f t="shared" ca="1" si="8"/>
        <v>#NAME?</v>
      </c>
      <c r="BB11" s="27" t="e">
        <f t="shared" ca="1" si="8"/>
        <v>#NAME?</v>
      </c>
      <c r="BC11" s="27" t="e">
        <f t="shared" ca="1" si="8"/>
        <v>#NAME?</v>
      </c>
      <c r="BD11" s="27" t="e">
        <f t="shared" ca="1" si="8"/>
        <v>#NAME?</v>
      </c>
      <c r="BE11" s="27" t="e">
        <f t="shared" ca="1" si="8"/>
        <v>#NAME?</v>
      </c>
      <c r="BF11" s="27" t="e">
        <f t="shared" ca="1" si="8"/>
        <v>#NAME?</v>
      </c>
      <c r="BG11" s="27" t="e">
        <f t="shared" ca="1" si="8"/>
        <v>#NAME?</v>
      </c>
      <c r="BH11" s="27" t="e">
        <f t="shared" ca="1" si="8"/>
        <v>#NAME?</v>
      </c>
      <c r="BI11" s="27" t="e">
        <f t="shared" ca="1" si="8"/>
        <v>#NAME?</v>
      </c>
      <c r="BJ11" s="27" t="e">
        <f t="shared" ca="1" si="8"/>
        <v>#NAME?</v>
      </c>
      <c r="BK11" s="27" t="e">
        <f t="shared" ca="1" si="8"/>
        <v>#NAME?</v>
      </c>
      <c r="BL11" s="27" t="e">
        <f t="shared" ca="1" si="8"/>
        <v>#NAME?</v>
      </c>
      <c r="BM11" s="27" t="e">
        <f t="shared" ca="1" si="8"/>
        <v>#NAME?</v>
      </c>
      <c r="BN11" s="27" t="e">
        <f t="shared" ca="1" si="8"/>
        <v>#NAME?</v>
      </c>
      <c r="BO11" s="27" t="e">
        <f t="shared" ca="1" si="8"/>
        <v>#NAME?</v>
      </c>
      <c r="BP11" s="27" t="e">
        <f t="shared" ca="1" si="8"/>
        <v>#NAME?</v>
      </c>
      <c r="BQ11" s="27" t="e">
        <f t="shared" ca="1" si="8"/>
        <v>#NAME?</v>
      </c>
      <c r="BR11" s="27" t="e">
        <f t="shared" ca="1" si="8"/>
        <v>#NAME?</v>
      </c>
      <c r="BS11" s="27" t="e">
        <f t="shared" ca="1" si="8"/>
        <v>#NAME?</v>
      </c>
      <c r="BT11" s="27" t="e">
        <f t="shared" ca="1" si="8"/>
        <v>#NAME?</v>
      </c>
      <c r="BU11" s="27" t="e">
        <f t="shared" ca="1" si="8"/>
        <v>#NAME?</v>
      </c>
      <c r="BV11" s="27" t="e">
        <f t="shared" ca="1" si="8"/>
        <v>#NAME?</v>
      </c>
      <c r="BW11" s="27" t="e">
        <f t="shared" ca="1" si="8"/>
        <v>#NAME?</v>
      </c>
      <c r="BX11" s="27" t="e">
        <f t="shared" ca="1" si="8"/>
        <v>#NAME?</v>
      </c>
      <c r="BY11" s="27" t="e">
        <f t="shared" ca="1" si="8"/>
        <v>#NAME?</v>
      </c>
      <c r="BZ11" s="27" t="e">
        <f t="shared" ca="1" si="8"/>
        <v>#NAME?</v>
      </c>
      <c r="CA11" s="27" t="e">
        <f t="shared" ca="1" si="8"/>
        <v>#NAME?</v>
      </c>
      <c r="CB11" s="27" t="e">
        <f t="shared" ca="1" si="8"/>
        <v>#NAME?</v>
      </c>
      <c r="CC11" s="27" t="e">
        <f t="shared" ca="1" si="8"/>
        <v>#NAME?</v>
      </c>
      <c r="CD11" s="27" t="e">
        <f t="shared" ca="1" si="8"/>
        <v>#NAME?</v>
      </c>
      <c r="CF11" s="24"/>
      <c r="CG11" s="24"/>
      <c r="CH11" s="24"/>
      <c r="CI11" s="24"/>
      <c r="CJ11" s="24"/>
      <c r="CK11" s="24"/>
      <c r="CL11" s="24"/>
      <c r="CM11" s="25" t="e">
        <f t="shared" ref="CM11:CX11" ca="1" si="9">+SUMIF($S$5:$CD$5,"="&amp;CM$5,$S11:$CD11)</f>
        <v>#NAME?</v>
      </c>
      <c r="CN11" s="25" t="e">
        <f t="shared" ca="1" si="9"/>
        <v>#NAME?</v>
      </c>
      <c r="CO11" s="25" t="e">
        <f t="shared" ca="1" si="9"/>
        <v>#NAME?</v>
      </c>
      <c r="CP11" s="25" t="e">
        <f t="shared" ca="1" si="9"/>
        <v>#NAME?</v>
      </c>
      <c r="CQ11" s="25" t="e">
        <f t="shared" ca="1" si="9"/>
        <v>#NAME?</v>
      </c>
      <c r="CR11" s="25" t="e">
        <f t="shared" ca="1" si="9"/>
        <v>#NAME?</v>
      </c>
      <c r="CS11" s="25" t="e">
        <f t="shared" ca="1" si="9"/>
        <v>#NAME?</v>
      </c>
      <c r="CT11" s="25" t="e">
        <f t="shared" ca="1" si="9"/>
        <v>#NAME?</v>
      </c>
      <c r="CU11" s="25" t="e">
        <f t="shared" ca="1" si="9"/>
        <v>#NAME?</v>
      </c>
      <c r="CV11" s="25" t="e">
        <f t="shared" ca="1" si="9"/>
        <v>#NAME?</v>
      </c>
      <c r="CW11" s="25" t="e">
        <f t="shared" ca="1" si="9"/>
        <v>#NAME?</v>
      </c>
      <c r="CX11" s="25" t="e">
        <f t="shared" ca="1" si="9"/>
        <v>#NAME?</v>
      </c>
    </row>
    <row r="12" spans="1:103" x14ac:dyDescent="0.25">
      <c r="A12" s="1"/>
      <c r="B12" s="26" t="s">
        <v>22</v>
      </c>
      <c r="C12" s="26"/>
      <c r="D12" s="26"/>
      <c r="E12" s="26"/>
      <c r="F12" s="26"/>
      <c r="G12" s="26"/>
      <c r="H12" s="26"/>
      <c r="I12" s="26"/>
      <c r="J12" s="26"/>
      <c r="K12" s="26"/>
      <c r="L12" s="26"/>
      <c r="M12" s="26"/>
      <c r="N12" s="26"/>
      <c r="O12" s="26"/>
      <c r="P12" s="26"/>
      <c r="Q12" s="26"/>
      <c r="R12" s="26"/>
      <c r="S12" s="24"/>
      <c r="T12" s="24"/>
      <c r="U12" s="24"/>
      <c r="V12" s="24"/>
      <c r="W12" s="25"/>
      <c r="X12" s="25"/>
      <c r="Y12" s="25"/>
      <c r="Z12" s="25"/>
      <c r="AA12" s="25" t="e">
        <f t="shared" ref="AA12:CD12" ca="1" si="10">+AA11-W11</f>
        <v>#NAME?</v>
      </c>
      <c r="AB12" s="25" t="e">
        <f t="shared" ca="1" si="10"/>
        <v>#NAME?</v>
      </c>
      <c r="AC12" s="25" t="e">
        <f t="shared" ca="1" si="10"/>
        <v>#NAME?</v>
      </c>
      <c r="AD12" s="25" t="e">
        <f t="shared" ca="1" si="10"/>
        <v>#NAME?</v>
      </c>
      <c r="AE12" s="25" t="e">
        <f t="shared" ca="1" si="10"/>
        <v>#NAME?</v>
      </c>
      <c r="AF12" s="25" t="e">
        <f t="shared" ca="1" si="10"/>
        <v>#NAME?</v>
      </c>
      <c r="AG12" s="25" t="e">
        <f t="shared" ca="1" si="10"/>
        <v>#NAME?</v>
      </c>
      <c r="AH12" s="25" t="e">
        <f t="shared" ca="1" si="10"/>
        <v>#NAME?</v>
      </c>
      <c r="AI12" s="25" t="e">
        <f t="shared" ca="1" si="10"/>
        <v>#NAME?</v>
      </c>
      <c r="AJ12" s="25" t="e">
        <f t="shared" ca="1" si="10"/>
        <v>#NAME?</v>
      </c>
      <c r="AK12" s="25" t="e">
        <f t="shared" ca="1" si="10"/>
        <v>#NAME?</v>
      </c>
      <c r="AL12" s="25" t="e">
        <f t="shared" ca="1" si="10"/>
        <v>#NAME?</v>
      </c>
      <c r="AM12" s="25" t="e">
        <f t="shared" ca="1" si="10"/>
        <v>#NAME?</v>
      </c>
      <c r="AN12" s="25" t="e">
        <f t="shared" ca="1" si="10"/>
        <v>#NAME?</v>
      </c>
      <c r="AO12" s="25" t="e">
        <f t="shared" ca="1" si="10"/>
        <v>#NAME?</v>
      </c>
      <c r="AP12" s="25" t="e">
        <f t="shared" ca="1" si="10"/>
        <v>#NAME?</v>
      </c>
      <c r="AQ12" s="25" t="e">
        <f t="shared" ca="1" si="10"/>
        <v>#NAME?</v>
      </c>
      <c r="AR12" s="25" t="e">
        <f t="shared" ca="1" si="10"/>
        <v>#NAME?</v>
      </c>
      <c r="AS12" s="25" t="e">
        <f t="shared" ca="1" si="10"/>
        <v>#NAME?</v>
      </c>
      <c r="AT12" s="25" t="e">
        <f t="shared" ca="1" si="10"/>
        <v>#NAME?</v>
      </c>
      <c r="AU12" s="25" t="e">
        <f t="shared" ca="1" si="10"/>
        <v>#NAME?</v>
      </c>
      <c r="AV12" s="25" t="e">
        <f t="shared" ca="1" si="10"/>
        <v>#NAME?</v>
      </c>
      <c r="AW12" s="25" t="e">
        <f t="shared" ca="1" si="10"/>
        <v>#NAME?</v>
      </c>
      <c r="AX12" s="25" t="e">
        <f t="shared" ca="1" si="10"/>
        <v>#NAME?</v>
      </c>
      <c r="AY12" s="25" t="e">
        <f t="shared" ca="1" si="10"/>
        <v>#NAME?</v>
      </c>
      <c r="AZ12" s="25" t="e">
        <f t="shared" ca="1" si="10"/>
        <v>#NAME?</v>
      </c>
      <c r="BA12" s="25" t="e">
        <f t="shared" ca="1" si="10"/>
        <v>#NAME?</v>
      </c>
      <c r="BB12" s="25" t="e">
        <f t="shared" ca="1" si="10"/>
        <v>#NAME?</v>
      </c>
      <c r="BC12" s="25" t="e">
        <f t="shared" ca="1" si="10"/>
        <v>#NAME?</v>
      </c>
      <c r="BD12" s="25" t="e">
        <f t="shared" ca="1" si="10"/>
        <v>#NAME?</v>
      </c>
      <c r="BE12" s="25" t="e">
        <f t="shared" ca="1" si="10"/>
        <v>#NAME?</v>
      </c>
      <c r="BF12" s="25" t="e">
        <f t="shared" ca="1" si="10"/>
        <v>#NAME?</v>
      </c>
      <c r="BG12" s="25" t="e">
        <f t="shared" ca="1" si="10"/>
        <v>#NAME?</v>
      </c>
      <c r="BH12" s="25" t="e">
        <f t="shared" ca="1" si="10"/>
        <v>#NAME?</v>
      </c>
      <c r="BI12" s="25" t="e">
        <f t="shared" ca="1" si="10"/>
        <v>#NAME?</v>
      </c>
      <c r="BJ12" s="25" t="e">
        <f t="shared" ca="1" si="10"/>
        <v>#NAME?</v>
      </c>
      <c r="BK12" s="25" t="e">
        <f t="shared" ca="1" si="10"/>
        <v>#NAME?</v>
      </c>
      <c r="BL12" s="25" t="e">
        <f t="shared" ca="1" si="10"/>
        <v>#NAME?</v>
      </c>
      <c r="BM12" s="25" t="e">
        <f t="shared" ca="1" si="10"/>
        <v>#NAME?</v>
      </c>
      <c r="BN12" s="25" t="e">
        <f t="shared" ca="1" si="10"/>
        <v>#NAME?</v>
      </c>
      <c r="BO12" s="25" t="e">
        <f t="shared" ca="1" si="10"/>
        <v>#NAME?</v>
      </c>
      <c r="BP12" s="25" t="e">
        <f t="shared" ca="1" si="10"/>
        <v>#NAME?</v>
      </c>
      <c r="BQ12" s="25" t="e">
        <f t="shared" ca="1" si="10"/>
        <v>#NAME?</v>
      </c>
      <c r="BR12" s="25" t="e">
        <f t="shared" ca="1" si="10"/>
        <v>#NAME?</v>
      </c>
      <c r="BS12" s="25" t="e">
        <f t="shared" ca="1" si="10"/>
        <v>#NAME?</v>
      </c>
      <c r="BT12" s="25" t="e">
        <f t="shared" ca="1" si="10"/>
        <v>#NAME?</v>
      </c>
      <c r="BU12" s="25" t="e">
        <f t="shared" ca="1" si="10"/>
        <v>#NAME?</v>
      </c>
      <c r="BV12" s="25" t="e">
        <f t="shared" ca="1" si="10"/>
        <v>#NAME?</v>
      </c>
      <c r="BW12" s="25" t="e">
        <f t="shared" ca="1" si="10"/>
        <v>#NAME?</v>
      </c>
      <c r="BX12" s="25" t="e">
        <f t="shared" ca="1" si="10"/>
        <v>#NAME?</v>
      </c>
      <c r="BY12" s="25" t="e">
        <f t="shared" ca="1" si="10"/>
        <v>#NAME?</v>
      </c>
      <c r="BZ12" s="25" t="e">
        <f t="shared" ca="1" si="10"/>
        <v>#NAME?</v>
      </c>
      <c r="CA12" s="25" t="e">
        <f t="shared" ca="1" si="10"/>
        <v>#NAME?</v>
      </c>
      <c r="CB12" s="25" t="e">
        <f t="shared" ca="1" si="10"/>
        <v>#NAME?</v>
      </c>
      <c r="CC12" s="25" t="e">
        <f t="shared" ca="1" si="10"/>
        <v>#NAME?</v>
      </c>
      <c r="CD12" s="25" t="e">
        <f t="shared" ca="1" si="10"/>
        <v>#NAME?</v>
      </c>
      <c r="CF12" s="24"/>
      <c r="CG12" s="24"/>
      <c r="CH12" s="24"/>
      <c r="CI12" s="24"/>
      <c r="CJ12" s="24"/>
      <c r="CK12" s="24"/>
      <c r="CL12" s="24"/>
      <c r="CM12" s="25" t="e">
        <f ca="1">+SUMIF($S$5:$CD$5,"="&amp;CM$5,$S12:$CD12)</f>
        <v>#NAME?</v>
      </c>
      <c r="CN12" s="25" t="e">
        <f ca="1">+CN11-CM11</f>
        <v>#NAME?</v>
      </c>
      <c r="CO12" s="25" t="e">
        <f t="shared" ref="CO12:CX12" ca="1" si="11">+CO11-CN11</f>
        <v>#NAME?</v>
      </c>
      <c r="CP12" s="25" t="e">
        <f t="shared" ca="1" si="11"/>
        <v>#NAME?</v>
      </c>
      <c r="CQ12" s="25" t="e">
        <f t="shared" ca="1" si="11"/>
        <v>#NAME?</v>
      </c>
      <c r="CR12" s="25" t="e">
        <f t="shared" ca="1" si="11"/>
        <v>#NAME?</v>
      </c>
      <c r="CS12" s="25" t="e">
        <f t="shared" ca="1" si="11"/>
        <v>#NAME?</v>
      </c>
      <c r="CT12" s="25" t="e">
        <f t="shared" ca="1" si="11"/>
        <v>#NAME?</v>
      </c>
      <c r="CU12" s="25" t="e">
        <f t="shared" ca="1" si="11"/>
        <v>#NAME?</v>
      </c>
      <c r="CV12" s="25" t="e">
        <f t="shared" ca="1" si="11"/>
        <v>#NAME?</v>
      </c>
      <c r="CW12" s="25" t="e">
        <f t="shared" ca="1" si="11"/>
        <v>#NAME?</v>
      </c>
      <c r="CX12" s="25" t="e">
        <f t="shared" ca="1" si="11"/>
        <v>#NAME?</v>
      </c>
    </row>
    <row r="13" spans="1:103" x14ac:dyDescent="0.25">
      <c r="A13" s="1"/>
      <c r="B13" s="26"/>
      <c r="C13" s="26"/>
      <c r="D13" s="26"/>
      <c r="E13" s="26"/>
      <c r="F13" s="26"/>
      <c r="G13" s="26"/>
      <c r="H13" s="26"/>
      <c r="I13" s="26"/>
      <c r="J13" s="26"/>
      <c r="K13" s="26"/>
      <c r="L13" s="26"/>
      <c r="M13" s="26"/>
      <c r="N13" s="26"/>
      <c r="O13" s="26"/>
      <c r="P13" s="26"/>
      <c r="Q13" s="26"/>
      <c r="R13" s="26"/>
      <c r="S13" s="24"/>
      <c r="T13" s="24"/>
      <c r="U13" s="24"/>
      <c r="V13" s="24"/>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8" t="s">
        <v>24</v>
      </c>
      <c r="BJ13" s="25"/>
      <c r="BK13" s="25"/>
      <c r="BL13" s="25"/>
      <c r="BM13" s="25"/>
      <c r="BN13" s="25"/>
      <c r="BO13" s="25"/>
      <c r="BP13" s="25"/>
      <c r="BQ13" s="25"/>
      <c r="BR13" s="25"/>
      <c r="BS13" s="25"/>
      <c r="BT13" s="25"/>
      <c r="BU13" s="25"/>
      <c r="BV13" s="25"/>
      <c r="BW13" s="25"/>
      <c r="BX13" s="25"/>
      <c r="BY13" s="25"/>
      <c r="BZ13" s="25"/>
      <c r="CA13" s="25"/>
      <c r="CB13" s="25"/>
      <c r="CC13" s="25"/>
      <c r="CD13" s="25"/>
      <c r="CF13" s="24"/>
      <c r="CG13" s="24"/>
      <c r="CH13" s="24"/>
      <c r="CI13" s="24"/>
      <c r="CJ13" s="24"/>
      <c r="CK13" s="24"/>
      <c r="CL13" s="24"/>
      <c r="CM13" s="25"/>
      <c r="CN13" s="25"/>
      <c r="CO13" s="25"/>
      <c r="CP13" s="25"/>
      <c r="CQ13" s="25"/>
      <c r="CR13" s="25"/>
      <c r="CS13" s="25"/>
      <c r="CT13" s="25"/>
      <c r="CU13" s="25"/>
      <c r="CV13" s="25"/>
      <c r="CW13" s="25"/>
      <c r="CX13" s="25"/>
    </row>
    <row r="14" spans="1:103" x14ac:dyDescent="0.25">
      <c r="A14" s="1"/>
      <c r="B14" s="23" t="s">
        <v>25</v>
      </c>
      <c r="C14" s="23"/>
      <c r="D14" s="23"/>
      <c r="E14" s="23"/>
      <c r="F14" s="23"/>
      <c r="G14" s="23"/>
      <c r="H14" s="23"/>
      <c r="I14" s="23"/>
      <c r="J14" s="23"/>
      <c r="K14" s="23"/>
      <c r="L14" s="23"/>
      <c r="M14" s="23"/>
      <c r="N14" s="23"/>
      <c r="O14" s="23"/>
      <c r="P14" s="23"/>
      <c r="Q14" s="23"/>
      <c r="R14" s="23"/>
      <c r="S14" s="24"/>
      <c r="T14" s="24"/>
      <c r="U14" s="24"/>
      <c r="V14" s="24"/>
      <c r="W14" s="25">
        <f>+SUM($V643:W643)/10^3</f>
        <v>0</v>
      </c>
      <c r="X14" s="25">
        <f>+SUM($V643:X643)/10^3</f>
        <v>0</v>
      </c>
      <c r="Y14" s="25">
        <f>+SUM($V643:Y643)/10^3</f>
        <v>0</v>
      </c>
      <c r="Z14" s="25">
        <f>+SUM($V643:Z643)/10^3</f>
        <v>0</v>
      </c>
      <c r="AA14" s="25">
        <f>+SUM($V643:AA643)/10^3</f>
        <v>0</v>
      </c>
      <c r="AB14" s="25">
        <f>+SUM($V643:AB643)/10^3</f>
        <v>0</v>
      </c>
      <c r="AC14" s="25">
        <f>+SUM($V643:AC643)/10^3</f>
        <v>0</v>
      </c>
      <c r="AD14" s="25">
        <f>+SUM($V643:AD643)/10^3</f>
        <v>0</v>
      </c>
      <c r="AE14" s="25">
        <f>+SUM($V643:AE643)/10^3</f>
        <v>0</v>
      </c>
      <c r="AF14" s="25">
        <f>+SUM($V643:AF643)/10^3</f>
        <v>0</v>
      </c>
      <c r="AG14" s="25">
        <f>+SUM($V643:AG643)/10^3</f>
        <v>0</v>
      </c>
      <c r="AH14" s="25">
        <f>+SUM($V643:AH643)/10^3</f>
        <v>0</v>
      </c>
      <c r="AI14" s="25">
        <f>+SUM($V643:AI643)/10^3</f>
        <v>0</v>
      </c>
      <c r="AJ14" s="25">
        <f>+SUM($V643:AJ643)/10^3</f>
        <v>0</v>
      </c>
      <c r="AK14" s="25">
        <f>+SUM($V643:AK643)/10^3</f>
        <v>0</v>
      </c>
      <c r="AL14" s="25">
        <f>+SUM($V643:AL643)/10^3</f>
        <v>0</v>
      </c>
      <c r="AM14" s="25">
        <f>+SUM($V643:AM643)/10^3</f>
        <v>0</v>
      </c>
      <c r="AN14" s="25">
        <f>+SUM($V643:AN643)/10^3</f>
        <v>0</v>
      </c>
      <c r="AO14" s="25">
        <f>+SUM($V643:AO643)/10^3</f>
        <v>0</v>
      </c>
      <c r="AP14" s="25">
        <f>+SUM($V643:AP643)/10^3</f>
        <v>0</v>
      </c>
      <c r="AQ14" s="25">
        <f>+SUM($V643:AQ643)/10^3</f>
        <v>0</v>
      </c>
      <c r="AR14" s="25">
        <f>+SUM($V643:AR643)/10^3</f>
        <v>0</v>
      </c>
      <c r="AS14" s="25">
        <f>+SUM($V643:AS643)/10^3</f>
        <v>4.5</v>
      </c>
      <c r="AT14" s="25">
        <f>+SUM($V643:AT643)/10^3</f>
        <v>7.8</v>
      </c>
      <c r="AU14" s="25">
        <f>+SUM($V643:AU643)/10^3</f>
        <v>10.1</v>
      </c>
      <c r="AV14" s="25">
        <f>+SUM($V643:AV643)/10^3</f>
        <v>13.4</v>
      </c>
      <c r="AW14" s="25">
        <f>+SUM($V643:AW643)/10^3</f>
        <v>17.3</v>
      </c>
      <c r="AX14" s="25">
        <f>+SUM($V643:AX643)/10^3</f>
        <v>19.3</v>
      </c>
      <c r="AY14" s="25">
        <f>+SUM($V643:AY643)/10^3</f>
        <v>21.7</v>
      </c>
      <c r="AZ14" s="25">
        <f>+SUM($V643:AZ643)/10^3</f>
        <v>25</v>
      </c>
      <c r="BA14" s="25">
        <f>+SUM($V643:BA643)/10^3</f>
        <v>32.1</v>
      </c>
      <c r="BB14" s="25">
        <f>+SUM($V643:BB643)/10^3</f>
        <v>38.4</v>
      </c>
      <c r="BC14" s="25">
        <f>+SUM($V643:BC643)/10^3</f>
        <v>41.7</v>
      </c>
      <c r="BD14" s="25">
        <f>+SUM($V643:BD643)/10^3</f>
        <v>46.6</v>
      </c>
      <c r="BE14" s="25">
        <f>+SUM($V643:BE643)/10^3</f>
        <v>54.8</v>
      </c>
      <c r="BF14" s="25" t="e">
        <f ca="1">+SUM($V643:BF643)/10^3</f>
        <v>#NAME?</v>
      </c>
      <c r="BG14" s="25" t="e">
        <f ca="1">+SUM($V643:BG643)/10^3</f>
        <v>#NAME?</v>
      </c>
      <c r="BH14" s="25" t="e">
        <f ca="1">+SUM($V643:BH643)/10^3</f>
        <v>#NAME?</v>
      </c>
      <c r="BI14" s="25" t="e">
        <f ca="1">+SUM($V643:BI643)/10^3</f>
        <v>#NAME?</v>
      </c>
      <c r="BJ14" s="25" t="e">
        <f ca="1">+SUM($V643:BJ643)/10^3</f>
        <v>#NAME?</v>
      </c>
      <c r="BK14" s="25" t="e">
        <f ca="1">+SUM($V643:BK643)/10^3</f>
        <v>#NAME?</v>
      </c>
      <c r="BL14" s="25" t="e">
        <f ca="1">+SUM($V643:BL643)/10^3</f>
        <v>#NAME?</v>
      </c>
      <c r="BM14" s="25" t="e">
        <f ca="1">+SUM($V643:BM643)/10^3</f>
        <v>#NAME?</v>
      </c>
      <c r="BN14" s="25" t="e">
        <f ca="1">+SUM($V643:BN643)/10^3</f>
        <v>#NAME?</v>
      </c>
      <c r="BO14" s="25" t="e">
        <f ca="1">+SUM($V643:BO643)/10^3</f>
        <v>#NAME?</v>
      </c>
      <c r="BP14" s="25" t="e">
        <f ca="1">+SUM($V643:BP643)/10^3</f>
        <v>#NAME?</v>
      </c>
      <c r="BQ14" s="25" t="e">
        <f ca="1">+SUM($V643:BQ643)/10^3</f>
        <v>#NAME?</v>
      </c>
      <c r="BR14" s="25" t="e">
        <f ca="1">+SUM($V643:BR643)/10^3</f>
        <v>#NAME?</v>
      </c>
      <c r="BS14" s="25" t="e">
        <f ca="1">+SUM($V643:BS643)/10^3</f>
        <v>#NAME?</v>
      </c>
      <c r="BT14" s="25" t="e">
        <f ca="1">+SUM($V643:BT643)/10^3</f>
        <v>#NAME?</v>
      </c>
      <c r="BU14" s="25" t="e">
        <f ca="1">+SUM($V643:BU643)/10^3</f>
        <v>#NAME?</v>
      </c>
      <c r="BV14" s="25" t="e">
        <f ca="1">+SUM($V643:BV643)/10^3</f>
        <v>#NAME?</v>
      </c>
      <c r="BW14" s="25" t="e">
        <f ca="1">+SUM($V643:BW643)/10^3</f>
        <v>#NAME?</v>
      </c>
      <c r="BX14" s="25" t="e">
        <f ca="1">+SUM($V643:BX643)/10^3</f>
        <v>#NAME?</v>
      </c>
      <c r="BY14" s="25" t="e">
        <f ca="1">+SUM($V643:BY643)/10^3</f>
        <v>#NAME?</v>
      </c>
      <c r="BZ14" s="25" t="e">
        <f ca="1">+SUM($V643:BZ643)/10^3</f>
        <v>#NAME?</v>
      </c>
      <c r="CA14" s="25" t="e">
        <f ca="1">+SUM($V643:CA643)/10^3</f>
        <v>#NAME?</v>
      </c>
      <c r="CB14" s="25" t="e">
        <f ca="1">+SUM($V643:CB643)/10^3</f>
        <v>#NAME?</v>
      </c>
      <c r="CC14" s="25" t="e">
        <f ca="1">+SUM($V643:CC643)/10^3</f>
        <v>#NAME?</v>
      </c>
      <c r="CD14" s="25" t="e">
        <f ca="1">+SUM($V643:CD643)/10^3</f>
        <v>#NAME?</v>
      </c>
      <c r="CF14" s="24"/>
      <c r="CG14" s="24"/>
      <c r="CH14" s="24"/>
      <c r="CI14" s="24"/>
      <c r="CJ14" s="24"/>
      <c r="CK14" s="24"/>
      <c r="CL14" s="24"/>
      <c r="CM14" s="25"/>
      <c r="CN14" s="25"/>
      <c r="CO14" s="25"/>
      <c r="CP14" s="25">
        <f t="shared" si="5"/>
        <v>7.8</v>
      </c>
      <c r="CQ14" s="25">
        <f t="shared" si="5"/>
        <v>19.3</v>
      </c>
      <c r="CR14" s="25">
        <f t="shared" si="5"/>
        <v>38.4</v>
      </c>
      <c r="CS14" s="25" t="e">
        <f t="shared" ca="1" si="5"/>
        <v>#NAME?</v>
      </c>
      <c r="CT14" s="25" t="e">
        <f t="shared" ca="1" si="5"/>
        <v>#NAME?</v>
      </c>
      <c r="CU14" s="25" t="e">
        <f t="shared" ca="1" si="5"/>
        <v>#NAME?</v>
      </c>
      <c r="CV14" s="25" t="e">
        <f t="shared" ca="1" si="5"/>
        <v>#NAME?</v>
      </c>
      <c r="CW14" s="25" t="e">
        <f t="shared" ca="1" si="5"/>
        <v>#NAME?</v>
      </c>
      <c r="CX14" s="25" t="e">
        <f t="shared" ca="1" si="5"/>
        <v>#NAME?</v>
      </c>
    </row>
    <row r="15" spans="1:103" x14ac:dyDescent="0.25">
      <c r="A15" s="1"/>
      <c r="B15" s="26" t="s">
        <v>22</v>
      </c>
      <c r="C15" s="26"/>
      <c r="D15" s="26"/>
      <c r="E15" s="26"/>
      <c r="F15" s="26"/>
      <c r="G15" s="26"/>
      <c r="H15" s="26"/>
      <c r="I15" s="26"/>
      <c r="J15" s="26"/>
      <c r="K15" s="26"/>
      <c r="L15" s="26"/>
      <c r="M15" s="26"/>
      <c r="N15" s="26"/>
      <c r="O15" s="26"/>
      <c r="P15" s="26"/>
      <c r="Q15" s="26"/>
      <c r="R15" s="26"/>
      <c r="S15" s="24"/>
      <c r="T15" s="24"/>
      <c r="U15" s="24"/>
      <c r="V15" s="24"/>
      <c r="W15" s="25"/>
      <c r="X15" s="25"/>
      <c r="Y15" s="25"/>
      <c r="Z15" s="25"/>
      <c r="AA15" s="25">
        <f t="shared" ref="AA15:CD15" si="12">+AA14-W14</f>
        <v>0</v>
      </c>
      <c r="AB15" s="25">
        <f t="shared" si="12"/>
        <v>0</v>
      </c>
      <c r="AC15" s="25">
        <f t="shared" si="12"/>
        <v>0</v>
      </c>
      <c r="AD15" s="25">
        <f t="shared" si="12"/>
        <v>0</v>
      </c>
      <c r="AE15" s="25">
        <f t="shared" si="12"/>
        <v>0</v>
      </c>
      <c r="AF15" s="25">
        <f t="shared" si="12"/>
        <v>0</v>
      </c>
      <c r="AG15" s="25">
        <f t="shared" si="12"/>
        <v>0</v>
      </c>
      <c r="AH15" s="25">
        <f t="shared" si="12"/>
        <v>0</v>
      </c>
      <c r="AI15" s="25">
        <f t="shared" si="12"/>
        <v>0</v>
      </c>
      <c r="AJ15" s="25">
        <f t="shared" si="12"/>
        <v>0</v>
      </c>
      <c r="AK15" s="25">
        <f t="shared" si="12"/>
        <v>0</v>
      </c>
      <c r="AL15" s="25">
        <f t="shared" si="12"/>
        <v>0</v>
      </c>
      <c r="AM15" s="25">
        <f t="shared" si="12"/>
        <v>0</v>
      </c>
      <c r="AN15" s="25">
        <f t="shared" si="12"/>
        <v>0</v>
      </c>
      <c r="AO15" s="25">
        <f t="shared" si="12"/>
        <v>0</v>
      </c>
      <c r="AP15" s="25">
        <f t="shared" si="12"/>
        <v>0</v>
      </c>
      <c r="AQ15" s="25">
        <f t="shared" si="12"/>
        <v>0</v>
      </c>
      <c r="AR15" s="25">
        <f t="shared" si="12"/>
        <v>0</v>
      </c>
      <c r="AS15" s="25">
        <f t="shared" si="12"/>
        <v>4.5</v>
      </c>
      <c r="AT15" s="25">
        <f t="shared" si="12"/>
        <v>7.8</v>
      </c>
      <c r="AU15" s="25">
        <f t="shared" si="12"/>
        <v>10.1</v>
      </c>
      <c r="AV15" s="25">
        <f t="shared" si="12"/>
        <v>13.4</v>
      </c>
      <c r="AW15" s="25">
        <f t="shared" si="12"/>
        <v>12.8</v>
      </c>
      <c r="AX15" s="25">
        <f t="shared" si="12"/>
        <v>11.5</v>
      </c>
      <c r="AY15" s="25">
        <f t="shared" si="12"/>
        <v>11.6</v>
      </c>
      <c r="AZ15" s="25">
        <f t="shared" si="12"/>
        <v>11.6</v>
      </c>
      <c r="BA15" s="25">
        <f t="shared" si="12"/>
        <v>14.8</v>
      </c>
      <c r="BB15" s="25">
        <f t="shared" si="12"/>
        <v>19.099999999999998</v>
      </c>
      <c r="BC15" s="25">
        <f t="shared" si="12"/>
        <v>20.000000000000004</v>
      </c>
      <c r="BD15" s="25">
        <f t="shared" si="12"/>
        <v>21.6</v>
      </c>
      <c r="BE15" s="25">
        <f t="shared" si="12"/>
        <v>22.699999999999996</v>
      </c>
      <c r="BF15" s="25" t="e">
        <f t="shared" ca="1" si="12"/>
        <v>#NAME?</v>
      </c>
      <c r="BG15" s="25" t="e">
        <f t="shared" ca="1" si="12"/>
        <v>#NAME?</v>
      </c>
      <c r="BH15" s="25" t="e">
        <f t="shared" ca="1" si="12"/>
        <v>#NAME?</v>
      </c>
      <c r="BI15" s="25" t="e">
        <f t="shared" ca="1" si="12"/>
        <v>#NAME?</v>
      </c>
      <c r="BJ15" s="25" t="e">
        <f t="shared" ca="1" si="12"/>
        <v>#NAME?</v>
      </c>
      <c r="BK15" s="25" t="e">
        <f t="shared" ca="1" si="12"/>
        <v>#NAME?</v>
      </c>
      <c r="BL15" s="25" t="e">
        <f t="shared" ca="1" si="12"/>
        <v>#NAME?</v>
      </c>
      <c r="BM15" s="25" t="e">
        <f t="shared" ca="1" si="12"/>
        <v>#NAME?</v>
      </c>
      <c r="BN15" s="25" t="e">
        <f t="shared" ca="1" si="12"/>
        <v>#NAME?</v>
      </c>
      <c r="BO15" s="25" t="e">
        <f t="shared" ca="1" si="12"/>
        <v>#NAME?</v>
      </c>
      <c r="BP15" s="25" t="e">
        <f t="shared" ca="1" si="12"/>
        <v>#NAME?</v>
      </c>
      <c r="BQ15" s="25" t="e">
        <f t="shared" ca="1" si="12"/>
        <v>#NAME?</v>
      </c>
      <c r="BR15" s="25" t="e">
        <f t="shared" ca="1" si="12"/>
        <v>#NAME?</v>
      </c>
      <c r="BS15" s="25" t="e">
        <f t="shared" ca="1" si="12"/>
        <v>#NAME?</v>
      </c>
      <c r="BT15" s="25" t="e">
        <f t="shared" ca="1" si="12"/>
        <v>#NAME?</v>
      </c>
      <c r="BU15" s="25" t="e">
        <f t="shared" ca="1" si="12"/>
        <v>#NAME?</v>
      </c>
      <c r="BV15" s="25" t="e">
        <f t="shared" ca="1" si="12"/>
        <v>#NAME?</v>
      </c>
      <c r="BW15" s="25" t="e">
        <f t="shared" ca="1" si="12"/>
        <v>#NAME?</v>
      </c>
      <c r="BX15" s="25" t="e">
        <f t="shared" ca="1" si="12"/>
        <v>#NAME?</v>
      </c>
      <c r="BY15" s="25" t="e">
        <f t="shared" ca="1" si="12"/>
        <v>#NAME?</v>
      </c>
      <c r="BZ15" s="25" t="e">
        <f t="shared" ca="1" si="12"/>
        <v>#NAME?</v>
      </c>
      <c r="CA15" s="25" t="e">
        <f t="shared" ca="1" si="12"/>
        <v>#NAME?</v>
      </c>
      <c r="CB15" s="25" t="e">
        <f t="shared" ca="1" si="12"/>
        <v>#NAME?</v>
      </c>
      <c r="CC15" s="25" t="e">
        <f t="shared" ca="1" si="12"/>
        <v>#NAME?</v>
      </c>
      <c r="CD15" s="25" t="e">
        <f t="shared" ca="1" si="12"/>
        <v>#NAME?</v>
      </c>
      <c r="CF15" s="24"/>
      <c r="CG15" s="24"/>
      <c r="CH15" s="24"/>
      <c r="CI15" s="24"/>
      <c r="CJ15" s="24"/>
      <c r="CK15" s="24"/>
      <c r="CL15" s="24"/>
      <c r="CM15" s="25"/>
      <c r="CN15" s="25"/>
      <c r="CO15" s="25"/>
      <c r="CP15" s="25">
        <f t="shared" ref="CP15:CX15" si="13">+CP14-CO14</f>
        <v>7.8</v>
      </c>
      <c r="CQ15" s="25">
        <f t="shared" si="13"/>
        <v>11.5</v>
      </c>
      <c r="CR15" s="25">
        <f t="shared" si="13"/>
        <v>19.099999999999998</v>
      </c>
      <c r="CS15" s="25" t="e">
        <f t="shared" ca="1" si="13"/>
        <v>#NAME?</v>
      </c>
      <c r="CT15" s="25" t="e">
        <f t="shared" ca="1" si="13"/>
        <v>#NAME?</v>
      </c>
      <c r="CU15" s="25" t="e">
        <f t="shared" ca="1" si="13"/>
        <v>#NAME?</v>
      </c>
      <c r="CV15" s="25" t="e">
        <f t="shared" ca="1" si="13"/>
        <v>#NAME?</v>
      </c>
      <c r="CW15" s="25" t="e">
        <f t="shared" ca="1" si="13"/>
        <v>#NAME?</v>
      </c>
      <c r="CX15" s="25" t="e">
        <f t="shared" ca="1" si="13"/>
        <v>#NAME?</v>
      </c>
    </row>
    <row r="16" spans="1:103" x14ac:dyDescent="0.25">
      <c r="A16" s="1"/>
      <c r="B16" s="26"/>
      <c r="C16" s="26"/>
      <c r="D16" s="26"/>
      <c r="E16" s="26"/>
      <c r="F16" s="26"/>
      <c r="G16" s="26"/>
      <c r="H16" s="26"/>
      <c r="I16" s="26"/>
      <c r="J16" s="26"/>
      <c r="K16" s="26"/>
      <c r="L16" s="26"/>
      <c r="M16" s="26"/>
      <c r="N16" s="26"/>
      <c r="O16" s="26"/>
      <c r="P16" s="26"/>
      <c r="Q16" s="26"/>
      <c r="R16" s="26"/>
      <c r="S16" s="24"/>
      <c r="T16" s="24"/>
      <c r="U16" s="24"/>
      <c r="V16" s="24"/>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F16" s="24"/>
      <c r="CG16" s="24"/>
      <c r="CH16" s="24"/>
      <c r="CI16" s="24"/>
      <c r="CJ16" s="24"/>
      <c r="CK16" s="24"/>
      <c r="CL16" s="24"/>
      <c r="CM16" s="25"/>
      <c r="CN16" s="25"/>
      <c r="CO16" s="25"/>
      <c r="CP16" s="25"/>
      <c r="CQ16" s="25"/>
      <c r="CR16" s="25"/>
      <c r="CS16" s="25"/>
      <c r="CT16" s="25"/>
      <c r="CU16" s="25"/>
      <c r="CV16" s="25"/>
      <c r="CW16" s="25"/>
      <c r="CX16" s="25"/>
    </row>
    <row r="17" spans="1:102" x14ac:dyDescent="0.25">
      <c r="A17" s="1"/>
      <c r="B17" s="23" t="s">
        <v>26</v>
      </c>
      <c r="C17" s="23"/>
      <c r="D17" s="23"/>
      <c r="E17" s="23"/>
      <c r="F17" s="23"/>
      <c r="G17" s="23"/>
      <c r="H17" s="23"/>
      <c r="I17" s="23"/>
      <c r="J17" s="23"/>
      <c r="K17" s="23"/>
      <c r="L17" s="23"/>
      <c r="M17" s="23"/>
      <c r="N17" s="23"/>
      <c r="O17" s="23"/>
      <c r="P17" s="23"/>
      <c r="Q17" s="23"/>
      <c r="R17" s="23"/>
      <c r="S17" s="24"/>
      <c r="T17" s="24"/>
      <c r="U17" s="24"/>
      <c r="V17" s="24"/>
      <c r="W17" s="25"/>
      <c r="X17" s="25"/>
      <c r="Y17" s="25"/>
      <c r="Z17" s="25"/>
      <c r="AA17" s="25"/>
      <c r="AB17" s="25"/>
      <c r="AC17" s="25"/>
      <c r="AD17" s="25"/>
      <c r="AE17" s="25"/>
      <c r="AF17" s="25"/>
      <c r="AG17" s="25"/>
      <c r="AH17" s="25"/>
      <c r="AI17" s="25"/>
      <c r="AJ17" s="25"/>
      <c r="AK17" s="25"/>
      <c r="AL17" s="25"/>
      <c r="AM17" s="25"/>
      <c r="AN17" s="25"/>
      <c r="AO17" s="25"/>
      <c r="AP17" s="25"/>
      <c r="AQ17" s="25"/>
      <c r="AR17" s="25" t="e">
        <f ca="1">+SUM($AR676:AR676)</f>
        <v>#NAME?</v>
      </c>
      <c r="AS17" s="25" t="e">
        <f ca="1">+SUM($AR676:AS676)</f>
        <v>#NAME?</v>
      </c>
      <c r="AT17" s="25" t="e">
        <f ca="1">+SUM($AR676:AT676)</f>
        <v>#NAME?</v>
      </c>
      <c r="AU17" s="25" t="e">
        <f ca="1">+SUM($AR676:AU676)</f>
        <v>#NAME?</v>
      </c>
      <c r="AV17" s="25" t="e">
        <f ca="1">+SUM($AR676:AV676)</f>
        <v>#NAME?</v>
      </c>
      <c r="AW17" s="25" t="e">
        <f ca="1">+SUM($AR676:AW676)</f>
        <v>#NAME?</v>
      </c>
      <c r="AX17" s="25" t="e">
        <f ca="1">+SUM($AR676:AX676)</f>
        <v>#NAME?</v>
      </c>
      <c r="AY17" s="25" t="e">
        <f ca="1">+SUM($AR676:AY676)</f>
        <v>#NAME?</v>
      </c>
      <c r="AZ17" s="25" t="e">
        <f ca="1">+SUM($AR676:AZ676)</f>
        <v>#NAME?</v>
      </c>
      <c r="BA17" s="25" t="e">
        <f ca="1">+SUM($AR676:BA676)</f>
        <v>#NAME?</v>
      </c>
      <c r="BB17" s="25" t="e">
        <f ca="1">+SUM($AR676:BB676)</f>
        <v>#NAME?</v>
      </c>
      <c r="BC17" s="25" t="e">
        <f ca="1">+SUM($AR676:BC676)</f>
        <v>#NAME?</v>
      </c>
      <c r="BD17" s="25" t="e">
        <f ca="1">+SUM($AR676:BD676)</f>
        <v>#NAME?</v>
      </c>
      <c r="BE17" s="25" t="e">
        <f ca="1">+SUM($AR676:BE676)</f>
        <v>#NAME?</v>
      </c>
      <c r="BF17" s="25" t="e">
        <f ca="1">+SUM($AR676:BF676)</f>
        <v>#NAME?</v>
      </c>
      <c r="BG17" s="25" t="e">
        <f ca="1">+SUM($AR676:BG676)</f>
        <v>#NAME?</v>
      </c>
      <c r="BH17" s="25" t="e">
        <f ca="1">+SUM($AR676:BH676)</f>
        <v>#NAME?</v>
      </c>
      <c r="BI17" s="25" t="e">
        <f ca="1">+SUM($AR676:BI676)</f>
        <v>#NAME?</v>
      </c>
      <c r="BJ17" s="25" t="e">
        <f ca="1">+SUM($AR676:BJ676)</f>
        <v>#NAME?</v>
      </c>
      <c r="BK17" s="25" t="e">
        <f ca="1">+SUM($AR676:BK676)</f>
        <v>#NAME?</v>
      </c>
      <c r="BL17" s="25" t="e">
        <f ca="1">+SUM($AR676:BL676)</f>
        <v>#NAME?</v>
      </c>
      <c r="BM17" s="25" t="e">
        <f ca="1">+SUM($AR676:BM676)</f>
        <v>#NAME?</v>
      </c>
      <c r="BN17" s="25" t="e">
        <f ca="1">+SUM($AR676:BN676)</f>
        <v>#NAME?</v>
      </c>
      <c r="BO17" s="25" t="e">
        <f ca="1">+SUM($AR676:BO676)</f>
        <v>#NAME?</v>
      </c>
      <c r="BP17" s="25" t="e">
        <f ca="1">+SUM($AR676:BP676)</f>
        <v>#NAME?</v>
      </c>
      <c r="BQ17" s="25" t="e">
        <f ca="1">+SUM($AR676:BQ676)</f>
        <v>#NAME?</v>
      </c>
      <c r="BR17" s="25" t="e">
        <f ca="1">+SUM($AR676:BR676)</f>
        <v>#NAME?</v>
      </c>
      <c r="BS17" s="25" t="e">
        <f ca="1">+SUM($AR676:BS676)</f>
        <v>#NAME?</v>
      </c>
      <c r="BT17" s="25" t="e">
        <f ca="1">+SUM($AR676:BT676)</f>
        <v>#NAME?</v>
      </c>
      <c r="BU17" s="25" t="e">
        <f ca="1">+SUM($AR676:BU676)</f>
        <v>#NAME?</v>
      </c>
      <c r="BV17" s="25" t="e">
        <f ca="1">+SUM($AR676:BV676)</f>
        <v>#NAME?</v>
      </c>
      <c r="BW17" s="25" t="e">
        <f ca="1">+SUM($AR676:BW676)</f>
        <v>#NAME?</v>
      </c>
      <c r="BX17" s="25" t="e">
        <f ca="1">+SUM($AR676:BX676)</f>
        <v>#NAME?</v>
      </c>
      <c r="BY17" s="25" t="e">
        <f ca="1">+SUM($AR676:BY676)</f>
        <v>#NAME?</v>
      </c>
      <c r="BZ17" s="25" t="e">
        <f ca="1">+SUM($AR676:BZ676)</f>
        <v>#NAME?</v>
      </c>
      <c r="CA17" s="25" t="e">
        <f ca="1">+SUM($AR676:CA676)</f>
        <v>#NAME?</v>
      </c>
      <c r="CB17" s="25" t="e">
        <f ca="1">+SUM($AR676:CB676)</f>
        <v>#NAME?</v>
      </c>
      <c r="CC17" s="25" t="e">
        <f ca="1">+SUM($AR676:CC676)</f>
        <v>#NAME?</v>
      </c>
      <c r="CD17" s="25" t="e">
        <f ca="1">+SUM($AR676:CD676)</f>
        <v>#NAME?</v>
      </c>
      <c r="CF17" s="24"/>
      <c r="CG17" s="24"/>
      <c r="CH17" s="24"/>
      <c r="CI17" s="24"/>
      <c r="CJ17" s="24"/>
      <c r="CK17" s="24"/>
      <c r="CL17" s="24"/>
      <c r="CM17" s="25">
        <f t="shared" ref="CM17:CX17" si="14">+SUMIF($S$5:$CD$5,"="&amp;CM$5,$S17:$CD17)</f>
        <v>0</v>
      </c>
      <c r="CN17" s="25">
        <f t="shared" si="14"/>
        <v>0</v>
      </c>
      <c r="CO17" s="25">
        <f t="shared" si="14"/>
        <v>0</v>
      </c>
      <c r="CP17" s="25" t="e">
        <f t="shared" ca="1" si="14"/>
        <v>#NAME?</v>
      </c>
      <c r="CQ17" s="25" t="e">
        <f t="shared" ca="1" si="14"/>
        <v>#NAME?</v>
      </c>
      <c r="CR17" s="25" t="e">
        <f t="shared" ca="1" si="14"/>
        <v>#NAME?</v>
      </c>
      <c r="CS17" s="25" t="e">
        <f t="shared" ca="1" si="14"/>
        <v>#NAME?</v>
      </c>
      <c r="CT17" s="25" t="e">
        <f t="shared" ca="1" si="14"/>
        <v>#NAME?</v>
      </c>
      <c r="CU17" s="25" t="e">
        <f t="shared" ca="1" si="14"/>
        <v>#NAME?</v>
      </c>
      <c r="CV17" s="25" t="e">
        <f t="shared" ca="1" si="14"/>
        <v>#NAME?</v>
      </c>
      <c r="CW17" s="25" t="e">
        <f t="shared" ca="1" si="14"/>
        <v>#NAME?</v>
      </c>
      <c r="CX17" s="25" t="e">
        <f t="shared" ca="1" si="14"/>
        <v>#NAME?</v>
      </c>
    </row>
    <row r="18" spans="1:102" x14ac:dyDescent="0.25">
      <c r="A18" s="1"/>
      <c r="B18" s="26" t="s">
        <v>22</v>
      </c>
      <c r="C18" s="26"/>
      <c r="D18" s="26"/>
      <c r="E18" s="26"/>
      <c r="F18" s="26"/>
      <c r="G18" s="26"/>
      <c r="H18" s="26"/>
      <c r="I18" s="26"/>
      <c r="J18" s="26"/>
      <c r="K18" s="26"/>
      <c r="L18" s="26"/>
      <c r="M18" s="26"/>
      <c r="N18" s="26"/>
      <c r="O18" s="26"/>
      <c r="P18" s="26"/>
      <c r="Q18" s="26"/>
      <c r="R18" s="26"/>
      <c r="S18" s="24"/>
      <c r="T18" s="24"/>
      <c r="U18" s="24"/>
      <c r="V18" s="24"/>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t="e">
        <f t="shared" ref="AV18:CD18" ca="1" si="15">+AV17-AR17</f>
        <v>#NAME?</v>
      </c>
      <c r="AW18" s="25" t="e">
        <f t="shared" ca="1" si="15"/>
        <v>#NAME?</v>
      </c>
      <c r="AX18" s="25" t="e">
        <f t="shared" ca="1" si="15"/>
        <v>#NAME?</v>
      </c>
      <c r="AY18" s="25" t="e">
        <f t="shared" ca="1" si="15"/>
        <v>#NAME?</v>
      </c>
      <c r="AZ18" s="25" t="e">
        <f t="shared" ca="1" si="15"/>
        <v>#NAME?</v>
      </c>
      <c r="BA18" s="25" t="e">
        <f t="shared" ca="1" si="15"/>
        <v>#NAME?</v>
      </c>
      <c r="BB18" s="25" t="e">
        <f t="shared" ca="1" si="15"/>
        <v>#NAME?</v>
      </c>
      <c r="BC18" s="25" t="e">
        <f t="shared" ca="1" si="15"/>
        <v>#NAME?</v>
      </c>
      <c r="BD18" s="25" t="e">
        <f t="shared" ca="1" si="15"/>
        <v>#NAME?</v>
      </c>
      <c r="BE18" s="25" t="e">
        <f t="shared" ca="1" si="15"/>
        <v>#NAME?</v>
      </c>
      <c r="BF18" s="25" t="e">
        <f t="shared" ca="1" si="15"/>
        <v>#NAME?</v>
      </c>
      <c r="BG18" s="25" t="e">
        <f t="shared" ca="1" si="15"/>
        <v>#NAME?</v>
      </c>
      <c r="BH18" s="25" t="e">
        <f t="shared" ca="1" si="15"/>
        <v>#NAME?</v>
      </c>
      <c r="BI18" s="25" t="e">
        <f t="shared" ca="1" si="15"/>
        <v>#NAME?</v>
      </c>
      <c r="BJ18" s="25" t="e">
        <f t="shared" ca="1" si="15"/>
        <v>#NAME?</v>
      </c>
      <c r="BK18" s="25" t="e">
        <f t="shared" ca="1" si="15"/>
        <v>#NAME?</v>
      </c>
      <c r="BL18" s="25" t="e">
        <f t="shared" ca="1" si="15"/>
        <v>#NAME?</v>
      </c>
      <c r="BM18" s="25" t="e">
        <f t="shared" ca="1" si="15"/>
        <v>#NAME?</v>
      </c>
      <c r="BN18" s="25" t="e">
        <f t="shared" ca="1" si="15"/>
        <v>#NAME?</v>
      </c>
      <c r="BO18" s="25" t="e">
        <f t="shared" ca="1" si="15"/>
        <v>#NAME?</v>
      </c>
      <c r="BP18" s="25" t="e">
        <f t="shared" ca="1" si="15"/>
        <v>#NAME?</v>
      </c>
      <c r="BQ18" s="25" t="e">
        <f t="shared" ca="1" si="15"/>
        <v>#NAME?</v>
      </c>
      <c r="BR18" s="25" t="e">
        <f t="shared" ca="1" si="15"/>
        <v>#NAME?</v>
      </c>
      <c r="BS18" s="25" t="e">
        <f t="shared" ca="1" si="15"/>
        <v>#NAME?</v>
      </c>
      <c r="BT18" s="25" t="e">
        <f t="shared" ca="1" si="15"/>
        <v>#NAME?</v>
      </c>
      <c r="BU18" s="25" t="e">
        <f t="shared" ca="1" si="15"/>
        <v>#NAME?</v>
      </c>
      <c r="BV18" s="25" t="e">
        <f t="shared" ca="1" si="15"/>
        <v>#NAME?</v>
      </c>
      <c r="BW18" s="25" t="e">
        <f t="shared" ca="1" si="15"/>
        <v>#NAME?</v>
      </c>
      <c r="BX18" s="25" t="e">
        <f t="shared" ca="1" si="15"/>
        <v>#NAME?</v>
      </c>
      <c r="BY18" s="25" t="e">
        <f t="shared" ca="1" si="15"/>
        <v>#NAME?</v>
      </c>
      <c r="BZ18" s="25" t="e">
        <f t="shared" ca="1" si="15"/>
        <v>#NAME?</v>
      </c>
      <c r="CA18" s="25" t="e">
        <f t="shared" ca="1" si="15"/>
        <v>#NAME?</v>
      </c>
      <c r="CB18" s="25" t="e">
        <f t="shared" ca="1" si="15"/>
        <v>#NAME?</v>
      </c>
      <c r="CC18" s="25" t="e">
        <f t="shared" ca="1" si="15"/>
        <v>#NAME?</v>
      </c>
      <c r="CD18" s="25" t="e">
        <f t="shared" ca="1" si="15"/>
        <v>#NAME?</v>
      </c>
      <c r="CF18" s="24"/>
      <c r="CG18" s="24"/>
      <c r="CH18" s="24"/>
      <c r="CI18" s="24"/>
      <c r="CJ18" s="24"/>
      <c r="CK18" s="24"/>
      <c r="CL18" s="24"/>
      <c r="CM18" s="25">
        <f>+SUMIF($S$5:$CD$5,"="&amp;CM$5,$S18:$CD18)</f>
        <v>0</v>
      </c>
      <c r="CN18" s="25">
        <f>+CN17-CM17</f>
        <v>0</v>
      </c>
      <c r="CO18" s="25">
        <f t="shared" ref="CO18:CX18" si="16">+CO17-CN17</f>
        <v>0</v>
      </c>
      <c r="CP18" s="25" t="e">
        <f t="shared" ca="1" si="16"/>
        <v>#NAME?</v>
      </c>
      <c r="CQ18" s="25" t="e">
        <f t="shared" ca="1" si="16"/>
        <v>#NAME?</v>
      </c>
      <c r="CR18" s="25" t="e">
        <f t="shared" ca="1" si="16"/>
        <v>#NAME?</v>
      </c>
      <c r="CS18" s="25" t="e">
        <f t="shared" ca="1" si="16"/>
        <v>#NAME?</v>
      </c>
      <c r="CT18" s="25" t="e">
        <f t="shared" ca="1" si="16"/>
        <v>#NAME?</v>
      </c>
      <c r="CU18" s="25" t="e">
        <f t="shared" ca="1" si="16"/>
        <v>#NAME?</v>
      </c>
      <c r="CV18" s="25" t="e">
        <f t="shared" ca="1" si="16"/>
        <v>#NAME?</v>
      </c>
      <c r="CW18" s="25" t="e">
        <f t="shared" ca="1" si="16"/>
        <v>#NAME?</v>
      </c>
      <c r="CX18" s="25" t="e">
        <f t="shared" ca="1" si="16"/>
        <v>#NAME?</v>
      </c>
    </row>
    <row r="19" spans="1:102" x14ac:dyDescent="0.25">
      <c r="A19" s="1"/>
      <c r="B19" s="26"/>
      <c r="C19" s="26"/>
      <c r="D19" s="26"/>
      <c r="E19" s="26"/>
      <c r="F19" s="26"/>
      <c r="G19" s="26"/>
      <c r="H19" s="26"/>
      <c r="I19" s="26"/>
      <c r="J19" s="26"/>
      <c r="K19" s="26"/>
      <c r="L19" s="26"/>
      <c r="M19" s="26"/>
      <c r="N19" s="26"/>
      <c r="O19" s="26"/>
      <c r="P19" s="26"/>
      <c r="Q19" s="26"/>
      <c r="R19" s="26"/>
      <c r="S19" s="24"/>
      <c r="T19" s="24"/>
      <c r="U19" s="24"/>
      <c r="V19" s="24"/>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F19" s="24"/>
      <c r="CG19" s="24"/>
      <c r="CH19" s="24"/>
      <c r="CI19" s="24"/>
      <c r="CJ19" s="24"/>
      <c r="CK19" s="24"/>
      <c r="CL19" s="24"/>
      <c r="CM19" s="25"/>
      <c r="CN19" s="25"/>
      <c r="CO19" s="25"/>
      <c r="CP19" s="25"/>
      <c r="CQ19" s="25"/>
      <c r="CR19" s="25"/>
      <c r="CS19" s="25"/>
      <c r="CT19" s="25"/>
      <c r="CU19" s="25"/>
      <c r="CV19" s="25"/>
      <c r="CW19" s="25"/>
      <c r="CX19" s="25"/>
    </row>
    <row r="20" spans="1:102" x14ac:dyDescent="0.25">
      <c r="A20" s="1"/>
      <c r="B20" s="23" t="s">
        <v>27</v>
      </c>
      <c r="C20" s="23"/>
      <c r="D20" s="23"/>
      <c r="E20" s="23"/>
      <c r="F20" s="23"/>
      <c r="G20" s="23"/>
      <c r="H20" s="23"/>
      <c r="I20" s="23"/>
      <c r="J20" s="23"/>
      <c r="K20" s="23"/>
      <c r="L20" s="23"/>
      <c r="M20" s="23"/>
      <c r="N20" s="23"/>
      <c r="O20" s="23"/>
      <c r="P20" s="23"/>
      <c r="Q20" s="23"/>
      <c r="R20" s="23"/>
      <c r="S20" s="24"/>
      <c r="T20" s="24"/>
      <c r="U20" s="24"/>
      <c r="V20" s="24"/>
      <c r="W20" s="25" t="e">
        <f ca="1">+SUM($V662:W662)</f>
        <v>#NAME?</v>
      </c>
      <c r="X20" s="25" t="e">
        <f ca="1">+SUM($V662:X662)</f>
        <v>#NAME?</v>
      </c>
      <c r="Y20" s="25" t="e">
        <f ca="1">+SUM($V662:Y662)</f>
        <v>#NAME?</v>
      </c>
      <c r="Z20" s="25" t="e">
        <f ca="1">+SUM($V662:Z662)</f>
        <v>#NAME?</v>
      </c>
      <c r="AA20" s="25" t="e">
        <f ca="1">+SUM($V662:AA662)</f>
        <v>#NAME?</v>
      </c>
      <c r="AB20" s="25" t="e">
        <f ca="1">+SUM($V662:AB662)</f>
        <v>#NAME?</v>
      </c>
      <c r="AC20" s="25" t="e">
        <f ca="1">+SUM($V662:AC662)</f>
        <v>#NAME?</v>
      </c>
      <c r="AD20" s="25" t="e">
        <f ca="1">+SUM($V662:AD662)</f>
        <v>#NAME?</v>
      </c>
      <c r="AE20" s="25" t="e">
        <f ca="1">+SUM($V662:AE662)</f>
        <v>#NAME?</v>
      </c>
      <c r="AF20" s="25" t="e">
        <f ca="1">+SUM($V662:AF662)</f>
        <v>#NAME?</v>
      </c>
      <c r="AG20" s="25" t="e">
        <f ca="1">+SUM($V662:AG662)</f>
        <v>#NAME?</v>
      </c>
      <c r="AH20" s="25" t="e">
        <f ca="1">+SUM($V662:AH662)</f>
        <v>#NAME?</v>
      </c>
      <c r="AI20" s="25" t="e">
        <f ca="1">+SUM($V662:AI662)</f>
        <v>#NAME?</v>
      </c>
      <c r="AJ20" s="25" t="e">
        <f ca="1">+SUM($V662:AJ662)</f>
        <v>#NAME?</v>
      </c>
      <c r="AK20" s="25" t="e">
        <f ca="1">+SUM($V662:AK662)</f>
        <v>#NAME?</v>
      </c>
      <c r="AL20" s="25" t="e">
        <f ca="1">+SUM($V662:AL662)</f>
        <v>#NAME?</v>
      </c>
      <c r="AM20" s="25" t="e">
        <f ca="1">+SUM($V662:AM662)</f>
        <v>#NAME?</v>
      </c>
      <c r="AN20" s="25" t="e">
        <f ca="1">+SUM($V662:AN662)</f>
        <v>#NAME?</v>
      </c>
      <c r="AO20" s="25" t="e">
        <f ca="1">+SUM($V662:AO662)</f>
        <v>#NAME?</v>
      </c>
      <c r="AP20" s="25" t="e">
        <f ca="1">+SUM($V662:AP662)</f>
        <v>#NAME?</v>
      </c>
      <c r="AQ20" s="25" t="e">
        <f ca="1">+SUM($V662:AQ662)</f>
        <v>#NAME?</v>
      </c>
      <c r="AR20" s="25" t="e">
        <f ca="1">+SUM($V662:AR662)</f>
        <v>#NAME?</v>
      </c>
      <c r="AS20" s="25" t="e">
        <f ca="1">+SUM($V662:AS662)</f>
        <v>#NAME?</v>
      </c>
      <c r="AT20" s="25" t="e">
        <f ca="1">+SUM($V662:AT662)</f>
        <v>#NAME?</v>
      </c>
      <c r="AU20" s="25" t="e">
        <f ca="1">+SUM($V662:AU662)</f>
        <v>#NAME?</v>
      </c>
      <c r="AV20" s="25" t="e">
        <f ca="1">+SUM($V662:AV662)</f>
        <v>#NAME?</v>
      </c>
      <c r="AW20" s="25" t="e">
        <f ca="1">+SUM($V662:AW662)</f>
        <v>#NAME?</v>
      </c>
      <c r="AX20" s="25" t="e">
        <f ca="1">+SUM($V662:AX662)</f>
        <v>#NAME?</v>
      </c>
      <c r="AY20" s="25" t="e">
        <f ca="1">+SUM($V662:AY662)</f>
        <v>#NAME?</v>
      </c>
      <c r="AZ20" s="25" t="e">
        <f ca="1">+SUM($V662:AZ662)</f>
        <v>#NAME?</v>
      </c>
      <c r="BA20" s="25" t="e">
        <f ca="1">+SUM($V662:BA662)</f>
        <v>#NAME?</v>
      </c>
      <c r="BB20" s="25" t="e">
        <f ca="1">+SUM($V662:BB662)</f>
        <v>#NAME?</v>
      </c>
      <c r="BC20" s="25" t="e">
        <f ca="1">+SUM($V662:BC662)</f>
        <v>#NAME?</v>
      </c>
      <c r="BD20" s="25" t="e">
        <f ca="1">+SUM($V662:BD662)</f>
        <v>#NAME?</v>
      </c>
      <c r="BE20" s="25" t="e">
        <f ca="1">+SUM($V662:BE662)</f>
        <v>#NAME?</v>
      </c>
      <c r="BF20" s="25" t="e">
        <f ca="1">+SUM($V662:BF662)</f>
        <v>#NAME?</v>
      </c>
      <c r="BG20" s="25" t="e">
        <f ca="1">+SUM($V662:BG662)</f>
        <v>#NAME?</v>
      </c>
      <c r="BH20" s="25" t="e">
        <f ca="1">+SUM($V662:BH662)</f>
        <v>#NAME?</v>
      </c>
      <c r="BI20" s="25" t="e">
        <f ca="1">+SUM($V662:BI662)</f>
        <v>#NAME?</v>
      </c>
      <c r="BJ20" s="25" t="e">
        <f ca="1">+SUM($V662:BJ662)</f>
        <v>#NAME?</v>
      </c>
      <c r="BK20" s="25" t="e">
        <f ca="1">+SUM($V662:BK662)</f>
        <v>#NAME?</v>
      </c>
      <c r="BL20" s="25" t="e">
        <f ca="1">+SUM($V662:BL662)</f>
        <v>#NAME?</v>
      </c>
      <c r="BM20" s="25" t="e">
        <f ca="1">+SUM($V662:BM662)</f>
        <v>#NAME?</v>
      </c>
      <c r="BN20" s="25" t="e">
        <f ca="1">+SUM($V662:BN662)</f>
        <v>#NAME?</v>
      </c>
      <c r="BO20" s="25" t="e">
        <f ca="1">+SUM($V662:BO662)</f>
        <v>#NAME?</v>
      </c>
      <c r="BP20" s="25" t="e">
        <f ca="1">+SUM($V662:BP662)</f>
        <v>#NAME?</v>
      </c>
      <c r="BQ20" s="25" t="e">
        <f ca="1">+SUM($V662:BQ662)</f>
        <v>#NAME?</v>
      </c>
      <c r="BR20" s="25" t="e">
        <f ca="1">+SUM($V662:BR662)</f>
        <v>#NAME?</v>
      </c>
      <c r="BS20" s="25" t="e">
        <f ca="1">+SUM($V662:BS662)</f>
        <v>#NAME?</v>
      </c>
      <c r="BT20" s="25" t="e">
        <f ca="1">+SUM($V662:BT662)</f>
        <v>#NAME?</v>
      </c>
      <c r="BU20" s="25" t="e">
        <f ca="1">+SUM($V662:BU662)</f>
        <v>#NAME?</v>
      </c>
      <c r="BV20" s="25" t="e">
        <f ca="1">+SUM($V662:BV662)</f>
        <v>#NAME?</v>
      </c>
      <c r="BW20" s="25" t="e">
        <f ca="1">+SUM($V662:BW662)</f>
        <v>#NAME?</v>
      </c>
      <c r="BX20" s="25" t="e">
        <f ca="1">+SUM($V662:BX662)</f>
        <v>#NAME?</v>
      </c>
      <c r="BY20" s="25" t="e">
        <f ca="1">+SUM($V662:BY662)</f>
        <v>#NAME?</v>
      </c>
      <c r="BZ20" s="25" t="e">
        <f ca="1">+SUM($V662:BZ662)</f>
        <v>#NAME?</v>
      </c>
      <c r="CA20" s="25" t="e">
        <f ca="1">+SUM($V662:CA662)</f>
        <v>#NAME?</v>
      </c>
      <c r="CB20" s="25" t="e">
        <f ca="1">+SUM($V662:CB662)</f>
        <v>#NAME?</v>
      </c>
      <c r="CC20" s="25" t="e">
        <f ca="1">+SUM($V662:CC662)</f>
        <v>#NAME?</v>
      </c>
      <c r="CD20" s="25" t="e">
        <f ca="1">+SUM($V662:CD662)</f>
        <v>#NAME?</v>
      </c>
      <c r="CF20" s="24"/>
      <c r="CG20" s="24"/>
      <c r="CH20" s="24"/>
      <c r="CI20" s="24"/>
      <c r="CJ20" s="24"/>
      <c r="CK20" s="24"/>
      <c r="CL20" s="24"/>
      <c r="CM20" s="25" t="e">
        <f t="shared" ref="CM20:CX20" ca="1" si="17">+SUMIF($S$5:$CD$5,"="&amp;CM$5,$S20:$CD20)</f>
        <v>#NAME?</v>
      </c>
      <c r="CN20" s="25" t="e">
        <f t="shared" ca="1" si="17"/>
        <v>#NAME?</v>
      </c>
      <c r="CO20" s="25" t="e">
        <f t="shared" ca="1" si="17"/>
        <v>#NAME?</v>
      </c>
      <c r="CP20" s="25" t="e">
        <f t="shared" ca="1" si="17"/>
        <v>#NAME?</v>
      </c>
      <c r="CQ20" s="25" t="e">
        <f t="shared" ca="1" si="17"/>
        <v>#NAME?</v>
      </c>
      <c r="CR20" s="25" t="e">
        <f t="shared" ca="1" si="17"/>
        <v>#NAME?</v>
      </c>
      <c r="CS20" s="25" t="e">
        <f t="shared" ca="1" si="17"/>
        <v>#NAME?</v>
      </c>
      <c r="CT20" s="25" t="e">
        <f t="shared" ca="1" si="17"/>
        <v>#NAME?</v>
      </c>
      <c r="CU20" s="25" t="e">
        <f t="shared" ca="1" si="17"/>
        <v>#NAME?</v>
      </c>
      <c r="CV20" s="25" t="e">
        <f t="shared" ca="1" si="17"/>
        <v>#NAME?</v>
      </c>
      <c r="CW20" s="25" t="e">
        <f t="shared" ca="1" si="17"/>
        <v>#NAME?</v>
      </c>
      <c r="CX20" s="25" t="e">
        <f t="shared" ca="1" si="17"/>
        <v>#NAME?</v>
      </c>
    </row>
    <row r="21" spans="1:102" x14ac:dyDescent="0.25">
      <c r="A21" s="1"/>
      <c r="B21" s="26" t="s">
        <v>22</v>
      </c>
      <c r="C21" s="26"/>
      <c r="D21" s="26"/>
      <c r="E21" s="26"/>
      <c r="F21" s="26"/>
      <c r="G21" s="26"/>
      <c r="H21" s="26"/>
      <c r="I21" s="26"/>
      <c r="J21" s="26"/>
      <c r="K21" s="26"/>
      <c r="L21" s="26"/>
      <c r="M21" s="26"/>
      <c r="N21" s="26"/>
      <c r="O21" s="26"/>
      <c r="P21" s="26"/>
      <c r="Q21" s="26"/>
      <c r="R21" s="26"/>
      <c r="S21" s="24"/>
      <c r="T21" s="24"/>
      <c r="U21" s="24"/>
      <c r="V21" s="24"/>
      <c r="W21" s="25"/>
      <c r="X21" s="25"/>
      <c r="Y21" s="25"/>
      <c r="Z21" s="25"/>
      <c r="AA21" s="25" t="e">
        <f t="shared" ref="AA21:CD21" ca="1" si="18">+AA20-W20</f>
        <v>#NAME?</v>
      </c>
      <c r="AB21" s="25" t="e">
        <f t="shared" ca="1" si="18"/>
        <v>#NAME?</v>
      </c>
      <c r="AC21" s="25" t="e">
        <f t="shared" ca="1" si="18"/>
        <v>#NAME?</v>
      </c>
      <c r="AD21" s="25" t="e">
        <f t="shared" ca="1" si="18"/>
        <v>#NAME?</v>
      </c>
      <c r="AE21" s="25" t="e">
        <f t="shared" ca="1" si="18"/>
        <v>#NAME?</v>
      </c>
      <c r="AF21" s="25" t="e">
        <f t="shared" ca="1" si="18"/>
        <v>#NAME?</v>
      </c>
      <c r="AG21" s="25" t="e">
        <f t="shared" ca="1" si="18"/>
        <v>#NAME?</v>
      </c>
      <c r="AH21" s="25" t="e">
        <f t="shared" ca="1" si="18"/>
        <v>#NAME?</v>
      </c>
      <c r="AI21" s="25" t="e">
        <f t="shared" ca="1" si="18"/>
        <v>#NAME?</v>
      </c>
      <c r="AJ21" s="25" t="e">
        <f t="shared" ca="1" si="18"/>
        <v>#NAME?</v>
      </c>
      <c r="AK21" s="25" t="e">
        <f t="shared" ca="1" si="18"/>
        <v>#NAME?</v>
      </c>
      <c r="AL21" s="25" t="e">
        <f t="shared" ca="1" si="18"/>
        <v>#NAME?</v>
      </c>
      <c r="AM21" s="25" t="e">
        <f t="shared" ca="1" si="18"/>
        <v>#NAME?</v>
      </c>
      <c r="AN21" s="25" t="e">
        <f t="shared" ca="1" si="18"/>
        <v>#NAME?</v>
      </c>
      <c r="AO21" s="25" t="e">
        <f t="shared" ca="1" si="18"/>
        <v>#NAME?</v>
      </c>
      <c r="AP21" s="25" t="e">
        <f t="shared" ca="1" si="18"/>
        <v>#NAME?</v>
      </c>
      <c r="AQ21" s="25" t="e">
        <f t="shared" ca="1" si="18"/>
        <v>#NAME?</v>
      </c>
      <c r="AR21" s="25" t="e">
        <f t="shared" ca="1" si="18"/>
        <v>#NAME?</v>
      </c>
      <c r="AS21" s="25" t="e">
        <f t="shared" ca="1" si="18"/>
        <v>#NAME?</v>
      </c>
      <c r="AT21" s="25" t="e">
        <f t="shared" ca="1" si="18"/>
        <v>#NAME?</v>
      </c>
      <c r="AU21" s="25" t="e">
        <f t="shared" ca="1" si="18"/>
        <v>#NAME?</v>
      </c>
      <c r="AV21" s="25" t="e">
        <f t="shared" ca="1" si="18"/>
        <v>#NAME?</v>
      </c>
      <c r="AW21" s="25" t="e">
        <f t="shared" ca="1" si="18"/>
        <v>#NAME?</v>
      </c>
      <c r="AX21" s="25" t="e">
        <f t="shared" ca="1" si="18"/>
        <v>#NAME?</v>
      </c>
      <c r="AY21" s="25" t="e">
        <f t="shared" ca="1" si="18"/>
        <v>#NAME?</v>
      </c>
      <c r="AZ21" s="25" t="e">
        <f t="shared" ca="1" si="18"/>
        <v>#NAME?</v>
      </c>
      <c r="BA21" s="25" t="e">
        <f t="shared" ca="1" si="18"/>
        <v>#NAME?</v>
      </c>
      <c r="BB21" s="25" t="e">
        <f t="shared" ca="1" si="18"/>
        <v>#NAME?</v>
      </c>
      <c r="BC21" s="25" t="e">
        <f t="shared" ca="1" si="18"/>
        <v>#NAME?</v>
      </c>
      <c r="BD21" s="25" t="e">
        <f t="shared" ca="1" si="18"/>
        <v>#NAME?</v>
      </c>
      <c r="BE21" s="25" t="e">
        <f t="shared" ca="1" si="18"/>
        <v>#NAME?</v>
      </c>
      <c r="BF21" s="25" t="e">
        <f t="shared" ca="1" si="18"/>
        <v>#NAME?</v>
      </c>
      <c r="BG21" s="25" t="e">
        <f t="shared" ca="1" si="18"/>
        <v>#NAME?</v>
      </c>
      <c r="BH21" s="25" t="e">
        <f t="shared" ca="1" si="18"/>
        <v>#NAME?</v>
      </c>
      <c r="BI21" s="25" t="e">
        <f t="shared" ca="1" si="18"/>
        <v>#NAME?</v>
      </c>
      <c r="BJ21" s="25" t="e">
        <f t="shared" ca="1" si="18"/>
        <v>#NAME?</v>
      </c>
      <c r="BK21" s="25" t="e">
        <f t="shared" ca="1" si="18"/>
        <v>#NAME?</v>
      </c>
      <c r="BL21" s="25" t="e">
        <f t="shared" ca="1" si="18"/>
        <v>#NAME?</v>
      </c>
      <c r="BM21" s="25" t="e">
        <f t="shared" ca="1" si="18"/>
        <v>#NAME?</v>
      </c>
      <c r="BN21" s="25" t="e">
        <f t="shared" ca="1" si="18"/>
        <v>#NAME?</v>
      </c>
      <c r="BO21" s="25" t="e">
        <f t="shared" ca="1" si="18"/>
        <v>#NAME?</v>
      </c>
      <c r="BP21" s="25" t="e">
        <f t="shared" ca="1" si="18"/>
        <v>#NAME?</v>
      </c>
      <c r="BQ21" s="25" t="e">
        <f t="shared" ca="1" si="18"/>
        <v>#NAME?</v>
      </c>
      <c r="BR21" s="25" t="e">
        <f t="shared" ca="1" si="18"/>
        <v>#NAME?</v>
      </c>
      <c r="BS21" s="25" t="e">
        <f t="shared" ca="1" si="18"/>
        <v>#NAME?</v>
      </c>
      <c r="BT21" s="25" t="e">
        <f t="shared" ca="1" si="18"/>
        <v>#NAME?</v>
      </c>
      <c r="BU21" s="25" t="e">
        <f t="shared" ca="1" si="18"/>
        <v>#NAME?</v>
      </c>
      <c r="BV21" s="25" t="e">
        <f t="shared" ca="1" si="18"/>
        <v>#NAME?</v>
      </c>
      <c r="BW21" s="25" t="e">
        <f t="shared" ca="1" si="18"/>
        <v>#NAME?</v>
      </c>
      <c r="BX21" s="25" t="e">
        <f t="shared" ca="1" si="18"/>
        <v>#NAME?</v>
      </c>
      <c r="BY21" s="25" t="e">
        <f t="shared" ca="1" si="18"/>
        <v>#NAME?</v>
      </c>
      <c r="BZ21" s="25" t="e">
        <f t="shared" ca="1" si="18"/>
        <v>#NAME?</v>
      </c>
      <c r="CA21" s="25" t="e">
        <f t="shared" ca="1" si="18"/>
        <v>#NAME?</v>
      </c>
      <c r="CB21" s="25" t="e">
        <f t="shared" ca="1" si="18"/>
        <v>#NAME?</v>
      </c>
      <c r="CC21" s="25" t="e">
        <f t="shared" ca="1" si="18"/>
        <v>#NAME?</v>
      </c>
      <c r="CD21" s="25" t="e">
        <f t="shared" ca="1" si="18"/>
        <v>#NAME?</v>
      </c>
      <c r="CF21" s="24"/>
      <c r="CG21" s="24"/>
      <c r="CH21" s="24"/>
      <c r="CI21" s="24"/>
      <c r="CJ21" s="24"/>
      <c r="CK21" s="24"/>
      <c r="CL21" s="24"/>
      <c r="CM21" s="25"/>
      <c r="CN21" s="25" t="e">
        <f ca="1">+CN20-CM20</f>
        <v>#NAME?</v>
      </c>
      <c r="CO21" s="25" t="e">
        <f t="shared" ref="CO21:CX21" ca="1" si="19">+CO20-CN20</f>
        <v>#NAME?</v>
      </c>
      <c r="CP21" s="25" t="e">
        <f t="shared" ca="1" si="19"/>
        <v>#NAME?</v>
      </c>
      <c r="CQ21" s="25" t="e">
        <f t="shared" ca="1" si="19"/>
        <v>#NAME?</v>
      </c>
      <c r="CR21" s="25" t="e">
        <f t="shared" ca="1" si="19"/>
        <v>#NAME?</v>
      </c>
      <c r="CS21" s="25" t="e">
        <f t="shared" ca="1" si="19"/>
        <v>#NAME?</v>
      </c>
      <c r="CT21" s="25" t="e">
        <f t="shared" ca="1" si="19"/>
        <v>#NAME?</v>
      </c>
      <c r="CU21" s="25" t="e">
        <f t="shared" ca="1" si="19"/>
        <v>#NAME?</v>
      </c>
      <c r="CV21" s="25" t="e">
        <f t="shared" ca="1" si="19"/>
        <v>#NAME?</v>
      </c>
      <c r="CW21" s="25" t="e">
        <f t="shared" ca="1" si="19"/>
        <v>#NAME?</v>
      </c>
      <c r="CX21" s="25" t="e">
        <f t="shared" ca="1" si="19"/>
        <v>#NAME?</v>
      </c>
    </row>
    <row r="22" spans="1:102" x14ac:dyDescent="0.25">
      <c r="A22" s="1"/>
      <c r="B22" s="26"/>
      <c r="C22" s="26"/>
      <c r="D22" s="26"/>
      <c r="E22" s="26"/>
      <c r="F22" s="26"/>
      <c r="G22" s="26"/>
      <c r="H22" s="26"/>
      <c r="I22" s="26"/>
      <c r="J22" s="26"/>
      <c r="K22" s="26"/>
      <c r="L22" s="26"/>
      <c r="M22" s="26"/>
      <c r="N22" s="26"/>
      <c r="O22" s="26"/>
      <c r="P22" s="26"/>
      <c r="Q22" s="26"/>
      <c r="R22" s="26"/>
      <c r="S22" s="24"/>
      <c r="T22" s="24"/>
      <c r="U22" s="24"/>
      <c r="V22" s="24"/>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F22" s="24"/>
      <c r="CG22" s="24"/>
      <c r="CH22" s="24"/>
      <c r="CI22" s="24"/>
      <c r="CJ22" s="24"/>
      <c r="CK22" s="24"/>
      <c r="CL22" s="24"/>
      <c r="CM22" s="29"/>
      <c r="CN22" s="29"/>
      <c r="CO22" s="29"/>
      <c r="CP22" s="29"/>
      <c r="CQ22" s="29"/>
      <c r="CR22" s="29"/>
      <c r="CS22" s="29"/>
      <c r="CT22" s="29"/>
      <c r="CU22" s="29"/>
      <c r="CV22" s="29"/>
      <c r="CW22" s="29"/>
      <c r="CX22" s="29"/>
    </row>
    <row r="23" spans="1:102" x14ac:dyDescent="0.25">
      <c r="A23" s="1"/>
      <c r="B23" s="30" t="s">
        <v>28</v>
      </c>
      <c r="C23" s="31"/>
      <c r="D23" s="31"/>
      <c r="E23" s="31"/>
      <c r="F23" s="31"/>
      <c r="G23" s="31"/>
      <c r="H23" s="31"/>
      <c r="I23" s="31"/>
      <c r="J23" s="31"/>
      <c r="K23" s="31"/>
      <c r="L23" s="31"/>
      <c r="M23" s="31"/>
      <c r="N23" s="31"/>
      <c r="O23" s="31"/>
      <c r="P23" s="31"/>
      <c r="Q23" s="31"/>
      <c r="R23" s="31"/>
      <c r="S23" s="32"/>
      <c r="T23" s="32"/>
      <c r="U23" s="32"/>
      <c r="V23" s="32"/>
      <c r="W23" s="33" t="e">
        <f ca="1">+W8+W11</f>
        <v>#NAME?</v>
      </c>
      <c r="X23" s="33" t="e">
        <f t="shared" ref="X23:CD23" ca="1" si="20">+X8+X11</f>
        <v>#NAME?</v>
      </c>
      <c r="Y23" s="33" t="e">
        <f t="shared" ca="1" si="20"/>
        <v>#NAME?</v>
      </c>
      <c r="Z23" s="33" t="e">
        <f t="shared" ca="1" si="20"/>
        <v>#NAME?</v>
      </c>
      <c r="AA23" s="33" t="e">
        <f t="shared" ca="1" si="20"/>
        <v>#NAME?</v>
      </c>
      <c r="AB23" s="33" t="e">
        <f t="shared" ca="1" si="20"/>
        <v>#NAME?</v>
      </c>
      <c r="AC23" s="33" t="e">
        <f t="shared" ca="1" si="20"/>
        <v>#NAME?</v>
      </c>
      <c r="AD23" s="33" t="e">
        <f t="shared" ca="1" si="20"/>
        <v>#NAME?</v>
      </c>
      <c r="AE23" s="33" t="e">
        <f t="shared" ca="1" si="20"/>
        <v>#NAME?</v>
      </c>
      <c r="AF23" s="33" t="e">
        <f t="shared" ca="1" si="20"/>
        <v>#NAME?</v>
      </c>
      <c r="AG23" s="33" t="e">
        <f t="shared" ca="1" si="20"/>
        <v>#NAME?</v>
      </c>
      <c r="AH23" s="33" t="e">
        <f t="shared" ca="1" si="20"/>
        <v>#NAME?</v>
      </c>
      <c r="AI23" s="33" t="e">
        <f t="shared" ca="1" si="20"/>
        <v>#NAME?</v>
      </c>
      <c r="AJ23" s="33" t="e">
        <f t="shared" ca="1" si="20"/>
        <v>#NAME?</v>
      </c>
      <c r="AK23" s="33" t="e">
        <f t="shared" ca="1" si="20"/>
        <v>#NAME?</v>
      </c>
      <c r="AL23" s="33" t="e">
        <f t="shared" ca="1" si="20"/>
        <v>#NAME?</v>
      </c>
      <c r="AM23" s="33" t="e">
        <f t="shared" ca="1" si="20"/>
        <v>#NAME?</v>
      </c>
      <c r="AN23" s="33" t="e">
        <f t="shared" ca="1" si="20"/>
        <v>#NAME?</v>
      </c>
      <c r="AO23" s="33" t="e">
        <f t="shared" ca="1" si="20"/>
        <v>#NAME?</v>
      </c>
      <c r="AP23" s="33" t="e">
        <f t="shared" ca="1" si="20"/>
        <v>#NAME?</v>
      </c>
      <c r="AQ23" s="33" t="e">
        <f t="shared" ca="1" si="20"/>
        <v>#NAME?</v>
      </c>
      <c r="AR23" s="33" t="e">
        <f t="shared" ca="1" si="20"/>
        <v>#NAME?</v>
      </c>
      <c r="AS23" s="33" t="e">
        <f t="shared" ca="1" si="20"/>
        <v>#NAME?</v>
      </c>
      <c r="AT23" s="33" t="e">
        <f t="shared" ca="1" si="20"/>
        <v>#NAME?</v>
      </c>
      <c r="AU23" s="33" t="e">
        <f t="shared" ca="1" si="20"/>
        <v>#NAME?</v>
      </c>
      <c r="AV23" s="33" t="e">
        <f t="shared" ca="1" si="20"/>
        <v>#NAME?</v>
      </c>
      <c r="AW23" s="33" t="e">
        <f t="shared" ca="1" si="20"/>
        <v>#NAME?</v>
      </c>
      <c r="AX23" s="33" t="e">
        <f t="shared" ca="1" si="20"/>
        <v>#NAME?</v>
      </c>
      <c r="AY23" s="33" t="e">
        <f t="shared" ca="1" si="20"/>
        <v>#NAME?</v>
      </c>
      <c r="AZ23" s="33" t="e">
        <f t="shared" ca="1" si="20"/>
        <v>#NAME?</v>
      </c>
      <c r="BA23" s="33" t="e">
        <f t="shared" ca="1" si="20"/>
        <v>#NAME?</v>
      </c>
      <c r="BB23" s="33" t="e">
        <f t="shared" ca="1" si="20"/>
        <v>#NAME?</v>
      </c>
      <c r="BC23" s="33" t="e">
        <f t="shared" ca="1" si="20"/>
        <v>#NAME?</v>
      </c>
      <c r="BD23" s="33" t="e">
        <f t="shared" ca="1" si="20"/>
        <v>#NAME?</v>
      </c>
      <c r="BE23" s="33" t="e">
        <f t="shared" ca="1" si="20"/>
        <v>#NAME?</v>
      </c>
      <c r="BF23" s="33" t="e">
        <f t="shared" ca="1" si="20"/>
        <v>#NAME?</v>
      </c>
      <c r="BG23" s="33" t="e">
        <f t="shared" ca="1" si="20"/>
        <v>#NAME?</v>
      </c>
      <c r="BH23" s="33" t="e">
        <f t="shared" ca="1" si="20"/>
        <v>#NAME?</v>
      </c>
      <c r="BI23" s="33" t="e">
        <f t="shared" ca="1" si="20"/>
        <v>#NAME?</v>
      </c>
      <c r="BJ23" s="33" t="e">
        <f t="shared" ca="1" si="20"/>
        <v>#NAME?</v>
      </c>
      <c r="BK23" s="33" t="e">
        <f t="shared" ca="1" si="20"/>
        <v>#NAME?</v>
      </c>
      <c r="BL23" s="33" t="e">
        <f t="shared" ca="1" si="20"/>
        <v>#NAME?</v>
      </c>
      <c r="BM23" s="33" t="e">
        <f t="shared" ca="1" si="20"/>
        <v>#NAME?</v>
      </c>
      <c r="BN23" s="33" t="e">
        <f t="shared" ca="1" si="20"/>
        <v>#NAME?</v>
      </c>
      <c r="BO23" s="33" t="e">
        <f t="shared" ca="1" si="20"/>
        <v>#NAME?</v>
      </c>
      <c r="BP23" s="33" t="e">
        <f t="shared" ca="1" si="20"/>
        <v>#NAME?</v>
      </c>
      <c r="BQ23" s="33" t="e">
        <f t="shared" ca="1" si="20"/>
        <v>#NAME?</v>
      </c>
      <c r="BR23" s="33" t="e">
        <f t="shared" ca="1" si="20"/>
        <v>#NAME?</v>
      </c>
      <c r="BS23" s="33" t="e">
        <f t="shared" ca="1" si="20"/>
        <v>#NAME?</v>
      </c>
      <c r="BT23" s="33" t="e">
        <f t="shared" ca="1" si="20"/>
        <v>#NAME?</v>
      </c>
      <c r="BU23" s="33" t="e">
        <f t="shared" ca="1" si="20"/>
        <v>#NAME?</v>
      </c>
      <c r="BV23" s="33" t="e">
        <f t="shared" ca="1" si="20"/>
        <v>#NAME?</v>
      </c>
      <c r="BW23" s="33" t="e">
        <f t="shared" ca="1" si="20"/>
        <v>#NAME?</v>
      </c>
      <c r="BX23" s="33" t="e">
        <f t="shared" ca="1" si="20"/>
        <v>#NAME?</v>
      </c>
      <c r="BY23" s="33" t="e">
        <f t="shared" ca="1" si="20"/>
        <v>#NAME?</v>
      </c>
      <c r="BZ23" s="33" t="e">
        <f t="shared" ca="1" si="20"/>
        <v>#NAME?</v>
      </c>
      <c r="CA23" s="33" t="e">
        <f t="shared" ca="1" si="20"/>
        <v>#NAME?</v>
      </c>
      <c r="CB23" s="33" t="e">
        <f t="shared" ca="1" si="20"/>
        <v>#NAME?</v>
      </c>
      <c r="CC23" s="33" t="e">
        <f t="shared" ca="1" si="20"/>
        <v>#NAME?</v>
      </c>
      <c r="CD23" s="33" t="e">
        <f t="shared" ca="1" si="20"/>
        <v>#NAME?</v>
      </c>
      <c r="CF23" s="32"/>
      <c r="CG23" s="32"/>
      <c r="CH23" s="32"/>
      <c r="CI23" s="33">
        <f t="shared" ref="CI23:CX23" si="21">+CI8+CI11</f>
        <v>0</v>
      </c>
      <c r="CJ23" s="33">
        <f t="shared" si="21"/>
        <v>0</v>
      </c>
      <c r="CK23" s="33">
        <f t="shared" si="21"/>
        <v>0</v>
      </c>
      <c r="CL23" s="33">
        <f t="shared" si="21"/>
        <v>0</v>
      </c>
      <c r="CM23" s="33" t="e">
        <f t="shared" ca="1" si="21"/>
        <v>#NAME?</v>
      </c>
      <c r="CN23" s="33" t="e">
        <f t="shared" ca="1" si="21"/>
        <v>#NAME?</v>
      </c>
      <c r="CO23" s="33" t="e">
        <f t="shared" ca="1" si="21"/>
        <v>#NAME?</v>
      </c>
      <c r="CP23" s="33" t="e">
        <f t="shared" ca="1" si="21"/>
        <v>#NAME?</v>
      </c>
      <c r="CQ23" s="33" t="e">
        <f t="shared" ca="1" si="21"/>
        <v>#NAME?</v>
      </c>
      <c r="CR23" s="33" t="e">
        <f t="shared" ca="1" si="21"/>
        <v>#NAME?</v>
      </c>
      <c r="CS23" s="33" t="e">
        <f t="shared" ca="1" si="21"/>
        <v>#NAME?</v>
      </c>
      <c r="CT23" s="33" t="e">
        <f t="shared" ca="1" si="21"/>
        <v>#NAME?</v>
      </c>
      <c r="CU23" s="33" t="e">
        <f t="shared" ca="1" si="21"/>
        <v>#NAME?</v>
      </c>
      <c r="CV23" s="33" t="e">
        <f t="shared" ca="1" si="21"/>
        <v>#NAME?</v>
      </c>
      <c r="CW23" s="33" t="e">
        <f t="shared" ca="1" si="21"/>
        <v>#NAME?</v>
      </c>
      <c r="CX23" s="33" t="e">
        <f t="shared" ca="1" si="21"/>
        <v>#NAME?</v>
      </c>
    </row>
    <row r="24" spans="1:102" x14ac:dyDescent="0.25">
      <c r="A24" s="1"/>
      <c r="B24" s="30" t="s">
        <v>29</v>
      </c>
      <c r="C24" s="31"/>
      <c r="D24" s="31"/>
      <c r="E24" s="31"/>
      <c r="F24" s="31"/>
      <c r="G24" s="31"/>
      <c r="H24" s="31"/>
      <c r="I24" s="31"/>
      <c r="J24" s="31"/>
      <c r="K24" s="31"/>
      <c r="L24" s="31"/>
      <c r="M24" s="31"/>
      <c r="N24" s="31"/>
      <c r="O24" s="31"/>
      <c r="P24" s="31"/>
      <c r="Q24" s="31"/>
      <c r="R24" s="31"/>
      <c r="S24" s="32"/>
      <c r="T24" s="32"/>
      <c r="U24" s="32"/>
      <c r="V24" s="32"/>
      <c r="W24" s="33">
        <f>+W14+W17</f>
        <v>0</v>
      </c>
      <c r="X24" s="33">
        <f t="shared" ref="X24:CD24" si="22">+X14+X17</f>
        <v>0</v>
      </c>
      <c r="Y24" s="33">
        <f t="shared" si="22"/>
        <v>0</v>
      </c>
      <c r="Z24" s="33">
        <f t="shared" si="22"/>
        <v>0</v>
      </c>
      <c r="AA24" s="33">
        <f t="shared" si="22"/>
        <v>0</v>
      </c>
      <c r="AB24" s="33">
        <f t="shared" si="22"/>
        <v>0</v>
      </c>
      <c r="AC24" s="33">
        <f t="shared" si="22"/>
        <v>0</v>
      </c>
      <c r="AD24" s="33">
        <f t="shared" si="22"/>
        <v>0</v>
      </c>
      <c r="AE24" s="33">
        <f t="shared" si="22"/>
        <v>0</v>
      </c>
      <c r="AF24" s="33">
        <f t="shared" si="22"/>
        <v>0</v>
      </c>
      <c r="AG24" s="33">
        <f t="shared" si="22"/>
        <v>0</v>
      </c>
      <c r="AH24" s="33">
        <f t="shared" si="22"/>
        <v>0</v>
      </c>
      <c r="AI24" s="33">
        <f t="shared" si="22"/>
        <v>0</v>
      </c>
      <c r="AJ24" s="33">
        <f t="shared" si="22"/>
        <v>0</v>
      </c>
      <c r="AK24" s="33">
        <f t="shared" si="22"/>
        <v>0</v>
      </c>
      <c r="AL24" s="33">
        <f t="shared" si="22"/>
        <v>0</v>
      </c>
      <c r="AM24" s="33">
        <f t="shared" si="22"/>
        <v>0</v>
      </c>
      <c r="AN24" s="33">
        <f t="shared" si="22"/>
        <v>0</v>
      </c>
      <c r="AO24" s="33">
        <f t="shared" si="22"/>
        <v>0</v>
      </c>
      <c r="AP24" s="33">
        <f t="shared" si="22"/>
        <v>0</v>
      </c>
      <c r="AQ24" s="33">
        <f t="shared" si="22"/>
        <v>0</v>
      </c>
      <c r="AR24" s="33" t="e">
        <f t="shared" ca="1" si="22"/>
        <v>#NAME?</v>
      </c>
      <c r="AS24" s="33" t="e">
        <f t="shared" ca="1" si="22"/>
        <v>#NAME?</v>
      </c>
      <c r="AT24" s="33" t="e">
        <f t="shared" ca="1" si="22"/>
        <v>#NAME?</v>
      </c>
      <c r="AU24" s="33" t="e">
        <f t="shared" ca="1" si="22"/>
        <v>#NAME?</v>
      </c>
      <c r="AV24" s="33" t="e">
        <f t="shared" ca="1" si="22"/>
        <v>#NAME?</v>
      </c>
      <c r="AW24" s="33" t="e">
        <f t="shared" ca="1" si="22"/>
        <v>#NAME?</v>
      </c>
      <c r="AX24" s="33" t="e">
        <f t="shared" ca="1" si="22"/>
        <v>#NAME?</v>
      </c>
      <c r="AY24" s="33" t="e">
        <f t="shared" ca="1" si="22"/>
        <v>#NAME?</v>
      </c>
      <c r="AZ24" s="33" t="e">
        <f t="shared" ca="1" si="22"/>
        <v>#NAME?</v>
      </c>
      <c r="BA24" s="33" t="e">
        <f t="shared" ca="1" si="22"/>
        <v>#NAME?</v>
      </c>
      <c r="BB24" s="33" t="e">
        <f t="shared" ca="1" si="22"/>
        <v>#NAME?</v>
      </c>
      <c r="BC24" s="33" t="e">
        <f t="shared" ca="1" si="22"/>
        <v>#NAME?</v>
      </c>
      <c r="BD24" s="33" t="e">
        <f t="shared" ca="1" si="22"/>
        <v>#NAME?</v>
      </c>
      <c r="BE24" s="33" t="e">
        <f t="shared" ca="1" si="22"/>
        <v>#NAME?</v>
      </c>
      <c r="BF24" s="33" t="e">
        <f t="shared" ca="1" si="22"/>
        <v>#NAME?</v>
      </c>
      <c r="BG24" s="33" t="e">
        <f t="shared" ca="1" si="22"/>
        <v>#NAME?</v>
      </c>
      <c r="BH24" s="33" t="e">
        <f t="shared" ca="1" si="22"/>
        <v>#NAME?</v>
      </c>
      <c r="BI24" s="33" t="e">
        <f t="shared" ca="1" si="22"/>
        <v>#NAME?</v>
      </c>
      <c r="BJ24" s="33" t="e">
        <f t="shared" ca="1" si="22"/>
        <v>#NAME?</v>
      </c>
      <c r="BK24" s="33" t="e">
        <f t="shared" ca="1" si="22"/>
        <v>#NAME?</v>
      </c>
      <c r="BL24" s="33" t="e">
        <f t="shared" ca="1" si="22"/>
        <v>#NAME?</v>
      </c>
      <c r="BM24" s="33" t="e">
        <f t="shared" ca="1" si="22"/>
        <v>#NAME?</v>
      </c>
      <c r="BN24" s="33" t="e">
        <f t="shared" ca="1" si="22"/>
        <v>#NAME?</v>
      </c>
      <c r="BO24" s="33" t="e">
        <f t="shared" ca="1" si="22"/>
        <v>#NAME?</v>
      </c>
      <c r="BP24" s="33" t="e">
        <f t="shared" ca="1" si="22"/>
        <v>#NAME?</v>
      </c>
      <c r="BQ24" s="33" t="e">
        <f t="shared" ca="1" si="22"/>
        <v>#NAME?</v>
      </c>
      <c r="BR24" s="33" t="e">
        <f t="shared" ca="1" si="22"/>
        <v>#NAME?</v>
      </c>
      <c r="BS24" s="33" t="e">
        <f t="shared" ca="1" si="22"/>
        <v>#NAME?</v>
      </c>
      <c r="BT24" s="33" t="e">
        <f t="shared" ca="1" si="22"/>
        <v>#NAME?</v>
      </c>
      <c r="BU24" s="33" t="e">
        <f t="shared" ca="1" si="22"/>
        <v>#NAME?</v>
      </c>
      <c r="BV24" s="33" t="e">
        <f t="shared" ca="1" si="22"/>
        <v>#NAME?</v>
      </c>
      <c r="BW24" s="33" t="e">
        <f t="shared" ca="1" si="22"/>
        <v>#NAME?</v>
      </c>
      <c r="BX24" s="33" t="e">
        <f t="shared" ca="1" si="22"/>
        <v>#NAME?</v>
      </c>
      <c r="BY24" s="33" t="e">
        <f t="shared" ca="1" si="22"/>
        <v>#NAME?</v>
      </c>
      <c r="BZ24" s="33" t="e">
        <f t="shared" ca="1" si="22"/>
        <v>#NAME?</v>
      </c>
      <c r="CA24" s="33" t="e">
        <f t="shared" ca="1" si="22"/>
        <v>#NAME?</v>
      </c>
      <c r="CB24" s="33" t="e">
        <f t="shared" ca="1" si="22"/>
        <v>#NAME?</v>
      </c>
      <c r="CC24" s="33" t="e">
        <f t="shared" ca="1" si="22"/>
        <v>#NAME?</v>
      </c>
      <c r="CD24" s="33" t="e">
        <f t="shared" ca="1" si="22"/>
        <v>#NAME?</v>
      </c>
      <c r="CF24" s="32"/>
      <c r="CG24" s="32"/>
      <c r="CH24" s="32"/>
      <c r="CI24" s="33">
        <f t="shared" ref="CI24:CX24" si="23">+CI14+CI17</f>
        <v>0</v>
      </c>
      <c r="CJ24" s="33">
        <f t="shared" si="23"/>
        <v>0</v>
      </c>
      <c r="CK24" s="33">
        <f t="shared" si="23"/>
        <v>0</v>
      </c>
      <c r="CL24" s="33">
        <f t="shared" si="23"/>
        <v>0</v>
      </c>
      <c r="CM24" s="33">
        <f t="shared" si="23"/>
        <v>0</v>
      </c>
      <c r="CN24" s="33">
        <f t="shared" si="23"/>
        <v>0</v>
      </c>
      <c r="CO24" s="33">
        <f t="shared" si="23"/>
        <v>0</v>
      </c>
      <c r="CP24" s="33" t="e">
        <f t="shared" ca="1" si="23"/>
        <v>#NAME?</v>
      </c>
      <c r="CQ24" s="33" t="e">
        <f t="shared" ca="1" si="23"/>
        <v>#NAME?</v>
      </c>
      <c r="CR24" s="33" t="e">
        <f t="shared" ca="1" si="23"/>
        <v>#NAME?</v>
      </c>
      <c r="CS24" s="33" t="e">
        <f t="shared" ca="1" si="23"/>
        <v>#NAME?</v>
      </c>
      <c r="CT24" s="33" t="e">
        <f t="shared" ca="1" si="23"/>
        <v>#NAME?</v>
      </c>
      <c r="CU24" s="33" t="e">
        <f t="shared" ca="1" si="23"/>
        <v>#NAME?</v>
      </c>
      <c r="CV24" s="33" t="e">
        <f t="shared" ca="1" si="23"/>
        <v>#NAME?</v>
      </c>
      <c r="CW24" s="33" t="e">
        <f t="shared" ca="1" si="23"/>
        <v>#NAME?</v>
      </c>
      <c r="CX24" s="33" t="e">
        <f t="shared" ca="1" si="23"/>
        <v>#NAME?</v>
      </c>
    </row>
    <row r="25" spans="1:102" ht="15" customHeight="1" x14ac:dyDescent="0.25">
      <c r="A25" s="1"/>
    </row>
    <row r="26" spans="1:102" ht="15.75" thickBot="1" x14ac:dyDescent="0.3">
      <c r="A26" s="1" t="s">
        <v>18</v>
      </c>
      <c r="B26" s="34" t="s">
        <v>30</v>
      </c>
      <c r="C26" s="34"/>
      <c r="D26" s="34"/>
      <c r="E26" s="34"/>
      <c r="F26" s="34"/>
      <c r="G26" s="34"/>
      <c r="H26" s="34"/>
      <c r="I26" s="34"/>
      <c r="J26" s="34"/>
      <c r="K26" s="34"/>
      <c r="L26" s="34"/>
      <c r="M26" s="34"/>
      <c r="N26" s="34"/>
      <c r="O26" s="34"/>
      <c r="P26" s="34"/>
      <c r="Q26" s="34"/>
      <c r="R26" s="34"/>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F26" s="35"/>
      <c r="CG26" s="35"/>
      <c r="CH26" s="35"/>
      <c r="CI26" s="35"/>
      <c r="CJ26" s="35"/>
      <c r="CK26" s="35"/>
      <c r="CL26" s="35"/>
      <c r="CM26" s="35"/>
      <c r="CN26" s="35"/>
      <c r="CO26" s="35"/>
      <c r="CP26" s="35"/>
      <c r="CQ26" s="35"/>
      <c r="CR26" s="35"/>
      <c r="CS26" s="35"/>
      <c r="CT26" s="35"/>
      <c r="CU26" s="35"/>
      <c r="CV26" s="35"/>
      <c r="CW26" s="35"/>
      <c r="CX26" s="35"/>
    </row>
    <row r="27" spans="1:102" s="36" customFormat="1" x14ac:dyDescent="0.25">
      <c r="B27" s="36" t="s">
        <v>31</v>
      </c>
      <c r="S27" s="36">
        <f t="shared" ref="S27:BG27" si="24">+S259</f>
        <v>775</v>
      </c>
      <c r="T27" s="36">
        <f t="shared" si="24"/>
        <v>1220</v>
      </c>
      <c r="U27" s="36">
        <f t="shared" si="24"/>
        <v>1428</v>
      </c>
      <c r="V27" s="36">
        <f t="shared" si="24"/>
        <v>896</v>
      </c>
      <c r="W27" s="36">
        <f t="shared" si="24"/>
        <v>693</v>
      </c>
      <c r="X27" s="36">
        <f t="shared" si="24"/>
        <v>1146</v>
      </c>
      <c r="Y27" s="36">
        <f t="shared" si="24"/>
        <v>1803</v>
      </c>
      <c r="Z27" s="36">
        <f t="shared" si="24"/>
        <v>924</v>
      </c>
      <c r="AA27" s="36">
        <f t="shared" si="24"/>
        <v>682</v>
      </c>
      <c r="AB27" s="36">
        <f t="shared" si="24"/>
        <v>1098</v>
      </c>
      <c r="AC27" s="36">
        <f t="shared" si="24"/>
        <v>2070</v>
      </c>
      <c r="AD27" s="36">
        <f t="shared" si="24"/>
        <v>1092</v>
      </c>
      <c r="AE27" s="36">
        <f t="shared" si="24"/>
        <v>775</v>
      </c>
      <c r="AF27" s="36">
        <f t="shared" si="24"/>
        <v>1179</v>
      </c>
      <c r="AG27" s="36">
        <f t="shared" si="24"/>
        <v>1971</v>
      </c>
      <c r="AH27" s="36">
        <f t="shared" si="24"/>
        <v>1255</v>
      </c>
      <c r="AI27" s="36">
        <f t="shared" si="24"/>
        <v>798</v>
      </c>
      <c r="AJ27" s="36">
        <f t="shared" si="24"/>
        <v>1266</v>
      </c>
      <c r="AK27" s="36">
        <f t="shared" si="24"/>
        <v>1657</v>
      </c>
      <c r="AL27" s="36">
        <f t="shared" si="24"/>
        <v>1411</v>
      </c>
      <c r="AM27" s="36">
        <f t="shared" si="24"/>
        <v>782</v>
      </c>
      <c r="AN27" s="36">
        <f t="shared" si="24"/>
        <v>1313</v>
      </c>
      <c r="AO27" s="36">
        <f t="shared" si="24"/>
        <v>2021</v>
      </c>
      <c r="AP27" s="36">
        <f t="shared" si="24"/>
        <v>1256</v>
      </c>
      <c r="AQ27" s="36">
        <f t="shared" si="24"/>
        <v>1390</v>
      </c>
      <c r="AR27" s="36">
        <f t="shared" si="24"/>
        <v>910</v>
      </c>
      <c r="AS27" s="36">
        <f t="shared" si="24"/>
        <v>2400</v>
      </c>
      <c r="AT27" s="36">
        <f t="shared" si="24"/>
        <v>1490</v>
      </c>
      <c r="AU27" s="36">
        <f t="shared" si="24"/>
        <v>1336</v>
      </c>
      <c r="AV27" s="36">
        <f t="shared" si="24"/>
        <v>1851</v>
      </c>
      <c r="AW27" s="36">
        <f t="shared" si="24"/>
        <v>2577</v>
      </c>
      <c r="AX27" s="36">
        <f t="shared" si="24"/>
        <v>1751</v>
      </c>
      <c r="AY27" s="36">
        <f t="shared" si="24"/>
        <v>1299</v>
      </c>
      <c r="AZ27" s="36">
        <f t="shared" si="24"/>
        <v>1754</v>
      </c>
      <c r="BA27" s="36">
        <f t="shared" si="24"/>
        <v>2342</v>
      </c>
      <c r="BB27" s="36">
        <f t="shared" si="24"/>
        <v>1946</v>
      </c>
      <c r="BC27" s="36">
        <f t="shared" si="24"/>
        <v>1578</v>
      </c>
      <c r="BD27" s="36">
        <f t="shared" si="24"/>
        <v>1820</v>
      </c>
      <c r="BE27" s="36">
        <f t="shared" si="24"/>
        <v>2366</v>
      </c>
      <c r="BF27" s="36">
        <f t="shared" si="24"/>
        <v>1666</v>
      </c>
      <c r="BG27" s="36">
        <f t="shared" si="24"/>
        <v>1262</v>
      </c>
      <c r="CE27"/>
      <c r="CN27" s="36">
        <f t="shared" ref="CN27:CS27" si="25">+CN259</f>
        <v>5132</v>
      </c>
      <c r="CO27" s="36">
        <f t="shared" si="25"/>
        <v>5372</v>
      </c>
      <c r="CP27" s="36">
        <f t="shared" si="25"/>
        <v>6190</v>
      </c>
      <c r="CQ27" s="36">
        <f t="shared" si="25"/>
        <v>7515</v>
      </c>
      <c r="CR27" s="36">
        <f t="shared" si="25"/>
        <v>7341</v>
      </c>
      <c r="CS27" s="36">
        <f t="shared" si="25"/>
        <v>7430</v>
      </c>
    </row>
    <row r="28" spans="1:102" x14ac:dyDescent="0.25">
      <c r="B28" s="26" t="s">
        <v>32</v>
      </c>
      <c r="C28" s="26"/>
      <c r="D28" s="26"/>
      <c r="E28" s="26"/>
      <c r="F28" s="26"/>
      <c r="G28" s="26"/>
      <c r="H28" s="26"/>
      <c r="I28" s="26"/>
      <c r="J28" s="26"/>
      <c r="K28" s="26"/>
      <c r="L28" s="26"/>
      <c r="M28" s="26"/>
      <c r="N28" s="26"/>
      <c r="O28" s="26"/>
      <c r="P28" s="26"/>
      <c r="Q28" s="26"/>
      <c r="R28" s="26"/>
      <c r="AQ28" t="s">
        <v>33</v>
      </c>
      <c r="AR28" t="s">
        <v>34</v>
      </c>
      <c r="AS28" t="s">
        <v>35</v>
      </c>
      <c r="AU28" t="s">
        <v>35</v>
      </c>
      <c r="AV28" t="s">
        <v>36</v>
      </c>
      <c r="AW28" t="s">
        <v>37</v>
      </c>
      <c r="AY28" t="s">
        <v>36</v>
      </c>
      <c r="AZ28" t="s">
        <v>36</v>
      </c>
      <c r="BA28" t="s">
        <v>36</v>
      </c>
      <c r="BC28" t="s">
        <v>36</v>
      </c>
      <c r="BD28" t="s">
        <v>38</v>
      </c>
      <c r="BE28" t="s">
        <v>38</v>
      </c>
      <c r="BG28" t="s">
        <v>38</v>
      </c>
      <c r="CO28" t="s">
        <v>33</v>
      </c>
      <c r="CP28" t="s">
        <v>35</v>
      </c>
      <c r="CQ28" t="s">
        <v>36</v>
      </c>
      <c r="CR28" t="s">
        <v>36</v>
      </c>
    </row>
    <row r="29" spans="1:102" x14ac:dyDescent="0.25">
      <c r="B29" s="26" t="s">
        <v>39</v>
      </c>
      <c r="C29" s="26"/>
      <c r="D29" s="26"/>
      <c r="E29" s="26"/>
      <c r="F29" s="26"/>
      <c r="G29" s="26"/>
      <c r="H29" s="26"/>
      <c r="I29" s="26"/>
      <c r="J29" s="26"/>
      <c r="K29" s="26"/>
      <c r="L29" s="26"/>
      <c r="M29" s="26"/>
      <c r="N29" s="26"/>
      <c r="O29" s="26"/>
      <c r="P29" s="26"/>
      <c r="Q29" s="26"/>
      <c r="R29" s="26"/>
      <c r="AQ29" t="s">
        <v>40</v>
      </c>
      <c r="AR29" t="s">
        <v>41</v>
      </c>
      <c r="AS29" t="s">
        <v>34</v>
      </c>
      <c r="AU29" t="s">
        <v>41</v>
      </c>
      <c r="AV29" t="s">
        <v>42</v>
      </c>
      <c r="AW29" t="s">
        <v>43</v>
      </c>
      <c r="AY29" t="s">
        <v>44</v>
      </c>
      <c r="AZ29" t="s">
        <v>42</v>
      </c>
      <c r="BA29" t="s">
        <v>44</v>
      </c>
      <c r="BC29" t="s">
        <v>45</v>
      </c>
      <c r="BD29" t="s">
        <v>46</v>
      </c>
      <c r="BE29" t="s">
        <v>46</v>
      </c>
      <c r="BG29" t="s">
        <v>42</v>
      </c>
      <c r="CO29" t="s">
        <v>47</v>
      </c>
      <c r="CP29" t="s">
        <v>42</v>
      </c>
      <c r="CQ29" t="s">
        <v>42</v>
      </c>
      <c r="CR29" t="s">
        <v>44</v>
      </c>
    </row>
    <row r="30" spans="1:102" x14ac:dyDescent="0.25">
      <c r="B30" s="26" t="s">
        <v>48</v>
      </c>
      <c r="C30" s="26"/>
      <c r="D30" s="26"/>
      <c r="E30" s="26"/>
      <c r="F30" s="26"/>
      <c r="G30" s="26"/>
      <c r="H30" s="26"/>
      <c r="I30" s="26"/>
      <c r="J30" s="26"/>
      <c r="K30" s="26"/>
      <c r="L30" s="26"/>
      <c r="M30" s="26"/>
      <c r="N30" s="26"/>
      <c r="O30" s="26"/>
      <c r="P30" s="26"/>
      <c r="Q30" s="26"/>
      <c r="R30" s="26"/>
      <c r="AQ30" t="s">
        <v>41</v>
      </c>
      <c r="AR30" t="s">
        <v>40</v>
      </c>
      <c r="AS30" t="s">
        <v>41</v>
      </c>
      <c r="AU30" t="s">
        <v>40</v>
      </c>
      <c r="AV30" t="s">
        <v>49</v>
      </c>
      <c r="AW30" t="s">
        <v>42</v>
      </c>
      <c r="AY30" t="s">
        <v>50</v>
      </c>
      <c r="AZ30" t="s">
        <v>44</v>
      </c>
      <c r="BA30" t="s">
        <v>42</v>
      </c>
      <c r="BC30" t="s">
        <v>42</v>
      </c>
      <c r="BD30" t="s">
        <v>51</v>
      </c>
      <c r="BE30" t="s">
        <v>42</v>
      </c>
      <c r="BG30" t="s">
        <v>52</v>
      </c>
      <c r="CO30" t="s">
        <v>53</v>
      </c>
      <c r="CP30" t="s">
        <v>33</v>
      </c>
      <c r="CQ30" t="s">
        <v>49</v>
      </c>
      <c r="CR30" t="s">
        <v>42</v>
      </c>
    </row>
    <row r="31" spans="1:102" x14ac:dyDescent="0.25">
      <c r="B31" s="26" t="s">
        <v>54</v>
      </c>
      <c r="C31" s="26"/>
      <c r="D31" s="26"/>
      <c r="E31" s="26"/>
      <c r="F31" s="26"/>
      <c r="G31" s="26"/>
      <c r="H31" s="26"/>
      <c r="I31" s="26"/>
      <c r="J31" s="26"/>
      <c r="K31" s="26"/>
      <c r="L31" s="26"/>
      <c r="M31" s="26"/>
      <c r="N31" s="26"/>
      <c r="O31" s="26"/>
      <c r="P31" s="26"/>
      <c r="Q31" s="26"/>
      <c r="R31" s="26"/>
      <c r="AQ31" t="s">
        <v>47</v>
      </c>
      <c r="AR31" t="s">
        <v>55</v>
      </c>
      <c r="AS31" t="s">
        <v>40</v>
      </c>
      <c r="AU31" t="s">
        <v>56</v>
      </c>
      <c r="AV31" t="s">
        <v>40</v>
      </c>
      <c r="AW31" t="s">
        <v>49</v>
      </c>
      <c r="AY31" t="s">
        <v>42</v>
      </c>
      <c r="AZ31" t="s">
        <v>40</v>
      </c>
      <c r="BA31" t="s">
        <v>40</v>
      </c>
      <c r="BC31" t="s">
        <v>40</v>
      </c>
      <c r="BD31" t="s">
        <v>42</v>
      </c>
      <c r="BE31" t="s">
        <v>40</v>
      </c>
      <c r="BG31" t="s">
        <v>57</v>
      </c>
      <c r="CP31" t="s">
        <v>40</v>
      </c>
      <c r="CQ31" t="s">
        <v>40</v>
      </c>
      <c r="CR31" t="s">
        <v>40</v>
      </c>
    </row>
    <row r="32" spans="1:102" x14ac:dyDescent="0.25">
      <c r="B32" s="26" t="s">
        <v>58</v>
      </c>
      <c r="C32" s="26"/>
      <c r="D32" s="26"/>
      <c r="E32" s="26"/>
      <c r="F32" s="26"/>
      <c r="G32" s="26"/>
      <c r="H32" s="26"/>
      <c r="I32" s="26"/>
      <c r="J32" s="26"/>
      <c r="K32" s="26"/>
      <c r="L32" s="26"/>
      <c r="M32" s="26"/>
      <c r="N32" s="26"/>
      <c r="O32" s="26"/>
      <c r="P32" s="26"/>
      <c r="Q32" s="26"/>
      <c r="R32" s="26"/>
      <c r="AU32" t="s">
        <v>59</v>
      </c>
      <c r="AY32" t="s">
        <v>40</v>
      </c>
      <c r="AZ32" t="s">
        <v>50</v>
      </c>
      <c r="BD32" t="s">
        <v>40</v>
      </c>
      <c r="BG32" t="s">
        <v>46</v>
      </c>
      <c r="CP32" t="s">
        <v>34</v>
      </c>
    </row>
    <row r="33" spans="2:93" x14ac:dyDescent="0.25">
      <c r="B33" s="26"/>
      <c r="C33" s="26"/>
      <c r="D33" s="26"/>
      <c r="E33" s="26"/>
      <c r="F33" s="26"/>
      <c r="G33" s="26"/>
      <c r="H33" s="26"/>
      <c r="I33" s="26"/>
      <c r="J33" s="26"/>
      <c r="K33" s="26"/>
      <c r="L33" s="26"/>
      <c r="M33" s="26"/>
      <c r="N33" s="26"/>
      <c r="O33" s="26"/>
      <c r="P33" s="26"/>
      <c r="Q33" s="26"/>
      <c r="R33" s="26"/>
    </row>
    <row r="34" spans="2:93" x14ac:dyDescent="0.25">
      <c r="B34" s="22" t="s">
        <v>60</v>
      </c>
      <c r="C34" s="22"/>
      <c r="D34" s="22"/>
      <c r="E34" s="22"/>
      <c r="F34" s="22"/>
      <c r="G34" s="22"/>
      <c r="H34" s="22"/>
      <c r="I34" s="22"/>
      <c r="J34" s="22"/>
      <c r="K34" s="22"/>
      <c r="L34" s="22"/>
      <c r="M34" s="22"/>
      <c r="N34" s="22"/>
      <c r="O34" s="22"/>
      <c r="P34" s="22"/>
      <c r="Q34" s="22"/>
      <c r="R34" s="22"/>
    </row>
    <row r="35" spans="2:93" x14ac:dyDescent="0.25">
      <c r="B35" s="37" t="s">
        <v>61</v>
      </c>
      <c r="C35" s="37"/>
      <c r="D35" s="37"/>
      <c r="E35" s="37"/>
      <c r="F35" s="37"/>
      <c r="G35" s="37"/>
      <c r="H35" s="37"/>
      <c r="I35" s="37"/>
      <c r="J35" s="37"/>
      <c r="K35" s="37"/>
      <c r="L35" s="37"/>
      <c r="M35" s="37"/>
      <c r="N35" s="37"/>
      <c r="O35" s="37"/>
      <c r="P35" s="37"/>
      <c r="Q35" s="37"/>
      <c r="R35" s="37"/>
      <c r="T35" s="38" t="s">
        <v>62</v>
      </c>
      <c r="U35" s="38" t="s">
        <v>63</v>
      </c>
      <c r="V35" s="38" t="s">
        <v>63</v>
      </c>
      <c r="W35" s="38" t="s">
        <v>63</v>
      </c>
      <c r="X35" s="38" t="s">
        <v>64</v>
      </c>
      <c r="Y35" s="38" t="s">
        <v>63</v>
      </c>
      <c r="Z35" s="38" t="s">
        <v>63</v>
      </c>
      <c r="AA35" s="38" t="s">
        <v>63</v>
      </c>
      <c r="AB35" s="38" t="s">
        <v>65</v>
      </c>
      <c r="AC35" s="38" t="s">
        <v>66</v>
      </c>
      <c r="AD35" s="38" t="s">
        <v>63</v>
      </c>
      <c r="AE35" s="38" t="s">
        <v>63</v>
      </c>
      <c r="AF35" s="38" t="s">
        <v>67</v>
      </c>
      <c r="AG35" s="38" t="s">
        <v>63</v>
      </c>
      <c r="AH35" s="38" t="s">
        <v>63</v>
      </c>
      <c r="AI35" s="38" t="s">
        <v>68</v>
      </c>
      <c r="AJ35" s="38" t="s">
        <v>69</v>
      </c>
      <c r="AK35" s="38" t="s">
        <v>63</v>
      </c>
      <c r="AL35" s="38" t="s">
        <v>63</v>
      </c>
      <c r="AM35" s="38" t="s">
        <v>63</v>
      </c>
      <c r="AN35" s="38" t="s">
        <v>33</v>
      </c>
      <c r="AO35" s="38" t="s">
        <v>63</v>
      </c>
      <c r="AP35" s="38" t="s">
        <v>63</v>
      </c>
      <c r="AQ35" s="38" t="s">
        <v>63</v>
      </c>
      <c r="AR35" s="38" t="s">
        <v>63</v>
      </c>
      <c r="AS35" s="38" t="s">
        <v>35</v>
      </c>
      <c r="AT35" s="38" t="s">
        <v>63</v>
      </c>
      <c r="AU35" s="38" t="s">
        <v>63</v>
      </c>
      <c r="AV35" s="38" t="s">
        <v>63</v>
      </c>
      <c r="AW35" s="38" t="s">
        <v>37</v>
      </c>
      <c r="AX35" s="38" t="s">
        <v>63</v>
      </c>
      <c r="AY35" s="38" t="s">
        <v>63</v>
      </c>
      <c r="AZ35" s="38" t="s">
        <v>51</v>
      </c>
      <c r="BA35" s="38" t="s">
        <v>63</v>
      </c>
      <c r="BB35" s="38" t="s">
        <v>63</v>
      </c>
      <c r="BC35" s="38" t="s">
        <v>63</v>
      </c>
      <c r="BD35" s="38" t="s">
        <v>70</v>
      </c>
      <c r="BE35" s="38" t="s">
        <v>63</v>
      </c>
      <c r="BF35" s="38" t="s">
        <v>63</v>
      </c>
      <c r="BG35" s="38" t="s">
        <v>63</v>
      </c>
      <c r="BH35" s="38" t="s">
        <v>71</v>
      </c>
      <c r="BI35" s="38" t="s">
        <v>63</v>
      </c>
      <c r="BJ35" s="38" t="s">
        <v>63</v>
      </c>
      <c r="BK35" s="39" t="str">
        <f>+BG35</f>
        <v>--</v>
      </c>
      <c r="BL35" s="39" t="str">
        <f t="shared" ref="BL35:CD35" si="26">+BH35</f>
        <v>EA FC 25</v>
      </c>
      <c r="BM35" s="39" t="str">
        <f t="shared" si="26"/>
        <v>--</v>
      </c>
      <c r="BN35" s="39" t="str">
        <f t="shared" si="26"/>
        <v>--</v>
      </c>
      <c r="BO35" s="39" t="str">
        <f t="shared" si="26"/>
        <v>--</v>
      </c>
      <c r="BP35" s="39" t="str">
        <f t="shared" si="26"/>
        <v>EA FC 25</v>
      </c>
      <c r="BQ35" s="39" t="str">
        <f t="shared" si="26"/>
        <v>--</v>
      </c>
      <c r="BR35" s="39" t="str">
        <f t="shared" si="26"/>
        <v>--</v>
      </c>
      <c r="BS35" s="39" t="str">
        <f t="shared" si="26"/>
        <v>--</v>
      </c>
      <c r="BT35" s="39" t="str">
        <f t="shared" si="26"/>
        <v>EA FC 25</v>
      </c>
      <c r="BU35" s="39" t="str">
        <f t="shared" si="26"/>
        <v>--</v>
      </c>
      <c r="BV35" s="39" t="str">
        <f t="shared" si="26"/>
        <v>--</v>
      </c>
      <c r="BW35" s="39" t="str">
        <f t="shared" si="26"/>
        <v>--</v>
      </c>
      <c r="BX35" s="39" t="str">
        <f t="shared" si="26"/>
        <v>EA FC 25</v>
      </c>
      <c r="BY35" s="39" t="str">
        <f t="shared" si="26"/>
        <v>--</v>
      </c>
      <c r="BZ35" s="39" t="str">
        <f t="shared" si="26"/>
        <v>--</v>
      </c>
      <c r="CA35" s="39" t="str">
        <f t="shared" si="26"/>
        <v>--</v>
      </c>
      <c r="CB35" s="39" t="str">
        <f t="shared" si="26"/>
        <v>EA FC 25</v>
      </c>
      <c r="CC35" s="39" t="str">
        <f t="shared" si="26"/>
        <v>--</v>
      </c>
      <c r="CD35" s="39" t="str">
        <f t="shared" si="26"/>
        <v>--</v>
      </c>
    </row>
    <row r="36" spans="2:93" x14ac:dyDescent="0.25">
      <c r="B36" s="37" t="s">
        <v>42</v>
      </c>
      <c r="C36" s="37"/>
      <c r="D36" s="37"/>
      <c r="E36" s="37"/>
      <c r="F36" s="37"/>
      <c r="G36" s="37"/>
      <c r="H36" s="37"/>
      <c r="I36" s="37"/>
      <c r="J36" s="37"/>
      <c r="K36" s="37"/>
      <c r="L36" s="37"/>
      <c r="M36" s="37"/>
      <c r="N36" s="37"/>
      <c r="O36" s="37"/>
      <c r="P36" s="37"/>
      <c r="Q36" s="37"/>
      <c r="R36" s="37"/>
      <c r="T36" s="38" t="s">
        <v>63</v>
      </c>
      <c r="U36" s="38" t="s">
        <v>63</v>
      </c>
      <c r="V36" s="38" t="s">
        <v>63</v>
      </c>
      <c r="W36" s="38" t="s">
        <v>63</v>
      </c>
      <c r="X36" s="38" t="s">
        <v>63</v>
      </c>
      <c r="Y36" s="38" t="s">
        <v>63</v>
      </c>
      <c r="Z36" s="38" t="s">
        <v>63</v>
      </c>
      <c r="AA36" s="38" t="s">
        <v>63</v>
      </c>
      <c r="AB36" s="38" t="s">
        <v>63</v>
      </c>
      <c r="AC36" s="38" t="s">
        <v>63</v>
      </c>
      <c r="AD36" s="38" t="s">
        <v>63</v>
      </c>
      <c r="AE36" s="38" t="s">
        <v>63</v>
      </c>
      <c r="AF36" s="38" t="s">
        <v>63</v>
      </c>
      <c r="AG36" s="38" t="s">
        <v>63</v>
      </c>
      <c r="AH36" s="38" t="s">
        <v>63</v>
      </c>
      <c r="AI36" s="38" t="s">
        <v>63</v>
      </c>
      <c r="AJ36" s="38" t="s">
        <v>63</v>
      </c>
      <c r="AK36" s="38" t="s">
        <v>63</v>
      </c>
      <c r="AL36" s="38" t="s">
        <v>42</v>
      </c>
      <c r="AM36" s="38" t="s">
        <v>63</v>
      </c>
      <c r="AN36" s="38" t="s">
        <v>63</v>
      </c>
      <c r="AO36" s="38" t="s">
        <v>63</v>
      </c>
      <c r="AP36" s="38" t="s">
        <v>63</v>
      </c>
      <c r="AQ36" s="38" t="s">
        <v>63</v>
      </c>
      <c r="AR36" s="38" t="s">
        <v>63</v>
      </c>
      <c r="AS36" s="38" t="s">
        <v>63</v>
      </c>
      <c r="AT36" s="38" t="s">
        <v>42</v>
      </c>
      <c r="AU36" s="38" t="s">
        <v>63</v>
      </c>
      <c r="AV36" s="38" t="s">
        <v>63</v>
      </c>
      <c r="AW36" s="38" t="s">
        <v>63</v>
      </c>
      <c r="AX36" s="38" t="s">
        <v>42</v>
      </c>
      <c r="AY36" s="38" t="s">
        <v>42</v>
      </c>
      <c r="AZ36" s="38" t="s">
        <v>63</v>
      </c>
      <c r="BA36" s="38" t="s">
        <v>63</v>
      </c>
      <c r="BB36" s="38" t="s">
        <v>63</v>
      </c>
      <c r="BC36" s="38" t="s">
        <v>63</v>
      </c>
      <c r="BD36" s="38" t="s">
        <v>63</v>
      </c>
      <c r="BE36" s="38" t="s">
        <v>63</v>
      </c>
      <c r="BF36" s="38" t="s">
        <v>63</v>
      </c>
      <c r="BG36" s="38" t="s">
        <v>63</v>
      </c>
      <c r="BH36" s="38" t="s">
        <v>63</v>
      </c>
      <c r="BI36" s="38" t="s">
        <v>63</v>
      </c>
      <c r="BJ36" s="38" t="s">
        <v>63</v>
      </c>
      <c r="BK36" s="39"/>
      <c r="BL36" s="39"/>
      <c r="BM36" s="39"/>
      <c r="BN36" s="39"/>
      <c r="BO36" s="39"/>
      <c r="BP36" s="39"/>
      <c r="BQ36" s="39"/>
      <c r="BR36" s="39"/>
      <c r="BS36" s="39"/>
      <c r="BT36" s="39"/>
      <c r="BU36" s="39"/>
      <c r="BV36" s="39"/>
      <c r="BW36" s="39"/>
      <c r="BX36" s="39"/>
      <c r="BY36" s="39"/>
      <c r="BZ36" s="39"/>
      <c r="CA36" s="39"/>
      <c r="CB36" s="39"/>
      <c r="CC36" s="39"/>
      <c r="CD36" s="39"/>
    </row>
    <row r="37" spans="2:93" x14ac:dyDescent="0.25">
      <c r="B37" s="37" t="s">
        <v>72</v>
      </c>
      <c r="C37" s="37"/>
      <c r="D37" s="37"/>
      <c r="E37" s="37"/>
      <c r="F37" s="37"/>
      <c r="G37" s="37"/>
      <c r="H37" s="37"/>
      <c r="I37" s="37"/>
      <c r="J37" s="37"/>
      <c r="K37" s="37"/>
      <c r="L37" s="37"/>
      <c r="M37" s="37"/>
      <c r="N37" s="37"/>
      <c r="O37" s="37"/>
      <c r="P37" s="37"/>
      <c r="Q37" s="37"/>
      <c r="R37" s="37"/>
      <c r="T37" s="38" t="s">
        <v>63</v>
      </c>
      <c r="U37" s="38" t="s">
        <v>63</v>
      </c>
      <c r="V37" s="38" t="s">
        <v>73</v>
      </c>
      <c r="W37" s="38" t="s">
        <v>63</v>
      </c>
      <c r="X37" s="38" t="s">
        <v>63</v>
      </c>
      <c r="Y37" s="38" t="s">
        <v>63</v>
      </c>
      <c r="Z37" s="38" t="s">
        <v>63</v>
      </c>
      <c r="AA37" s="38" t="s">
        <v>63</v>
      </c>
      <c r="AB37" s="38" t="s">
        <v>63</v>
      </c>
      <c r="AC37" s="38" t="s">
        <v>74</v>
      </c>
      <c r="AD37" s="38" t="s">
        <v>63</v>
      </c>
      <c r="AE37" s="38" t="s">
        <v>63</v>
      </c>
      <c r="AF37" s="38" t="s">
        <v>63</v>
      </c>
      <c r="AG37" s="38" t="s">
        <v>63</v>
      </c>
      <c r="AH37" s="38" t="s">
        <v>63</v>
      </c>
      <c r="AI37" s="38" t="s">
        <v>63</v>
      </c>
      <c r="AJ37" s="38" t="s">
        <v>63</v>
      </c>
      <c r="AK37" s="38" t="s">
        <v>75</v>
      </c>
      <c r="AL37" s="38" t="s">
        <v>63</v>
      </c>
      <c r="AM37" s="38" t="s">
        <v>63</v>
      </c>
      <c r="AN37" s="38" t="s">
        <v>63</v>
      </c>
      <c r="AO37" s="38" t="s">
        <v>63</v>
      </c>
      <c r="AP37" s="38" t="s">
        <v>63</v>
      </c>
      <c r="AQ37" s="38" t="s">
        <v>63</v>
      </c>
      <c r="AR37" s="38" t="s">
        <v>63</v>
      </c>
      <c r="AS37" s="38" t="s">
        <v>63</v>
      </c>
      <c r="AT37" s="38" t="s">
        <v>63</v>
      </c>
      <c r="AU37" s="38" t="s">
        <v>63</v>
      </c>
      <c r="AV37" s="38" t="s">
        <v>63</v>
      </c>
      <c r="AW37" s="38" t="s">
        <v>43</v>
      </c>
      <c r="AX37" s="38" t="s">
        <v>63</v>
      </c>
      <c r="AY37" s="38" t="s">
        <v>63</v>
      </c>
      <c r="AZ37" s="38" t="s">
        <v>63</v>
      </c>
      <c r="BA37" s="38" t="s">
        <v>63</v>
      </c>
      <c r="BB37" s="38" t="s">
        <v>63</v>
      </c>
      <c r="BC37" s="38" t="s">
        <v>63</v>
      </c>
      <c r="BD37" s="38" t="s">
        <v>63</v>
      </c>
      <c r="BE37" s="38" t="s">
        <v>63</v>
      </c>
      <c r="BF37" s="38" t="s">
        <v>63</v>
      </c>
      <c r="BG37" s="38" t="s">
        <v>63</v>
      </c>
      <c r="BH37" s="38" t="s">
        <v>63</v>
      </c>
      <c r="BI37" s="38" t="s">
        <v>63</v>
      </c>
      <c r="BJ37" s="38" t="s">
        <v>63</v>
      </c>
      <c r="BK37" s="39"/>
      <c r="BL37" s="39"/>
      <c r="BM37" s="39"/>
      <c r="BN37" s="39"/>
      <c r="BO37" s="39"/>
      <c r="BP37" s="39"/>
      <c r="BQ37" s="39"/>
      <c r="BR37" s="39"/>
      <c r="BS37" s="39"/>
      <c r="BT37" s="39"/>
      <c r="BU37" s="39"/>
      <c r="BV37" s="39"/>
      <c r="BW37" s="39"/>
      <c r="BX37" s="39"/>
      <c r="BY37" s="39"/>
      <c r="BZ37" s="39"/>
      <c r="CA37" s="39"/>
      <c r="CB37" s="39"/>
      <c r="CC37" s="39"/>
      <c r="CD37" s="39"/>
    </row>
    <row r="38" spans="2:93" x14ac:dyDescent="0.25">
      <c r="B38" s="37" t="s">
        <v>76</v>
      </c>
      <c r="C38" s="37"/>
      <c r="D38" s="37"/>
      <c r="E38" s="37"/>
      <c r="F38" s="37"/>
      <c r="G38" s="37"/>
      <c r="H38" s="37"/>
      <c r="I38" s="37"/>
      <c r="J38" s="37"/>
      <c r="K38" s="37"/>
      <c r="L38" s="37"/>
      <c r="M38" s="37"/>
      <c r="N38" s="37"/>
      <c r="O38" s="37"/>
      <c r="P38" s="37"/>
      <c r="Q38" s="37"/>
      <c r="R38" s="37"/>
      <c r="T38" s="38" t="s">
        <v>40</v>
      </c>
      <c r="U38" s="38" t="s">
        <v>63</v>
      </c>
      <c r="V38" s="38" t="s">
        <v>40</v>
      </c>
      <c r="W38" s="38" t="s">
        <v>77</v>
      </c>
      <c r="X38" s="38" t="s">
        <v>63</v>
      </c>
      <c r="Y38" s="38" t="s">
        <v>78</v>
      </c>
      <c r="Z38" s="38" t="s">
        <v>63</v>
      </c>
      <c r="AA38" s="38" t="s">
        <v>79</v>
      </c>
      <c r="AB38" s="38" t="s">
        <v>63</v>
      </c>
      <c r="AC38" s="38" t="s">
        <v>80</v>
      </c>
      <c r="AD38" s="38" t="s">
        <v>81</v>
      </c>
      <c r="AE38" s="38" t="s">
        <v>82</v>
      </c>
      <c r="AF38" s="38" t="s">
        <v>63</v>
      </c>
      <c r="AG38" s="38" t="s">
        <v>40</v>
      </c>
      <c r="AH38" s="38" t="s">
        <v>79</v>
      </c>
      <c r="AI38" s="38" t="s">
        <v>82</v>
      </c>
      <c r="AJ38" s="38" t="s">
        <v>83</v>
      </c>
      <c r="AK38" s="38" t="s">
        <v>84</v>
      </c>
      <c r="AL38" s="38" t="s">
        <v>84</v>
      </c>
      <c r="AM38" s="38" t="s">
        <v>85</v>
      </c>
      <c r="AN38" s="38" t="s">
        <v>85</v>
      </c>
      <c r="AO38" s="38" t="s">
        <v>86</v>
      </c>
      <c r="AP38" s="38" t="s">
        <v>63</v>
      </c>
      <c r="AQ38" s="38" t="s">
        <v>87</v>
      </c>
      <c r="AR38" s="38" t="s">
        <v>88</v>
      </c>
      <c r="AS38" s="38" t="s">
        <v>89</v>
      </c>
      <c r="AT38" s="38" t="s">
        <v>63</v>
      </c>
      <c r="AU38" s="38" t="s">
        <v>90</v>
      </c>
      <c r="AV38" s="38" t="s">
        <v>91</v>
      </c>
      <c r="AW38" s="38" t="s">
        <v>63</v>
      </c>
      <c r="AX38" s="38" t="s">
        <v>92</v>
      </c>
      <c r="AY38" s="38" t="s">
        <v>93</v>
      </c>
      <c r="AZ38" s="38" t="s">
        <v>94</v>
      </c>
      <c r="BA38" s="38" t="s">
        <v>63</v>
      </c>
      <c r="BB38" s="38" t="s">
        <v>95</v>
      </c>
      <c r="BC38" s="38" t="s">
        <v>63</v>
      </c>
      <c r="BD38" s="38" t="s">
        <v>96</v>
      </c>
      <c r="BE38" s="38" t="s">
        <v>97</v>
      </c>
      <c r="BF38" s="38" t="s">
        <v>63</v>
      </c>
      <c r="BG38" s="38" t="s">
        <v>63</v>
      </c>
      <c r="BH38" s="38" t="s">
        <v>63</v>
      </c>
      <c r="BI38" s="38" t="s">
        <v>63</v>
      </c>
      <c r="BJ38" s="38" t="s">
        <v>63</v>
      </c>
      <c r="BK38" s="39"/>
      <c r="BL38" s="39"/>
      <c r="BM38" s="39"/>
      <c r="BN38" s="39"/>
      <c r="BO38" s="39"/>
      <c r="BP38" s="39"/>
      <c r="BQ38" s="39"/>
      <c r="BR38" s="39"/>
      <c r="BS38" s="39"/>
      <c r="BT38" s="39"/>
      <c r="BU38" s="39"/>
      <c r="BV38" s="39"/>
      <c r="BW38" s="39"/>
      <c r="BX38" s="39"/>
      <c r="BY38" s="39"/>
      <c r="BZ38" s="39"/>
      <c r="CA38" s="39"/>
      <c r="CB38" s="39"/>
      <c r="CC38" s="39"/>
      <c r="CD38" s="39"/>
    </row>
    <row r="39" spans="2:93" x14ac:dyDescent="0.25">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K39" s="39"/>
      <c r="BL39" s="39"/>
      <c r="BM39" s="39"/>
      <c r="BN39" s="39"/>
      <c r="BO39" s="39"/>
      <c r="BP39" s="39"/>
      <c r="BQ39" s="39"/>
      <c r="BR39" s="39"/>
      <c r="BS39" s="39"/>
      <c r="BT39" s="39"/>
      <c r="BU39" s="39"/>
      <c r="BV39" s="39"/>
      <c r="BW39" s="39"/>
      <c r="BX39" s="39"/>
      <c r="BY39" s="39"/>
      <c r="BZ39" s="39"/>
      <c r="CA39" s="39"/>
      <c r="CB39" s="39"/>
      <c r="CC39" s="39"/>
      <c r="CD39" s="39"/>
    </row>
    <row r="40" spans="2:93" x14ac:dyDescent="0.25">
      <c r="B40" s="22" t="s">
        <v>98</v>
      </c>
      <c r="C40" s="22"/>
      <c r="D40" s="22"/>
      <c r="E40" s="22"/>
      <c r="F40" s="22"/>
      <c r="G40" s="22"/>
      <c r="H40" s="22"/>
      <c r="I40" s="22"/>
      <c r="J40" s="22"/>
      <c r="K40" s="22"/>
      <c r="L40" s="22"/>
      <c r="M40" s="22"/>
      <c r="N40" s="22"/>
      <c r="O40" s="22"/>
      <c r="P40" s="22"/>
      <c r="Q40" s="22"/>
      <c r="R40" s="22"/>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K40" s="39"/>
      <c r="BL40" s="39"/>
      <c r="BM40" s="39"/>
      <c r="BN40" s="39"/>
      <c r="BO40" s="39"/>
      <c r="BP40" s="39"/>
      <c r="BQ40" s="39"/>
      <c r="BR40" s="39"/>
      <c r="BS40" s="39"/>
      <c r="BT40" s="39"/>
      <c r="BU40" s="39"/>
      <c r="BV40" s="39"/>
      <c r="BW40" s="39"/>
      <c r="BX40" s="39"/>
      <c r="BY40" s="39"/>
      <c r="BZ40" s="39"/>
      <c r="CA40" s="39"/>
      <c r="CB40" s="39"/>
      <c r="CC40" s="39"/>
      <c r="CD40" s="39"/>
      <c r="CM40" s="40"/>
      <c r="CN40" s="40"/>
      <c r="CO40" s="40"/>
    </row>
    <row r="41" spans="2:93" x14ac:dyDescent="0.25">
      <c r="B41" s="41" t="s">
        <v>99</v>
      </c>
      <c r="C41" s="41"/>
      <c r="D41" s="41"/>
      <c r="E41" s="41"/>
      <c r="F41" s="41"/>
      <c r="G41" s="41"/>
      <c r="H41" s="41"/>
      <c r="I41" s="41"/>
      <c r="J41" s="41"/>
      <c r="K41" s="41"/>
      <c r="L41" s="41"/>
      <c r="M41" s="41"/>
      <c r="N41" s="41"/>
      <c r="O41" s="41"/>
      <c r="P41" s="41"/>
      <c r="Q41" s="41"/>
      <c r="R41" s="41"/>
      <c r="T41" s="38" t="s">
        <v>100</v>
      </c>
      <c r="U41" s="38" t="s">
        <v>63</v>
      </c>
      <c r="V41" s="38" t="s">
        <v>63</v>
      </c>
      <c r="W41" s="38" t="s">
        <v>63</v>
      </c>
      <c r="X41" s="38" t="s">
        <v>101</v>
      </c>
      <c r="Y41" s="38" t="s">
        <v>63</v>
      </c>
      <c r="Z41" s="38" t="s">
        <v>63</v>
      </c>
      <c r="AA41" s="38" t="s">
        <v>63</v>
      </c>
      <c r="AB41" s="38" t="s">
        <v>102</v>
      </c>
      <c r="AC41" s="38" t="s">
        <v>63</v>
      </c>
      <c r="AD41" s="38" t="s">
        <v>63</v>
      </c>
      <c r="AE41" s="38" t="s">
        <v>63</v>
      </c>
      <c r="AF41" s="38" t="s">
        <v>103</v>
      </c>
      <c r="AG41" s="38" t="s">
        <v>63</v>
      </c>
      <c r="AH41" s="38" t="s">
        <v>63</v>
      </c>
      <c r="AI41" s="38" t="s">
        <v>63</v>
      </c>
      <c r="AJ41" s="38" t="s">
        <v>104</v>
      </c>
      <c r="AK41" s="38" t="s">
        <v>63</v>
      </c>
      <c r="AL41" s="38" t="s">
        <v>63</v>
      </c>
      <c r="AM41" s="38" t="s">
        <v>63</v>
      </c>
      <c r="AN41" s="38" t="s">
        <v>105</v>
      </c>
      <c r="AO41" s="38" t="s">
        <v>63</v>
      </c>
      <c r="AP41" s="38" t="s">
        <v>63</v>
      </c>
      <c r="AQ41" s="38" t="s">
        <v>63</v>
      </c>
      <c r="AR41" s="38" t="s">
        <v>63</v>
      </c>
      <c r="AS41" s="38" t="s">
        <v>106</v>
      </c>
      <c r="AT41" s="38" t="s">
        <v>63</v>
      </c>
      <c r="AU41" s="38" t="s">
        <v>63</v>
      </c>
      <c r="AV41" s="38" t="s">
        <v>63</v>
      </c>
      <c r="AW41" s="38" t="s">
        <v>107</v>
      </c>
      <c r="AX41" s="38" t="s">
        <v>63</v>
      </c>
      <c r="AY41" s="38" t="s">
        <v>63</v>
      </c>
      <c r="AZ41" s="38" t="s">
        <v>63</v>
      </c>
      <c r="BA41" s="38" t="s">
        <v>108</v>
      </c>
      <c r="BB41" s="38" t="s">
        <v>63</v>
      </c>
      <c r="BC41" s="38" t="s">
        <v>63</v>
      </c>
      <c r="BD41" s="38" t="s">
        <v>63</v>
      </c>
      <c r="BE41" s="38" t="s">
        <v>109</v>
      </c>
      <c r="BF41" s="38" t="s">
        <v>63</v>
      </c>
      <c r="BG41" s="38" t="s">
        <v>63</v>
      </c>
      <c r="BH41" s="38" t="s">
        <v>63</v>
      </c>
      <c r="BI41" s="38" t="s">
        <v>110</v>
      </c>
      <c r="BJ41" s="38" t="s">
        <v>63</v>
      </c>
      <c r="BK41" s="39"/>
      <c r="BL41" s="39"/>
      <c r="BM41" s="39"/>
      <c r="BN41" s="39"/>
      <c r="BO41" s="39"/>
      <c r="BP41" s="39"/>
      <c r="BQ41" s="39"/>
      <c r="BR41" s="39"/>
      <c r="BS41" s="39"/>
      <c r="BT41" s="39"/>
      <c r="BU41" s="39"/>
      <c r="BV41" s="39"/>
      <c r="BW41" s="39"/>
      <c r="BX41" s="39"/>
      <c r="BY41" s="39"/>
      <c r="BZ41" s="39"/>
      <c r="CA41" s="39"/>
      <c r="CB41" s="39"/>
      <c r="CC41" s="39"/>
      <c r="CD41" s="39"/>
      <c r="CM41" s="40"/>
      <c r="CN41" s="40"/>
      <c r="CO41" s="40"/>
    </row>
    <row r="42" spans="2:93" x14ac:dyDescent="0.25">
      <c r="B42" s="37" t="s">
        <v>111</v>
      </c>
      <c r="C42" s="37"/>
      <c r="D42" s="37"/>
      <c r="E42" s="37"/>
      <c r="F42" s="37"/>
      <c r="G42" s="37"/>
      <c r="H42" s="37"/>
      <c r="I42" s="37"/>
      <c r="J42" s="37"/>
      <c r="K42" s="37"/>
      <c r="L42" s="37"/>
      <c r="M42" s="37"/>
      <c r="N42" s="37"/>
      <c r="O42" s="37"/>
      <c r="P42" s="37"/>
      <c r="Q42" s="37"/>
      <c r="R42" s="37"/>
      <c r="T42" s="38" t="s">
        <v>112</v>
      </c>
      <c r="U42" s="38" t="s">
        <v>63</v>
      </c>
      <c r="V42" s="38" t="s">
        <v>63</v>
      </c>
      <c r="W42" s="38" t="s">
        <v>63</v>
      </c>
      <c r="X42" s="38" t="s">
        <v>113</v>
      </c>
      <c r="Y42" s="38" t="s">
        <v>63</v>
      </c>
      <c r="Z42" s="38" t="s">
        <v>63</v>
      </c>
      <c r="AA42" s="38" t="s">
        <v>63</v>
      </c>
      <c r="AB42" s="38" t="s">
        <v>114</v>
      </c>
      <c r="AC42" s="38" t="s">
        <v>63</v>
      </c>
      <c r="AD42" s="38" t="s">
        <v>63</v>
      </c>
      <c r="AE42" s="38" t="s">
        <v>63</v>
      </c>
      <c r="AF42" s="38" t="s">
        <v>115</v>
      </c>
      <c r="AG42" s="38" t="s">
        <v>63</v>
      </c>
      <c r="AH42" s="38" t="s">
        <v>63</v>
      </c>
      <c r="AI42" s="38" t="s">
        <v>63</v>
      </c>
      <c r="AJ42" s="38" t="s">
        <v>116</v>
      </c>
      <c r="AK42" s="38" t="s">
        <v>63</v>
      </c>
      <c r="AL42" s="38" t="s">
        <v>63</v>
      </c>
      <c r="AM42" s="38" t="s">
        <v>63</v>
      </c>
      <c r="AN42" s="38" t="s">
        <v>47</v>
      </c>
      <c r="AO42" s="38" t="s">
        <v>63</v>
      </c>
      <c r="AP42" s="38" t="s">
        <v>63</v>
      </c>
      <c r="AQ42" s="38" t="s">
        <v>63</v>
      </c>
      <c r="AR42" s="38" t="s">
        <v>34</v>
      </c>
      <c r="AS42" s="38" t="s">
        <v>117</v>
      </c>
      <c r="AT42" s="38" t="s">
        <v>63</v>
      </c>
      <c r="AU42" s="38" t="s">
        <v>63</v>
      </c>
      <c r="AV42" s="38" t="s">
        <v>49</v>
      </c>
      <c r="AW42" s="38" t="s">
        <v>63</v>
      </c>
      <c r="AX42" s="38" t="s">
        <v>63</v>
      </c>
      <c r="AY42" s="38" t="s">
        <v>63</v>
      </c>
      <c r="AZ42" s="38" t="s">
        <v>118</v>
      </c>
      <c r="BA42" s="38" t="s">
        <v>63</v>
      </c>
      <c r="BB42" s="38" t="s">
        <v>63</v>
      </c>
      <c r="BC42" s="38" t="s">
        <v>63</v>
      </c>
      <c r="BD42" s="38" t="s">
        <v>119</v>
      </c>
      <c r="BE42" s="38" t="s">
        <v>63</v>
      </c>
      <c r="BF42" s="38" t="s">
        <v>63</v>
      </c>
      <c r="BG42" s="38" t="s">
        <v>63</v>
      </c>
      <c r="BH42" s="42" t="s">
        <v>120</v>
      </c>
      <c r="BI42" s="38" t="s">
        <v>63</v>
      </c>
      <c r="BJ42" s="38" t="s">
        <v>63</v>
      </c>
      <c r="BK42" s="39" t="str">
        <f t="shared" ref="BK42:CD42" si="27">BG42</f>
        <v>--</v>
      </c>
      <c r="BL42" s="39" t="str">
        <f t="shared" si="27"/>
        <v>Madden NFL 25</v>
      </c>
      <c r="BM42" s="39" t="str">
        <f t="shared" si="27"/>
        <v>--</v>
      </c>
      <c r="BN42" s="39" t="str">
        <f t="shared" si="27"/>
        <v>--</v>
      </c>
      <c r="BO42" s="39" t="str">
        <f t="shared" si="27"/>
        <v>--</v>
      </c>
      <c r="BP42" s="39" t="str">
        <f t="shared" si="27"/>
        <v>Madden NFL 25</v>
      </c>
      <c r="BQ42" s="39" t="str">
        <f t="shared" si="27"/>
        <v>--</v>
      </c>
      <c r="BR42" s="39" t="str">
        <f t="shared" si="27"/>
        <v>--</v>
      </c>
      <c r="BS42" s="39" t="str">
        <f t="shared" si="27"/>
        <v>--</v>
      </c>
      <c r="BT42" s="39" t="str">
        <f t="shared" si="27"/>
        <v>Madden NFL 25</v>
      </c>
      <c r="BU42" s="39" t="str">
        <f t="shared" si="27"/>
        <v>--</v>
      </c>
      <c r="BV42" s="39" t="str">
        <f t="shared" si="27"/>
        <v>--</v>
      </c>
      <c r="BW42" s="39" t="str">
        <f t="shared" si="27"/>
        <v>--</v>
      </c>
      <c r="BX42" s="39" t="str">
        <f t="shared" si="27"/>
        <v>Madden NFL 25</v>
      </c>
      <c r="BY42" s="39" t="str">
        <f t="shared" si="27"/>
        <v>--</v>
      </c>
      <c r="BZ42" s="39" t="str">
        <f t="shared" si="27"/>
        <v>--</v>
      </c>
      <c r="CA42" s="39" t="str">
        <f t="shared" si="27"/>
        <v>--</v>
      </c>
      <c r="CB42" s="39" t="str">
        <f t="shared" si="27"/>
        <v>Madden NFL 25</v>
      </c>
      <c r="CC42" s="39" t="str">
        <f t="shared" si="27"/>
        <v>--</v>
      </c>
      <c r="CD42" s="39" t="str">
        <f t="shared" si="27"/>
        <v>--</v>
      </c>
      <c r="CM42" s="40"/>
      <c r="CN42" s="40"/>
      <c r="CO42" s="40"/>
    </row>
    <row r="43" spans="2:93" x14ac:dyDescent="0.25">
      <c r="B43" s="37" t="s">
        <v>121</v>
      </c>
      <c r="C43" s="37"/>
      <c r="D43" s="37"/>
      <c r="E43" s="37"/>
      <c r="F43" s="37"/>
      <c r="G43" s="37"/>
      <c r="H43" s="37"/>
      <c r="I43" s="37"/>
      <c r="J43" s="37"/>
      <c r="K43" s="37"/>
      <c r="L43" s="37"/>
      <c r="M43" s="37"/>
      <c r="N43" s="37"/>
      <c r="O43" s="37"/>
      <c r="P43" s="37"/>
      <c r="Q43" s="37"/>
      <c r="R43" s="37"/>
      <c r="T43" s="38" t="s">
        <v>63</v>
      </c>
      <c r="U43" s="38" t="s">
        <v>122</v>
      </c>
      <c r="V43" s="38" t="s">
        <v>63</v>
      </c>
      <c r="W43" s="38" t="s">
        <v>63</v>
      </c>
      <c r="X43" s="38" t="s">
        <v>123</v>
      </c>
      <c r="Y43" s="38" t="s">
        <v>63</v>
      </c>
      <c r="Z43" s="38" t="s">
        <v>63</v>
      </c>
      <c r="AA43" s="38" t="s">
        <v>63</v>
      </c>
      <c r="AB43" s="38" t="s">
        <v>124</v>
      </c>
      <c r="AC43" s="38" t="s">
        <v>63</v>
      </c>
      <c r="AD43" s="38" t="s">
        <v>63</v>
      </c>
      <c r="AE43" s="38" t="s">
        <v>63</v>
      </c>
      <c r="AF43" s="38" t="s">
        <v>125</v>
      </c>
      <c r="AG43" s="38" t="s">
        <v>63</v>
      </c>
      <c r="AH43" s="38" t="s">
        <v>63</v>
      </c>
      <c r="AI43" s="38" t="s">
        <v>63</v>
      </c>
      <c r="AJ43" s="38" t="s">
        <v>126</v>
      </c>
      <c r="AK43" s="38" t="s">
        <v>63</v>
      </c>
      <c r="AL43" s="38" t="s">
        <v>63</v>
      </c>
      <c r="AM43" s="38" t="s">
        <v>63</v>
      </c>
      <c r="AN43" s="38" t="s">
        <v>63</v>
      </c>
      <c r="AO43" s="38" t="s">
        <v>63</v>
      </c>
      <c r="AP43" s="38" t="s">
        <v>63</v>
      </c>
      <c r="AQ43" s="38" t="s">
        <v>63</v>
      </c>
      <c r="AR43" s="38" t="s">
        <v>63</v>
      </c>
      <c r="AS43" s="38" t="s">
        <v>63</v>
      </c>
      <c r="AT43" s="38" t="s">
        <v>63</v>
      </c>
      <c r="AU43" s="38" t="s">
        <v>63</v>
      </c>
      <c r="AV43" s="38" t="s">
        <v>63</v>
      </c>
      <c r="AW43" s="38" t="s">
        <v>63</v>
      </c>
      <c r="AX43" s="38" t="s">
        <v>63</v>
      </c>
      <c r="AY43" s="38" t="s">
        <v>63</v>
      </c>
      <c r="AZ43" s="38" t="s">
        <v>63</v>
      </c>
      <c r="BA43" s="38" t="s">
        <v>63</v>
      </c>
      <c r="BB43" s="38" t="s">
        <v>63</v>
      </c>
      <c r="BC43" s="38" t="s">
        <v>63</v>
      </c>
      <c r="BD43" s="38" t="s">
        <v>63</v>
      </c>
      <c r="BE43" s="38" t="s">
        <v>63</v>
      </c>
      <c r="BF43" s="38" t="s">
        <v>63</v>
      </c>
      <c r="BG43" s="38" t="s">
        <v>63</v>
      </c>
      <c r="BH43" s="38" t="s">
        <v>63</v>
      </c>
      <c r="BI43" s="38" t="s">
        <v>63</v>
      </c>
      <c r="BJ43" s="38" t="s">
        <v>63</v>
      </c>
      <c r="CM43" s="40"/>
      <c r="CN43" s="40"/>
      <c r="CO43" s="40"/>
    </row>
    <row r="44" spans="2:93" x14ac:dyDescent="0.25">
      <c r="B44" s="37" t="s">
        <v>127</v>
      </c>
      <c r="C44" s="37"/>
      <c r="D44" s="37"/>
      <c r="E44" s="37"/>
      <c r="F44" s="37"/>
      <c r="G44" s="37"/>
      <c r="H44" s="37"/>
      <c r="I44" s="37"/>
      <c r="J44" s="37"/>
      <c r="K44" s="37"/>
      <c r="L44" s="37"/>
      <c r="M44" s="37"/>
      <c r="N44" s="37"/>
      <c r="O44" s="37"/>
      <c r="P44" s="37"/>
      <c r="Q44" s="37"/>
      <c r="R44" s="37"/>
      <c r="T44" s="38" t="s">
        <v>63</v>
      </c>
      <c r="U44" s="38" t="s">
        <v>63</v>
      </c>
      <c r="V44" s="38" t="s">
        <v>63</v>
      </c>
      <c r="W44" s="38" t="s">
        <v>63</v>
      </c>
      <c r="X44" s="38" t="s">
        <v>63</v>
      </c>
      <c r="Y44" s="38" t="s">
        <v>63</v>
      </c>
      <c r="Z44" s="38" t="s">
        <v>63</v>
      </c>
      <c r="AA44" s="38" t="s">
        <v>63</v>
      </c>
      <c r="AB44" s="38" t="s">
        <v>63</v>
      </c>
      <c r="AC44" s="38" t="s">
        <v>63</v>
      </c>
      <c r="AD44" s="38" t="s">
        <v>63</v>
      </c>
      <c r="AE44" s="38" t="s">
        <v>63</v>
      </c>
      <c r="AF44" s="38" t="s">
        <v>63</v>
      </c>
      <c r="AG44" s="38" t="s">
        <v>63</v>
      </c>
      <c r="AH44" s="38" t="s">
        <v>63</v>
      </c>
      <c r="AI44" s="38" t="s">
        <v>63</v>
      </c>
      <c r="AJ44" s="38" t="s">
        <v>63</v>
      </c>
      <c r="AK44" s="38" t="s">
        <v>63</v>
      </c>
      <c r="AL44" s="38" t="s">
        <v>63</v>
      </c>
      <c r="AM44" s="38" t="s">
        <v>63</v>
      </c>
      <c r="AN44" s="38" t="s">
        <v>63</v>
      </c>
      <c r="AO44" s="38" t="s">
        <v>63</v>
      </c>
      <c r="AP44" s="38" t="s">
        <v>63</v>
      </c>
      <c r="AQ44" s="38" t="s">
        <v>63</v>
      </c>
      <c r="AR44" s="38" t="s">
        <v>63</v>
      </c>
      <c r="AS44" s="38" t="s">
        <v>63</v>
      </c>
      <c r="AT44" s="38" t="s">
        <v>63</v>
      </c>
      <c r="AU44" s="38" t="s">
        <v>63</v>
      </c>
      <c r="AV44" s="38" t="s">
        <v>128</v>
      </c>
      <c r="AW44" s="38" t="s">
        <v>63</v>
      </c>
      <c r="AX44" s="38" t="s">
        <v>63</v>
      </c>
      <c r="AY44" s="38" t="s">
        <v>63</v>
      </c>
      <c r="AZ44" s="38" t="s">
        <v>129</v>
      </c>
      <c r="BA44" s="38" t="s">
        <v>63</v>
      </c>
      <c r="BB44" s="38" t="s">
        <v>63</v>
      </c>
      <c r="BC44" s="38" t="s">
        <v>130</v>
      </c>
      <c r="BD44" s="38" t="s">
        <v>63</v>
      </c>
      <c r="BE44" s="38" t="s">
        <v>63</v>
      </c>
      <c r="BF44" s="38" t="s">
        <v>63</v>
      </c>
      <c r="BG44" s="38" t="s">
        <v>131</v>
      </c>
      <c r="BH44" s="38" t="s">
        <v>63</v>
      </c>
      <c r="BI44" s="38" t="s">
        <v>63</v>
      </c>
      <c r="BJ44" s="38" t="s">
        <v>63</v>
      </c>
      <c r="CM44" s="40"/>
      <c r="CN44" s="40"/>
      <c r="CO44" s="40"/>
    </row>
    <row r="45" spans="2:93" x14ac:dyDescent="0.25">
      <c r="B45" s="37" t="s">
        <v>132</v>
      </c>
      <c r="C45" s="37"/>
      <c r="D45" s="37"/>
      <c r="E45" s="37"/>
      <c r="F45" s="37"/>
      <c r="G45" s="37"/>
      <c r="H45" s="37"/>
      <c r="I45" s="37"/>
      <c r="J45" s="37"/>
      <c r="K45" s="37"/>
      <c r="L45" s="37"/>
      <c r="M45" s="37"/>
      <c r="N45" s="37"/>
      <c r="O45" s="37"/>
      <c r="P45" s="37"/>
      <c r="Q45" s="37"/>
      <c r="R45" s="37"/>
      <c r="T45" s="38" t="s">
        <v>63</v>
      </c>
      <c r="U45" s="38" t="s">
        <v>63</v>
      </c>
      <c r="V45" s="38" t="s">
        <v>63</v>
      </c>
      <c r="W45" s="38" t="s">
        <v>63</v>
      </c>
      <c r="X45" s="38" t="s">
        <v>63</v>
      </c>
      <c r="Y45" s="38" t="s">
        <v>63</v>
      </c>
      <c r="Z45" s="38" t="s">
        <v>63</v>
      </c>
      <c r="AA45" s="38" t="s">
        <v>63</v>
      </c>
      <c r="AB45" s="38" t="s">
        <v>63</v>
      </c>
      <c r="AC45" s="38" t="s">
        <v>63</v>
      </c>
      <c r="AD45" s="38" t="s">
        <v>133</v>
      </c>
      <c r="AE45" s="38" t="s">
        <v>63</v>
      </c>
      <c r="AF45" s="38" t="s">
        <v>63</v>
      </c>
      <c r="AG45" s="38" t="s">
        <v>63</v>
      </c>
      <c r="AH45" s="38" t="s">
        <v>63</v>
      </c>
      <c r="AI45" s="38" t="s">
        <v>63</v>
      </c>
      <c r="AJ45" s="38" t="s">
        <v>63</v>
      </c>
      <c r="AK45" s="38" t="s">
        <v>63</v>
      </c>
      <c r="AL45" s="38" t="s">
        <v>63</v>
      </c>
      <c r="AM45" s="38" t="s">
        <v>63</v>
      </c>
      <c r="AN45" s="38" t="s">
        <v>63</v>
      </c>
      <c r="AO45" s="38" t="s">
        <v>63</v>
      </c>
      <c r="AP45" s="38" t="s">
        <v>63</v>
      </c>
      <c r="AQ45" s="38" t="s">
        <v>63</v>
      </c>
      <c r="AR45" s="38" t="s">
        <v>63</v>
      </c>
      <c r="AS45" s="38" t="s">
        <v>63</v>
      </c>
      <c r="AT45" s="38" t="s">
        <v>63</v>
      </c>
      <c r="AU45" s="38" t="s">
        <v>134</v>
      </c>
      <c r="AV45" s="38" t="s">
        <v>63</v>
      </c>
      <c r="AW45" s="38" t="s">
        <v>63</v>
      </c>
      <c r="AX45" s="38" t="s">
        <v>63</v>
      </c>
      <c r="AY45" s="38" t="s">
        <v>63</v>
      </c>
      <c r="AZ45" s="38" t="s">
        <v>63</v>
      </c>
      <c r="BA45" s="38" t="s">
        <v>63</v>
      </c>
      <c r="BB45" s="38" t="s">
        <v>63</v>
      </c>
      <c r="BC45" s="38" t="s">
        <v>63</v>
      </c>
      <c r="BD45" s="38" t="s">
        <v>63</v>
      </c>
      <c r="BE45" s="38" t="s">
        <v>63</v>
      </c>
      <c r="BF45" s="38" t="s">
        <v>63</v>
      </c>
      <c r="BG45" s="38" t="s">
        <v>63</v>
      </c>
      <c r="BH45" s="38" t="s">
        <v>63</v>
      </c>
      <c r="BI45" s="38" t="s">
        <v>63</v>
      </c>
      <c r="BJ45" s="38" t="s">
        <v>63</v>
      </c>
      <c r="CM45" s="40"/>
      <c r="CN45" s="40"/>
      <c r="CO45" s="40"/>
    </row>
    <row r="46" spans="2:93" x14ac:dyDescent="0.25">
      <c r="B46" s="37" t="s">
        <v>135</v>
      </c>
      <c r="C46" s="37"/>
      <c r="D46" s="37"/>
      <c r="E46" s="37"/>
      <c r="F46" s="37"/>
      <c r="G46" s="37"/>
      <c r="H46" s="37"/>
      <c r="I46" s="37"/>
      <c r="J46" s="37"/>
      <c r="K46" s="37"/>
      <c r="L46" s="37"/>
      <c r="M46" s="37"/>
      <c r="N46" s="37"/>
      <c r="O46" s="37"/>
      <c r="P46" s="37"/>
      <c r="Q46" s="37"/>
      <c r="R46" s="37"/>
      <c r="T46" s="38" t="s">
        <v>63</v>
      </c>
      <c r="U46" s="38" t="s">
        <v>63</v>
      </c>
      <c r="V46" s="38" t="s">
        <v>63</v>
      </c>
      <c r="W46" s="38" t="s">
        <v>63</v>
      </c>
      <c r="X46" s="38" t="s">
        <v>63</v>
      </c>
      <c r="Y46" s="38" t="s">
        <v>136</v>
      </c>
      <c r="Z46" s="38" t="s">
        <v>63</v>
      </c>
      <c r="AA46" s="38" t="s">
        <v>63</v>
      </c>
      <c r="AB46" s="38" t="s">
        <v>63</v>
      </c>
      <c r="AC46" s="38" t="s">
        <v>63</v>
      </c>
      <c r="AD46" s="38" t="s">
        <v>63</v>
      </c>
      <c r="AE46" s="38" t="s">
        <v>63</v>
      </c>
      <c r="AF46" s="38" t="s">
        <v>63</v>
      </c>
      <c r="AG46" s="38" t="s">
        <v>137</v>
      </c>
      <c r="AH46" s="38" t="s">
        <v>63</v>
      </c>
      <c r="AI46" s="38" t="s">
        <v>63</v>
      </c>
      <c r="AJ46" s="38" t="s">
        <v>63</v>
      </c>
      <c r="AK46" s="38" t="s">
        <v>63</v>
      </c>
      <c r="AL46" s="38" t="s">
        <v>63</v>
      </c>
      <c r="AM46" s="38" t="s">
        <v>63</v>
      </c>
      <c r="AN46" s="38" t="s">
        <v>63</v>
      </c>
      <c r="AO46" s="38" t="s">
        <v>138</v>
      </c>
      <c r="AP46" s="38" t="s">
        <v>63</v>
      </c>
      <c r="AQ46" s="38" t="s">
        <v>63</v>
      </c>
      <c r="AR46" s="38" t="s">
        <v>88</v>
      </c>
      <c r="AS46" s="38" t="s">
        <v>138</v>
      </c>
      <c r="AT46" s="38" t="s">
        <v>63</v>
      </c>
      <c r="AU46" s="38" t="s">
        <v>138</v>
      </c>
      <c r="AV46" s="38" t="s">
        <v>63</v>
      </c>
      <c r="AW46" s="38" t="s">
        <v>63</v>
      </c>
      <c r="AX46" s="38" t="s">
        <v>63</v>
      </c>
      <c r="AY46" s="38" t="s">
        <v>63</v>
      </c>
      <c r="AZ46" s="38" t="s">
        <v>63</v>
      </c>
      <c r="BA46" s="38" t="s">
        <v>63</v>
      </c>
      <c r="BB46" s="38" t="s">
        <v>63</v>
      </c>
      <c r="BC46" s="43" t="s">
        <v>45</v>
      </c>
      <c r="BD46" s="38" t="s">
        <v>63</v>
      </c>
      <c r="BE46" s="38" t="s">
        <v>63</v>
      </c>
      <c r="BF46" s="38" t="s">
        <v>63</v>
      </c>
      <c r="BG46" s="38" t="s">
        <v>63</v>
      </c>
      <c r="BH46" s="38" t="s">
        <v>63</v>
      </c>
      <c r="BI46" s="38" t="s">
        <v>63</v>
      </c>
      <c r="BJ46" s="38" t="s">
        <v>63</v>
      </c>
      <c r="CM46" s="40"/>
      <c r="CN46" s="40"/>
      <c r="CO46" s="40"/>
    </row>
    <row r="47" spans="2:93" x14ac:dyDescent="0.25">
      <c r="B47" s="37" t="s">
        <v>139</v>
      </c>
      <c r="C47" s="37"/>
      <c r="D47" s="37"/>
      <c r="E47" s="37"/>
      <c r="F47" s="37"/>
      <c r="G47" s="37"/>
      <c r="H47" s="37"/>
      <c r="I47" s="37"/>
      <c r="J47" s="37"/>
      <c r="K47" s="37"/>
      <c r="L47" s="37"/>
      <c r="M47" s="37"/>
      <c r="N47" s="37"/>
      <c r="O47" s="37"/>
      <c r="P47" s="37"/>
      <c r="Q47" s="37"/>
      <c r="R47" s="37"/>
      <c r="T47" s="38" t="s">
        <v>63</v>
      </c>
      <c r="U47" s="38" t="s">
        <v>63</v>
      </c>
      <c r="V47" s="38" t="s">
        <v>63</v>
      </c>
      <c r="W47" s="38" t="s">
        <v>63</v>
      </c>
      <c r="X47" s="38" t="s">
        <v>140</v>
      </c>
      <c r="Y47" s="38" t="s">
        <v>139</v>
      </c>
      <c r="Z47" s="38" t="s">
        <v>139</v>
      </c>
      <c r="AA47" s="38" t="s">
        <v>63</v>
      </c>
      <c r="AB47" s="38" t="s">
        <v>63</v>
      </c>
      <c r="AC47" s="38" t="s">
        <v>63</v>
      </c>
      <c r="AD47" s="38" t="s">
        <v>63</v>
      </c>
      <c r="AE47" s="38" t="s">
        <v>63</v>
      </c>
      <c r="AF47" s="38" t="s">
        <v>63</v>
      </c>
      <c r="AG47" s="38" t="s">
        <v>141</v>
      </c>
      <c r="AH47" s="38" t="s">
        <v>63</v>
      </c>
      <c r="AI47" s="38" t="s">
        <v>63</v>
      </c>
      <c r="AJ47" s="38" t="s">
        <v>63</v>
      </c>
      <c r="AK47" s="38" t="s">
        <v>63</v>
      </c>
      <c r="AL47" s="38" t="s">
        <v>63</v>
      </c>
      <c r="AM47" s="38" t="s">
        <v>63</v>
      </c>
      <c r="AN47" s="38" t="s">
        <v>63</v>
      </c>
      <c r="AO47" s="38" t="s">
        <v>63</v>
      </c>
      <c r="AP47" s="38" t="s">
        <v>63</v>
      </c>
      <c r="AQ47" s="38" t="s">
        <v>63</v>
      </c>
      <c r="AR47" s="38" t="s">
        <v>63</v>
      </c>
      <c r="AS47" s="38" t="s">
        <v>142</v>
      </c>
      <c r="AT47" s="38" t="s">
        <v>63</v>
      </c>
      <c r="AU47" s="38" t="s">
        <v>63</v>
      </c>
      <c r="AV47" s="38" t="s">
        <v>63</v>
      </c>
      <c r="AW47" s="38" t="s">
        <v>63</v>
      </c>
      <c r="AX47" s="38" t="s">
        <v>63</v>
      </c>
      <c r="AY47" s="38" t="s">
        <v>63</v>
      </c>
      <c r="AZ47" s="38" t="s">
        <v>63</v>
      </c>
      <c r="BA47" s="38" t="s">
        <v>143</v>
      </c>
      <c r="BB47" s="38" t="s">
        <v>63</v>
      </c>
      <c r="BC47" s="38" t="s">
        <v>63</v>
      </c>
      <c r="BD47" s="38" t="s">
        <v>63</v>
      </c>
      <c r="BE47" s="38" t="s">
        <v>63</v>
      </c>
      <c r="BF47" s="38" t="s">
        <v>63</v>
      </c>
      <c r="BG47" s="38" t="s">
        <v>63</v>
      </c>
      <c r="BH47" s="38" t="s">
        <v>63</v>
      </c>
      <c r="BI47" s="38" t="s">
        <v>63</v>
      </c>
      <c r="BJ47" s="38" t="s">
        <v>63</v>
      </c>
      <c r="CM47" s="40"/>
      <c r="CN47" s="40"/>
      <c r="CO47" s="40"/>
    </row>
    <row r="48" spans="2:93" x14ac:dyDescent="0.25">
      <c r="B48" s="37" t="s">
        <v>144</v>
      </c>
      <c r="C48" s="37"/>
      <c r="D48" s="37"/>
      <c r="E48" s="37"/>
      <c r="F48" s="37"/>
      <c r="G48" s="37"/>
      <c r="H48" s="37"/>
      <c r="I48" s="37"/>
      <c r="J48" s="37"/>
      <c r="K48" s="37"/>
      <c r="L48" s="37"/>
      <c r="M48" s="37"/>
      <c r="N48" s="37"/>
      <c r="O48" s="37"/>
      <c r="P48" s="37"/>
      <c r="Q48" s="37"/>
      <c r="R48" s="37"/>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t="s">
        <v>145</v>
      </c>
      <c r="BF48" s="38"/>
      <c r="BG48" t="s">
        <v>146</v>
      </c>
      <c r="BH48" s="44" t="s">
        <v>147</v>
      </c>
      <c r="BJ48" t="s">
        <v>148</v>
      </c>
      <c r="CM48" s="40"/>
      <c r="CN48" s="40"/>
      <c r="CO48" s="40"/>
    </row>
    <row r="49" spans="1:102" x14ac:dyDescent="0.25">
      <c r="B49" s="37"/>
      <c r="C49" s="37"/>
      <c r="D49" s="37"/>
      <c r="E49" s="37"/>
      <c r="F49" s="37"/>
      <c r="G49" s="37"/>
      <c r="H49" s="37"/>
      <c r="I49" s="37"/>
      <c r="J49" s="37"/>
      <c r="K49" s="37"/>
      <c r="L49" s="37"/>
      <c r="M49" s="37"/>
      <c r="N49" s="37"/>
      <c r="O49" s="37"/>
      <c r="P49" s="37"/>
      <c r="Q49" s="37"/>
      <c r="R49" s="37"/>
      <c r="CM49" s="40"/>
      <c r="CN49" s="40"/>
      <c r="CO49" s="40"/>
    </row>
    <row r="50" spans="1:102" ht="15.75" thickBot="1" x14ac:dyDescent="0.3">
      <c r="A50" s="1" t="s">
        <v>18</v>
      </c>
      <c r="B50" s="34" t="s">
        <v>149</v>
      </c>
      <c r="C50" s="34"/>
      <c r="D50" s="34"/>
      <c r="E50" s="34"/>
      <c r="F50" s="34"/>
      <c r="G50" s="34"/>
      <c r="H50" s="34"/>
      <c r="I50" s="34"/>
      <c r="J50" s="34"/>
      <c r="K50" s="34"/>
      <c r="L50" s="34"/>
      <c r="M50" s="34"/>
      <c r="N50" s="34"/>
      <c r="O50" s="34"/>
      <c r="P50" s="34"/>
      <c r="Q50" s="34"/>
      <c r="R50" s="34"/>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F50" s="35"/>
      <c r="CG50" s="35"/>
      <c r="CH50" s="35"/>
      <c r="CI50" s="35"/>
      <c r="CJ50" s="35"/>
      <c r="CK50" s="35"/>
      <c r="CL50" s="35"/>
      <c r="CM50" s="35"/>
      <c r="CN50" s="35"/>
      <c r="CO50" s="35"/>
      <c r="CP50" s="35"/>
      <c r="CQ50" s="35"/>
      <c r="CR50" s="35"/>
      <c r="CS50" s="35"/>
      <c r="CT50" s="35"/>
      <c r="CU50" s="35"/>
      <c r="CV50" s="35"/>
      <c r="CW50" s="35"/>
      <c r="CX50" s="35"/>
    </row>
    <row r="51" spans="1:102" s="10" customFormat="1" x14ac:dyDescent="0.25">
      <c r="B51" s="45" t="s">
        <v>150</v>
      </c>
      <c r="C51" s="45"/>
      <c r="D51" s="45"/>
      <c r="E51" s="45"/>
      <c r="F51" s="45"/>
      <c r="G51" s="45"/>
      <c r="H51" s="45"/>
      <c r="I51" s="45"/>
      <c r="J51" s="45"/>
      <c r="K51" s="45"/>
      <c r="L51" s="45"/>
      <c r="M51" s="45"/>
      <c r="N51" s="45"/>
      <c r="O51" s="45"/>
      <c r="P51" s="45"/>
      <c r="Q51" s="45"/>
      <c r="R51" s="45"/>
      <c r="S51" s="46">
        <f t="shared" ref="S51:BH51" si="28">+S237</f>
        <v>291</v>
      </c>
      <c r="T51" s="46">
        <f t="shared" si="28"/>
        <v>242</v>
      </c>
      <c r="U51" s="46">
        <f t="shared" si="28"/>
        <v>414</v>
      </c>
      <c r="V51" s="46">
        <f t="shared" si="28"/>
        <v>336</v>
      </c>
      <c r="W51" s="46">
        <f t="shared" si="28"/>
        <v>322</v>
      </c>
      <c r="X51" s="46">
        <f t="shared" si="28"/>
        <v>279</v>
      </c>
      <c r="Y51" s="46">
        <f t="shared" si="28"/>
        <v>449</v>
      </c>
      <c r="Z51" s="46">
        <f t="shared" si="28"/>
        <v>404</v>
      </c>
      <c r="AA51" s="46">
        <f t="shared" si="28"/>
        <v>343</v>
      </c>
      <c r="AB51" s="46">
        <f t="shared" si="28"/>
        <v>255</v>
      </c>
      <c r="AC51" s="46">
        <f t="shared" si="28"/>
        <v>565</v>
      </c>
      <c r="AD51" s="46">
        <f t="shared" si="28"/>
        <v>519</v>
      </c>
      <c r="AE51" s="46">
        <f t="shared" si="28"/>
        <v>419</v>
      </c>
      <c r="AF51" s="46">
        <f t="shared" si="28"/>
        <v>305</v>
      </c>
      <c r="AG51" s="46">
        <f t="shared" si="28"/>
        <v>783</v>
      </c>
      <c r="AH51" s="46">
        <f t="shared" si="28"/>
        <v>677</v>
      </c>
      <c r="AI51" s="46">
        <f t="shared" si="28"/>
        <v>466</v>
      </c>
      <c r="AJ51" s="46">
        <f t="shared" si="28"/>
        <v>341</v>
      </c>
      <c r="AK51" s="46">
        <f t="shared" si="28"/>
        <v>841</v>
      </c>
      <c r="AL51" s="46">
        <f t="shared" si="28"/>
        <v>877</v>
      </c>
      <c r="AM51" s="46">
        <f t="shared" si="28"/>
        <v>516</v>
      </c>
      <c r="AN51" s="46">
        <f t="shared" si="28"/>
        <v>510</v>
      </c>
      <c r="AO51" s="46">
        <f t="shared" si="28"/>
        <v>1056</v>
      </c>
      <c r="AP51" s="46">
        <f t="shared" si="28"/>
        <v>798</v>
      </c>
      <c r="AQ51" s="46">
        <f t="shared" si="28"/>
        <v>877</v>
      </c>
      <c r="AR51" s="46">
        <f t="shared" si="28"/>
        <v>472</v>
      </c>
      <c r="AS51" s="46">
        <f t="shared" si="28"/>
        <v>1351</v>
      </c>
      <c r="AT51" s="46">
        <f t="shared" si="28"/>
        <v>1109</v>
      </c>
      <c r="AU51" s="46">
        <f t="shared" si="28"/>
        <v>782</v>
      </c>
      <c r="AV51" s="46">
        <f t="shared" si="28"/>
        <v>876</v>
      </c>
      <c r="AW51" s="46">
        <f t="shared" si="28"/>
        <v>1357</v>
      </c>
      <c r="AX51" s="46">
        <f t="shared" si="28"/>
        <v>1162</v>
      </c>
      <c r="AY51" s="46">
        <f t="shared" si="28"/>
        <v>820</v>
      </c>
      <c r="AZ51" s="46">
        <f t="shared" si="28"/>
        <v>823</v>
      </c>
      <c r="BA51" s="46">
        <f t="shared" si="28"/>
        <v>1352</v>
      </c>
      <c r="BB51" s="46">
        <f t="shared" si="28"/>
        <v>1291</v>
      </c>
      <c r="BC51" s="46">
        <f t="shared" si="28"/>
        <v>874</v>
      </c>
      <c r="BD51" s="46">
        <f t="shared" si="28"/>
        <v>850</v>
      </c>
      <c r="BE51" s="46">
        <f t="shared" si="28"/>
        <v>1405</v>
      </c>
      <c r="BF51" s="46">
        <f>+BF237</f>
        <v>1109</v>
      </c>
      <c r="BG51" s="46">
        <f t="shared" si="28"/>
        <v>804</v>
      </c>
      <c r="BH51" s="46">
        <f t="shared" si="28"/>
        <v>960</v>
      </c>
      <c r="BI51" s="47">
        <f t="shared" ref="BI51:CD51" si="29">+BI54+BI57+BI60+BI63</f>
        <v>1345.1022879244197</v>
      </c>
      <c r="BJ51" s="47">
        <f t="shared" si="29"/>
        <v>1058.8503509008269</v>
      </c>
      <c r="BK51" s="47">
        <f t="shared" si="29"/>
        <v>770.50707621807817</v>
      </c>
      <c r="BL51" s="47">
        <f t="shared" si="29"/>
        <v>1010.286141010764</v>
      </c>
      <c r="BM51" s="47">
        <f t="shared" si="29"/>
        <v>1357.8522879244197</v>
      </c>
      <c r="BN51" s="47">
        <f t="shared" si="29"/>
        <v>1068.0468684458683</v>
      </c>
      <c r="BO51" s="47">
        <f t="shared" si="29"/>
        <v>808.42317483919533</v>
      </c>
      <c r="BP51" s="47">
        <f t="shared" si="29"/>
        <v>1061.8332345963508</v>
      </c>
      <c r="BQ51" s="47">
        <f t="shared" si="29"/>
        <v>1444.5614023206406</v>
      </c>
      <c r="BR51" s="47">
        <f t="shared" si="29"/>
        <v>1110.2190118681615</v>
      </c>
      <c r="BS51" s="47">
        <f t="shared" si="29"/>
        <v>795.96612570745162</v>
      </c>
      <c r="BT51" s="47">
        <f t="shared" si="29"/>
        <v>1071.00308987364</v>
      </c>
      <c r="BU51" s="47">
        <f t="shared" si="29"/>
        <v>1444.0664224366726</v>
      </c>
      <c r="BV51" s="47">
        <f t="shared" si="29"/>
        <v>1102.5003724615699</v>
      </c>
      <c r="BW51" s="47">
        <f t="shared" si="29"/>
        <v>824.10864449282428</v>
      </c>
      <c r="BX51" s="47">
        <f t="shared" si="29"/>
        <v>1114.1970568673221</v>
      </c>
      <c r="BY51" s="47">
        <f t="shared" si="29"/>
        <v>1507.2943810585061</v>
      </c>
      <c r="BZ51" s="47">
        <f t="shared" si="29"/>
        <v>1147.4901355846484</v>
      </c>
      <c r="CA51" s="47">
        <f t="shared" si="29"/>
        <v>854.24107859246544</v>
      </c>
      <c r="CB51" s="47">
        <f t="shared" si="29"/>
        <v>1160.0685315856883</v>
      </c>
      <c r="CC51" s="47">
        <f t="shared" si="29"/>
        <v>1574.1325057364318</v>
      </c>
      <c r="CD51" s="47">
        <f t="shared" si="29"/>
        <v>1195.2361496388808</v>
      </c>
      <c r="CE51"/>
      <c r="CF51" s="46">
        <f t="shared" ref="CF51:CX51" si="30">+CF237</f>
        <v>0</v>
      </c>
      <c r="CG51" s="46">
        <f t="shared" si="30"/>
        <v>0</v>
      </c>
      <c r="CH51" s="46">
        <f t="shared" si="30"/>
        <v>0</v>
      </c>
      <c r="CI51" s="46">
        <f t="shared" si="30"/>
        <v>0</v>
      </c>
      <c r="CJ51" s="46">
        <f t="shared" si="30"/>
        <v>1283</v>
      </c>
      <c r="CK51" s="46">
        <f t="shared" si="30"/>
        <v>1454</v>
      </c>
      <c r="CL51" s="46">
        <f t="shared" si="30"/>
        <v>1682</v>
      </c>
      <c r="CM51" s="46">
        <f t="shared" si="30"/>
        <v>2184</v>
      </c>
      <c r="CN51" s="46">
        <f t="shared" si="30"/>
        <v>2525</v>
      </c>
      <c r="CO51" s="46">
        <f t="shared" si="30"/>
        <v>2880</v>
      </c>
      <c r="CP51" s="46">
        <f t="shared" si="30"/>
        <v>3809</v>
      </c>
      <c r="CQ51" s="46">
        <f t="shared" si="30"/>
        <v>4177</v>
      </c>
      <c r="CR51" s="46">
        <f t="shared" si="30"/>
        <v>4286</v>
      </c>
      <c r="CS51" s="46">
        <f t="shared" si="30"/>
        <v>4238</v>
      </c>
      <c r="CT51" s="47">
        <f t="shared" si="30"/>
        <v>4167.952638825247</v>
      </c>
      <c r="CU51" s="47">
        <f t="shared" si="30"/>
        <v>4206.6923735991304</v>
      </c>
      <c r="CV51" s="47">
        <f t="shared" si="30"/>
        <v>4425.0368236243485</v>
      </c>
      <c r="CW51" s="47">
        <f t="shared" si="30"/>
        <v>4413.5360104793344</v>
      </c>
      <c r="CX51" s="47">
        <f t="shared" si="30"/>
        <v>4593.0902180033008</v>
      </c>
    </row>
    <row r="52" spans="1:102" x14ac:dyDescent="0.25">
      <c r="B52" s="41" t="s">
        <v>151</v>
      </c>
      <c r="C52" s="48"/>
      <c r="D52" s="48"/>
      <c r="E52" s="48"/>
      <c r="F52" s="48"/>
      <c r="G52" s="48"/>
      <c r="H52" s="48"/>
      <c r="I52" s="48"/>
      <c r="J52" s="48"/>
      <c r="K52" s="48"/>
      <c r="L52" s="48"/>
      <c r="M52" s="48"/>
      <c r="N52" s="48"/>
      <c r="O52" s="48"/>
      <c r="P52" s="48"/>
      <c r="Q52" s="48"/>
      <c r="R52" s="48"/>
      <c r="AI52" s="24"/>
      <c r="AJ52" s="24"/>
      <c r="AK52" s="24"/>
      <c r="AL52" s="24"/>
      <c r="AM52" s="49">
        <f t="shared" ref="AM52:CD52" si="31">+AM51/AI51-1</f>
        <v>0.10729613733905574</v>
      </c>
      <c r="AN52" s="49">
        <f t="shared" si="31"/>
        <v>0.49560117302052786</v>
      </c>
      <c r="AO52" s="49">
        <f t="shared" si="31"/>
        <v>0.25564803804994063</v>
      </c>
      <c r="AP52" s="49">
        <f t="shared" si="31"/>
        <v>-9.0079817559863162E-2</v>
      </c>
      <c r="AQ52" s="49">
        <f t="shared" si="31"/>
        <v>0.6996124031007751</v>
      </c>
      <c r="AR52" s="49">
        <f t="shared" si="31"/>
        <v>-7.4509803921568585E-2</v>
      </c>
      <c r="AS52" s="49">
        <f t="shared" si="31"/>
        <v>0.27935606060606055</v>
      </c>
      <c r="AT52" s="49">
        <f t="shared" si="31"/>
        <v>0.38972431077694236</v>
      </c>
      <c r="AU52" s="49">
        <f t="shared" si="31"/>
        <v>-0.10832383124287348</v>
      </c>
      <c r="AV52" s="49">
        <f t="shared" si="31"/>
        <v>0.85593220338983045</v>
      </c>
      <c r="AW52" s="49">
        <f t="shared" si="31"/>
        <v>4.4411547002221052E-3</v>
      </c>
      <c r="AX52" s="49">
        <f t="shared" si="31"/>
        <v>4.779080252479706E-2</v>
      </c>
      <c r="AY52" s="49">
        <f t="shared" si="31"/>
        <v>4.8593350383631773E-2</v>
      </c>
      <c r="AZ52" s="49">
        <f t="shared" si="31"/>
        <v>-6.0502283105022814E-2</v>
      </c>
      <c r="BA52" s="49">
        <f t="shared" si="31"/>
        <v>-3.6845983787766601E-3</v>
      </c>
      <c r="BB52" s="49">
        <f t="shared" si="31"/>
        <v>0.11101549053356274</v>
      </c>
      <c r="BC52" s="49">
        <f t="shared" si="31"/>
        <v>6.5853658536585424E-2</v>
      </c>
      <c r="BD52" s="49">
        <f t="shared" si="31"/>
        <v>3.2806804374240661E-2</v>
      </c>
      <c r="BE52" s="49">
        <f t="shared" si="31"/>
        <v>3.9201183431952558E-2</v>
      </c>
      <c r="BF52" s="49">
        <f t="shared" si="31"/>
        <v>-0.14097598760650654</v>
      </c>
      <c r="BG52" s="49">
        <f t="shared" si="31"/>
        <v>-8.0091533180777996E-2</v>
      </c>
      <c r="BH52" s="49">
        <f t="shared" si="31"/>
        <v>0.12941176470588234</v>
      </c>
      <c r="BI52" s="49">
        <f t="shared" si="31"/>
        <v>-4.2631823541338321E-2</v>
      </c>
      <c r="BJ52" s="49">
        <f t="shared" si="31"/>
        <v>-4.5220603335593412E-2</v>
      </c>
      <c r="BK52" s="49">
        <f t="shared" si="31"/>
        <v>-4.1657865400400285E-2</v>
      </c>
      <c r="BL52" s="49">
        <f t="shared" si="31"/>
        <v>5.2381396886212572E-2</v>
      </c>
      <c r="BM52" s="49">
        <f t="shared" si="31"/>
        <v>9.4788330333406279E-3</v>
      </c>
      <c r="BN52" s="49">
        <f t="shared" si="31"/>
        <v>8.685379890762901E-3</v>
      </c>
      <c r="BO52" s="49">
        <f t="shared" si="31"/>
        <v>4.9209280214820073E-2</v>
      </c>
      <c r="BP52" s="49">
        <f t="shared" si="31"/>
        <v>5.1022271308220901E-2</v>
      </c>
      <c r="BQ52" s="49">
        <f t="shared" si="31"/>
        <v>6.3857545601489818E-2</v>
      </c>
      <c r="BR52" s="49">
        <f t="shared" si="31"/>
        <v>3.9485292891367596E-2</v>
      </c>
      <c r="BS52" s="49">
        <f t="shared" si="31"/>
        <v>-1.5409069803350883E-2</v>
      </c>
      <c r="BT52" s="49">
        <f t="shared" si="31"/>
        <v>8.6358714141914206E-3</v>
      </c>
      <c r="BU52" s="49">
        <f t="shared" si="31"/>
        <v>-3.4265063649963068E-4</v>
      </c>
      <c r="BV52" s="49">
        <f t="shared" si="31"/>
        <v>-6.9523574394600995E-3</v>
      </c>
      <c r="BW52" s="49">
        <f t="shared" si="31"/>
        <v>3.5356427712749383E-2</v>
      </c>
      <c r="BX52" s="49">
        <f t="shared" si="31"/>
        <v>4.033038504004538E-2</v>
      </c>
      <c r="BY52" s="49">
        <f t="shared" si="31"/>
        <v>4.3784660898869676E-2</v>
      </c>
      <c r="BZ52" s="49">
        <f t="shared" si="31"/>
        <v>4.0807027595491041E-2</v>
      </c>
      <c r="CA52" s="49">
        <f t="shared" si="31"/>
        <v>3.6563667061380478E-2</v>
      </c>
      <c r="CB52" s="49">
        <f t="shared" si="31"/>
        <v>4.1169983743574612E-2</v>
      </c>
      <c r="CC52" s="49">
        <f t="shared" si="31"/>
        <v>4.4343112744166246E-2</v>
      </c>
      <c r="CD52" s="49">
        <f t="shared" si="31"/>
        <v>4.1609084534661944E-2</v>
      </c>
      <c r="CM52" s="2"/>
      <c r="CN52" s="49">
        <f t="shared" ref="CN52:CX52" si="32">+CN51/CM51-1</f>
        <v>0.15613553113553102</v>
      </c>
      <c r="CO52" s="49">
        <f t="shared" si="32"/>
        <v>0.1405940594059405</v>
      </c>
      <c r="CP52" s="49">
        <f t="shared" si="32"/>
        <v>0.32256944444444446</v>
      </c>
      <c r="CQ52" s="49">
        <f t="shared" si="32"/>
        <v>9.6613284326594995E-2</v>
      </c>
      <c r="CR52" s="49">
        <f t="shared" si="32"/>
        <v>2.6095283696432769E-2</v>
      </c>
      <c r="CS52" s="49">
        <f t="shared" si="32"/>
        <v>-1.1199253383107788E-2</v>
      </c>
      <c r="CT52" s="49">
        <f t="shared" si="32"/>
        <v>-1.6528400465963378E-2</v>
      </c>
      <c r="CU52" s="49">
        <f t="shared" si="32"/>
        <v>9.2946677015990353E-3</v>
      </c>
      <c r="CV52" s="49">
        <f t="shared" si="32"/>
        <v>5.1904068715727947E-2</v>
      </c>
      <c r="CW52" s="49">
        <f t="shared" si="32"/>
        <v>-2.5990321896562918E-3</v>
      </c>
      <c r="CX52" s="49">
        <f t="shared" si="32"/>
        <v>4.0682619808162901E-2</v>
      </c>
    </row>
    <row r="53" spans="1:102" x14ac:dyDescent="0.25">
      <c r="B53" s="41"/>
      <c r="C53" s="48"/>
      <c r="D53" s="48"/>
      <c r="E53" s="48"/>
      <c r="F53" s="48"/>
      <c r="G53" s="48"/>
      <c r="H53" s="48"/>
      <c r="I53" s="48"/>
      <c r="J53" s="48"/>
      <c r="K53" s="48"/>
      <c r="L53" s="48"/>
      <c r="M53" s="48"/>
      <c r="N53" s="48"/>
      <c r="O53" s="48"/>
      <c r="P53" s="48"/>
      <c r="Q53" s="48"/>
      <c r="R53" s="48"/>
      <c r="AI53" s="24"/>
      <c r="AJ53" s="24"/>
      <c r="AK53" s="24"/>
      <c r="AL53" s="24"/>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49"/>
      <c r="CB53" s="49"/>
      <c r="CC53" s="49"/>
      <c r="CD53" s="49"/>
      <c r="CM53" s="2"/>
      <c r="CN53" s="49"/>
      <c r="CO53" s="49"/>
      <c r="CP53" s="49"/>
      <c r="CQ53" s="49"/>
      <c r="CR53" s="49"/>
      <c r="CS53" s="49"/>
      <c r="CT53" s="49"/>
      <c r="CU53" s="49"/>
      <c r="CV53" s="49"/>
      <c r="CW53" s="49"/>
      <c r="CX53" s="49"/>
    </row>
    <row r="54" spans="1:102" x14ac:dyDescent="0.25">
      <c r="B54" s="23" t="s">
        <v>144</v>
      </c>
      <c r="C54" s="23"/>
      <c r="D54" s="23"/>
      <c r="E54" s="23"/>
      <c r="F54" s="23"/>
      <c r="G54" s="23"/>
      <c r="H54" s="23"/>
      <c r="I54" s="23"/>
      <c r="J54" s="23"/>
      <c r="K54" s="23"/>
      <c r="L54" s="23"/>
      <c r="M54" s="23"/>
      <c r="N54" s="23"/>
      <c r="O54" s="23"/>
      <c r="P54" s="23"/>
      <c r="Q54" s="23"/>
      <c r="R54" s="23"/>
      <c r="S54" s="50">
        <f t="shared" ref="S54:BH54" si="33">+S51-S63-S60-S57</f>
        <v>246</v>
      </c>
      <c r="T54" s="50">
        <f t="shared" si="33"/>
        <v>217</v>
      </c>
      <c r="U54" s="50">
        <f t="shared" si="33"/>
        <v>339</v>
      </c>
      <c r="V54" s="50">
        <f t="shared" si="33"/>
        <v>211</v>
      </c>
      <c r="W54" s="50">
        <f t="shared" si="33"/>
        <v>272</v>
      </c>
      <c r="X54" s="50">
        <f t="shared" si="33"/>
        <v>249</v>
      </c>
      <c r="Y54" s="50">
        <f t="shared" si="33"/>
        <v>369</v>
      </c>
      <c r="Z54" s="50">
        <f t="shared" si="33"/>
        <v>274</v>
      </c>
      <c r="AA54" s="50">
        <f t="shared" si="33"/>
        <v>111.19797859690846</v>
      </c>
      <c r="AB54" s="50">
        <f t="shared" si="33"/>
        <v>88.558263971462537</v>
      </c>
      <c r="AC54" s="50">
        <f t="shared" si="33"/>
        <v>188.7663495838288</v>
      </c>
      <c r="AD54" s="50">
        <f t="shared" si="33"/>
        <v>116.47740784780024</v>
      </c>
      <c r="AE54" s="50">
        <f t="shared" si="33"/>
        <v>132.61721611721612</v>
      </c>
      <c r="AF54" s="50">
        <f t="shared" si="33"/>
        <v>100.21062271062272</v>
      </c>
      <c r="AG54" s="50">
        <f t="shared" si="33"/>
        <v>269.95054945054943</v>
      </c>
      <c r="AH54" s="50">
        <f t="shared" si="33"/>
        <v>171.22161172161174</v>
      </c>
      <c r="AI54" s="50">
        <f t="shared" si="33"/>
        <v>151</v>
      </c>
      <c r="AJ54" s="50">
        <f t="shared" si="33"/>
        <v>46</v>
      </c>
      <c r="AK54" s="50">
        <f t="shared" si="33"/>
        <v>246</v>
      </c>
      <c r="AL54" s="50">
        <f t="shared" si="33"/>
        <v>313</v>
      </c>
      <c r="AM54" s="50">
        <f t="shared" si="33"/>
        <v>108.86250000000001</v>
      </c>
      <c r="AN54" s="50">
        <f t="shared" si="33"/>
        <v>95.96875</v>
      </c>
      <c r="AO54" s="50">
        <f t="shared" si="33"/>
        <v>284.29999999999995</v>
      </c>
      <c r="AP54" s="50">
        <f t="shared" si="33"/>
        <v>104.86874999999998</v>
      </c>
      <c r="AQ54" s="50">
        <f t="shared" si="33"/>
        <v>278.31373063796269</v>
      </c>
      <c r="AR54" s="50">
        <f t="shared" si="33"/>
        <v>91.88264636387504</v>
      </c>
      <c r="AS54" s="50">
        <f t="shared" si="33"/>
        <v>470.34418482541355</v>
      </c>
      <c r="AT54" s="50">
        <f t="shared" si="33"/>
        <v>265.45943817274883</v>
      </c>
      <c r="AU54" s="50">
        <f t="shared" si="33"/>
        <v>153.19111577841949</v>
      </c>
      <c r="AV54" s="50">
        <f t="shared" si="33"/>
        <v>271.36308742452093</v>
      </c>
      <c r="AW54" s="50">
        <f t="shared" si="33"/>
        <v>325.52046468889466</v>
      </c>
      <c r="AX54" s="50">
        <f t="shared" si="33"/>
        <v>206.61080336046211</v>
      </c>
      <c r="AY54" s="50">
        <f t="shared" si="33"/>
        <v>156.51528842215799</v>
      </c>
      <c r="AZ54" s="50">
        <f t="shared" si="33"/>
        <v>314.31280651089526</v>
      </c>
      <c r="BA54" s="50">
        <f t="shared" si="33"/>
        <v>275.44648792333942</v>
      </c>
      <c r="BB54" s="50">
        <f t="shared" si="33"/>
        <v>226.94134352848516</v>
      </c>
      <c r="BC54" s="50">
        <f t="shared" si="33"/>
        <v>205.01552743554731</v>
      </c>
      <c r="BD54" s="50">
        <f t="shared" si="33"/>
        <v>254.75637091100026</v>
      </c>
      <c r="BE54" s="50">
        <f t="shared" si="33"/>
        <v>314.01789655950643</v>
      </c>
      <c r="BF54" s="50">
        <f t="shared" si="33"/>
        <v>53.658410704909556</v>
      </c>
      <c r="BG54" s="50">
        <f t="shared" si="33"/>
        <v>165.79513214476231</v>
      </c>
      <c r="BH54" s="50">
        <f t="shared" si="33"/>
        <v>400.54464200577581</v>
      </c>
      <c r="BI54" s="51">
        <v>250</v>
      </c>
      <c r="BJ54" s="51">
        <v>50</v>
      </c>
      <c r="BK54" s="51">
        <f t="shared" ref="BK54:CD54" si="34">+BG54*1.05</f>
        <v>174.08488875200044</v>
      </c>
      <c r="BL54" s="51">
        <f t="shared" si="34"/>
        <v>420.57187410606463</v>
      </c>
      <c r="BM54" s="51">
        <f t="shared" si="34"/>
        <v>262.5</v>
      </c>
      <c r="BN54" s="51">
        <f t="shared" si="34"/>
        <v>52.5</v>
      </c>
      <c r="BO54" s="51">
        <f t="shared" si="34"/>
        <v>182.78913318960048</v>
      </c>
      <c r="BP54" s="51">
        <f t="shared" si="34"/>
        <v>441.60046781136788</v>
      </c>
      <c r="BQ54" s="51">
        <f t="shared" si="34"/>
        <v>275.625</v>
      </c>
      <c r="BR54" s="51">
        <f t="shared" si="34"/>
        <v>55.125</v>
      </c>
      <c r="BS54" s="51">
        <f t="shared" si="34"/>
        <v>191.92858984908051</v>
      </c>
      <c r="BT54" s="51">
        <f t="shared" si="34"/>
        <v>463.68049120193626</v>
      </c>
      <c r="BU54" s="51">
        <f t="shared" si="34"/>
        <v>289.40625</v>
      </c>
      <c r="BV54" s="51">
        <f t="shared" si="34"/>
        <v>57.881250000000001</v>
      </c>
      <c r="BW54" s="51">
        <f t="shared" si="34"/>
        <v>201.52501934153454</v>
      </c>
      <c r="BX54" s="51">
        <f t="shared" si="34"/>
        <v>486.86451576203308</v>
      </c>
      <c r="BY54" s="51">
        <f t="shared" si="34"/>
        <v>303.87656250000003</v>
      </c>
      <c r="BZ54" s="51">
        <f t="shared" si="34"/>
        <v>60.775312500000005</v>
      </c>
      <c r="CA54" s="51">
        <f t="shared" si="34"/>
        <v>211.60127030861128</v>
      </c>
      <c r="CB54" s="51">
        <f t="shared" si="34"/>
        <v>511.20774155013476</v>
      </c>
      <c r="CC54" s="51">
        <f t="shared" si="34"/>
        <v>319.07039062500007</v>
      </c>
      <c r="CD54" s="51">
        <f t="shared" si="34"/>
        <v>63.814078125000009</v>
      </c>
      <c r="CL54" s="52">
        <f>+CL51-CL63-CL60</f>
        <v>815</v>
      </c>
      <c r="CM54" s="24">
        <f t="shared" ref="CM54:CX57" si="35">+SUMIFS($S54:$CD54,$S$5:$CD$5,"&lt;="&amp;CM$5,$S$5:$CD$5,"&gt;"&amp;CL$5)</f>
        <v>674</v>
      </c>
      <c r="CN54" s="24">
        <f t="shared" si="35"/>
        <v>756</v>
      </c>
      <c r="CO54" s="24">
        <f t="shared" si="35"/>
        <v>594</v>
      </c>
      <c r="CP54" s="24">
        <f t="shared" si="35"/>
        <v>1106</v>
      </c>
      <c r="CQ54" s="24">
        <f t="shared" si="35"/>
        <v>956.68547125229725</v>
      </c>
      <c r="CR54" s="24">
        <f t="shared" si="35"/>
        <v>973.21592638487789</v>
      </c>
      <c r="CS54" s="24">
        <f t="shared" si="35"/>
        <v>827.44820561096356</v>
      </c>
      <c r="CT54" s="24">
        <f t="shared" si="35"/>
        <v>866.33977415053812</v>
      </c>
      <c r="CU54" s="24">
        <f t="shared" si="35"/>
        <v>909.65676285806512</v>
      </c>
      <c r="CV54" s="24">
        <f t="shared" si="35"/>
        <v>955.13960100096836</v>
      </c>
      <c r="CW54" s="24">
        <f t="shared" si="35"/>
        <v>1002.8965810510168</v>
      </c>
      <c r="CX54" s="24">
        <f t="shared" si="35"/>
        <v>1053.0414101035676</v>
      </c>
    </row>
    <row r="55" spans="1:102" x14ac:dyDescent="0.25">
      <c r="B55" s="37" t="s">
        <v>151</v>
      </c>
      <c r="C55" s="42"/>
      <c r="D55" s="42"/>
      <c r="E55" s="42"/>
      <c r="F55" s="42"/>
      <c r="G55" s="42"/>
      <c r="H55" s="42"/>
      <c r="I55" s="42"/>
      <c r="J55" s="42"/>
      <c r="K55" s="42"/>
      <c r="L55" s="42"/>
      <c r="M55" s="42"/>
      <c r="N55" s="42"/>
      <c r="O55" s="42"/>
      <c r="P55" s="42"/>
      <c r="Q55" s="42"/>
      <c r="R55" s="42"/>
      <c r="AM55" s="49">
        <f t="shared" ref="AM55:CD55" si="36">+AM54/AI54-1</f>
        <v>-0.27905629139072841</v>
      </c>
      <c r="AN55" s="49">
        <f t="shared" si="36"/>
        <v>1.0862771739130435</v>
      </c>
      <c r="AO55" s="49">
        <f t="shared" si="36"/>
        <v>0.15569105691056895</v>
      </c>
      <c r="AP55" s="49">
        <f t="shared" si="36"/>
        <v>-0.66495607028754</v>
      </c>
      <c r="AQ55" s="49">
        <f t="shared" si="36"/>
        <v>1.5565619992004835</v>
      </c>
      <c r="AR55" s="49">
        <f t="shared" si="36"/>
        <v>-4.257743938651859E-2</v>
      </c>
      <c r="AS55" s="49">
        <f t="shared" si="36"/>
        <v>0.65439389667750136</v>
      </c>
      <c r="AT55" s="49">
        <f t="shared" si="36"/>
        <v>1.53134931209487</v>
      </c>
      <c r="AU55" s="49">
        <f t="shared" si="36"/>
        <v>-0.44957399181395674</v>
      </c>
      <c r="AV55" s="49">
        <f t="shared" si="36"/>
        <v>1.9533660398707364</v>
      </c>
      <c r="AW55" s="49">
        <f t="shared" si="36"/>
        <v>-0.30791008969373312</v>
      </c>
      <c r="AX55" s="49">
        <f t="shared" si="36"/>
        <v>-0.22168597665000223</v>
      </c>
      <c r="AY55" s="49">
        <f t="shared" si="36"/>
        <v>2.1699513231215661E-2</v>
      </c>
      <c r="AZ55" s="49">
        <f t="shared" si="36"/>
        <v>0.15827399184614865</v>
      </c>
      <c r="BA55" s="49">
        <f t="shared" si="36"/>
        <v>-0.15382743082961547</v>
      </c>
      <c r="BB55" s="49">
        <f t="shared" si="36"/>
        <v>9.8400179648658215E-2</v>
      </c>
      <c r="BC55" s="49">
        <f t="shared" si="36"/>
        <v>0.3098754089924618</v>
      </c>
      <c r="BD55" s="49">
        <f t="shared" si="36"/>
        <v>-0.18948141585771039</v>
      </c>
      <c r="BE55" s="49">
        <f t="shared" si="36"/>
        <v>0.14003231236298053</v>
      </c>
      <c r="BF55" s="49">
        <f t="shared" si="36"/>
        <v>-0.76355823989305649</v>
      </c>
      <c r="BG55" s="49">
        <f t="shared" si="36"/>
        <v>-0.19130451132836801</v>
      </c>
      <c r="BH55" s="49">
        <f t="shared" si="36"/>
        <v>0.57226545728156508</v>
      </c>
      <c r="BI55" s="49">
        <f t="shared" si="36"/>
        <v>-0.20386703197782563</v>
      </c>
      <c r="BJ55" s="49">
        <f t="shared" si="36"/>
        <v>-6.8179632174137916E-2</v>
      </c>
      <c r="BK55" s="49">
        <f t="shared" si="36"/>
        <v>5.0000000000000044E-2</v>
      </c>
      <c r="BL55" s="49">
        <f t="shared" si="36"/>
        <v>5.0000000000000044E-2</v>
      </c>
      <c r="BM55" s="49">
        <f t="shared" si="36"/>
        <v>5.0000000000000044E-2</v>
      </c>
      <c r="BN55" s="49">
        <f t="shared" si="36"/>
        <v>5.0000000000000044E-2</v>
      </c>
      <c r="BO55" s="49">
        <f t="shared" si="36"/>
        <v>5.0000000000000044E-2</v>
      </c>
      <c r="BP55" s="49">
        <f t="shared" si="36"/>
        <v>5.0000000000000044E-2</v>
      </c>
      <c r="BQ55" s="49">
        <f t="shared" si="36"/>
        <v>5.0000000000000044E-2</v>
      </c>
      <c r="BR55" s="49">
        <f t="shared" si="36"/>
        <v>5.0000000000000044E-2</v>
      </c>
      <c r="BS55" s="49">
        <f t="shared" si="36"/>
        <v>5.0000000000000044E-2</v>
      </c>
      <c r="BT55" s="49">
        <f t="shared" si="36"/>
        <v>5.0000000000000044E-2</v>
      </c>
      <c r="BU55" s="49">
        <f t="shared" si="36"/>
        <v>5.0000000000000044E-2</v>
      </c>
      <c r="BV55" s="49">
        <f t="shared" si="36"/>
        <v>5.0000000000000044E-2</v>
      </c>
      <c r="BW55" s="49">
        <f t="shared" si="36"/>
        <v>5.0000000000000044E-2</v>
      </c>
      <c r="BX55" s="49">
        <f t="shared" si="36"/>
        <v>5.0000000000000044E-2</v>
      </c>
      <c r="BY55" s="49">
        <f t="shared" si="36"/>
        <v>5.0000000000000044E-2</v>
      </c>
      <c r="BZ55" s="49">
        <f t="shared" si="36"/>
        <v>5.0000000000000044E-2</v>
      </c>
      <c r="CA55" s="49">
        <f t="shared" si="36"/>
        <v>5.0000000000000044E-2</v>
      </c>
      <c r="CB55" s="49">
        <f t="shared" si="36"/>
        <v>5.0000000000000044E-2</v>
      </c>
      <c r="CC55" s="49">
        <f t="shared" si="36"/>
        <v>5.0000000000000044E-2</v>
      </c>
      <c r="CD55" s="49">
        <f t="shared" si="36"/>
        <v>5.0000000000000044E-2</v>
      </c>
      <c r="CF55" s="10"/>
      <c r="CG55" s="10"/>
      <c r="CH55" s="10"/>
      <c r="CI55" s="10"/>
      <c r="CJ55" s="10"/>
      <c r="CK55" s="10"/>
      <c r="CL55" s="10"/>
      <c r="CM55" s="36"/>
      <c r="CN55" s="49">
        <f t="shared" ref="CN55:CX55" si="37">+CN54/CM54-1</f>
        <v>0.12166172106824935</v>
      </c>
      <c r="CO55" s="49">
        <f t="shared" si="37"/>
        <v>-0.2142857142857143</v>
      </c>
      <c r="CP55" s="49">
        <f t="shared" si="37"/>
        <v>0.86195286195286203</v>
      </c>
      <c r="CQ55" s="49">
        <f t="shared" si="37"/>
        <v>-0.13500409470859198</v>
      </c>
      <c r="CR55" s="49">
        <f t="shared" si="37"/>
        <v>1.7278881752999187E-2</v>
      </c>
      <c r="CS55" s="49">
        <f t="shared" si="37"/>
        <v>-0.14977942388939858</v>
      </c>
      <c r="CT55" s="49">
        <f t="shared" si="37"/>
        <v>4.7001816277863817E-2</v>
      </c>
      <c r="CU55" s="49">
        <f t="shared" si="37"/>
        <v>5.0000000000000044E-2</v>
      </c>
      <c r="CV55" s="49">
        <f t="shared" si="37"/>
        <v>5.0000000000000044E-2</v>
      </c>
      <c r="CW55" s="49">
        <f t="shared" si="37"/>
        <v>5.0000000000000044E-2</v>
      </c>
      <c r="CX55" s="49">
        <f t="shared" si="37"/>
        <v>5.0000000000000044E-2</v>
      </c>
    </row>
    <row r="56" spans="1:102" x14ac:dyDescent="0.25">
      <c r="B56" s="37"/>
      <c r="C56" s="42"/>
      <c r="D56" s="42"/>
      <c r="E56" s="42"/>
      <c r="F56" s="42"/>
      <c r="G56" s="42"/>
      <c r="H56" s="42"/>
      <c r="I56" s="42"/>
      <c r="J56" s="42"/>
      <c r="K56" s="42"/>
      <c r="L56" s="42"/>
      <c r="M56" s="42"/>
      <c r="N56" s="42"/>
      <c r="O56" s="42"/>
      <c r="P56" s="42"/>
      <c r="Q56" s="42"/>
      <c r="R56" s="42"/>
      <c r="AM56" s="49"/>
      <c r="AN56" s="49"/>
      <c r="AO56" s="49"/>
      <c r="AP56" s="49"/>
      <c r="AQ56" s="49"/>
      <c r="AR56" s="49"/>
      <c r="AS56" s="49"/>
      <c r="AT56" s="49"/>
      <c r="AU56" s="49"/>
      <c r="AV56" s="49"/>
      <c r="AW56" s="49"/>
      <c r="AX56" s="49"/>
      <c r="AY56" s="49"/>
      <c r="AZ56" s="49"/>
      <c r="BA56" s="49"/>
      <c r="BB56" s="49"/>
      <c r="BC56" s="49"/>
      <c r="BD56" s="49"/>
      <c r="BE56" s="49"/>
      <c r="BF56" s="49"/>
      <c r="BG56" s="49"/>
      <c r="BH56" s="49"/>
      <c r="BI56" s="49"/>
      <c r="BJ56" s="49"/>
      <c r="BK56" s="49"/>
      <c r="BL56" s="49"/>
      <c r="BM56" s="49"/>
      <c r="BN56" s="49"/>
      <c r="BO56" s="49"/>
      <c r="BP56" s="49"/>
      <c r="BQ56" s="49"/>
      <c r="BR56" s="49"/>
      <c r="BS56" s="49"/>
      <c r="BT56" s="49"/>
      <c r="BU56" s="49"/>
      <c r="BV56" s="49"/>
      <c r="BW56" s="49"/>
      <c r="BX56" s="49"/>
      <c r="BY56" s="49"/>
      <c r="BZ56" s="49"/>
      <c r="CA56" s="49"/>
      <c r="CB56" s="49"/>
      <c r="CC56" s="49"/>
      <c r="CD56" s="49"/>
      <c r="CF56" s="10"/>
      <c r="CG56" s="10"/>
      <c r="CH56" s="10"/>
      <c r="CI56" s="10"/>
      <c r="CJ56" s="10"/>
      <c r="CK56" s="10"/>
      <c r="CL56" s="10"/>
      <c r="CM56" s="36"/>
      <c r="CN56" s="49"/>
      <c r="CO56" s="49"/>
      <c r="CP56" s="49"/>
      <c r="CQ56" s="49"/>
      <c r="CR56" s="49"/>
      <c r="CS56" s="49"/>
      <c r="CT56" s="49"/>
      <c r="CU56" s="49"/>
      <c r="CV56" s="49"/>
      <c r="CW56" s="49"/>
      <c r="CX56" s="49"/>
    </row>
    <row r="57" spans="1:102" s="52" customFormat="1" x14ac:dyDescent="0.25">
      <c r="B57" s="48" t="s">
        <v>76</v>
      </c>
      <c r="C57" s="48"/>
      <c r="D57" s="48"/>
      <c r="E57" s="48"/>
      <c r="F57" s="48"/>
      <c r="G57" s="48"/>
      <c r="H57" s="48"/>
      <c r="I57" s="48"/>
      <c r="J57" s="48"/>
      <c r="K57" s="48"/>
      <c r="L57" s="48"/>
      <c r="M57" s="48"/>
      <c r="N57" s="48"/>
      <c r="O57" s="48"/>
      <c r="P57" s="48"/>
      <c r="Q57" s="48"/>
      <c r="R57" s="48"/>
      <c r="S57" s="52">
        <f>+S116</f>
        <v>45</v>
      </c>
      <c r="T57" s="52">
        <f t="shared" ref="T57:CD57" si="38">+T116</f>
        <v>25</v>
      </c>
      <c r="U57" s="52">
        <f t="shared" si="38"/>
        <v>75</v>
      </c>
      <c r="V57" s="52">
        <f t="shared" si="38"/>
        <v>125</v>
      </c>
      <c r="W57" s="52">
        <f t="shared" si="38"/>
        <v>50</v>
      </c>
      <c r="X57" s="52">
        <f t="shared" si="38"/>
        <v>30</v>
      </c>
      <c r="Y57" s="52">
        <f t="shared" si="38"/>
        <v>80</v>
      </c>
      <c r="Z57" s="52">
        <f t="shared" si="38"/>
        <v>130</v>
      </c>
      <c r="AA57" s="52">
        <f t="shared" si="38"/>
        <v>55</v>
      </c>
      <c r="AB57" s="52">
        <f t="shared" si="38"/>
        <v>35</v>
      </c>
      <c r="AC57" s="52">
        <f t="shared" si="38"/>
        <v>85</v>
      </c>
      <c r="AD57" s="52">
        <f t="shared" si="38"/>
        <v>135</v>
      </c>
      <c r="AE57" s="52">
        <f t="shared" si="38"/>
        <v>60</v>
      </c>
      <c r="AF57" s="52">
        <f t="shared" si="38"/>
        <v>40</v>
      </c>
      <c r="AG57" s="52">
        <f t="shared" si="38"/>
        <v>90</v>
      </c>
      <c r="AH57" s="52">
        <f t="shared" si="38"/>
        <v>140</v>
      </c>
      <c r="AI57" s="52">
        <f t="shared" si="38"/>
        <v>65</v>
      </c>
      <c r="AJ57" s="52">
        <f t="shared" si="38"/>
        <v>45</v>
      </c>
      <c r="AK57" s="52">
        <f t="shared" si="38"/>
        <v>95</v>
      </c>
      <c r="AL57" s="52">
        <f t="shared" si="38"/>
        <v>145</v>
      </c>
      <c r="AM57" s="52">
        <f t="shared" si="38"/>
        <v>70</v>
      </c>
      <c r="AN57" s="52">
        <f t="shared" si="38"/>
        <v>50</v>
      </c>
      <c r="AO57" s="52">
        <f t="shared" si="38"/>
        <v>100</v>
      </c>
      <c r="AP57" s="52">
        <f t="shared" si="38"/>
        <v>150</v>
      </c>
      <c r="AQ57" s="52">
        <f t="shared" si="38"/>
        <v>140</v>
      </c>
      <c r="AR57" s="52">
        <f t="shared" si="38"/>
        <v>55</v>
      </c>
      <c r="AS57" s="52">
        <f t="shared" si="38"/>
        <v>105</v>
      </c>
      <c r="AT57" s="52">
        <f t="shared" si="38"/>
        <v>155</v>
      </c>
      <c r="AU57" s="52">
        <f t="shared" si="38"/>
        <v>100</v>
      </c>
      <c r="AV57" s="52">
        <f t="shared" si="38"/>
        <v>60</v>
      </c>
      <c r="AW57" s="52">
        <f t="shared" si="38"/>
        <v>110</v>
      </c>
      <c r="AX57" s="52">
        <f t="shared" si="38"/>
        <v>160</v>
      </c>
      <c r="AY57" s="52">
        <f t="shared" si="38"/>
        <v>105</v>
      </c>
      <c r="AZ57" s="52">
        <f t="shared" si="38"/>
        <v>65</v>
      </c>
      <c r="BA57" s="52">
        <f t="shared" si="38"/>
        <v>115</v>
      </c>
      <c r="BB57" s="52">
        <f t="shared" si="38"/>
        <v>165</v>
      </c>
      <c r="BC57" s="52">
        <f t="shared" si="38"/>
        <v>110</v>
      </c>
      <c r="BD57" s="52">
        <f t="shared" si="38"/>
        <v>70</v>
      </c>
      <c r="BE57" s="52">
        <f t="shared" si="38"/>
        <v>120</v>
      </c>
      <c r="BF57" s="52">
        <f t="shared" si="38"/>
        <v>170</v>
      </c>
      <c r="BG57" s="52">
        <f t="shared" si="38"/>
        <v>115.5</v>
      </c>
      <c r="BH57" s="52">
        <f t="shared" si="38"/>
        <v>73.5</v>
      </c>
      <c r="BI57" s="52">
        <f t="shared" si="38"/>
        <v>126</v>
      </c>
      <c r="BJ57" s="52">
        <f t="shared" si="38"/>
        <v>178.5</v>
      </c>
      <c r="BK57" s="52">
        <f t="shared" si="38"/>
        <v>121.27500000000001</v>
      </c>
      <c r="BL57" s="52">
        <f t="shared" si="38"/>
        <v>77.174999999999997</v>
      </c>
      <c r="BM57" s="52">
        <f t="shared" si="38"/>
        <v>132.30000000000001</v>
      </c>
      <c r="BN57" s="52">
        <f t="shared" si="38"/>
        <v>187.42500000000001</v>
      </c>
      <c r="BO57" s="52">
        <f t="shared" si="38"/>
        <v>127.33875</v>
      </c>
      <c r="BP57" s="52">
        <f t="shared" si="38"/>
        <v>81.033749999999998</v>
      </c>
      <c r="BQ57" s="52">
        <f t="shared" si="38"/>
        <v>138.91500000000002</v>
      </c>
      <c r="BR57" s="52">
        <f t="shared" si="38"/>
        <v>196.79625000000001</v>
      </c>
      <c r="BS57" s="52">
        <f t="shared" si="38"/>
        <v>133.70568750000001</v>
      </c>
      <c r="BT57" s="52">
        <f t="shared" si="38"/>
        <v>85.085437499999998</v>
      </c>
      <c r="BU57" s="52">
        <f t="shared" si="38"/>
        <v>145.86075000000002</v>
      </c>
      <c r="BV57" s="52">
        <f t="shared" si="38"/>
        <v>206.63606250000004</v>
      </c>
      <c r="BW57" s="52">
        <f t="shared" si="38"/>
        <v>140.39097187500002</v>
      </c>
      <c r="BX57" s="52">
        <f t="shared" si="38"/>
        <v>89.339709374999998</v>
      </c>
      <c r="BY57" s="52">
        <f t="shared" si="38"/>
        <v>153.15378750000002</v>
      </c>
      <c r="BZ57" s="52">
        <f t="shared" si="38"/>
        <v>216.96786562500006</v>
      </c>
      <c r="CA57" s="52">
        <f t="shared" si="38"/>
        <v>147.41052046875004</v>
      </c>
      <c r="CB57" s="52">
        <f t="shared" si="38"/>
        <v>93.806694843750009</v>
      </c>
      <c r="CC57" s="52">
        <f t="shared" si="38"/>
        <v>160.81147687500004</v>
      </c>
      <c r="CD57" s="52">
        <f t="shared" si="38"/>
        <v>227.81625890625008</v>
      </c>
      <c r="CE57"/>
      <c r="CL57" s="50">
        <f>+CL107</f>
        <v>0</v>
      </c>
      <c r="CM57" s="24">
        <f t="shared" ref="CM57:CX67" si="39">+SUMIFS($S57:$CD57,$S$5:$CD$5,"&lt;="&amp;CM$5,$S$5:$CD$5,"&gt;"&amp;CL$5)</f>
        <v>330</v>
      </c>
      <c r="CN57" s="24">
        <f t="shared" si="39"/>
        <v>350</v>
      </c>
      <c r="CO57" s="24">
        <f t="shared" si="39"/>
        <v>370</v>
      </c>
      <c r="CP57" s="24">
        <f t="shared" si="39"/>
        <v>455</v>
      </c>
      <c r="CQ57" s="24">
        <f t="shared" si="39"/>
        <v>430</v>
      </c>
      <c r="CR57" s="24">
        <f t="shared" si="39"/>
        <v>450</v>
      </c>
      <c r="CS57" s="24">
        <f t="shared" si="39"/>
        <v>470</v>
      </c>
      <c r="CT57" s="24">
        <f t="shared" si="35"/>
        <v>493.5</v>
      </c>
      <c r="CU57" s="24">
        <f t="shared" si="35"/>
        <v>518.17499999999995</v>
      </c>
      <c r="CV57" s="24">
        <f t="shared" si="35"/>
        <v>544.08375000000001</v>
      </c>
      <c r="CW57" s="24">
        <f t="shared" si="35"/>
        <v>571.2879375</v>
      </c>
      <c r="CX57" s="24">
        <f t="shared" si="35"/>
        <v>599.85233437500005</v>
      </c>
    </row>
    <row r="58" spans="1:102" x14ac:dyDescent="0.25">
      <c r="B58" s="41" t="s">
        <v>151</v>
      </c>
      <c r="C58" s="48"/>
      <c r="D58" s="48"/>
      <c r="E58" s="48"/>
      <c r="F58" s="48"/>
      <c r="G58" s="48"/>
      <c r="H58" s="48"/>
      <c r="I58" s="48"/>
      <c r="J58" s="48"/>
      <c r="K58" s="48"/>
      <c r="L58" s="48"/>
      <c r="M58" s="48"/>
      <c r="N58" s="48"/>
      <c r="O58" s="48"/>
      <c r="P58" s="48"/>
      <c r="Q58" s="48"/>
      <c r="R58" s="48"/>
      <c r="AM58" s="49">
        <f t="shared" ref="AM58:CD58" si="40">+AM57/AI57-1</f>
        <v>7.6923076923076872E-2</v>
      </c>
      <c r="AN58" s="49">
        <f t="shared" si="40"/>
        <v>0.11111111111111116</v>
      </c>
      <c r="AO58" s="49">
        <f t="shared" si="40"/>
        <v>5.2631578947368363E-2</v>
      </c>
      <c r="AP58" s="49">
        <f t="shared" si="40"/>
        <v>3.4482758620689724E-2</v>
      </c>
      <c r="AQ58" s="49">
        <f t="shared" si="40"/>
        <v>1</v>
      </c>
      <c r="AR58" s="49">
        <f t="shared" si="40"/>
        <v>0.10000000000000009</v>
      </c>
      <c r="AS58" s="49">
        <f t="shared" si="40"/>
        <v>5.0000000000000044E-2</v>
      </c>
      <c r="AT58" s="49">
        <f t="shared" si="40"/>
        <v>3.3333333333333437E-2</v>
      </c>
      <c r="AU58" s="49">
        <f t="shared" si="40"/>
        <v>-0.2857142857142857</v>
      </c>
      <c r="AV58" s="49">
        <f t="shared" si="40"/>
        <v>9.0909090909090828E-2</v>
      </c>
      <c r="AW58" s="49">
        <f t="shared" si="40"/>
        <v>4.7619047619047672E-2</v>
      </c>
      <c r="AX58" s="49">
        <f t="shared" si="40"/>
        <v>3.2258064516129004E-2</v>
      </c>
      <c r="AY58" s="49">
        <f t="shared" si="40"/>
        <v>5.0000000000000044E-2</v>
      </c>
      <c r="AZ58" s="49">
        <f t="shared" si="40"/>
        <v>8.3333333333333259E-2</v>
      </c>
      <c r="BA58" s="49">
        <f t="shared" si="40"/>
        <v>4.5454545454545414E-2</v>
      </c>
      <c r="BB58" s="49">
        <f t="shared" si="40"/>
        <v>3.125E-2</v>
      </c>
      <c r="BC58" s="49">
        <f t="shared" si="40"/>
        <v>4.7619047619047672E-2</v>
      </c>
      <c r="BD58" s="49">
        <f t="shared" si="40"/>
        <v>7.6923076923076872E-2</v>
      </c>
      <c r="BE58" s="49">
        <f t="shared" si="40"/>
        <v>4.3478260869565188E-2</v>
      </c>
      <c r="BF58" s="49">
        <f t="shared" si="40"/>
        <v>3.0303030303030276E-2</v>
      </c>
      <c r="BG58" s="49">
        <f t="shared" si="40"/>
        <v>5.0000000000000044E-2</v>
      </c>
      <c r="BH58" s="49">
        <f t="shared" si="40"/>
        <v>5.0000000000000044E-2</v>
      </c>
      <c r="BI58" s="49">
        <f t="shared" si="40"/>
        <v>5.0000000000000044E-2</v>
      </c>
      <c r="BJ58" s="49">
        <f t="shared" si="40"/>
        <v>5.0000000000000044E-2</v>
      </c>
      <c r="BK58" s="49">
        <f t="shared" si="40"/>
        <v>5.0000000000000044E-2</v>
      </c>
      <c r="BL58" s="49">
        <f t="shared" si="40"/>
        <v>5.0000000000000044E-2</v>
      </c>
      <c r="BM58" s="49">
        <f t="shared" si="40"/>
        <v>5.0000000000000044E-2</v>
      </c>
      <c r="BN58" s="49">
        <f t="shared" si="40"/>
        <v>5.0000000000000044E-2</v>
      </c>
      <c r="BO58" s="49">
        <f t="shared" si="40"/>
        <v>5.0000000000000044E-2</v>
      </c>
      <c r="BP58" s="49">
        <f t="shared" si="40"/>
        <v>5.0000000000000044E-2</v>
      </c>
      <c r="BQ58" s="49">
        <f t="shared" si="40"/>
        <v>5.0000000000000044E-2</v>
      </c>
      <c r="BR58" s="49">
        <f t="shared" si="40"/>
        <v>5.0000000000000044E-2</v>
      </c>
      <c r="BS58" s="49">
        <f t="shared" si="40"/>
        <v>5.0000000000000044E-2</v>
      </c>
      <c r="BT58" s="49">
        <f t="shared" si="40"/>
        <v>5.0000000000000044E-2</v>
      </c>
      <c r="BU58" s="49">
        <f t="shared" si="40"/>
        <v>5.0000000000000044E-2</v>
      </c>
      <c r="BV58" s="49">
        <f t="shared" si="40"/>
        <v>5.0000000000000044E-2</v>
      </c>
      <c r="BW58" s="49">
        <f t="shared" si="40"/>
        <v>5.0000000000000044E-2</v>
      </c>
      <c r="BX58" s="49">
        <f t="shared" si="40"/>
        <v>5.0000000000000044E-2</v>
      </c>
      <c r="BY58" s="49">
        <f t="shared" si="40"/>
        <v>5.0000000000000044E-2</v>
      </c>
      <c r="BZ58" s="49">
        <f t="shared" si="40"/>
        <v>5.0000000000000044E-2</v>
      </c>
      <c r="CA58" s="49">
        <f t="shared" si="40"/>
        <v>5.0000000000000044E-2</v>
      </c>
      <c r="CB58" s="49">
        <f t="shared" si="40"/>
        <v>5.0000000000000044E-2</v>
      </c>
      <c r="CC58" s="49">
        <f t="shared" si="40"/>
        <v>5.0000000000000044E-2</v>
      </c>
      <c r="CD58" s="49">
        <f t="shared" si="40"/>
        <v>5.0000000000000044E-2</v>
      </c>
      <c r="CF58" s="10"/>
      <c r="CG58" s="10"/>
      <c r="CH58" s="10"/>
      <c r="CI58" s="10"/>
      <c r="CJ58" s="10"/>
      <c r="CK58" s="10"/>
      <c r="CL58" s="10"/>
      <c r="CM58" s="36"/>
      <c r="CN58" s="49">
        <f t="shared" ref="CN58:CX58" si="41">+CN57/CM57-1</f>
        <v>6.0606060606060552E-2</v>
      </c>
      <c r="CO58" s="49">
        <f t="shared" si="41"/>
        <v>5.7142857142857162E-2</v>
      </c>
      <c r="CP58" s="49">
        <f t="shared" si="41"/>
        <v>0.22972972972972983</v>
      </c>
      <c r="CQ58" s="49">
        <f t="shared" si="41"/>
        <v>-5.4945054945054972E-2</v>
      </c>
      <c r="CR58" s="49">
        <f t="shared" si="41"/>
        <v>4.6511627906976827E-2</v>
      </c>
      <c r="CS58" s="49">
        <f t="shared" si="41"/>
        <v>4.4444444444444509E-2</v>
      </c>
      <c r="CT58" s="49">
        <f t="shared" si="41"/>
        <v>5.0000000000000044E-2</v>
      </c>
      <c r="CU58" s="49">
        <f t="shared" si="41"/>
        <v>4.9999999999999822E-2</v>
      </c>
      <c r="CV58" s="49">
        <f t="shared" si="41"/>
        <v>5.0000000000000044E-2</v>
      </c>
      <c r="CW58" s="49">
        <f t="shared" si="41"/>
        <v>5.0000000000000044E-2</v>
      </c>
      <c r="CX58" s="49">
        <f t="shared" si="41"/>
        <v>5.0000000000000044E-2</v>
      </c>
    </row>
    <row r="59" spans="1:102" x14ac:dyDescent="0.25">
      <c r="B59" s="41"/>
      <c r="C59" s="48"/>
      <c r="D59" s="48"/>
      <c r="E59" s="48"/>
      <c r="F59" s="48"/>
      <c r="G59" s="48"/>
      <c r="H59" s="48"/>
      <c r="I59" s="48"/>
      <c r="J59" s="48"/>
      <c r="K59" s="48"/>
      <c r="L59" s="48"/>
      <c r="M59" s="48"/>
      <c r="N59" s="48"/>
      <c r="O59" s="48"/>
      <c r="P59" s="48"/>
      <c r="Q59" s="48"/>
      <c r="R59" s="48"/>
      <c r="AM59" s="49"/>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c r="BN59" s="49"/>
      <c r="BO59" s="49"/>
      <c r="BP59" s="49"/>
      <c r="BQ59" s="49"/>
      <c r="BR59" s="49"/>
      <c r="BS59" s="49"/>
      <c r="BT59" s="49"/>
      <c r="BU59" s="49"/>
      <c r="BV59" s="49"/>
      <c r="BW59" s="49"/>
      <c r="BX59" s="49"/>
      <c r="BY59" s="49"/>
      <c r="BZ59" s="49"/>
      <c r="CA59" s="49"/>
      <c r="CB59" s="49"/>
      <c r="CC59" s="49"/>
      <c r="CD59" s="49"/>
      <c r="CF59" s="10"/>
      <c r="CG59" s="10"/>
      <c r="CH59" s="10"/>
      <c r="CI59" s="10"/>
      <c r="CJ59" s="10"/>
      <c r="CK59" s="10"/>
      <c r="CL59" s="10"/>
      <c r="CM59" s="36"/>
      <c r="CN59" s="49"/>
      <c r="CO59" s="49"/>
      <c r="CP59" s="49"/>
      <c r="CQ59" s="49"/>
      <c r="CR59" s="49"/>
      <c r="CS59" s="49"/>
      <c r="CT59" s="49"/>
      <c r="CU59" s="49"/>
      <c r="CV59" s="49"/>
      <c r="CW59" s="49"/>
      <c r="CX59" s="49"/>
    </row>
    <row r="60" spans="1:102" s="52" customFormat="1" x14ac:dyDescent="0.25">
      <c r="B60" s="48" t="s">
        <v>152</v>
      </c>
      <c r="C60" s="48"/>
      <c r="D60" s="48"/>
      <c r="E60" s="48"/>
      <c r="F60" s="48"/>
      <c r="G60" s="48"/>
      <c r="H60" s="48"/>
      <c r="I60" s="48"/>
      <c r="J60" s="48"/>
      <c r="K60" s="48"/>
      <c r="L60" s="48"/>
      <c r="M60" s="48"/>
      <c r="N60" s="48"/>
      <c r="O60" s="48"/>
      <c r="P60" s="48"/>
      <c r="Q60" s="48"/>
      <c r="R60" s="48"/>
      <c r="S60" s="52">
        <v>0</v>
      </c>
      <c r="T60" s="52">
        <v>0</v>
      </c>
      <c r="U60" s="52">
        <v>0</v>
      </c>
      <c r="V60" s="52">
        <v>0</v>
      </c>
      <c r="W60" s="52">
        <v>0</v>
      </c>
      <c r="X60" s="52">
        <v>0</v>
      </c>
      <c r="Y60" s="52">
        <v>0</v>
      </c>
      <c r="Z60" s="52">
        <v>0</v>
      </c>
      <c r="AA60" s="52">
        <v>0</v>
      </c>
      <c r="AB60" s="52">
        <v>0</v>
      </c>
      <c r="AC60" s="52">
        <v>0</v>
      </c>
      <c r="AD60" s="52">
        <v>0</v>
      </c>
      <c r="AE60" s="52">
        <v>0</v>
      </c>
      <c r="AF60" s="52">
        <v>0</v>
      </c>
      <c r="AG60" s="52">
        <v>0</v>
      </c>
      <c r="AH60" s="52">
        <v>0</v>
      </c>
      <c r="AI60" s="52">
        <v>0</v>
      </c>
      <c r="AJ60" s="52">
        <v>0</v>
      </c>
      <c r="AK60" s="52">
        <v>0</v>
      </c>
      <c r="AL60" s="52">
        <f t="shared" ref="AL60:CD60" si="42">+AL108</f>
        <v>50</v>
      </c>
      <c r="AM60" s="52">
        <f t="shared" si="42"/>
        <v>70</v>
      </c>
      <c r="AN60" s="52">
        <f t="shared" si="42"/>
        <v>100</v>
      </c>
      <c r="AO60" s="52">
        <f t="shared" si="42"/>
        <v>125</v>
      </c>
      <c r="AP60" s="52">
        <f t="shared" si="42"/>
        <v>130</v>
      </c>
      <c r="AQ60" s="52">
        <f t="shared" si="42"/>
        <v>85</v>
      </c>
      <c r="AR60" s="52">
        <f t="shared" si="42"/>
        <v>124</v>
      </c>
      <c r="AS60" s="52">
        <f t="shared" si="42"/>
        <v>200</v>
      </c>
      <c r="AT60" s="52">
        <f t="shared" si="42"/>
        <v>216</v>
      </c>
      <c r="AU60" s="52">
        <f t="shared" si="42"/>
        <v>190</v>
      </c>
      <c r="AV60" s="52">
        <f t="shared" si="42"/>
        <v>310</v>
      </c>
      <c r="AW60" s="52">
        <f t="shared" si="42"/>
        <v>220</v>
      </c>
      <c r="AX60" s="52">
        <f t="shared" si="42"/>
        <v>180</v>
      </c>
      <c r="AY60" s="52">
        <f t="shared" si="42"/>
        <v>212.8</v>
      </c>
      <c r="AZ60" s="52">
        <f t="shared" si="42"/>
        <v>200</v>
      </c>
      <c r="BA60" s="52">
        <f t="shared" si="42"/>
        <v>200</v>
      </c>
      <c r="BB60" s="52">
        <f t="shared" si="42"/>
        <v>185.4</v>
      </c>
      <c r="BC60" s="52">
        <f t="shared" si="42"/>
        <v>175</v>
      </c>
      <c r="BD60" s="52">
        <f t="shared" si="42"/>
        <v>150</v>
      </c>
      <c r="BE60" s="52">
        <f t="shared" si="42"/>
        <v>130</v>
      </c>
      <c r="BF60" s="52">
        <f t="shared" si="42"/>
        <v>146.79999999999973</v>
      </c>
      <c r="BG60" s="52">
        <f t="shared" si="42"/>
        <v>143.5</v>
      </c>
      <c r="BH60" s="52">
        <f t="shared" si="42"/>
        <v>127.5</v>
      </c>
      <c r="BI60" s="52">
        <f t="shared" si="42"/>
        <v>110.5</v>
      </c>
      <c r="BJ60" s="52">
        <f t="shared" si="42"/>
        <v>124.77999999999976</v>
      </c>
      <c r="BK60" s="52">
        <f t="shared" si="42"/>
        <v>129.15</v>
      </c>
      <c r="BL60" s="52">
        <f t="shared" si="42"/>
        <v>114.75</v>
      </c>
      <c r="BM60" s="52">
        <f t="shared" si="42"/>
        <v>99.45</v>
      </c>
      <c r="BN60" s="52">
        <f t="shared" si="42"/>
        <v>112.30199999999978</v>
      </c>
      <c r="BO60" s="52">
        <f t="shared" si="42"/>
        <v>122.6925</v>
      </c>
      <c r="BP60" s="52">
        <f t="shared" si="42"/>
        <v>109.01249999999999</v>
      </c>
      <c r="BQ60" s="52">
        <f t="shared" si="42"/>
        <v>94.477499999999992</v>
      </c>
      <c r="BR60" s="52">
        <f t="shared" si="42"/>
        <v>106.68689999999978</v>
      </c>
      <c r="BS60" s="52">
        <f t="shared" si="42"/>
        <v>116.557875</v>
      </c>
      <c r="BT60" s="52">
        <f t="shared" si="42"/>
        <v>103.56187499999999</v>
      </c>
      <c r="BU60" s="52">
        <f t="shared" si="42"/>
        <v>89.753624999999985</v>
      </c>
      <c r="BV60" s="52">
        <f t="shared" si="42"/>
        <v>101.35255499999978</v>
      </c>
      <c r="BW60" s="52">
        <f t="shared" si="42"/>
        <v>110.72998124999999</v>
      </c>
      <c r="BX60" s="52">
        <f t="shared" si="42"/>
        <v>98.383781249999984</v>
      </c>
      <c r="BY60" s="52">
        <f t="shared" si="42"/>
        <v>85.265943749999977</v>
      </c>
      <c r="BZ60" s="52">
        <f t="shared" si="42"/>
        <v>96.284927249999782</v>
      </c>
      <c r="CA60" s="52">
        <f t="shared" si="42"/>
        <v>105.1934821875</v>
      </c>
      <c r="CB60" s="52">
        <f t="shared" si="42"/>
        <v>93.464592187499974</v>
      </c>
      <c r="CC60" s="52">
        <f t="shared" si="42"/>
        <v>81.002646562499976</v>
      </c>
      <c r="CD60" s="52">
        <f t="shared" si="42"/>
        <v>91.470680887499782</v>
      </c>
      <c r="CE60"/>
      <c r="CL60" s="50">
        <f>+CL108</f>
        <v>0</v>
      </c>
      <c r="CM60" s="53">
        <f t="shared" ref="CM60:CX60" si="43">+CM108</f>
        <v>0</v>
      </c>
      <c r="CN60" s="53">
        <f t="shared" si="43"/>
        <v>10</v>
      </c>
      <c r="CO60" s="53">
        <f t="shared" si="43"/>
        <v>425</v>
      </c>
      <c r="CP60" s="53">
        <f t="shared" si="43"/>
        <v>625</v>
      </c>
      <c r="CQ60" s="53">
        <f t="shared" si="43"/>
        <v>900</v>
      </c>
      <c r="CR60" s="53">
        <f t="shared" si="43"/>
        <v>798.19999999999993</v>
      </c>
      <c r="CS60" s="53">
        <f t="shared" si="43"/>
        <v>601.79999999999973</v>
      </c>
      <c r="CT60" s="50">
        <f t="shared" si="43"/>
        <v>506.27999999999975</v>
      </c>
      <c r="CU60" s="50">
        <f t="shared" si="43"/>
        <v>455.65199999999982</v>
      </c>
      <c r="CV60" s="50">
        <f t="shared" si="43"/>
        <v>432.86939999999981</v>
      </c>
      <c r="CW60" s="50">
        <f t="shared" si="43"/>
        <v>411.22592999999972</v>
      </c>
      <c r="CX60" s="50">
        <f t="shared" si="43"/>
        <v>390.66463349999975</v>
      </c>
    </row>
    <row r="61" spans="1:102" x14ac:dyDescent="0.25">
      <c r="B61" s="41" t="s">
        <v>151</v>
      </c>
      <c r="C61" s="48"/>
      <c r="D61" s="48"/>
      <c r="E61" s="48"/>
      <c r="F61" s="48"/>
      <c r="G61" s="48"/>
      <c r="H61" s="48"/>
      <c r="I61" s="48"/>
      <c r="J61" s="48"/>
      <c r="K61" s="48"/>
      <c r="L61" s="48"/>
      <c r="M61" s="48"/>
      <c r="N61" s="48"/>
      <c r="O61" s="48"/>
      <c r="P61" s="48"/>
      <c r="Q61" s="48"/>
      <c r="R61" s="48"/>
      <c r="AM61" s="49"/>
      <c r="AN61" s="49"/>
      <c r="AO61" s="49"/>
      <c r="AP61" s="49">
        <f t="shared" ref="AP61:CD61" si="44">+AP60/AL60-1</f>
        <v>1.6</v>
      </c>
      <c r="AQ61" s="49">
        <f t="shared" si="44"/>
        <v>0.21428571428571419</v>
      </c>
      <c r="AR61" s="49">
        <f t="shared" si="44"/>
        <v>0.24</v>
      </c>
      <c r="AS61" s="49">
        <f t="shared" si="44"/>
        <v>0.60000000000000009</v>
      </c>
      <c r="AT61" s="49">
        <f t="shared" si="44"/>
        <v>0.66153846153846163</v>
      </c>
      <c r="AU61" s="49">
        <f t="shared" si="44"/>
        <v>1.2352941176470589</v>
      </c>
      <c r="AV61" s="49">
        <f t="shared" si="44"/>
        <v>1.5</v>
      </c>
      <c r="AW61" s="49">
        <f t="shared" si="44"/>
        <v>0.10000000000000009</v>
      </c>
      <c r="AX61" s="49">
        <f t="shared" si="44"/>
        <v>-0.16666666666666663</v>
      </c>
      <c r="AY61" s="49">
        <f t="shared" si="44"/>
        <v>0.12000000000000011</v>
      </c>
      <c r="AZ61" s="49">
        <f t="shared" si="44"/>
        <v>-0.35483870967741937</v>
      </c>
      <c r="BA61" s="49">
        <f t="shared" si="44"/>
        <v>-9.0909090909090939E-2</v>
      </c>
      <c r="BB61" s="49">
        <f t="shared" si="44"/>
        <v>3.0000000000000027E-2</v>
      </c>
      <c r="BC61" s="49">
        <f t="shared" si="44"/>
        <v>-0.17763157894736847</v>
      </c>
      <c r="BD61" s="49">
        <f t="shared" si="44"/>
        <v>-0.25</v>
      </c>
      <c r="BE61" s="49">
        <f t="shared" si="44"/>
        <v>-0.35</v>
      </c>
      <c r="BF61" s="49">
        <f t="shared" si="44"/>
        <v>-0.20819848975188926</v>
      </c>
      <c r="BG61" s="49">
        <f t="shared" si="44"/>
        <v>-0.18000000000000005</v>
      </c>
      <c r="BH61" s="49">
        <f t="shared" si="44"/>
        <v>-0.15000000000000002</v>
      </c>
      <c r="BI61" s="49">
        <f t="shared" si="44"/>
        <v>-0.15000000000000002</v>
      </c>
      <c r="BJ61" s="49">
        <f t="shared" si="44"/>
        <v>-0.15000000000000002</v>
      </c>
      <c r="BK61" s="49">
        <f t="shared" si="44"/>
        <v>-9.9999999999999978E-2</v>
      </c>
      <c r="BL61" s="49">
        <f t="shared" si="44"/>
        <v>-9.9999999999999978E-2</v>
      </c>
      <c r="BM61" s="49">
        <f t="shared" si="44"/>
        <v>-9.9999999999999978E-2</v>
      </c>
      <c r="BN61" s="49">
        <f t="shared" si="44"/>
        <v>-0.10000000000000009</v>
      </c>
      <c r="BO61" s="49">
        <f t="shared" si="44"/>
        <v>-5.0000000000000044E-2</v>
      </c>
      <c r="BP61" s="49">
        <f t="shared" si="44"/>
        <v>-5.0000000000000044E-2</v>
      </c>
      <c r="BQ61" s="49">
        <f t="shared" si="44"/>
        <v>-5.0000000000000155E-2</v>
      </c>
      <c r="BR61" s="49">
        <f t="shared" si="44"/>
        <v>-5.0000000000000044E-2</v>
      </c>
      <c r="BS61" s="49">
        <f t="shared" si="44"/>
        <v>-5.0000000000000044E-2</v>
      </c>
      <c r="BT61" s="49">
        <f t="shared" si="44"/>
        <v>-5.0000000000000044E-2</v>
      </c>
      <c r="BU61" s="49">
        <f t="shared" si="44"/>
        <v>-5.0000000000000044E-2</v>
      </c>
      <c r="BV61" s="49">
        <f t="shared" si="44"/>
        <v>-5.0000000000000044E-2</v>
      </c>
      <c r="BW61" s="49">
        <f t="shared" si="44"/>
        <v>-5.0000000000000044E-2</v>
      </c>
      <c r="BX61" s="49">
        <f t="shared" si="44"/>
        <v>-5.0000000000000044E-2</v>
      </c>
      <c r="BY61" s="49">
        <f t="shared" si="44"/>
        <v>-5.0000000000000155E-2</v>
      </c>
      <c r="BZ61" s="49">
        <f t="shared" si="44"/>
        <v>-5.0000000000000155E-2</v>
      </c>
      <c r="CA61" s="49">
        <f t="shared" si="44"/>
        <v>-5.0000000000000044E-2</v>
      </c>
      <c r="CB61" s="49">
        <f t="shared" si="44"/>
        <v>-5.0000000000000155E-2</v>
      </c>
      <c r="CC61" s="49">
        <f t="shared" si="44"/>
        <v>-5.0000000000000044E-2</v>
      </c>
      <c r="CD61" s="49">
        <f t="shared" si="44"/>
        <v>-5.0000000000000155E-2</v>
      </c>
      <c r="CF61" s="10"/>
      <c r="CG61" s="10"/>
      <c r="CH61" s="10"/>
      <c r="CI61" s="10"/>
      <c r="CJ61" s="10"/>
      <c r="CK61" s="10"/>
      <c r="CL61" s="10"/>
      <c r="CM61" s="36"/>
      <c r="CN61" s="49"/>
      <c r="CO61" s="49">
        <f t="shared" ref="CO61:CX61" si="45">+CO60/CN60-1</f>
        <v>41.5</v>
      </c>
      <c r="CP61" s="49">
        <f t="shared" si="45"/>
        <v>0.47058823529411775</v>
      </c>
      <c r="CQ61" s="49">
        <f t="shared" si="45"/>
        <v>0.43999999999999995</v>
      </c>
      <c r="CR61" s="49">
        <f t="shared" si="45"/>
        <v>-0.11311111111111116</v>
      </c>
      <c r="CS61" s="49">
        <f t="shared" si="45"/>
        <v>-0.24605362064645475</v>
      </c>
      <c r="CT61" s="49">
        <f t="shared" si="45"/>
        <v>-0.15872382851445666</v>
      </c>
      <c r="CU61" s="49">
        <f t="shared" si="45"/>
        <v>-9.9999999999999867E-2</v>
      </c>
      <c r="CV61" s="49">
        <f t="shared" si="45"/>
        <v>-5.0000000000000044E-2</v>
      </c>
      <c r="CW61" s="49">
        <f t="shared" si="45"/>
        <v>-5.0000000000000266E-2</v>
      </c>
      <c r="CX61" s="49">
        <f t="shared" si="45"/>
        <v>-4.9999999999999933E-2</v>
      </c>
    </row>
    <row r="62" spans="1:102" x14ac:dyDescent="0.25">
      <c r="B62" s="41"/>
      <c r="C62" s="48"/>
      <c r="D62" s="48"/>
      <c r="E62" s="48"/>
      <c r="F62" s="48"/>
      <c r="G62" s="48"/>
      <c r="H62" s="48"/>
      <c r="I62" s="48"/>
      <c r="J62" s="48"/>
      <c r="K62" s="48"/>
      <c r="L62" s="48"/>
      <c r="M62" s="48"/>
      <c r="N62" s="48"/>
      <c r="O62" s="48"/>
      <c r="P62" s="48"/>
      <c r="Q62" s="48"/>
      <c r="R62" s="48"/>
      <c r="AM62" s="49"/>
      <c r="AN62" s="49"/>
      <c r="AO62" s="49"/>
      <c r="AP62" s="49"/>
      <c r="AQ62" s="49"/>
      <c r="AR62" s="49"/>
      <c r="AS62" s="49"/>
      <c r="AT62" s="49"/>
      <c r="AU62" s="49"/>
      <c r="AV62" s="49"/>
      <c r="AW62" s="49"/>
      <c r="AX62" s="49"/>
      <c r="AY62" s="49"/>
      <c r="AZ62" s="49"/>
      <c r="BA62" s="49"/>
      <c r="BB62" s="49"/>
      <c r="BC62" s="49"/>
      <c r="BD62" s="49"/>
      <c r="BE62" s="49"/>
      <c r="BF62" s="49"/>
      <c r="BG62" s="49"/>
      <c r="BH62" s="49"/>
      <c r="BI62" s="49"/>
      <c r="BJ62" s="49"/>
      <c r="BK62" s="49"/>
      <c r="BL62" s="49"/>
      <c r="BM62" s="49"/>
      <c r="BN62" s="49"/>
      <c r="BO62" s="49"/>
      <c r="BP62" s="49"/>
      <c r="BQ62" s="49"/>
      <c r="BR62" s="49"/>
      <c r="BS62" s="49"/>
      <c r="BT62" s="49"/>
      <c r="BU62" s="49"/>
      <c r="BV62" s="49"/>
      <c r="BW62" s="49"/>
      <c r="BX62" s="49"/>
      <c r="BY62" s="49"/>
      <c r="BZ62" s="49"/>
      <c r="CA62" s="49"/>
      <c r="CB62" s="49"/>
      <c r="CC62" s="49"/>
      <c r="CD62" s="49"/>
      <c r="CF62" s="10"/>
      <c r="CG62" s="10"/>
      <c r="CH62" s="10"/>
      <c r="CI62" s="10"/>
      <c r="CJ62" s="10"/>
      <c r="CK62" s="10"/>
      <c r="CL62" s="10"/>
      <c r="CM62" s="36"/>
      <c r="CN62" s="49"/>
      <c r="CO62" s="49"/>
      <c r="CP62" s="49"/>
      <c r="CQ62" s="49"/>
      <c r="CR62" s="49"/>
      <c r="CS62" s="49"/>
      <c r="CT62" s="49"/>
      <c r="CU62" s="49"/>
      <c r="CV62" s="49"/>
      <c r="CW62" s="49"/>
      <c r="CX62" s="49"/>
    </row>
    <row r="63" spans="1:102" s="54" customFormat="1" x14ac:dyDescent="0.25">
      <c r="B63" s="45" t="s">
        <v>153</v>
      </c>
      <c r="C63" s="45"/>
      <c r="D63" s="45"/>
      <c r="E63" s="45"/>
      <c r="F63" s="45"/>
      <c r="G63" s="45"/>
      <c r="H63" s="45"/>
      <c r="I63" s="45"/>
      <c r="J63" s="45"/>
      <c r="K63" s="45"/>
      <c r="L63" s="45"/>
      <c r="M63" s="45"/>
      <c r="N63" s="45"/>
      <c r="O63" s="45"/>
      <c r="P63" s="45"/>
      <c r="Q63" s="45"/>
      <c r="R63" s="45"/>
      <c r="AA63" s="54">
        <f>+$CL63*AA51/$CL51</f>
        <v>176.80202140309154</v>
      </c>
      <c r="AB63" s="54">
        <f>+$CL63*AB51/$CL51</f>
        <v>131.44173602853746</v>
      </c>
      <c r="AC63" s="54">
        <f>+$CL63*AC51/$CL51</f>
        <v>291.2336504161712</v>
      </c>
      <c r="AD63" s="54">
        <f>+$CL63*AD51/$CL51</f>
        <v>267.52259215219976</v>
      </c>
      <c r="AE63" s="54">
        <f>+$CM63*AE51/$CM51</f>
        <v>226.38278388278388</v>
      </c>
      <c r="AF63" s="54">
        <f>+$CM63*AF51/$CM51</f>
        <v>164.78937728937728</v>
      </c>
      <c r="AG63" s="54">
        <f>+$CM63*AG51/$CM51</f>
        <v>423.04945054945057</v>
      </c>
      <c r="AH63" s="54">
        <f>+$CM63*AH51/$CM51</f>
        <v>365.77838827838826</v>
      </c>
      <c r="AI63" s="55">
        <v>250</v>
      </c>
      <c r="AJ63" s="55">
        <v>250</v>
      </c>
      <c r="AK63" s="55">
        <v>500</v>
      </c>
      <c r="AL63" s="54">
        <f>+CN63-SUM(AI63:AK63)</f>
        <v>369</v>
      </c>
      <c r="AM63" s="54">
        <f>+$CO63*AM51/$CO51</f>
        <v>267.13749999999999</v>
      </c>
      <c r="AN63" s="54">
        <f>+$CO63*AN51/$CO51</f>
        <v>264.03125</v>
      </c>
      <c r="AO63" s="54">
        <f>+$CO63*AO51/$CO51</f>
        <v>546.70000000000005</v>
      </c>
      <c r="AP63" s="54">
        <f>+$CO63*AP51/$CO51</f>
        <v>413.13125000000002</v>
      </c>
      <c r="AQ63" s="54">
        <f>+$CP63*AQ51/$CP51</f>
        <v>373.68626936203731</v>
      </c>
      <c r="AR63" s="54">
        <f>+$CP63*AR51/$CP51</f>
        <v>201.11735363612496</v>
      </c>
      <c r="AS63" s="54">
        <f>+$CP63*AS51/$CP51</f>
        <v>575.65581517458645</v>
      </c>
      <c r="AT63" s="54">
        <f>+$CP63*AT51/$CP51</f>
        <v>472.54056182725122</v>
      </c>
      <c r="AU63" s="54">
        <f>+AU65+AU67</f>
        <v>338.80888422158051</v>
      </c>
      <c r="AV63" s="54">
        <f t="shared" ref="AV63:BH63" si="46">+AV65+AV67</f>
        <v>234.63691257547913</v>
      </c>
      <c r="AW63" s="54">
        <f t="shared" si="46"/>
        <v>701.47953531110534</v>
      </c>
      <c r="AX63" s="54">
        <f t="shared" si="46"/>
        <v>615.38919663953789</v>
      </c>
      <c r="AY63" s="54">
        <f t="shared" si="46"/>
        <v>345.68471157784199</v>
      </c>
      <c r="AZ63" s="54">
        <f t="shared" si="46"/>
        <v>243.68719348910474</v>
      </c>
      <c r="BA63" s="54">
        <f t="shared" si="46"/>
        <v>761.55351207666058</v>
      </c>
      <c r="BB63" s="54">
        <f t="shared" si="46"/>
        <v>713.65865647151486</v>
      </c>
      <c r="BC63" s="54">
        <f t="shared" si="46"/>
        <v>383.98447256445269</v>
      </c>
      <c r="BD63" s="54">
        <f t="shared" si="46"/>
        <v>375.24362908899974</v>
      </c>
      <c r="BE63" s="54">
        <f t="shared" si="46"/>
        <v>840.98210344049357</v>
      </c>
      <c r="BF63" s="54">
        <f t="shared" si="46"/>
        <v>738.54158929509072</v>
      </c>
      <c r="BG63" s="54">
        <f t="shared" si="46"/>
        <v>379.20486785523769</v>
      </c>
      <c r="BH63" s="54">
        <f t="shared" si="46"/>
        <v>358.45535799422419</v>
      </c>
      <c r="BI63" s="54">
        <f t="shared" ref="BI63:CD63" si="47">+BI65+BI67+BI69</f>
        <v>858.60228792441956</v>
      </c>
      <c r="BJ63" s="54">
        <f t="shared" si="47"/>
        <v>705.57035090082707</v>
      </c>
      <c r="BK63" s="54">
        <f t="shared" si="47"/>
        <v>345.99718746607778</v>
      </c>
      <c r="BL63" s="54">
        <f t="shared" si="47"/>
        <v>397.78926690469939</v>
      </c>
      <c r="BM63" s="54">
        <f t="shared" si="47"/>
        <v>863.60228792441956</v>
      </c>
      <c r="BN63" s="54">
        <f t="shared" si="47"/>
        <v>715.81986844586845</v>
      </c>
      <c r="BO63" s="54">
        <f t="shared" si="47"/>
        <v>375.60279164959491</v>
      </c>
      <c r="BP63" s="54">
        <f t="shared" si="47"/>
        <v>430.18651678498293</v>
      </c>
      <c r="BQ63" s="54">
        <f t="shared" si="47"/>
        <v>935.54390232064054</v>
      </c>
      <c r="BR63" s="54">
        <f t="shared" si="47"/>
        <v>751.61086186816181</v>
      </c>
      <c r="BS63" s="54">
        <f t="shared" si="47"/>
        <v>353.77397335837111</v>
      </c>
      <c r="BT63" s="54">
        <f t="shared" si="47"/>
        <v>418.67528617170387</v>
      </c>
      <c r="BU63" s="54">
        <f t="shared" si="47"/>
        <v>919.04579743667261</v>
      </c>
      <c r="BV63" s="54">
        <f t="shared" si="47"/>
        <v>736.63050496156995</v>
      </c>
      <c r="BW63" s="54">
        <f t="shared" si="47"/>
        <v>371.46267202628974</v>
      </c>
      <c r="BX63" s="54">
        <f t="shared" si="47"/>
        <v>439.609050480289</v>
      </c>
      <c r="BY63" s="54">
        <f t="shared" si="47"/>
        <v>964.99808730850623</v>
      </c>
      <c r="BZ63" s="54">
        <f t="shared" si="47"/>
        <v>773.46203020964856</v>
      </c>
      <c r="CA63" s="54">
        <f t="shared" si="47"/>
        <v>390.03580562760419</v>
      </c>
      <c r="CB63" s="54">
        <f t="shared" si="47"/>
        <v>461.58950300430354</v>
      </c>
      <c r="CC63" s="54">
        <f t="shared" si="47"/>
        <v>1013.2479916739317</v>
      </c>
      <c r="CD63" s="54">
        <f t="shared" si="47"/>
        <v>812.13513172013097</v>
      </c>
      <c r="CL63" s="56">
        <v>867</v>
      </c>
      <c r="CM63" s="56">
        <v>1180</v>
      </c>
      <c r="CN63" s="56">
        <v>1369</v>
      </c>
      <c r="CO63" s="56">
        <v>1491</v>
      </c>
      <c r="CP63" s="56">
        <v>1623</v>
      </c>
      <c r="CQ63" s="57">
        <f t="shared" si="39"/>
        <v>1890.314528747703</v>
      </c>
      <c r="CR63" s="57">
        <f t="shared" si="39"/>
        <v>2064.5840736151222</v>
      </c>
      <c r="CS63" s="57">
        <f t="shared" si="39"/>
        <v>2338.7517943890371</v>
      </c>
      <c r="CT63" s="57">
        <f t="shared" si="39"/>
        <v>2301.8328646747086</v>
      </c>
      <c r="CU63" s="57">
        <f t="shared" si="39"/>
        <v>2323.2086107410651</v>
      </c>
      <c r="CV63" s="57">
        <f t="shared" si="39"/>
        <v>2492.9440726233802</v>
      </c>
      <c r="CW63" s="57">
        <f t="shared" si="39"/>
        <v>2428.1255619283174</v>
      </c>
      <c r="CX63" s="57">
        <f t="shared" si="39"/>
        <v>2549.5318400247334</v>
      </c>
    </row>
    <row r="64" spans="1:102" x14ac:dyDescent="0.25">
      <c r="B64" s="41" t="s">
        <v>151</v>
      </c>
      <c r="C64" s="48"/>
      <c r="D64" s="48"/>
      <c r="E64" s="48"/>
      <c r="F64" s="48"/>
      <c r="G64" s="48"/>
      <c r="H64" s="48"/>
      <c r="I64" s="48"/>
      <c r="J64" s="48"/>
      <c r="K64" s="48"/>
      <c r="L64" s="48"/>
      <c r="M64" s="48"/>
      <c r="N64" s="48"/>
      <c r="O64" s="48"/>
      <c r="P64" s="48"/>
      <c r="Q64" s="48"/>
      <c r="R64" s="48"/>
      <c r="AM64" s="49">
        <f t="shared" ref="AM64:CD64" si="48">+AM63/AI63-1</f>
        <v>6.8549999999999889E-2</v>
      </c>
      <c r="AN64" s="49">
        <f t="shared" si="48"/>
        <v>5.612499999999998E-2</v>
      </c>
      <c r="AO64" s="49">
        <f t="shared" si="48"/>
        <v>9.340000000000015E-2</v>
      </c>
      <c r="AP64" s="49">
        <f t="shared" si="48"/>
        <v>0.11959688346883479</v>
      </c>
      <c r="AQ64" s="49">
        <f t="shared" si="48"/>
        <v>0.39885365911576365</v>
      </c>
      <c r="AR64" s="49">
        <f t="shared" si="48"/>
        <v>-0.23828200776944031</v>
      </c>
      <c r="AS64" s="49">
        <f t="shared" si="48"/>
        <v>5.2964725031253712E-2</v>
      </c>
      <c r="AT64" s="49">
        <f t="shared" si="48"/>
        <v>0.14380251270571076</v>
      </c>
      <c r="AU64" s="49">
        <f t="shared" si="48"/>
        <v>-9.3333333333333268E-2</v>
      </c>
      <c r="AV64" s="49">
        <f t="shared" si="48"/>
        <v>0.16666666666666674</v>
      </c>
      <c r="AW64" s="49">
        <f t="shared" si="48"/>
        <v>0.21857456629419914</v>
      </c>
      <c r="AX64" s="49">
        <f t="shared" si="48"/>
        <v>0.30229920212544314</v>
      </c>
      <c r="AY64" s="49">
        <f t="shared" si="48"/>
        <v>2.0294117647058796E-2</v>
      </c>
      <c r="AZ64" s="49">
        <f t="shared" si="48"/>
        <v>3.8571428571428479E-2</v>
      </c>
      <c r="BA64" s="49">
        <f t="shared" si="48"/>
        <v>8.5638958432212142E-2</v>
      </c>
      <c r="BB64" s="49">
        <f t="shared" si="48"/>
        <v>0.15968668343318027</v>
      </c>
      <c r="BC64" s="49">
        <f t="shared" si="48"/>
        <v>0.11079391047349296</v>
      </c>
      <c r="BD64" s="49">
        <f t="shared" si="48"/>
        <v>0.53985781409467815</v>
      </c>
      <c r="BE64" s="49">
        <f t="shared" si="48"/>
        <v>0.10429810919949833</v>
      </c>
      <c r="BF64" s="49">
        <f t="shared" si="48"/>
        <v>3.4866714777345376E-2</v>
      </c>
      <c r="BG64" s="49">
        <f t="shared" si="48"/>
        <v>-1.2447390586640794E-2</v>
      </c>
      <c r="BH64" s="49">
        <f t="shared" si="48"/>
        <v>-4.4739656568009933E-2</v>
      </c>
      <c r="BI64" s="49">
        <f t="shared" si="48"/>
        <v>2.0951913734954752E-2</v>
      </c>
      <c r="BJ64" s="49">
        <f t="shared" si="48"/>
        <v>-4.4643712516898915E-2</v>
      </c>
      <c r="BK64" s="49">
        <f t="shared" si="48"/>
        <v>-8.7571872631753811E-2</v>
      </c>
      <c r="BL64" s="49">
        <f t="shared" si="48"/>
        <v>0.10973168076095274</v>
      </c>
      <c r="BM64" s="49">
        <f t="shared" si="48"/>
        <v>5.8234179786393891E-3</v>
      </c>
      <c r="BN64" s="49">
        <f t="shared" si="48"/>
        <v>1.4526570641687941E-2</v>
      </c>
      <c r="BO64" s="49">
        <f t="shared" si="48"/>
        <v>8.5566025551637503E-2</v>
      </c>
      <c r="BP64" s="49">
        <f t="shared" si="48"/>
        <v>8.1443247909565031E-2</v>
      </c>
      <c r="BQ64" s="49">
        <f t="shared" si="48"/>
        <v>8.3304103523307305E-2</v>
      </c>
      <c r="BR64" s="49">
        <f t="shared" si="48"/>
        <v>4.9999999999999822E-2</v>
      </c>
      <c r="BS64" s="49">
        <f t="shared" si="48"/>
        <v>-5.8116762645332498E-2</v>
      </c>
      <c r="BT64" s="49">
        <f t="shared" si="48"/>
        <v>-2.6758696900378798E-2</v>
      </c>
      <c r="BU64" s="49">
        <f t="shared" si="48"/>
        <v>-1.7634773571869711E-2</v>
      </c>
      <c r="BV64" s="49">
        <f t="shared" si="48"/>
        <v>-1.9931001089257161E-2</v>
      </c>
      <c r="BW64" s="49">
        <f t="shared" si="48"/>
        <v>5.0000000000000266E-2</v>
      </c>
      <c r="BX64" s="49">
        <f t="shared" si="48"/>
        <v>4.9999999999999822E-2</v>
      </c>
      <c r="BY64" s="49">
        <f t="shared" si="48"/>
        <v>5.0000000000000044E-2</v>
      </c>
      <c r="BZ64" s="49">
        <f t="shared" si="48"/>
        <v>5.0000000000000044E-2</v>
      </c>
      <c r="CA64" s="49">
        <f t="shared" si="48"/>
        <v>4.9999999999999822E-2</v>
      </c>
      <c r="CB64" s="49">
        <f t="shared" si="48"/>
        <v>5.0000000000000266E-2</v>
      </c>
      <c r="CC64" s="49">
        <f t="shared" si="48"/>
        <v>5.0000000000000044E-2</v>
      </c>
      <c r="CD64" s="49">
        <f t="shared" si="48"/>
        <v>5.0000000000000044E-2</v>
      </c>
      <c r="CF64" s="10"/>
      <c r="CG64" s="10"/>
      <c r="CH64" s="10"/>
      <c r="CI64" s="10"/>
      <c r="CJ64" s="10"/>
      <c r="CK64" s="10"/>
      <c r="CL64" s="10"/>
      <c r="CM64" s="36"/>
      <c r="CN64" s="49">
        <f t="shared" ref="CN64:CX64" si="49">+CN63/CM63-1</f>
        <v>0.1601694915254237</v>
      </c>
      <c r="CO64" s="49">
        <f t="shared" si="49"/>
        <v>8.9116143170197226E-2</v>
      </c>
      <c r="CP64" s="49">
        <f t="shared" si="49"/>
        <v>8.8531187122736332E-2</v>
      </c>
      <c r="CQ64" s="49">
        <f t="shared" si="49"/>
        <v>0.16470396102754337</v>
      </c>
      <c r="CR64" s="49">
        <f t="shared" si="49"/>
        <v>9.219076625458178E-2</v>
      </c>
      <c r="CS64" s="49">
        <f t="shared" si="49"/>
        <v>0.13279561935874207</v>
      </c>
      <c r="CT64" s="49">
        <f t="shared" si="49"/>
        <v>-1.5785740839580176E-2</v>
      </c>
      <c r="CU64" s="49">
        <f t="shared" si="49"/>
        <v>9.2864023250347483E-3</v>
      </c>
      <c r="CV64" s="49">
        <f t="shared" si="49"/>
        <v>7.3060792344503467E-2</v>
      </c>
      <c r="CW64" s="49">
        <f t="shared" si="49"/>
        <v>-2.6000788147185649E-2</v>
      </c>
      <c r="CX64" s="49">
        <f t="shared" si="49"/>
        <v>5.0000000000000044E-2</v>
      </c>
    </row>
    <row r="65" spans="1:102" s="52" customFormat="1" x14ac:dyDescent="0.25">
      <c r="B65" s="41" t="s">
        <v>154</v>
      </c>
      <c r="C65" s="41"/>
      <c r="D65" s="41"/>
      <c r="E65" s="41"/>
      <c r="F65" s="41"/>
      <c r="G65" s="41"/>
      <c r="H65" s="41"/>
      <c r="I65" s="41"/>
      <c r="J65" s="41"/>
      <c r="K65" s="41"/>
      <c r="L65" s="41"/>
      <c r="M65" s="41"/>
      <c r="N65" s="41"/>
      <c r="O65" s="41"/>
      <c r="P65" s="41"/>
      <c r="Q65" s="41"/>
      <c r="R65" s="41"/>
      <c r="AI65" s="52">
        <f t="shared" ref="AI65:CD65" si="50">+AI84</f>
        <v>150</v>
      </c>
      <c r="AJ65" s="52">
        <f t="shared" si="50"/>
        <v>100</v>
      </c>
      <c r="AK65" s="52">
        <f t="shared" si="50"/>
        <v>350</v>
      </c>
      <c r="AL65" s="52">
        <f t="shared" si="50"/>
        <v>246</v>
      </c>
      <c r="AM65" s="52">
        <f t="shared" si="50"/>
        <v>178.09166666666667</v>
      </c>
      <c r="AN65" s="52">
        <f t="shared" si="50"/>
        <v>176.02083333333334</v>
      </c>
      <c r="AO65" s="52">
        <f t="shared" si="50"/>
        <v>364.4666666666667</v>
      </c>
      <c r="AP65" s="52">
        <f t="shared" si="50"/>
        <v>275.42083333333335</v>
      </c>
      <c r="AQ65" s="52">
        <f t="shared" si="50"/>
        <v>249.12417957469154</v>
      </c>
      <c r="AR65" s="52">
        <f t="shared" si="50"/>
        <v>134.07823575741665</v>
      </c>
      <c r="AS65" s="52">
        <f t="shared" si="50"/>
        <v>383.7705434497243</v>
      </c>
      <c r="AT65" s="52">
        <f t="shared" si="50"/>
        <v>315.02704121816748</v>
      </c>
      <c r="AU65" s="52">
        <f t="shared" si="50"/>
        <v>251.61542137043847</v>
      </c>
      <c r="AV65" s="52">
        <f t="shared" si="50"/>
        <v>134.07823575741665</v>
      </c>
      <c r="AW65" s="52">
        <f t="shared" si="50"/>
        <v>500</v>
      </c>
      <c r="AX65" s="52">
        <f t="shared" si="50"/>
        <v>450</v>
      </c>
      <c r="AY65" s="52">
        <f t="shared" si="50"/>
        <v>254.13157558414287</v>
      </c>
      <c r="AZ65" s="52">
        <f t="shared" si="50"/>
        <v>138.10058283013916</v>
      </c>
      <c r="BA65" s="52">
        <f t="shared" si="50"/>
        <v>550</v>
      </c>
      <c r="BB65" s="52">
        <f t="shared" si="50"/>
        <v>540</v>
      </c>
      <c r="BC65" s="52">
        <f t="shared" si="50"/>
        <v>287.85367977106858</v>
      </c>
      <c r="BD65" s="52">
        <f t="shared" si="50"/>
        <v>263.32182179049619</v>
      </c>
      <c r="BE65" s="52">
        <f t="shared" si="50"/>
        <v>625.25</v>
      </c>
      <c r="BF65" s="52">
        <f t="shared" si="50"/>
        <v>556.20000000000005</v>
      </c>
      <c r="BG65" s="52">
        <f t="shared" si="50"/>
        <v>273.46099578251517</v>
      </c>
      <c r="BH65" s="52">
        <f t="shared" si="50"/>
        <v>263.32182179049619</v>
      </c>
      <c r="BI65" s="52">
        <f t="shared" si="50"/>
        <v>575.23</v>
      </c>
      <c r="BJ65" s="52">
        <f t="shared" si="50"/>
        <v>500.58000000000004</v>
      </c>
      <c r="BK65" s="52">
        <f t="shared" si="50"/>
        <v>246.11489620426366</v>
      </c>
      <c r="BL65" s="52">
        <f t="shared" si="50"/>
        <v>250.15573070097136</v>
      </c>
      <c r="BM65" s="52">
        <f t="shared" si="50"/>
        <v>575.23</v>
      </c>
      <c r="BN65" s="52">
        <f t="shared" si="50"/>
        <v>500.58000000000004</v>
      </c>
      <c r="BO65" s="52">
        <f t="shared" si="50"/>
        <v>270.72638582469006</v>
      </c>
      <c r="BP65" s="52">
        <f t="shared" si="50"/>
        <v>275.17130377106849</v>
      </c>
      <c r="BQ65" s="52">
        <f t="shared" si="50"/>
        <v>632.75300000000004</v>
      </c>
      <c r="BR65" s="52">
        <f t="shared" si="50"/>
        <v>525.60900000000004</v>
      </c>
      <c r="BS65" s="52">
        <f t="shared" si="50"/>
        <v>243.65374724222104</v>
      </c>
      <c r="BT65" s="52">
        <f t="shared" si="50"/>
        <v>255.90931250709369</v>
      </c>
      <c r="BU65" s="52">
        <f t="shared" si="50"/>
        <v>601.11535000000003</v>
      </c>
      <c r="BV65" s="52">
        <f t="shared" si="50"/>
        <v>499.32855000000001</v>
      </c>
      <c r="BW65" s="52">
        <f t="shared" si="50"/>
        <v>255.83643460433211</v>
      </c>
      <c r="BX65" s="52">
        <f t="shared" si="50"/>
        <v>268.70477813244838</v>
      </c>
      <c r="BY65" s="52">
        <f t="shared" si="50"/>
        <v>631.17111750000004</v>
      </c>
      <c r="BZ65" s="52">
        <f t="shared" si="50"/>
        <v>524.29497750000007</v>
      </c>
      <c r="CA65" s="52">
        <f t="shared" si="50"/>
        <v>268.62825633454872</v>
      </c>
      <c r="CB65" s="52">
        <f t="shared" si="50"/>
        <v>282.14001703907081</v>
      </c>
      <c r="CC65" s="52">
        <f t="shared" si="50"/>
        <v>662.72967337500006</v>
      </c>
      <c r="CD65" s="52">
        <f t="shared" si="50"/>
        <v>550.50972637500013</v>
      </c>
      <c r="CE65"/>
      <c r="CL65" s="58"/>
      <c r="CM65" s="24"/>
      <c r="CN65" s="24">
        <f t="shared" ref="CN65:CP67" si="51">+SUMIFS($S65:$CD65,$S$5:$CD$5,"&lt;="&amp;CN$5,$S$5:$CD$5,"&gt;"&amp;CM$5)</f>
        <v>846</v>
      </c>
      <c r="CO65" s="24">
        <f t="shared" si="51"/>
        <v>994</v>
      </c>
      <c r="CP65" s="24">
        <f t="shared" si="51"/>
        <v>1082</v>
      </c>
      <c r="CQ65" s="24">
        <f t="shared" si="39"/>
        <v>1335.6936571278552</v>
      </c>
      <c r="CR65" s="24">
        <f t="shared" si="39"/>
        <v>1482.2321584142819</v>
      </c>
      <c r="CS65" s="24">
        <f t="shared" si="39"/>
        <v>1732.6255015615648</v>
      </c>
      <c r="CT65" s="24">
        <f t="shared" si="39"/>
        <v>1612.5928175730114</v>
      </c>
      <c r="CU65" s="24">
        <f t="shared" si="39"/>
        <v>1572.080626905235</v>
      </c>
      <c r="CV65" s="24">
        <f t="shared" si="39"/>
        <v>1704.2596895957586</v>
      </c>
      <c r="CW65" s="24">
        <f t="shared" si="39"/>
        <v>1600.0069597493148</v>
      </c>
      <c r="CX65" s="24">
        <f t="shared" si="39"/>
        <v>1680.0073077367806</v>
      </c>
    </row>
    <row r="66" spans="1:102" x14ac:dyDescent="0.25">
      <c r="B66" s="59" t="s">
        <v>151</v>
      </c>
      <c r="C66" s="41"/>
      <c r="D66" s="41"/>
      <c r="E66" s="41"/>
      <c r="F66" s="41"/>
      <c r="G66" s="41"/>
      <c r="H66" s="41"/>
      <c r="I66" s="41"/>
      <c r="J66" s="41"/>
      <c r="K66" s="41"/>
      <c r="L66" s="41"/>
      <c r="M66" s="41"/>
      <c r="N66" s="41"/>
      <c r="O66" s="41"/>
      <c r="P66" s="41"/>
      <c r="Q66" s="41"/>
      <c r="R66" s="41"/>
      <c r="AM66" s="49">
        <f t="shared" ref="AM66:CD66" si="52">+AM65/AI65-1</f>
        <v>0.18727777777777788</v>
      </c>
      <c r="AN66" s="49">
        <f t="shared" si="52"/>
        <v>0.76020833333333337</v>
      </c>
      <c r="AO66" s="49">
        <f t="shared" si="52"/>
        <v>4.1333333333333444E-2</v>
      </c>
      <c r="AP66" s="49">
        <f t="shared" si="52"/>
        <v>0.11959688346883479</v>
      </c>
      <c r="AQ66" s="49">
        <f t="shared" si="52"/>
        <v>0.39885365911576365</v>
      </c>
      <c r="AR66" s="49">
        <f t="shared" si="52"/>
        <v>-0.23828200776944031</v>
      </c>
      <c r="AS66" s="49">
        <f t="shared" si="52"/>
        <v>5.2964725031253712E-2</v>
      </c>
      <c r="AT66" s="49">
        <f t="shared" si="52"/>
        <v>0.14380251270571076</v>
      </c>
      <c r="AU66" s="49">
        <f t="shared" si="52"/>
        <v>1.0000000000000009E-2</v>
      </c>
      <c r="AV66" s="49">
        <f t="shared" si="52"/>
        <v>0</v>
      </c>
      <c r="AW66" s="49">
        <f t="shared" si="52"/>
        <v>0.30286184944129846</v>
      </c>
      <c r="AX66" s="49">
        <f t="shared" si="52"/>
        <v>0.42844880318816481</v>
      </c>
      <c r="AY66" s="49">
        <f t="shared" si="52"/>
        <v>1.0000000000000009E-2</v>
      </c>
      <c r="AZ66" s="49">
        <f t="shared" si="52"/>
        <v>3.0000000000000027E-2</v>
      </c>
      <c r="BA66" s="49">
        <f t="shared" si="52"/>
        <v>0.10000000000000009</v>
      </c>
      <c r="BB66" s="49">
        <f t="shared" si="52"/>
        <v>0.19999999999999996</v>
      </c>
      <c r="BC66" s="49">
        <f t="shared" si="52"/>
        <v>0.13269545159594043</v>
      </c>
      <c r="BD66" s="49">
        <f t="shared" si="52"/>
        <v>0.90673939525929836</v>
      </c>
      <c r="BE66" s="49">
        <f t="shared" si="52"/>
        <v>0.13681818181818173</v>
      </c>
      <c r="BF66" s="49">
        <f t="shared" si="52"/>
        <v>3.0000000000000027E-2</v>
      </c>
      <c r="BG66" s="49">
        <f t="shared" si="52"/>
        <v>-4.9999999999999933E-2</v>
      </c>
      <c r="BH66" s="49">
        <f t="shared" si="52"/>
        <v>0</v>
      </c>
      <c r="BI66" s="49">
        <f t="shared" si="52"/>
        <v>-7.999999999999996E-2</v>
      </c>
      <c r="BJ66" s="49">
        <f t="shared" si="52"/>
        <v>-9.9999999999999978E-2</v>
      </c>
      <c r="BK66" s="49">
        <f t="shared" si="52"/>
        <v>-9.9999999999999978E-2</v>
      </c>
      <c r="BL66" s="49">
        <f t="shared" si="52"/>
        <v>-5.0000000000000044E-2</v>
      </c>
      <c r="BM66" s="49">
        <f t="shared" si="52"/>
        <v>0</v>
      </c>
      <c r="BN66" s="49">
        <f t="shared" si="52"/>
        <v>0</v>
      </c>
      <c r="BO66" s="49">
        <f t="shared" si="52"/>
        <v>0.10000000000000009</v>
      </c>
      <c r="BP66" s="49">
        <f t="shared" si="52"/>
        <v>0.10000000000000009</v>
      </c>
      <c r="BQ66" s="49">
        <f t="shared" si="52"/>
        <v>0.10000000000000009</v>
      </c>
      <c r="BR66" s="49">
        <f t="shared" si="52"/>
        <v>5.0000000000000044E-2</v>
      </c>
      <c r="BS66" s="49">
        <f t="shared" si="52"/>
        <v>-9.9999999999999978E-2</v>
      </c>
      <c r="BT66" s="49">
        <f t="shared" si="52"/>
        <v>-7.0000000000000062E-2</v>
      </c>
      <c r="BU66" s="49">
        <f t="shared" si="52"/>
        <v>-5.0000000000000044E-2</v>
      </c>
      <c r="BV66" s="49">
        <f t="shared" si="52"/>
        <v>-5.0000000000000044E-2</v>
      </c>
      <c r="BW66" s="49">
        <f t="shared" si="52"/>
        <v>5.0000000000000044E-2</v>
      </c>
      <c r="BX66" s="49">
        <f t="shared" si="52"/>
        <v>5.0000000000000044E-2</v>
      </c>
      <c r="BY66" s="49">
        <f t="shared" si="52"/>
        <v>5.0000000000000044E-2</v>
      </c>
      <c r="BZ66" s="49">
        <f t="shared" si="52"/>
        <v>5.0000000000000044E-2</v>
      </c>
      <c r="CA66" s="49">
        <f t="shared" si="52"/>
        <v>5.0000000000000044E-2</v>
      </c>
      <c r="CB66" s="49">
        <f t="shared" si="52"/>
        <v>5.0000000000000044E-2</v>
      </c>
      <c r="CC66" s="49">
        <f t="shared" si="52"/>
        <v>5.0000000000000044E-2</v>
      </c>
      <c r="CD66" s="49">
        <f t="shared" si="52"/>
        <v>5.0000000000000044E-2</v>
      </c>
      <c r="CF66" s="10"/>
      <c r="CG66" s="10"/>
      <c r="CH66" s="10"/>
      <c r="CI66" s="10"/>
      <c r="CJ66" s="10"/>
      <c r="CK66" s="10"/>
      <c r="CL66" s="10"/>
      <c r="CM66" s="36"/>
      <c r="CN66" s="49"/>
      <c r="CO66" s="49">
        <f t="shared" ref="CO66:CX66" si="53">+CO65/CN65-1</f>
        <v>0.17494089834515369</v>
      </c>
      <c r="CP66" s="49">
        <f t="shared" si="53"/>
        <v>8.8531187122736332E-2</v>
      </c>
      <c r="CQ66" s="49">
        <f t="shared" si="53"/>
        <v>0.23446733560799937</v>
      </c>
      <c r="CR66" s="49">
        <f t="shared" si="53"/>
        <v>0.10970966321838249</v>
      </c>
      <c r="CS66" s="49">
        <f t="shared" si="53"/>
        <v>0.16892990866906987</v>
      </c>
      <c r="CT66" s="49">
        <f t="shared" si="53"/>
        <v>-6.9277916018419039E-2</v>
      </c>
      <c r="CU66" s="49">
        <f t="shared" si="53"/>
        <v>-2.5122393096571161E-2</v>
      </c>
      <c r="CV66" s="49">
        <f t="shared" si="53"/>
        <v>8.4079060849906018E-2</v>
      </c>
      <c r="CW66" s="49">
        <f t="shared" si="53"/>
        <v>-6.1171856896510834E-2</v>
      </c>
      <c r="CX66" s="49">
        <f t="shared" si="53"/>
        <v>5.0000000000000044E-2</v>
      </c>
    </row>
    <row r="67" spans="1:102" s="52" customFormat="1" x14ac:dyDescent="0.25">
      <c r="B67" s="41" t="s">
        <v>155</v>
      </c>
      <c r="C67" s="41"/>
      <c r="D67" s="41"/>
      <c r="E67" s="41"/>
      <c r="F67" s="41"/>
      <c r="G67" s="41"/>
      <c r="H67" s="41"/>
      <c r="I67" s="41"/>
      <c r="J67" s="41"/>
      <c r="K67" s="41"/>
      <c r="L67" s="41"/>
      <c r="M67" s="41"/>
      <c r="N67" s="41"/>
      <c r="O67" s="41"/>
      <c r="P67" s="41"/>
      <c r="Q67" s="41"/>
      <c r="R67" s="41"/>
      <c r="AI67" s="52">
        <f>+AI63-AI65</f>
        <v>100</v>
      </c>
      <c r="AJ67" s="52">
        <f t="shared" ref="AJ67:AT67" si="54">+AJ63-AJ65</f>
        <v>150</v>
      </c>
      <c r="AK67" s="52">
        <f t="shared" si="54"/>
        <v>150</v>
      </c>
      <c r="AL67" s="52">
        <f t="shared" si="54"/>
        <v>123</v>
      </c>
      <c r="AM67" s="52">
        <f t="shared" si="54"/>
        <v>89.04583333333332</v>
      </c>
      <c r="AN67" s="52">
        <f t="shared" si="54"/>
        <v>88.010416666666657</v>
      </c>
      <c r="AO67" s="52">
        <f>+AO63-AO65</f>
        <v>182.23333333333335</v>
      </c>
      <c r="AP67" s="52">
        <f t="shared" si="54"/>
        <v>137.71041666666667</v>
      </c>
      <c r="AQ67" s="52">
        <f t="shared" si="54"/>
        <v>124.56208978734577</v>
      </c>
      <c r="AR67" s="52">
        <f t="shared" si="54"/>
        <v>67.039117878708311</v>
      </c>
      <c r="AS67" s="52">
        <f t="shared" si="54"/>
        <v>191.88527172486215</v>
      </c>
      <c r="AT67" s="52">
        <f t="shared" si="54"/>
        <v>157.51352060908374</v>
      </c>
      <c r="AU67" s="50">
        <f t="shared" ref="AU67:CD67" si="55">AU146</f>
        <v>87.19346285114203</v>
      </c>
      <c r="AV67" s="50">
        <f t="shared" si="55"/>
        <v>100.55867681806247</v>
      </c>
      <c r="AW67" s="50">
        <f t="shared" si="55"/>
        <v>201.47953531110528</v>
      </c>
      <c r="AX67" s="50">
        <f t="shared" si="55"/>
        <v>165.38919663953794</v>
      </c>
      <c r="AY67" s="50">
        <f t="shared" si="55"/>
        <v>91.553135993699129</v>
      </c>
      <c r="AZ67" s="50">
        <f t="shared" si="55"/>
        <v>105.5866106589656</v>
      </c>
      <c r="BA67" s="50">
        <f t="shared" si="55"/>
        <v>211.55351207666055</v>
      </c>
      <c r="BB67" s="50">
        <f t="shared" si="55"/>
        <v>173.65865647151486</v>
      </c>
      <c r="BC67" s="50">
        <f t="shared" si="55"/>
        <v>96.130792793384089</v>
      </c>
      <c r="BD67" s="50">
        <f t="shared" si="55"/>
        <v>111.92180729850354</v>
      </c>
      <c r="BE67" s="50">
        <f t="shared" si="55"/>
        <v>215.73210344049357</v>
      </c>
      <c r="BF67" s="50">
        <f t="shared" si="55"/>
        <v>182.34158929509061</v>
      </c>
      <c r="BG67" s="50">
        <f t="shared" si="55"/>
        <v>105.74387207272251</v>
      </c>
      <c r="BH67" s="50">
        <f t="shared" si="55"/>
        <v>95.133536203727999</v>
      </c>
      <c r="BI67" s="50">
        <f t="shared" si="55"/>
        <v>183.37228792441954</v>
      </c>
      <c r="BJ67" s="50">
        <f t="shared" si="55"/>
        <v>154.99035090082702</v>
      </c>
      <c r="BK67" s="50">
        <f t="shared" si="55"/>
        <v>89.882291261814132</v>
      </c>
      <c r="BL67" s="50">
        <f t="shared" si="55"/>
        <v>95.133536203727999</v>
      </c>
      <c r="BM67" s="50">
        <f t="shared" si="55"/>
        <v>183.37228792441954</v>
      </c>
      <c r="BN67" s="50">
        <f t="shared" si="55"/>
        <v>162.73986844586838</v>
      </c>
      <c r="BO67" s="50">
        <f t="shared" si="55"/>
        <v>94.376405824904836</v>
      </c>
      <c r="BP67" s="50">
        <f t="shared" si="55"/>
        <v>99.890213013914405</v>
      </c>
      <c r="BQ67" s="50">
        <f t="shared" si="55"/>
        <v>192.54090232064053</v>
      </c>
      <c r="BR67" s="50">
        <f t="shared" si="55"/>
        <v>170.8768618681618</v>
      </c>
      <c r="BS67" s="50">
        <f t="shared" si="55"/>
        <v>99.095226116150087</v>
      </c>
      <c r="BT67" s="50">
        <f t="shared" si="55"/>
        <v>104.88472366461014</v>
      </c>
      <c r="BU67" s="50">
        <f t="shared" si="55"/>
        <v>202.16794743667256</v>
      </c>
      <c r="BV67" s="50">
        <f t="shared" si="55"/>
        <v>179.4207049615699</v>
      </c>
      <c r="BW67" s="50">
        <f t="shared" si="55"/>
        <v>104.0499874219576</v>
      </c>
      <c r="BX67" s="50">
        <f t="shared" si="55"/>
        <v>110.12895984784065</v>
      </c>
      <c r="BY67" s="50">
        <f t="shared" si="55"/>
        <v>212.2763448085062</v>
      </c>
      <c r="BZ67" s="50">
        <f t="shared" si="55"/>
        <v>188.39174020964839</v>
      </c>
      <c r="CA67" s="50">
        <f t="shared" si="55"/>
        <v>109.25248679305548</v>
      </c>
      <c r="CB67" s="50">
        <f t="shared" si="55"/>
        <v>115.63540784023269</v>
      </c>
      <c r="CC67" s="50">
        <f t="shared" si="55"/>
        <v>222.8901620489315</v>
      </c>
      <c r="CD67" s="50">
        <f t="shared" si="55"/>
        <v>197.81132722013081</v>
      </c>
      <c r="CE67"/>
      <c r="CL67" s="58"/>
      <c r="CM67" s="24"/>
      <c r="CN67" s="24">
        <f t="shared" si="51"/>
        <v>523</v>
      </c>
      <c r="CO67" s="24">
        <f t="shared" si="51"/>
        <v>497</v>
      </c>
      <c r="CP67" s="24">
        <f t="shared" si="51"/>
        <v>541</v>
      </c>
      <c r="CQ67" s="24">
        <f t="shared" si="39"/>
        <v>554.62087161984778</v>
      </c>
      <c r="CR67" s="24">
        <f t="shared" si="39"/>
        <v>582.35191520084015</v>
      </c>
      <c r="CS67" s="24">
        <f t="shared" si="39"/>
        <v>606.12629282747184</v>
      </c>
      <c r="CT67" s="24">
        <f t="shared" si="39"/>
        <v>539.24004710169709</v>
      </c>
      <c r="CU67" s="24">
        <f t="shared" si="39"/>
        <v>531.12798383583004</v>
      </c>
      <c r="CV67" s="24">
        <f t="shared" si="39"/>
        <v>557.68438302762149</v>
      </c>
      <c r="CW67" s="24">
        <f t="shared" si="39"/>
        <v>585.56860217900271</v>
      </c>
      <c r="CX67" s="24">
        <f t="shared" si="39"/>
        <v>614.84703228795274</v>
      </c>
    </row>
    <row r="68" spans="1:102" x14ac:dyDescent="0.25">
      <c r="B68" s="59" t="s">
        <v>151</v>
      </c>
      <c r="C68" s="41"/>
      <c r="D68" s="41"/>
      <c r="E68" s="41"/>
      <c r="F68" s="41"/>
      <c r="G68" s="41"/>
      <c r="H68" s="41"/>
      <c r="I68" s="41"/>
      <c r="J68" s="41"/>
      <c r="K68" s="41"/>
      <c r="L68" s="41"/>
      <c r="M68" s="41"/>
      <c r="N68" s="41"/>
      <c r="O68" s="41"/>
      <c r="P68" s="41"/>
      <c r="Q68" s="41"/>
      <c r="R68" s="41"/>
      <c r="AM68" s="49">
        <f t="shared" ref="AM68:CD68" si="56">+AM67/AI67-1</f>
        <v>-0.10954166666666676</v>
      </c>
      <c r="AN68" s="49">
        <f t="shared" si="56"/>
        <v>-0.41326388888888899</v>
      </c>
      <c r="AO68" s="49">
        <f t="shared" si="56"/>
        <v>0.21488888888888891</v>
      </c>
      <c r="AP68" s="49">
        <f t="shared" si="56"/>
        <v>0.11959688346883479</v>
      </c>
      <c r="AQ68" s="49">
        <f t="shared" si="56"/>
        <v>0.39885365911576387</v>
      </c>
      <c r="AR68" s="49">
        <f t="shared" si="56"/>
        <v>-0.23828200776944031</v>
      </c>
      <c r="AS68" s="49">
        <f t="shared" si="56"/>
        <v>5.2964725031253712E-2</v>
      </c>
      <c r="AT68" s="49">
        <f t="shared" si="56"/>
        <v>0.14380251270571076</v>
      </c>
      <c r="AU68" s="49">
        <f t="shared" si="56"/>
        <v>-0.30000000000000004</v>
      </c>
      <c r="AV68" s="49">
        <f t="shared" si="56"/>
        <v>0.5</v>
      </c>
      <c r="AW68" s="49">
        <f t="shared" si="56"/>
        <v>5.0000000000000044E-2</v>
      </c>
      <c r="AX68" s="49">
        <f t="shared" si="56"/>
        <v>5.0000000000000044E-2</v>
      </c>
      <c r="AY68" s="49">
        <f t="shared" si="56"/>
        <v>5.0000000000000044E-2</v>
      </c>
      <c r="AZ68" s="49">
        <f t="shared" si="56"/>
        <v>5.0000000000000044E-2</v>
      </c>
      <c r="BA68" s="49">
        <f t="shared" si="56"/>
        <v>5.0000000000000044E-2</v>
      </c>
      <c r="BB68" s="49">
        <f t="shared" si="56"/>
        <v>5.0000000000000044E-2</v>
      </c>
      <c r="BC68" s="49">
        <f t="shared" si="56"/>
        <v>5.0000000000000044E-2</v>
      </c>
      <c r="BD68" s="49">
        <f t="shared" si="56"/>
        <v>6.0000000000000053E-2</v>
      </c>
      <c r="BE68" s="49">
        <f t="shared" si="56"/>
        <v>1.9751935681969757E-2</v>
      </c>
      <c r="BF68" s="49">
        <f t="shared" si="56"/>
        <v>5.0000000000000044E-2</v>
      </c>
      <c r="BG68" s="49">
        <f t="shared" si="56"/>
        <v>0.10000000000000009</v>
      </c>
      <c r="BH68" s="49">
        <f t="shared" si="56"/>
        <v>-0.15000000000000002</v>
      </c>
      <c r="BI68" s="49">
        <f t="shared" si="56"/>
        <v>-0.15000000000000002</v>
      </c>
      <c r="BJ68" s="49">
        <f t="shared" si="56"/>
        <v>-0.15000000000000002</v>
      </c>
      <c r="BK68" s="49">
        <f t="shared" si="56"/>
        <v>-0.15000000000000002</v>
      </c>
      <c r="BL68" s="49">
        <f t="shared" si="56"/>
        <v>0</v>
      </c>
      <c r="BM68" s="49">
        <f t="shared" si="56"/>
        <v>0</v>
      </c>
      <c r="BN68" s="49">
        <f t="shared" si="56"/>
        <v>5.0000000000000044E-2</v>
      </c>
      <c r="BO68" s="49">
        <f t="shared" si="56"/>
        <v>5.0000000000000044E-2</v>
      </c>
      <c r="BP68" s="49">
        <f t="shared" si="56"/>
        <v>5.0000000000000044E-2</v>
      </c>
      <c r="BQ68" s="49">
        <f t="shared" si="56"/>
        <v>5.0000000000000044E-2</v>
      </c>
      <c r="BR68" s="49">
        <f t="shared" si="56"/>
        <v>5.0000000000000044E-2</v>
      </c>
      <c r="BS68" s="49">
        <f t="shared" si="56"/>
        <v>5.0000000000000044E-2</v>
      </c>
      <c r="BT68" s="49">
        <f t="shared" si="56"/>
        <v>5.0000000000000044E-2</v>
      </c>
      <c r="BU68" s="49">
        <f t="shared" si="56"/>
        <v>5.0000000000000044E-2</v>
      </c>
      <c r="BV68" s="49">
        <f t="shared" si="56"/>
        <v>5.0000000000000044E-2</v>
      </c>
      <c r="BW68" s="49">
        <f t="shared" si="56"/>
        <v>5.0000000000000044E-2</v>
      </c>
      <c r="BX68" s="49">
        <f t="shared" si="56"/>
        <v>5.0000000000000044E-2</v>
      </c>
      <c r="BY68" s="49">
        <f t="shared" si="56"/>
        <v>5.0000000000000044E-2</v>
      </c>
      <c r="BZ68" s="49">
        <f t="shared" si="56"/>
        <v>5.0000000000000044E-2</v>
      </c>
      <c r="CA68" s="49">
        <f t="shared" si="56"/>
        <v>5.0000000000000044E-2</v>
      </c>
      <c r="CB68" s="49">
        <f t="shared" si="56"/>
        <v>5.0000000000000044E-2</v>
      </c>
      <c r="CC68" s="49">
        <f t="shared" si="56"/>
        <v>5.0000000000000044E-2</v>
      </c>
      <c r="CD68" s="49">
        <f t="shared" si="56"/>
        <v>5.0000000000000044E-2</v>
      </c>
      <c r="CF68" s="10"/>
      <c r="CG68" s="10"/>
      <c r="CH68" s="10"/>
      <c r="CI68" s="10"/>
      <c r="CJ68" s="10"/>
      <c r="CK68" s="10"/>
      <c r="CL68" s="10"/>
      <c r="CM68" s="36"/>
      <c r="CN68" s="49"/>
      <c r="CO68" s="49">
        <f t="shared" ref="CO68:CX68" si="57">+CO67/CN67-1</f>
        <v>-4.9713193116634802E-2</v>
      </c>
      <c r="CP68" s="49">
        <f t="shared" si="57"/>
        <v>8.8531187122736332E-2</v>
      </c>
      <c r="CQ68" s="49">
        <f t="shared" si="57"/>
        <v>2.5177211866631799E-2</v>
      </c>
      <c r="CR68" s="49">
        <f t="shared" si="57"/>
        <v>5.0000000000000044E-2</v>
      </c>
      <c r="CS68" s="49">
        <f t="shared" si="57"/>
        <v>4.0824760777909308E-2</v>
      </c>
      <c r="CT68" s="49">
        <f t="shared" si="57"/>
        <v>-0.11035034532780663</v>
      </c>
      <c r="CU68" s="49">
        <f t="shared" si="57"/>
        <v>-1.5043510417053985E-2</v>
      </c>
      <c r="CV68" s="49">
        <f t="shared" si="57"/>
        <v>4.9999999999999822E-2</v>
      </c>
      <c r="CW68" s="49">
        <f t="shared" si="57"/>
        <v>5.0000000000000266E-2</v>
      </c>
      <c r="CX68" s="49">
        <f t="shared" si="57"/>
        <v>4.9999999999999822E-2</v>
      </c>
    </row>
    <row r="69" spans="1:102" s="52" customFormat="1" x14ac:dyDescent="0.25">
      <c r="B69" s="41" t="s">
        <v>156</v>
      </c>
      <c r="C69" s="41"/>
      <c r="D69" s="41"/>
      <c r="E69" s="41"/>
      <c r="F69" s="41"/>
      <c r="G69" s="41"/>
      <c r="H69" s="41"/>
      <c r="I69" s="41"/>
      <c r="J69" s="41"/>
      <c r="K69" s="41"/>
      <c r="L69" s="41"/>
      <c r="M69" s="41"/>
      <c r="N69" s="41"/>
      <c r="O69" s="41"/>
      <c r="P69" s="41"/>
      <c r="Q69" s="41"/>
      <c r="R69" s="41"/>
      <c r="AU69" s="50"/>
      <c r="AV69" s="50"/>
      <c r="AW69" s="50"/>
      <c r="AX69" s="50"/>
      <c r="AY69" s="50"/>
      <c r="AZ69" s="50"/>
      <c r="BA69" s="50"/>
      <c r="BB69" s="50"/>
      <c r="BC69" s="50"/>
      <c r="BD69" s="50"/>
      <c r="BE69" s="50"/>
      <c r="BF69" s="50"/>
      <c r="BG69" s="50"/>
      <c r="BH69" s="50">
        <f t="shared" ref="BH69:CD69" si="58">+BH165</f>
        <v>50</v>
      </c>
      <c r="BI69" s="50">
        <f t="shared" si="58"/>
        <v>100</v>
      </c>
      <c r="BJ69" s="50">
        <f t="shared" si="58"/>
        <v>50</v>
      </c>
      <c r="BK69" s="50">
        <f t="shared" si="58"/>
        <v>10</v>
      </c>
      <c r="BL69" s="50">
        <f t="shared" si="58"/>
        <v>52.5</v>
      </c>
      <c r="BM69" s="50">
        <f t="shared" si="58"/>
        <v>105</v>
      </c>
      <c r="BN69" s="50">
        <f t="shared" si="58"/>
        <v>52.5</v>
      </c>
      <c r="BO69" s="50">
        <f t="shared" si="58"/>
        <v>10.5</v>
      </c>
      <c r="BP69" s="50">
        <f t="shared" si="58"/>
        <v>55.125</v>
      </c>
      <c r="BQ69" s="50">
        <f t="shared" si="58"/>
        <v>110.25</v>
      </c>
      <c r="BR69" s="50">
        <f t="shared" si="58"/>
        <v>55.125</v>
      </c>
      <c r="BS69" s="50">
        <f t="shared" si="58"/>
        <v>11.025</v>
      </c>
      <c r="BT69" s="50">
        <f t="shared" si="58"/>
        <v>57.881250000000001</v>
      </c>
      <c r="BU69" s="50">
        <f t="shared" si="58"/>
        <v>115.7625</v>
      </c>
      <c r="BV69" s="50">
        <f t="shared" si="58"/>
        <v>57.881250000000001</v>
      </c>
      <c r="BW69" s="50">
        <f t="shared" si="58"/>
        <v>11.576250000000002</v>
      </c>
      <c r="BX69" s="50">
        <f t="shared" si="58"/>
        <v>60.775312500000005</v>
      </c>
      <c r="BY69" s="50">
        <f t="shared" si="58"/>
        <v>121.55062500000001</v>
      </c>
      <c r="BZ69" s="50">
        <f t="shared" si="58"/>
        <v>60.775312500000005</v>
      </c>
      <c r="CA69" s="50">
        <f t="shared" si="58"/>
        <v>12.155062500000001</v>
      </c>
      <c r="CB69" s="50">
        <f t="shared" si="58"/>
        <v>63.814078125000009</v>
      </c>
      <c r="CC69" s="50">
        <f t="shared" si="58"/>
        <v>127.62815625000002</v>
      </c>
      <c r="CD69" s="50">
        <f t="shared" si="58"/>
        <v>63.814078125000009</v>
      </c>
      <c r="CE69" s="50"/>
      <c r="CL69" s="58"/>
      <c r="CM69" s="24"/>
      <c r="CN69" s="24"/>
      <c r="CO69" s="24"/>
      <c r="CP69" s="24"/>
      <c r="CQ69" s="24"/>
      <c r="CR69" s="24"/>
      <c r="CS69" s="24"/>
      <c r="CT69" s="24">
        <f t="shared" ref="CT69:CX69" si="59">+SUMIFS($S69:$CD69,$S$5:$CD$5,"&lt;="&amp;CT$5,$S$5:$CD$5,"&gt;"&amp;CS$5)</f>
        <v>200</v>
      </c>
      <c r="CU69" s="24">
        <f t="shared" si="59"/>
        <v>220</v>
      </c>
      <c r="CV69" s="24">
        <f t="shared" si="59"/>
        <v>231</v>
      </c>
      <c r="CW69" s="24">
        <f t="shared" si="59"/>
        <v>242.54999999999998</v>
      </c>
      <c r="CX69" s="24">
        <f t="shared" si="59"/>
        <v>254.67750000000004</v>
      </c>
    </row>
    <row r="70" spans="1:102" x14ac:dyDescent="0.25">
      <c r="B70" s="59" t="s">
        <v>151</v>
      </c>
      <c r="C70" s="41"/>
      <c r="D70" s="41"/>
      <c r="E70" s="41"/>
      <c r="F70" s="41"/>
      <c r="G70" s="41"/>
      <c r="H70" s="41"/>
      <c r="I70" s="41"/>
      <c r="J70" s="41"/>
      <c r="K70" s="41"/>
      <c r="L70" s="41"/>
      <c r="M70" s="41"/>
      <c r="N70" s="41"/>
      <c r="O70" s="41"/>
      <c r="P70" s="41"/>
      <c r="Q70" s="41"/>
      <c r="R70" s="41"/>
      <c r="AM70" s="49"/>
      <c r="AN70" s="49"/>
      <c r="AO70" s="49"/>
      <c r="AP70" s="49"/>
      <c r="AQ70" s="49"/>
      <c r="AR70" s="49"/>
      <c r="AS70" s="49"/>
      <c r="AT70" s="49"/>
      <c r="AU70" s="49"/>
      <c r="AV70" s="49"/>
      <c r="AW70" s="49"/>
      <c r="AX70" s="49"/>
      <c r="AY70" s="49"/>
      <c r="AZ70" s="49"/>
      <c r="BA70" s="49"/>
      <c r="BB70" s="49"/>
      <c r="BC70" s="49"/>
      <c r="BD70" s="49"/>
      <c r="BE70" s="49"/>
      <c r="BF70" s="49"/>
      <c r="BG70" s="49"/>
      <c r="BH70" s="49"/>
      <c r="BI70" s="49"/>
      <c r="BJ70" s="49"/>
      <c r="BK70" s="49"/>
      <c r="BL70" s="49">
        <f t="shared" ref="BL70:CD70" si="60">+BL69/BH69-1</f>
        <v>5.0000000000000044E-2</v>
      </c>
      <c r="BM70" s="49">
        <f t="shared" si="60"/>
        <v>5.0000000000000044E-2</v>
      </c>
      <c r="BN70" s="49">
        <f t="shared" si="60"/>
        <v>5.0000000000000044E-2</v>
      </c>
      <c r="BO70" s="49">
        <f t="shared" si="60"/>
        <v>5.0000000000000044E-2</v>
      </c>
      <c r="BP70" s="49">
        <f t="shared" si="60"/>
        <v>5.0000000000000044E-2</v>
      </c>
      <c r="BQ70" s="49">
        <f t="shared" si="60"/>
        <v>5.0000000000000044E-2</v>
      </c>
      <c r="BR70" s="49">
        <f t="shared" si="60"/>
        <v>5.0000000000000044E-2</v>
      </c>
      <c r="BS70" s="49">
        <f t="shared" si="60"/>
        <v>5.0000000000000044E-2</v>
      </c>
      <c r="BT70" s="49">
        <f t="shared" si="60"/>
        <v>5.0000000000000044E-2</v>
      </c>
      <c r="BU70" s="49">
        <f t="shared" si="60"/>
        <v>5.0000000000000044E-2</v>
      </c>
      <c r="BV70" s="49">
        <f t="shared" si="60"/>
        <v>5.0000000000000044E-2</v>
      </c>
      <c r="BW70" s="49">
        <f t="shared" si="60"/>
        <v>5.0000000000000044E-2</v>
      </c>
      <c r="BX70" s="49">
        <f t="shared" si="60"/>
        <v>5.0000000000000044E-2</v>
      </c>
      <c r="BY70" s="49">
        <f t="shared" si="60"/>
        <v>5.0000000000000044E-2</v>
      </c>
      <c r="BZ70" s="49">
        <f t="shared" si="60"/>
        <v>5.0000000000000044E-2</v>
      </c>
      <c r="CA70" s="49">
        <f t="shared" si="60"/>
        <v>5.0000000000000044E-2</v>
      </c>
      <c r="CB70" s="49">
        <f t="shared" si="60"/>
        <v>5.0000000000000044E-2</v>
      </c>
      <c r="CC70" s="49">
        <f t="shared" si="60"/>
        <v>5.0000000000000044E-2</v>
      </c>
      <c r="CD70" s="49">
        <f t="shared" si="60"/>
        <v>5.0000000000000044E-2</v>
      </c>
      <c r="CF70" s="10"/>
      <c r="CG70" s="10"/>
      <c r="CH70" s="10"/>
      <c r="CI70" s="10"/>
      <c r="CJ70" s="10"/>
      <c r="CK70" s="10"/>
      <c r="CL70" s="10"/>
      <c r="CM70" s="36"/>
      <c r="CN70" s="49"/>
      <c r="CO70" s="49"/>
      <c r="CP70" s="49"/>
      <c r="CQ70" s="49"/>
      <c r="CR70" s="49"/>
      <c r="CS70" s="49"/>
      <c r="CT70" s="49"/>
      <c r="CU70" s="49">
        <f t="shared" ref="CU70:CX70" si="61">+CU69/CT69-1</f>
        <v>0.10000000000000009</v>
      </c>
      <c r="CV70" s="49">
        <f t="shared" si="61"/>
        <v>5.0000000000000044E-2</v>
      </c>
      <c r="CW70" s="49">
        <f t="shared" si="61"/>
        <v>4.9999999999999822E-2</v>
      </c>
      <c r="CX70" s="49">
        <f t="shared" si="61"/>
        <v>5.0000000000000266E-2</v>
      </c>
    </row>
    <row r="71" spans="1:102" x14ac:dyDescent="0.25">
      <c r="B71" s="37"/>
      <c r="C71" s="37"/>
      <c r="D71" s="37"/>
      <c r="E71" s="37"/>
      <c r="F71" s="37"/>
      <c r="G71" s="37"/>
      <c r="H71" s="37"/>
      <c r="I71" s="37"/>
      <c r="J71" s="37"/>
      <c r="K71" s="37"/>
      <c r="L71" s="37"/>
      <c r="M71" s="37"/>
      <c r="N71" s="37"/>
      <c r="O71" s="37"/>
      <c r="P71" s="37"/>
      <c r="Q71" s="37"/>
      <c r="R71" s="37"/>
      <c r="CM71" s="40"/>
      <c r="CN71" s="40"/>
      <c r="CO71" s="40"/>
      <c r="CT71" s="60"/>
      <c r="CU71" s="60"/>
      <c r="CV71" s="60"/>
      <c r="CW71" s="60"/>
      <c r="CX71" s="60"/>
    </row>
    <row r="72" spans="1:102" x14ac:dyDescent="0.25">
      <c r="B72" s="45" t="s">
        <v>157</v>
      </c>
      <c r="C72" s="45"/>
      <c r="D72" s="45"/>
      <c r="E72" s="45"/>
      <c r="F72" s="45"/>
      <c r="G72" s="45"/>
      <c r="H72" s="45"/>
      <c r="I72" s="45"/>
      <c r="J72" s="45"/>
      <c r="K72" s="45"/>
      <c r="L72" s="45"/>
      <c r="M72" s="45"/>
      <c r="N72" s="45"/>
      <c r="O72" s="45"/>
      <c r="P72" s="45"/>
      <c r="Q72" s="45"/>
      <c r="R72" s="45"/>
      <c r="S72" s="61">
        <f>+S252+S256</f>
        <v>364</v>
      </c>
      <c r="T72" s="61">
        <f t="shared" ref="T72:BH72" si="62">+T252+T256</f>
        <v>861</v>
      </c>
      <c r="U72" s="61">
        <f t="shared" si="62"/>
        <v>875</v>
      </c>
      <c r="V72" s="61">
        <f t="shared" si="62"/>
        <v>408</v>
      </c>
      <c r="W72" s="61">
        <f t="shared" si="62"/>
        <v>245</v>
      </c>
      <c r="X72" s="61">
        <f t="shared" si="62"/>
        <v>755</v>
      </c>
      <c r="Y72" s="61">
        <f t="shared" si="62"/>
        <v>1191</v>
      </c>
      <c r="Z72" s="61">
        <f t="shared" si="62"/>
        <v>346</v>
      </c>
      <c r="AA72" s="61">
        <f t="shared" si="62"/>
        <v>198</v>
      </c>
      <c r="AB72" s="61">
        <f t="shared" si="62"/>
        <v>705</v>
      </c>
      <c r="AC72" s="61">
        <f t="shared" si="62"/>
        <v>1330</v>
      </c>
      <c r="AD72" s="61">
        <f t="shared" si="62"/>
        <v>399</v>
      </c>
      <c r="AE72" s="61">
        <f t="shared" si="62"/>
        <v>205</v>
      </c>
      <c r="AF72" s="61">
        <f t="shared" si="62"/>
        <v>719</v>
      </c>
      <c r="AG72" s="61">
        <f t="shared" si="62"/>
        <v>1001</v>
      </c>
      <c r="AH72" s="61">
        <f t="shared" si="62"/>
        <v>400</v>
      </c>
      <c r="AI72" s="61">
        <f t="shared" si="62"/>
        <v>141</v>
      </c>
      <c r="AJ72" s="61">
        <f t="shared" si="62"/>
        <v>729</v>
      </c>
      <c r="AK72" s="61">
        <f t="shared" si="62"/>
        <v>624</v>
      </c>
      <c r="AL72" s="61">
        <f t="shared" si="62"/>
        <v>346</v>
      </c>
      <c r="AM72" s="61">
        <f t="shared" si="62"/>
        <v>95</v>
      </c>
      <c r="AN72" s="61">
        <f t="shared" si="62"/>
        <v>637</v>
      </c>
      <c r="AO72" s="61">
        <f t="shared" si="62"/>
        <v>780</v>
      </c>
      <c r="AP72" s="61">
        <f t="shared" si="62"/>
        <v>268</v>
      </c>
      <c r="AQ72" s="61">
        <f t="shared" si="62"/>
        <v>287</v>
      </c>
      <c r="AR72" s="61">
        <f t="shared" si="62"/>
        <v>266</v>
      </c>
      <c r="AS72" s="61">
        <f t="shared" si="62"/>
        <v>858</v>
      </c>
      <c r="AT72" s="61">
        <f t="shared" si="62"/>
        <v>187</v>
      </c>
      <c r="AU72" s="61">
        <f t="shared" si="62"/>
        <v>282</v>
      </c>
      <c r="AV72" s="61">
        <f t="shared" si="62"/>
        <v>696</v>
      </c>
      <c r="AW72" s="61">
        <f t="shared" si="62"/>
        <v>900</v>
      </c>
      <c r="AX72" s="61">
        <f t="shared" si="62"/>
        <v>267</v>
      </c>
      <c r="AY72" s="61">
        <f t="shared" si="62"/>
        <v>165</v>
      </c>
      <c r="AZ72" s="61">
        <f t="shared" si="62"/>
        <v>635</v>
      </c>
      <c r="BA72" s="61">
        <f t="shared" si="62"/>
        <v>687</v>
      </c>
      <c r="BB72" s="61">
        <f t="shared" si="62"/>
        <v>324</v>
      </c>
      <c r="BC72" s="61">
        <f t="shared" si="62"/>
        <v>401</v>
      </c>
      <c r="BD72" s="61">
        <f t="shared" si="62"/>
        <v>691</v>
      </c>
      <c r="BE72" s="61">
        <f t="shared" si="62"/>
        <v>654</v>
      </c>
      <c r="BF72" s="61">
        <f t="shared" si="62"/>
        <v>259</v>
      </c>
      <c r="BG72" s="61">
        <f t="shared" si="62"/>
        <v>168</v>
      </c>
      <c r="BH72" s="61">
        <f t="shared" si="62"/>
        <v>832</v>
      </c>
      <c r="BI72" s="36">
        <f t="shared" ref="BI72:CD72" si="63">+SUM(BI73:BI78)</f>
        <v>699.60273375999998</v>
      </c>
      <c r="BJ72" s="36">
        <f t="shared" si="63"/>
        <v>252.54492947840001</v>
      </c>
      <c r="BK72" s="36">
        <f t="shared" si="63"/>
        <v>168.41955070521598</v>
      </c>
      <c r="BL72" s="36">
        <f t="shared" si="63"/>
        <v>846.38251579609596</v>
      </c>
      <c r="BM72" s="36">
        <f t="shared" si="63"/>
        <v>921.46794532479998</v>
      </c>
      <c r="BN72" s="36">
        <f t="shared" si="63"/>
        <v>257.33910141043202</v>
      </c>
      <c r="BO72" s="36">
        <f t="shared" si="63"/>
        <v>461.39708596601599</v>
      </c>
      <c r="BP72" s="36">
        <f t="shared" si="63"/>
        <v>834.28</v>
      </c>
      <c r="BQ72" s="36">
        <f t="shared" si="63"/>
        <v>701.88273375999995</v>
      </c>
      <c r="BR72" s="36">
        <f t="shared" si="63"/>
        <v>253.3049294784</v>
      </c>
      <c r="BS72" s="36">
        <f t="shared" si="63"/>
        <v>461.82502768533629</v>
      </c>
      <c r="BT72" s="36">
        <f t="shared" si="63"/>
        <v>836.60559999999998</v>
      </c>
      <c r="BU72" s="36">
        <f t="shared" si="63"/>
        <v>704.20833375999996</v>
      </c>
      <c r="BV72" s="36">
        <f t="shared" si="63"/>
        <v>254.08012947840001</v>
      </c>
      <c r="BW72" s="36">
        <f t="shared" si="63"/>
        <v>462.26152823904306</v>
      </c>
      <c r="BX72" s="36">
        <f t="shared" si="63"/>
        <v>838.977712</v>
      </c>
      <c r="BY72" s="36">
        <f t="shared" si="63"/>
        <v>706.58044575999998</v>
      </c>
      <c r="BZ72" s="36">
        <f t="shared" si="63"/>
        <v>254.87083347840002</v>
      </c>
      <c r="CA72" s="36">
        <f t="shared" si="63"/>
        <v>462.7067588038239</v>
      </c>
      <c r="CB72" s="36">
        <f t="shared" si="63"/>
        <v>841.39726624000002</v>
      </c>
      <c r="CC72" s="36">
        <f t="shared" si="63"/>
        <v>709</v>
      </c>
      <c r="CD72" s="36">
        <f t="shared" si="63"/>
        <v>255.67735155840001</v>
      </c>
      <c r="CE72" s="36"/>
      <c r="CF72" s="10"/>
      <c r="CG72" s="10"/>
      <c r="CH72" s="10"/>
      <c r="CI72" s="10"/>
      <c r="CJ72" s="10"/>
      <c r="CK72" s="10"/>
      <c r="CL72" s="10"/>
      <c r="CM72" s="57">
        <f t="shared" ref="CM72:CX78" si="64">+SUMIFS($S72:$CD72,$S$5:$CD$5,"&lt;="&amp;CM$5,$S$5:$CD$5,"&gt;"&amp;CL$5)</f>
        <v>2325</v>
      </c>
      <c r="CN72" s="57">
        <f t="shared" si="64"/>
        <v>1840</v>
      </c>
      <c r="CO72" s="57">
        <f t="shared" si="64"/>
        <v>1780</v>
      </c>
      <c r="CP72" s="57">
        <f t="shared" si="64"/>
        <v>1598</v>
      </c>
      <c r="CQ72" s="57">
        <f t="shared" si="64"/>
        <v>2145</v>
      </c>
      <c r="CR72" s="57">
        <f t="shared" si="64"/>
        <v>1811</v>
      </c>
      <c r="CS72" s="57">
        <f t="shared" si="64"/>
        <v>2005</v>
      </c>
      <c r="CT72" s="57">
        <f t="shared" si="64"/>
        <v>1952.1476632383999</v>
      </c>
      <c r="CU72" s="57">
        <f t="shared" si="64"/>
        <v>2193.6091132365436</v>
      </c>
      <c r="CV72" s="57">
        <f t="shared" si="64"/>
        <v>2250.8647492044161</v>
      </c>
      <c r="CW72" s="57">
        <f t="shared" si="64"/>
        <v>2256.7190909237361</v>
      </c>
      <c r="CX72" s="57">
        <f t="shared" si="64"/>
        <v>2262.6905194774431</v>
      </c>
    </row>
    <row r="73" spans="1:102" x14ac:dyDescent="0.25">
      <c r="B73" s="41" t="s">
        <v>144</v>
      </c>
      <c r="C73" s="41"/>
      <c r="D73" s="41"/>
      <c r="E73" s="41"/>
      <c r="F73" s="41"/>
      <c r="G73" s="41"/>
      <c r="H73" s="41"/>
      <c r="I73" s="41"/>
      <c r="J73" s="41"/>
      <c r="K73" s="41"/>
      <c r="L73" s="41"/>
      <c r="M73" s="41"/>
      <c r="N73" s="41"/>
      <c r="O73" s="41"/>
      <c r="P73" s="41"/>
      <c r="Q73" s="41"/>
      <c r="R73" s="41"/>
      <c r="AM73" s="24">
        <f>+AM72-SUM(AM74:AM78)</f>
        <v>7.5</v>
      </c>
      <c r="AN73" s="24">
        <f t="shared" ref="AN73:BH73" si="65">+AN72-SUM(AN74:AN78)</f>
        <v>319.89999999999998</v>
      </c>
      <c r="AO73" s="24">
        <f t="shared" si="65"/>
        <v>325</v>
      </c>
      <c r="AP73" s="24">
        <f t="shared" si="65"/>
        <v>127.30000000000001</v>
      </c>
      <c r="AQ73" s="24">
        <f t="shared" si="65"/>
        <v>199.15</v>
      </c>
      <c r="AR73" s="24">
        <f t="shared" si="65"/>
        <v>-53.242000000000019</v>
      </c>
      <c r="AS73" s="24">
        <f t="shared" si="65"/>
        <v>470.9</v>
      </c>
      <c r="AT73" s="24">
        <f t="shared" si="65"/>
        <v>45.586000000000013</v>
      </c>
      <c r="AU73" s="24">
        <f t="shared" si="65"/>
        <v>193.79300000000001</v>
      </c>
      <c r="AV73" s="24">
        <f t="shared" si="65"/>
        <v>374.57316000000003</v>
      </c>
      <c r="AW73" s="24">
        <f t="shared" si="65"/>
        <v>244.75800000000004</v>
      </c>
      <c r="AX73" s="24">
        <f t="shared" si="65"/>
        <v>124.85772</v>
      </c>
      <c r="AY73" s="24">
        <f t="shared" si="65"/>
        <v>76.42886</v>
      </c>
      <c r="AZ73" s="24">
        <f t="shared" si="65"/>
        <v>311.3446232</v>
      </c>
      <c r="BA73" s="24">
        <f t="shared" si="65"/>
        <v>50.57316000000003</v>
      </c>
      <c r="BB73" s="24">
        <f t="shared" si="65"/>
        <v>99.064874399999923</v>
      </c>
      <c r="BC73" s="24">
        <f t="shared" si="65"/>
        <v>242.05743720000001</v>
      </c>
      <c r="BD73" s="24">
        <f t="shared" si="65"/>
        <v>337.63478843519999</v>
      </c>
      <c r="BE73" s="24">
        <f t="shared" si="65"/>
        <v>5.6027337599999782</v>
      </c>
      <c r="BF73" s="24">
        <f t="shared" si="65"/>
        <v>7.0449294784000074</v>
      </c>
      <c r="BG73" s="24">
        <f t="shared" si="65"/>
        <v>7.0224647391999895</v>
      </c>
      <c r="BH73" s="24">
        <f t="shared" si="65"/>
        <v>220.5</v>
      </c>
      <c r="BI73" s="50">
        <f t="shared" ref="BI73:BJ73" si="66">+BE73</f>
        <v>5.6027337599999782</v>
      </c>
      <c r="BJ73" s="50">
        <f t="shared" si="66"/>
        <v>7.0449294784000074</v>
      </c>
      <c r="BK73" s="50">
        <f>+BG73</f>
        <v>7.0224647391999895</v>
      </c>
      <c r="BL73" s="50">
        <f>+BH73</f>
        <v>220.5</v>
      </c>
      <c r="BM73" s="50">
        <f>+BI73</f>
        <v>5.6027337599999782</v>
      </c>
      <c r="BN73" s="50">
        <f>+BJ73</f>
        <v>7.0449294784000074</v>
      </c>
      <c r="BO73" s="62">
        <v>300</v>
      </c>
      <c r="BP73" s="50">
        <f t="shared" ref="BP73:CD73" si="67">+BL73</f>
        <v>220.5</v>
      </c>
      <c r="BQ73" s="50">
        <f t="shared" si="67"/>
        <v>5.6027337599999782</v>
      </c>
      <c r="BR73" s="50">
        <f t="shared" si="67"/>
        <v>7.0449294784000074</v>
      </c>
      <c r="BS73" s="50">
        <f t="shared" si="67"/>
        <v>300</v>
      </c>
      <c r="BT73" s="50">
        <f t="shared" si="67"/>
        <v>220.5</v>
      </c>
      <c r="BU73" s="50">
        <f t="shared" si="67"/>
        <v>5.6027337599999782</v>
      </c>
      <c r="BV73" s="50">
        <f t="shared" si="67"/>
        <v>7.0449294784000074</v>
      </c>
      <c r="BW73" s="50">
        <f t="shared" si="67"/>
        <v>300</v>
      </c>
      <c r="BX73" s="50">
        <f t="shared" si="67"/>
        <v>220.5</v>
      </c>
      <c r="BY73" s="50">
        <f t="shared" si="67"/>
        <v>5.6027337599999782</v>
      </c>
      <c r="BZ73" s="50">
        <f t="shared" si="67"/>
        <v>7.0449294784000074</v>
      </c>
      <c r="CA73" s="50">
        <f t="shared" si="67"/>
        <v>300</v>
      </c>
      <c r="CB73" s="50">
        <f t="shared" si="67"/>
        <v>220.5</v>
      </c>
      <c r="CC73" s="50">
        <f t="shared" si="67"/>
        <v>5.6027337599999782</v>
      </c>
      <c r="CD73" s="50">
        <f t="shared" si="67"/>
        <v>7.0449294784000074</v>
      </c>
      <c r="CF73" s="10"/>
      <c r="CG73" s="10"/>
      <c r="CH73" s="10"/>
      <c r="CI73" s="10"/>
      <c r="CJ73" s="10"/>
      <c r="CK73" s="10"/>
      <c r="CL73" s="10"/>
      <c r="CM73" s="50">
        <f t="shared" si="64"/>
        <v>0</v>
      </c>
      <c r="CN73" s="50">
        <f t="shared" si="64"/>
        <v>0</v>
      </c>
      <c r="CO73" s="50">
        <f t="shared" si="64"/>
        <v>779.7</v>
      </c>
      <c r="CP73" s="50">
        <f t="shared" si="64"/>
        <v>662.39400000000001</v>
      </c>
      <c r="CQ73" s="50">
        <f t="shared" si="64"/>
        <v>937.98188000000005</v>
      </c>
      <c r="CR73" s="50">
        <f t="shared" si="64"/>
        <v>537.41151759999991</v>
      </c>
      <c r="CS73" s="50">
        <f t="shared" si="64"/>
        <v>592.33988887359999</v>
      </c>
      <c r="CT73" s="50">
        <f t="shared" si="64"/>
        <v>240.17012797759998</v>
      </c>
      <c r="CU73" s="50">
        <f t="shared" si="64"/>
        <v>240.17012797759998</v>
      </c>
      <c r="CV73" s="50">
        <f t="shared" si="64"/>
        <v>533.14766323840001</v>
      </c>
      <c r="CW73" s="50">
        <f t="shared" si="64"/>
        <v>533.14766323840001</v>
      </c>
      <c r="CX73" s="50">
        <f t="shared" si="64"/>
        <v>533.14766323840001</v>
      </c>
    </row>
    <row r="74" spans="1:102" x14ac:dyDescent="0.25">
      <c r="B74" s="41" t="s">
        <v>154</v>
      </c>
      <c r="C74" s="41"/>
      <c r="D74" s="41"/>
      <c r="E74" s="41"/>
      <c r="F74" s="41"/>
      <c r="G74" s="41"/>
      <c r="H74" s="41"/>
      <c r="I74" s="41"/>
      <c r="J74" s="41"/>
      <c r="K74" s="41"/>
      <c r="L74" s="41"/>
      <c r="M74" s="41"/>
      <c r="N74" s="41"/>
      <c r="O74" s="41"/>
      <c r="P74" s="41"/>
      <c r="Q74" s="41"/>
      <c r="R74" s="41"/>
      <c r="AM74" s="24">
        <f>+AM87</f>
        <v>70</v>
      </c>
      <c r="AN74" s="24">
        <f t="shared" ref="AN74:CD74" si="68">+AN87</f>
        <v>210</v>
      </c>
      <c r="AO74" s="24">
        <f t="shared" si="68"/>
        <v>350</v>
      </c>
      <c r="AP74" s="24">
        <f t="shared" si="68"/>
        <v>105</v>
      </c>
      <c r="AQ74" s="24">
        <f t="shared" si="68"/>
        <v>70</v>
      </c>
      <c r="AR74" s="24">
        <f t="shared" si="68"/>
        <v>210</v>
      </c>
      <c r="AS74" s="24">
        <f t="shared" si="68"/>
        <v>280</v>
      </c>
      <c r="AT74" s="24">
        <f t="shared" si="68"/>
        <v>105</v>
      </c>
      <c r="AU74" s="24">
        <f t="shared" si="68"/>
        <v>70</v>
      </c>
      <c r="AV74" s="24">
        <f t="shared" si="68"/>
        <v>210</v>
      </c>
      <c r="AW74" s="24">
        <f t="shared" si="68"/>
        <v>420</v>
      </c>
      <c r="AX74" s="24">
        <f t="shared" si="68"/>
        <v>105</v>
      </c>
      <c r="AY74" s="24">
        <f t="shared" si="68"/>
        <v>70</v>
      </c>
      <c r="AZ74" s="24">
        <f t="shared" si="68"/>
        <v>210</v>
      </c>
      <c r="BA74" s="24">
        <f t="shared" si="68"/>
        <v>525</v>
      </c>
      <c r="BB74" s="24">
        <f t="shared" si="68"/>
        <v>187.05000000000007</v>
      </c>
      <c r="BC74" s="24">
        <f t="shared" si="68"/>
        <v>140</v>
      </c>
      <c r="BD74" s="24">
        <f t="shared" si="68"/>
        <v>227.5</v>
      </c>
      <c r="BE74" s="24">
        <f t="shared" si="68"/>
        <v>525</v>
      </c>
      <c r="BF74" s="24">
        <f t="shared" si="68"/>
        <v>210</v>
      </c>
      <c r="BG74" s="24">
        <f t="shared" si="68"/>
        <v>140</v>
      </c>
      <c r="BH74" s="24">
        <f t="shared" si="68"/>
        <v>227.5</v>
      </c>
      <c r="BI74" s="24">
        <f t="shared" si="68"/>
        <v>490</v>
      </c>
      <c r="BJ74" s="24">
        <f t="shared" si="68"/>
        <v>140</v>
      </c>
      <c r="BK74" s="24">
        <f t="shared" si="68"/>
        <v>140</v>
      </c>
      <c r="BL74" s="24">
        <f t="shared" si="68"/>
        <v>227.5</v>
      </c>
      <c r="BM74" s="24">
        <f t="shared" si="68"/>
        <v>490</v>
      </c>
      <c r="BN74" s="24">
        <f t="shared" si="68"/>
        <v>140</v>
      </c>
      <c r="BO74" s="24">
        <f t="shared" si="68"/>
        <v>140</v>
      </c>
      <c r="BP74" s="24">
        <f t="shared" si="68"/>
        <v>227.5</v>
      </c>
      <c r="BQ74" s="24">
        <f t="shared" si="68"/>
        <v>490</v>
      </c>
      <c r="BR74" s="24">
        <f t="shared" si="68"/>
        <v>140</v>
      </c>
      <c r="BS74" s="24">
        <f t="shared" si="68"/>
        <v>140</v>
      </c>
      <c r="BT74" s="24">
        <f t="shared" si="68"/>
        <v>227.5</v>
      </c>
      <c r="BU74" s="24">
        <f t="shared" si="68"/>
        <v>490</v>
      </c>
      <c r="BV74" s="24">
        <f t="shared" si="68"/>
        <v>140</v>
      </c>
      <c r="BW74" s="24">
        <f t="shared" si="68"/>
        <v>140</v>
      </c>
      <c r="BX74" s="24">
        <f t="shared" si="68"/>
        <v>227.5</v>
      </c>
      <c r="BY74" s="24">
        <f t="shared" si="68"/>
        <v>490</v>
      </c>
      <c r="BZ74" s="24">
        <f t="shared" si="68"/>
        <v>140</v>
      </c>
      <c r="CA74" s="24">
        <f t="shared" si="68"/>
        <v>140</v>
      </c>
      <c r="CB74" s="24">
        <f t="shared" si="68"/>
        <v>227.5</v>
      </c>
      <c r="CC74" s="24">
        <f t="shared" si="68"/>
        <v>490</v>
      </c>
      <c r="CD74" s="24">
        <f t="shared" si="68"/>
        <v>140</v>
      </c>
      <c r="CF74" s="10"/>
      <c r="CG74" s="10"/>
      <c r="CH74" s="10"/>
      <c r="CI74" s="10"/>
      <c r="CJ74" s="10"/>
      <c r="CK74" s="10"/>
      <c r="CL74" s="10"/>
      <c r="CM74" s="50">
        <f t="shared" si="64"/>
        <v>0</v>
      </c>
      <c r="CN74" s="50">
        <f t="shared" si="64"/>
        <v>0</v>
      </c>
      <c r="CO74" s="50">
        <f t="shared" si="64"/>
        <v>735</v>
      </c>
      <c r="CP74" s="50">
        <f t="shared" si="64"/>
        <v>665</v>
      </c>
      <c r="CQ74" s="50">
        <f t="shared" si="64"/>
        <v>805</v>
      </c>
      <c r="CR74" s="50">
        <f t="shared" si="64"/>
        <v>992.05000000000007</v>
      </c>
      <c r="CS74" s="50">
        <f t="shared" si="64"/>
        <v>1102.5</v>
      </c>
      <c r="CT74" s="50">
        <f t="shared" si="64"/>
        <v>997.5</v>
      </c>
      <c r="CU74" s="50">
        <f t="shared" si="64"/>
        <v>997.5</v>
      </c>
      <c r="CV74" s="50">
        <f t="shared" si="64"/>
        <v>997.5</v>
      </c>
      <c r="CW74" s="50">
        <f t="shared" si="64"/>
        <v>997.5</v>
      </c>
      <c r="CX74" s="50">
        <f t="shared" si="64"/>
        <v>997.5</v>
      </c>
    </row>
    <row r="75" spans="1:102" x14ac:dyDescent="0.25">
      <c r="B75" s="41" t="s">
        <v>155</v>
      </c>
      <c r="C75" s="41"/>
      <c r="D75" s="41"/>
      <c r="E75" s="41"/>
      <c r="F75" s="41"/>
      <c r="G75" s="41"/>
      <c r="H75" s="41"/>
      <c r="I75" s="41"/>
      <c r="J75" s="41"/>
      <c r="K75" s="41"/>
      <c r="L75" s="41"/>
      <c r="M75" s="41"/>
      <c r="N75" s="41"/>
      <c r="O75" s="41"/>
      <c r="P75" s="41"/>
      <c r="Q75" s="41"/>
      <c r="R75" s="41"/>
      <c r="AM75" s="24">
        <f>+AM149</f>
        <v>17.5</v>
      </c>
      <c r="AN75" s="24">
        <f t="shared" ref="AN75:CD75" si="69">+AN149</f>
        <v>107.10000000000001</v>
      </c>
      <c r="AO75" s="24">
        <f t="shared" si="69"/>
        <v>105</v>
      </c>
      <c r="AP75" s="24">
        <f t="shared" si="69"/>
        <v>35.700000000000003</v>
      </c>
      <c r="AQ75" s="24">
        <f t="shared" si="69"/>
        <v>17.850000000000001</v>
      </c>
      <c r="AR75" s="24">
        <f t="shared" si="69"/>
        <v>109.242</v>
      </c>
      <c r="AS75" s="24">
        <f t="shared" si="69"/>
        <v>107.10000000000001</v>
      </c>
      <c r="AT75" s="24">
        <f t="shared" si="69"/>
        <v>36.414000000000001</v>
      </c>
      <c r="AU75" s="24">
        <f t="shared" si="69"/>
        <v>18.207000000000001</v>
      </c>
      <c r="AV75" s="24">
        <f t="shared" si="69"/>
        <v>111.42684</v>
      </c>
      <c r="AW75" s="24">
        <f t="shared" si="69"/>
        <v>109.242</v>
      </c>
      <c r="AX75" s="24">
        <f t="shared" si="69"/>
        <v>37.14228</v>
      </c>
      <c r="AY75" s="24">
        <f t="shared" si="69"/>
        <v>18.57114</v>
      </c>
      <c r="AZ75" s="24">
        <f t="shared" si="69"/>
        <v>113.6553768</v>
      </c>
      <c r="BA75" s="24">
        <f t="shared" si="69"/>
        <v>111.42684</v>
      </c>
      <c r="BB75" s="24">
        <f t="shared" si="69"/>
        <v>37.885125600000002</v>
      </c>
      <c r="BC75" s="24">
        <f t="shared" si="69"/>
        <v>18.942562800000001</v>
      </c>
      <c r="BD75" s="24">
        <f t="shared" si="69"/>
        <v>125.86521156480001</v>
      </c>
      <c r="BE75" s="24">
        <f t="shared" si="69"/>
        <v>123.39726624000001</v>
      </c>
      <c r="BF75" s="24">
        <f t="shared" si="69"/>
        <v>41.9550705216</v>
      </c>
      <c r="BG75" s="24">
        <f t="shared" si="69"/>
        <v>20.9775352608</v>
      </c>
      <c r="BH75" s="24">
        <f t="shared" si="69"/>
        <v>114</v>
      </c>
      <c r="BI75" s="24">
        <f t="shared" si="69"/>
        <v>114</v>
      </c>
      <c r="BJ75" s="24">
        <f t="shared" si="69"/>
        <v>38</v>
      </c>
      <c r="BK75" s="24">
        <f t="shared" si="69"/>
        <v>21.397085966016</v>
      </c>
      <c r="BL75" s="24">
        <f t="shared" si="69"/>
        <v>128.38251579609599</v>
      </c>
      <c r="BM75" s="24">
        <f t="shared" si="69"/>
        <v>125.86521156480001</v>
      </c>
      <c r="BN75" s="24">
        <f t="shared" si="69"/>
        <v>42.794171932032</v>
      </c>
      <c r="BO75" s="24">
        <f t="shared" si="69"/>
        <v>21.397085966016</v>
      </c>
      <c r="BP75" s="24">
        <f t="shared" si="69"/>
        <v>116.28</v>
      </c>
      <c r="BQ75" s="24">
        <f t="shared" si="69"/>
        <v>116.28</v>
      </c>
      <c r="BR75" s="24">
        <f t="shared" si="69"/>
        <v>38.76</v>
      </c>
      <c r="BS75" s="24">
        <f t="shared" si="69"/>
        <v>21.82502768533632</v>
      </c>
      <c r="BT75" s="24">
        <f t="shared" si="69"/>
        <v>118.6056</v>
      </c>
      <c r="BU75" s="24">
        <f t="shared" si="69"/>
        <v>118.6056</v>
      </c>
      <c r="BV75" s="24">
        <f t="shared" si="69"/>
        <v>39.535200000000003</v>
      </c>
      <c r="BW75" s="24">
        <f t="shared" si="69"/>
        <v>22.261528239043049</v>
      </c>
      <c r="BX75" s="24">
        <f t="shared" si="69"/>
        <v>120.977712</v>
      </c>
      <c r="BY75" s="24">
        <f t="shared" si="69"/>
        <v>120.977712</v>
      </c>
      <c r="BZ75" s="24">
        <f t="shared" si="69"/>
        <v>40.325903999999994</v>
      </c>
      <c r="CA75" s="24">
        <f t="shared" si="69"/>
        <v>22.706758803823909</v>
      </c>
      <c r="CB75" s="24">
        <f t="shared" si="69"/>
        <v>123.39726624000001</v>
      </c>
      <c r="CC75" s="24">
        <f t="shared" si="69"/>
        <v>123.39726624000001</v>
      </c>
      <c r="CD75" s="24">
        <f t="shared" si="69"/>
        <v>41.132422079999998</v>
      </c>
      <c r="CF75" s="10"/>
      <c r="CG75" s="10"/>
      <c r="CH75" s="10"/>
      <c r="CI75" s="10"/>
      <c r="CJ75" s="10"/>
      <c r="CK75" s="10"/>
      <c r="CL75" s="10"/>
      <c r="CM75" s="50">
        <f t="shared" si="64"/>
        <v>0</v>
      </c>
      <c r="CN75" s="50">
        <f t="shared" si="64"/>
        <v>0</v>
      </c>
      <c r="CO75" s="50">
        <f t="shared" si="64"/>
        <v>265.3</v>
      </c>
      <c r="CP75" s="50">
        <f t="shared" si="64"/>
        <v>270.60599999999999</v>
      </c>
      <c r="CQ75" s="50">
        <f t="shared" si="64"/>
        <v>276.01811999999995</v>
      </c>
      <c r="CR75" s="50">
        <f t="shared" si="64"/>
        <v>281.53848240000002</v>
      </c>
      <c r="CS75" s="50">
        <f t="shared" si="64"/>
        <v>310.16011112640001</v>
      </c>
      <c r="CT75" s="50">
        <f t="shared" si="64"/>
        <v>286.97753526079998</v>
      </c>
      <c r="CU75" s="50">
        <f t="shared" si="64"/>
        <v>318.43898525894394</v>
      </c>
      <c r="CV75" s="50">
        <f t="shared" si="64"/>
        <v>292.71708596601599</v>
      </c>
      <c r="CW75" s="50">
        <f t="shared" si="64"/>
        <v>298.57142768533629</v>
      </c>
      <c r="CX75" s="50">
        <f t="shared" si="64"/>
        <v>304.54285623904303</v>
      </c>
    </row>
    <row r="76" spans="1:102" x14ac:dyDescent="0.25">
      <c r="B76" s="41" t="s">
        <v>158</v>
      </c>
      <c r="AM76" s="51">
        <v>0</v>
      </c>
      <c r="AN76" s="51">
        <v>0</v>
      </c>
      <c r="AO76" s="51">
        <v>0</v>
      </c>
      <c r="AP76" s="51">
        <v>0</v>
      </c>
      <c r="AQ76" s="51">
        <v>0</v>
      </c>
      <c r="AR76" s="51">
        <v>0</v>
      </c>
      <c r="AS76" s="51">
        <v>0</v>
      </c>
      <c r="AT76" s="51">
        <v>0</v>
      </c>
      <c r="AU76" s="51">
        <v>0</v>
      </c>
      <c r="AV76" s="51">
        <v>0</v>
      </c>
      <c r="AW76" s="51">
        <v>0</v>
      </c>
      <c r="AX76" s="51">
        <v>0</v>
      </c>
      <c r="AY76" s="51">
        <v>0</v>
      </c>
      <c r="AZ76" s="51">
        <v>0</v>
      </c>
      <c r="BA76" s="51">
        <v>0</v>
      </c>
      <c r="BB76" s="51">
        <v>0</v>
      </c>
      <c r="BC76" s="51">
        <v>0</v>
      </c>
      <c r="BD76" s="51">
        <v>0</v>
      </c>
      <c r="BE76" s="51">
        <v>0</v>
      </c>
      <c r="BF76" s="51">
        <v>0</v>
      </c>
      <c r="BG76" s="51">
        <v>0</v>
      </c>
      <c r="BH76" s="50">
        <f t="shared" ref="BH76:CD76" si="70">+BH168</f>
        <v>270</v>
      </c>
      <c r="BI76" s="50">
        <f t="shared" si="70"/>
        <v>45</v>
      </c>
      <c r="BJ76" s="50">
        <f t="shared" si="70"/>
        <v>45</v>
      </c>
      <c r="BK76" s="50">
        <f t="shared" si="70"/>
        <v>0</v>
      </c>
      <c r="BL76" s="50">
        <f t="shared" si="70"/>
        <v>270</v>
      </c>
      <c r="BM76" s="50">
        <f t="shared" si="70"/>
        <v>45</v>
      </c>
      <c r="BN76" s="50">
        <f t="shared" si="70"/>
        <v>45</v>
      </c>
      <c r="BO76" s="50">
        <f t="shared" si="70"/>
        <v>0</v>
      </c>
      <c r="BP76" s="50">
        <f t="shared" si="70"/>
        <v>270</v>
      </c>
      <c r="BQ76" s="50">
        <f t="shared" si="70"/>
        <v>45</v>
      </c>
      <c r="BR76" s="50">
        <f t="shared" si="70"/>
        <v>45</v>
      </c>
      <c r="BS76" s="50">
        <f t="shared" si="70"/>
        <v>0</v>
      </c>
      <c r="BT76" s="50">
        <f t="shared" si="70"/>
        <v>270</v>
      </c>
      <c r="BU76" s="50">
        <f t="shared" si="70"/>
        <v>45</v>
      </c>
      <c r="BV76" s="50">
        <f t="shared" si="70"/>
        <v>45</v>
      </c>
      <c r="BW76" s="50">
        <f t="shared" si="70"/>
        <v>0</v>
      </c>
      <c r="BX76" s="50">
        <f t="shared" si="70"/>
        <v>270</v>
      </c>
      <c r="BY76" s="50">
        <f t="shared" si="70"/>
        <v>45</v>
      </c>
      <c r="BZ76" s="50">
        <f t="shared" si="70"/>
        <v>45</v>
      </c>
      <c r="CA76" s="50">
        <f t="shared" si="70"/>
        <v>0</v>
      </c>
      <c r="CB76" s="50">
        <f t="shared" si="70"/>
        <v>270</v>
      </c>
      <c r="CC76" s="50">
        <f t="shared" si="70"/>
        <v>45</v>
      </c>
      <c r="CD76" s="50">
        <f t="shared" si="70"/>
        <v>45</v>
      </c>
      <c r="CE76" s="50"/>
      <c r="CM76" s="50">
        <f t="shared" si="64"/>
        <v>0</v>
      </c>
      <c r="CN76" s="50">
        <f t="shared" si="64"/>
        <v>0</v>
      </c>
      <c r="CO76" s="50">
        <f t="shared" si="64"/>
        <v>0</v>
      </c>
      <c r="CP76" s="50">
        <f t="shared" si="64"/>
        <v>0</v>
      </c>
      <c r="CQ76" s="50">
        <f t="shared" si="64"/>
        <v>0</v>
      </c>
      <c r="CR76" s="50">
        <f t="shared" si="64"/>
        <v>0</v>
      </c>
      <c r="CS76" s="50">
        <f t="shared" si="64"/>
        <v>0</v>
      </c>
      <c r="CT76" s="50">
        <f t="shared" si="64"/>
        <v>360</v>
      </c>
      <c r="CU76" s="50">
        <f t="shared" si="64"/>
        <v>360</v>
      </c>
      <c r="CV76" s="50">
        <f t="shared" si="64"/>
        <v>360</v>
      </c>
      <c r="CW76" s="50">
        <f t="shared" si="64"/>
        <v>360</v>
      </c>
      <c r="CX76" s="50">
        <f t="shared" si="64"/>
        <v>360</v>
      </c>
    </row>
    <row r="77" spans="1:102" s="52" customFormat="1" x14ac:dyDescent="0.25">
      <c r="B77" s="41" t="s">
        <v>159</v>
      </c>
      <c r="AM77" s="51">
        <v>0</v>
      </c>
      <c r="AN77" s="51">
        <v>0</v>
      </c>
      <c r="AO77" s="51">
        <v>0</v>
      </c>
      <c r="AP77" s="51">
        <v>0</v>
      </c>
      <c r="AQ77" s="51">
        <v>0</v>
      </c>
      <c r="AR77" s="51">
        <v>0</v>
      </c>
      <c r="AS77" s="51">
        <v>0</v>
      </c>
      <c r="AT77" s="51">
        <v>0</v>
      </c>
      <c r="AU77" s="51">
        <v>0</v>
      </c>
      <c r="AV77" s="51">
        <v>0</v>
      </c>
      <c r="AW77" s="51">
        <f>3*60*0.7</f>
        <v>125.99999999999999</v>
      </c>
      <c r="AX77" s="51">
        <v>0</v>
      </c>
      <c r="AY77" s="51">
        <v>0</v>
      </c>
      <c r="AZ77" s="51">
        <v>0</v>
      </c>
      <c r="BA77" s="51">
        <v>0</v>
      </c>
      <c r="BB77" s="51">
        <v>0</v>
      </c>
      <c r="BC77" s="51">
        <v>0</v>
      </c>
      <c r="BD77" s="51">
        <v>0</v>
      </c>
      <c r="BE77" s="51">
        <v>0</v>
      </c>
      <c r="BF77" s="51">
        <v>0</v>
      </c>
      <c r="BG77" s="51">
        <v>0</v>
      </c>
      <c r="BH77" s="50">
        <v>0</v>
      </c>
      <c r="BI77" s="50">
        <v>0</v>
      </c>
      <c r="BJ77" s="50">
        <v>0</v>
      </c>
      <c r="BK77" s="50">
        <v>0</v>
      </c>
      <c r="BL77" s="50">
        <v>0</v>
      </c>
      <c r="BM77" s="62">
        <f>5*60*0.7</f>
        <v>210</v>
      </c>
      <c r="BN77" s="51">
        <v>0</v>
      </c>
      <c r="BO77" s="51">
        <v>0</v>
      </c>
      <c r="BP77" s="51">
        <v>0</v>
      </c>
      <c r="BQ77" s="51">
        <v>0</v>
      </c>
      <c r="BR77" s="51">
        <v>0</v>
      </c>
      <c r="BS77" s="51">
        <v>0</v>
      </c>
      <c r="BT77" s="51">
        <v>0</v>
      </c>
      <c r="BU77" s="51">
        <v>0</v>
      </c>
      <c r="BV77" s="51">
        <v>0</v>
      </c>
      <c r="BW77" s="51">
        <v>0</v>
      </c>
      <c r="BX77" s="51">
        <v>0</v>
      </c>
      <c r="BY77" s="51">
        <v>0</v>
      </c>
      <c r="BZ77" s="51">
        <v>0</v>
      </c>
      <c r="CA77" s="51">
        <v>0</v>
      </c>
      <c r="CB77" s="51">
        <v>0</v>
      </c>
      <c r="CC77" s="51">
        <v>0</v>
      </c>
      <c r="CD77" s="51">
        <v>0</v>
      </c>
      <c r="CE77" s="51"/>
      <c r="CM77" s="50">
        <f t="shared" si="64"/>
        <v>0</v>
      </c>
      <c r="CN77" s="50">
        <f t="shared" si="64"/>
        <v>0</v>
      </c>
      <c r="CO77" s="50">
        <f t="shared" si="64"/>
        <v>0</v>
      </c>
      <c r="CP77" s="50">
        <f t="shared" si="64"/>
        <v>0</v>
      </c>
      <c r="CQ77" s="50">
        <f t="shared" si="64"/>
        <v>125.99999999999999</v>
      </c>
      <c r="CR77" s="50">
        <f t="shared" si="64"/>
        <v>0</v>
      </c>
      <c r="CS77" s="50">
        <f t="shared" si="64"/>
        <v>0</v>
      </c>
      <c r="CT77" s="50">
        <f t="shared" si="64"/>
        <v>0</v>
      </c>
      <c r="CU77" s="50">
        <f t="shared" si="64"/>
        <v>210</v>
      </c>
      <c r="CV77" s="50">
        <f t="shared" si="64"/>
        <v>0</v>
      </c>
      <c r="CW77" s="50">
        <f t="shared" si="64"/>
        <v>0</v>
      </c>
      <c r="CX77" s="50">
        <f t="shared" si="64"/>
        <v>0</v>
      </c>
    </row>
    <row r="78" spans="1:102" s="52" customFormat="1" x14ac:dyDescent="0.25">
      <c r="B78" s="41" t="s">
        <v>160</v>
      </c>
      <c r="AM78" s="51">
        <v>0</v>
      </c>
      <c r="AN78" s="51">
        <v>0</v>
      </c>
      <c r="AO78" s="51">
        <v>0</v>
      </c>
      <c r="AP78" s="51">
        <v>0</v>
      </c>
      <c r="AQ78" s="51">
        <v>0</v>
      </c>
      <c r="AR78" s="51">
        <v>0</v>
      </c>
      <c r="AS78" s="51">
        <v>0</v>
      </c>
      <c r="AT78" s="51">
        <v>0</v>
      </c>
      <c r="AU78" s="51">
        <v>0</v>
      </c>
      <c r="AV78" s="51">
        <v>0</v>
      </c>
      <c r="AW78" s="51">
        <v>0</v>
      </c>
      <c r="AX78" s="51">
        <v>0</v>
      </c>
      <c r="AY78" s="51">
        <v>0</v>
      </c>
      <c r="AZ78" s="51">
        <v>0</v>
      </c>
      <c r="BA78" s="51">
        <v>0</v>
      </c>
      <c r="BB78" s="51">
        <v>0</v>
      </c>
      <c r="BC78" s="51">
        <v>0</v>
      </c>
      <c r="BD78" s="51">
        <v>0</v>
      </c>
      <c r="BE78" s="51">
        <v>0</v>
      </c>
      <c r="BF78" s="51">
        <v>0</v>
      </c>
      <c r="BG78" s="51">
        <v>0</v>
      </c>
      <c r="BH78" s="50">
        <v>0</v>
      </c>
      <c r="BI78" s="62">
        <f>1*45</f>
        <v>45</v>
      </c>
      <c r="BJ78" s="62">
        <f>0.5*45</f>
        <v>22.5</v>
      </c>
      <c r="BK78" s="50">
        <f>BG78</f>
        <v>0</v>
      </c>
      <c r="BL78" s="50">
        <f t="shared" ref="BL78:CD78" si="71">BH78</f>
        <v>0</v>
      </c>
      <c r="BM78" s="50">
        <f t="shared" si="71"/>
        <v>45</v>
      </c>
      <c r="BN78" s="50">
        <f t="shared" si="71"/>
        <v>22.5</v>
      </c>
      <c r="BO78" s="50">
        <f t="shared" si="71"/>
        <v>0</v>
      </c>
      <c r="BP78" s="50">
        <f t="shared" si="71"/>
        <v>0</v>
      </c>
      <c r="BQ78" s="50">
        <f t="shared" si="71"/>
        <v>45</v>
      </c>
      <c r="BR78" s="50">
        <f t="shared" si="71"/>
        <v>22.5</v>
      </c>
      <c r="BS78" s="50">
        <f t="shared" si="71"/>
        <v>0</v>
      </c>
      <c r="BT78" s="50">
        <f t="shared" si="71"/>
        <v>0</v>
      </c>
      <c r="BU78" s="50">
        <f t="shared" si="71"/>
        <v>45</v>
      </c>
      <c r="BV78" s="50">
        <f t="shared" si="71"/>
        <v>22.5</v>
      </c>
      <c r="BW78" s="50">
        <f t="shared" si="71"/>
        <v>0</v>
      </c>
      <c r="BX78" s="50">
        <f t="shared" si="71"/>
        <v>0</v>
      </c>
      <c r="BY78" s="50">
        <f t="shared" si="71"/>
        <v>45</v>
      </c>
      <c r="BZ78" s="50">
        <f t="shared" si="71"/>
        <v>22.5</v>
      </c>
      <c r="CA78" s="50">
        <f t="shared" si="71"/>
        <v>0</v>
      </c>
      <c r="CB78" s="50">
        <f t="shared" si="71"/>
        <v>0</v>
      </c>
      <c r="CC78" s="50">
        <f t="shared" si="71"/>
        <v>45</v>
      </c>
      <c r="CD78" s="50">
        <f t="shared" si="71"/>
        <v>22.5</v>
      </c>
      <c r="CE78" s="50"/>
      <c r="CM78" s="50">
        <f t="shared" si="64"/>
        <v>0</v>
      </c>
      <c r="CN78" s="50">
        <f t="shared" si="64"/>
        <v>0</v>
      </c>
      <c r="CO78" s="50">
        <f t="shared" si="64"/>
        <v>0</v>
      </c>
      <c r="CP78" s="50">
        <f t="shared" si="64"/>
        <v>0</v>
      </c>
      <c r="CQ78" s="50">
        <f t="shared" si="64"/>
        <v>0</v>
      </c>
      <c r="CR78" s="50">
        <f t="shared" si="64"/>
        <v>0</v>
      </c>
      <c r="CS78" s="50">
        <f t="shared" si="64"/>
        <v>0</v>
      </c>
      <c r="CT78" s="50">
        <f t="shared" si="64"/>
        <v>67.5</v>
      </c>
      <c r="CU78" s="50">
        <f t="shared" si="64"/>
        <v>67.5</v>
      </c>
      <c r="CV78" s="50">
        <f t="shared" si="64"/>
        <v>67.5</v>
      </c>
      <c r="CW78" s="50">
        <f t="shared" si="64"/>
        <v>67.5</v>
      </c>
      <c r="CX78" s="50">
        <f t="shared" si="64"/>
        <v>67.5</v>
      </c>
    </row>
    <row r="79" spans="1:102" x14ac:dyDescent="0.25">
      <c r="B79" s="37"/>
      <c r="C79" s="37"/>
      <c r="D79" s="37"/>
      <c r="E79" s="37"/>
      <c r="F79" s="37"/>
      <c r="G79" s="37"/>
      <c r="H79" s="37"/>
      <c r="I79" s="37"/>
      <c r="J79" s="37"/>
      <c r="K79" s="37"/>
      <c r="L79" s="37"/>
      <c r="M79" s="37"/>
      <c r="N79" s="37"/>
      <c r="O79" s="37"/>
      <c r="P79" s="37"/>
      <c r="Q79" s="37"/>
      <c r="R79" s="37"/>
      <c r="BG79" s="2"/>
      <c r="CM79" s="40"/>
      <c r="CN79" s="40"/>
      <c r="CO79" s="40"/>
    </row>
    <row r="80" spans="1:102" ht="15.75" thickBot="1" x14ac:dyDescent="0.3">
      <c r="A80" s="1" t="s">
        <v>18</v>
      </c>
      <c r="B80" s="34" t="s">
        <v>161</v>
      </c>
      <c r="C80" s="34"/>
      <c r="D80" s="34"/>
      <c r="E80" s="34"/>
      <c r="F80" s="34"/>
      <c r="G80" s="34"/>
      <c r="H80" s="34"/>
      <c r="I80" s="34"/>
      <c r="J80" s="34"/>
      <c r="K80" s="34"/>
      <c r="L80" s="34"/>
      <c r="M80" s="34"/>
      <c r="N80" s="34"/>
      <c r="O80" s="34"/>
      <c r="P80" s="34"/>
      <c r="Q80" s="34"/>
      <c r="R80" s="34"/>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63" t="s">
        <v>1</v>
      </c>
      <c r="BB80" s="35"/>
      <c r="BC80" s="35"/>
      <c r="BD80" s="35"/>
      <c r="BE80" s="35"/>
      <c r="BF80" s="64"/>
      <c r="BG80" s="64" t="s">
        <v>162</v>
      </c>
      <c r="BH80" s="35"/>
      <c r="BI80" s="35"/>
      <c r="BJ80" s="35"/>
      <c r="BK80" s="35"/>
      <c r="BL80" s="35"/>
      <c r="BM80" s="35"/>
      <c r="BN80" s="35"/>
      <c r="BO80" s="35"/>
      <c r="BP80" s="35"/>
      <c r="BQ80" s="35"/>
      <c r="BR80" s="35"/>
      <c r="BS80" s="35"/>
      <c r="BT80" s="35"/>
      <c r="BU80" s="35"/>
      <c r="BV80" s="35"/>
      <c r="BW80" s="35"/>
      <c r="BX80" s="35"/>
      <c r="BY80" s="35"/>
      <c r="BZ80" s="35"/>
      <c r="CA80" s="35"/>
      <c r="CB80" s="35"/>
      <c r="CC80" s="35"/>
      <c r="CD80" s="35"/>
      <c r="CF80" s="35"/>
      <c r="CG80" s="35"/>
      <c r="CH80" s="35"/>
      <c r="CI80" s="35"/>
      <c r="CJ80" s="35"/>
      <c r="CK80" s="35"/>
      <c r="CL80" s="35"/>
      <c r="CM80" s="35"/>
      <c r="CN80" s="35"/>
      <c r="CO80" s="35"/>
      <c r="CP80" s="35"/>
      <c r="CQ80" s="35"/>
      <c r="CR80" s="35"/>
      <c r="CS80" s="35"/>
      <c r="CT80" s="35"/>
      <c r="CU80" s="35"/>
      <c r="CV80" s="35"/>
      <c r="CW80" s="35"/>
      <c r="CX80" s="35"/>
    </row>
    <row r="81" spans="2:102" s="10" customFormat="1" x14ac:dyDescent="0.25">
      <c r="B81" s="65" t="s">
        <v>163</v>
      </c>
      <c r="C81" s="65"/>
      <c r="D81" s="65"/>
      <c r="E81" s="65"/>
      <c r="F81" s="65"/>
      <c r="G81" s="65"/>
      <c r="H81" s="65"/>
      <c r="I81" s="65"/>
      <c r="J81" s="65"/>
      <c r="K81" s="65"/>
      <c r="L81" s="65"/>
      <c r="M81" s="65"/>
      <c r="N81" s="65"/>
      <c r="O81" s="65"/>
      <c r="P81" s="65"/>
      <c r="Q81" s="65"/>
      <c r="R81" s="65"/>
      <c r="AI81" s="57">
        <f>+AI84+AI87</f>
        <v>220</v>
      </c>
      <c r="AJ81" s="57">
        <f t="shared" ref="AJ81:BA81" si="72">+AJ84+AJ87</f>
        <v>310</v>
      </c>
      <c r="AK81" s="57">
        <f t="shared" si="72"/>
        <v>770</v>
      </c>
      <c r="AL81" s="57">
        <f t="shared" si="72"/>
        <v>351</v>
      </c>
      <c r="AM81" s="57">
        <f t="shared" si="72"/>
        <v>248.09166666666667</v>
      </c>
      <c r="AN81" s="57">
        <f t="shared" si="72"/>
        <v>386.02083333333337</v>
      </c>
      <c r="AO81" s="57">
        <f t="shared" si="72"/>
        <v>714.4666666666667</v>
      </c>
      <c r="AP81" s="57">
        <f t="shared" si="72"/>
        <v>380.42083333333335</v>
      </c>
      <c r="AQ81" s="57">
        <f t="shared" si="72"/>
        <v>319.12417957469154</v>
      </c>
      <c r="AR81" s="57">
        <f t="shared" si="72"/>
        <v>344.07823575741668</v>
      </c>
      <c r="AS81" s="57">
        <f t="shared" si="72"/>
        <v>663.7705434497243</v>
      </c>
      <c r="AT81" s="57">
        <f t="shared" si="72"/>
        <v>420.02704121816748</v>
      </c>
      <c r="AU81" s="57">
        <f t="shared" si="72"/>
        <v>321.61542137043847</v>
      </c>
      <c r="AV81" s="57">
        <f t="shared" si="72"/>
        <v>344.07823575741668</v>
      </c>
      <c r="AW81" s="57">
        <f t="shared" si="72"/>
        <v>920</v>
      </c>
      <c r="AX81" s="57">
        <f t="shared" si="72"/>
        <v>555</v>
      </c>
      <c r="AY81" s="57">
        <f t="shared" si="72"/>
        <v>324.13157558414287</v>
      </c>
      <c r="AZ81" s="57">
        <f t="shared" si="72"/>
        <v>348.10058283013916</v>
      </c>
      <c r="BA81" s="57">
        <f t="shared" si="72"/>
        <v>1075</v>
      </c>
      <c r="BB81" s="57">
        <f>+AX81*(1+BB82)</f>
        <v>727.05000000000007</v>
      </c>
      <c r="BC81" s="57">
        <f>+AY81*(1+BC82)</f>
        <v>427.85367977106858</v>
      </c>
      <c r="BD81" s="57">
        <f>+AZ81*(1+BD82)</f>
        <v>490.82182179049619</v>
      </c>
      <c r="BE81" s="57">
        <f>+BA81*(1+BE82)</f>
        <v>1150.25</v>
      </c>
      <c r="BF81" s="57">
        <f t="shared" ref="BF81:CD81" si="73">+BF84+BF87</f>
        <v>766.2</v>
      </c>
      <c r="BG81" s="57">
        <f>+BG84+BG87</f>
        <v>413.46099578251517</v>
      </c>
      <c r="BH81" s="57">
        <f t="shared" si="73"/>
        <v>490.82182179049619</v>
      </c>
      <c r="BI81" s="57">
        <f t="shared" si="73"/>
        <v>1065.23</v>
      </c>
      <c r="BJ81" s="57">
        <f t="shared" si="73"/>
        <v>640.58000000000004</v>
      </c>
      <c r="BK81" s="57">
        <f t="shared" si="73"/>
        <v>386.11489620426369</v>
      </c>
      <c r="BL81" s="57">
        <f t="shared" si="73"/>
        <v>477.65573070097139</v>
      </c>
      <c r="BM81" s="57">
        <f t="shared" si="73"/>
        <v>1065.23</v>
      </c>
      <c r="BN81" s="57">
        <f t="shared" si="73"/>
        <v>640.58000000000004</v>
      </c>
      <c r="BO81" s="57">
        <f t="shared" si="73"/>
        <v>410.72638582469006</v>
      </c>
      <c r="BP81" s="57">
        <f t="shared" si="73"/>
        <v>502.67130377106849</v>
      </c>
      <c r="BQ81" s="57">
        <f t="shared" si="73"/>
        <v>1122.7530000000002</v>
      </c>
      <c r="BR81" s="57">
        <f t="shared" si="73"/>
        <v>665.60900000000004</v>
      </c>
      <c r="BS81" s="57">
        <f t="shared" si="73"/>
        <v>383.65374724222102</v>
      </c>
      <c r="BT81" s="57">
        <f t="shared" si="73"/>
        <v>483.40931250709366</v>
      </c>
      <c r="BU81" s="57">
        <f t="shared" si="73"/>
        <v>1091.11535</v>
      </c>
      <c r="BV81" s="57">
        <f t="shared" si="73"/>
        <v>639.32854999999995</v>
      </c>
      <c r="BW81" s="57">
        <f t="shared" si="73"/>
        <v>395.83643460433211</v>
      </c>
      <c r="BX81" s="57">
        <f t="shared" si="73"/>
        <v>496.20477813244838</v>
      </c>
      <c r="BY81" s="57">
        <f t="shared" si="73"/>
        <v>1121.1711175</v>
      </c>
      <c r="BZ81" s="57">
        <f t="shared" si="73"/>
        <v>664.29497750000007</v>
      </c>
      <c r="CA81" s="57">
        <f t="shared" si="73"/>
        <v>408.62825633454872</v>
      </c>
      <c r="CB81" s="57">
        <f t="shared" si="73"/>
        <v>509.64001703907081</v>
      </c>
      <c r="CC81" s="57">
        <f t="shared" si="73"/>
        <v>1152.7296733749999</v>
      </c>
      <c r="CD81" s="57">
        <f t="shared" si="73"/>
        <v>690.50972637500013</v>
      </c>
      <c r="CE81"/>
      <c r="CM81" s="36">
        <f>+CM84+CM87</f>
        <v>1299.0037983929874</v>
      </c>
      <c r="CN81" s="57">
        <f t="shared" ref="CN81:CX81" si="74">+CN84+CN87</f>
        <v>1651</v>
      </c>
      <c r="CO81" s="57">
        <f t="shared" si="74"/>
        <v>1729</v>
      </c>
      <c r="CP81" s="57">
        <f t="shared" si="74"/>
        <v>1747</v>
      </c>
      <c r="CQ81" s="57">
        <f t="shared" si="74"/>
        <v>2140.6936571278552</v>
      </c>
      <c r="CR81" s="57">
        <f t="shared" si="74"/>
        <v>2474.2821584142821</v>
      </c>
      <c r="CS81" s="57">
        <f t="shared" si="74"/>
        <v>2835.1255015615648</v>
      </c>
      <c r="CT81" s="57">
        <f t="shared" si="74"/>
        <v>2610.0928175730114</v>
      </c>
      <c r="CU81" s="57">
        <f t="shared" si="74"/>
        <v>2569.580626905235</v>
      </c>
      <c r="CV81" s="57">
        <f t="shared" si="74"/>
        <v>2701.7596895957586</v>
      </c>
      <c r="CW81" s="57">
        <f t="shared" si="74"/>
        <v>2597.5069597493148</v>
      </c>
      <c r="CX81" s="57">
        <f t="shared" si="74"/>
        <v>2677.5073077367806</v>
      </c>
    </row>
    <row r="82" spans="2:102" s="10" customFormat="1" x14ac:dyDescent="0.25">
      <c r="B82" s="66" t="s">
        <v>151</v>
      </c>
      <c r="C82" s="66"/>
      <c r="D82" s="66"/>
      <c r="E82" s="66"/>
      <c r="F82" s="66"/>
      <c r="G82" s="66"/>
      <c r="H82" s="66"/>
      <c r="I82" s="66"/>
      <c r="J82" s="66"/>
      <c r="K82" s="66"/>
      <c r="L82" s="66"/>
      <c r="M82" s="66"/>
      <c r="N82" s="66"/>
      <c r="O82" s="66"/>
      <c r="P82" s="66"/>
      <c r="Q82" s="66"/>
      <c r="R82" s="66"/>
      <c r="AI82" s="57"/>
      <c r="AJ82" s="57"/>
      <c r="AK82" s="57"/>
      <c r="AL82" s="57"/>
      <c r="AM82" s="49">
        <f t="shared" ref="AM82:BA82" si="75">+AM81/AI81-1</f>
        <v>0.12768939393939394</v>
      </c>
      <c r="AN82" s="49">
        <f t="shared" si="75"/>
        <v>0.24522849462365603</v>
      </c>
      <c r="AO82" s="49">
        <f t="shared" si="75"/>
        <v>-7.2121212121212031E-2</v>
      </c>
      <c r="AP82" s="49">
        <f t="shared" si="75"/>
        <v>8.3820037986704676E-2</v>
      </c>
      <c r="AQ82" s="49">
        <f t="shared" si="75"/>
        <v>0.28631559399963002</v>
      </c>
      <c r="AR82" s="49">
        <f t="shared" si="75"/>
        <v>-0.10865371491413467</v>
      </c>
      <c r="AS82" s="49">
        <f t="shared" si="75"/>
        <v>-7.0956596832521757E-2</v>
      </c>
      <c r="AT82" s="49">
        <f t="shared" si="75"/>
        <v>0.10411156386414389</v>
      </c>
      <c r="AU82" s="49">
        <f t="shared" si="75"/>
        <v>7.8064965151405374E-3</v>
      </c>
      <c r="AV82" s="49">
        <f t="shared" si="75"/>
        <v>0</v>
      </c>
      <c r="AW82" s="49">
        <f t="shared" si="75"/>
        <v>0.38602113196920307</v>
      </c>
      <c r="AX82" s="49">
        <f t="shared" si="75"/>
        <v>0.32134349824330899</v>
      </c>
      <c r="AY82" s="49">
        <f t="shared" si="75"/>
        <v>7.8234874527558507E-3</v>
      </c>
      <c r="AZ82" s="49">
        <f t="shared" si="75"/>
        <v>1.1690210698354964E-2</v>
      </c>
      <c r="BA82" s="49">
        <f t="shared" si="75"/>
        <v>0.16847826086956519</v>
      </c>
      <c r="BB82" s="67">
        <v>0.31</v>
      </c>
      <c r="BC82" s="67">
        <v>0.32</v>
      </c>
      <c r="BD82" s="67">
        <v>0.41</v>
      </c>
      <c r="BE82" s="67">
        <v>7.0000000000000007E-2</v>
      </c>
      <c r="BF82" s="49">
        <f t="shared" ref="BF82:CD82" si="76">+BF81/BB81-1</f>
        <v>5.3847740870641703E-2</v>
      </c>
      <c r="BG82" s="49">
        <f t="shared" si="76"/>
        <v>-3.3639266574158055E-2</v>
      </c>
      <c r="BH82" s="49">
        <f t="shared" si="76"/>
        <v>0</v>
      </c>
      <c r="BI82" s="49">
        <f t="shared" si="76"/>
        <v>-7.3914366442077828E-2</v>
      </c>
      <c r="BJ82" s="49">
        <f t="shared" si="76"/>
        <v>-0.16395197076481338</v>
      </c>
      <c r="BK82" s="49">
        <f t="shared" si="76"/>
        <v>-6.6139490440921378E-2</v>
      </c>
      <c r="BL82" s="49">
        <f t="shared" si="76"/>
        <v>-2.6824583800075352E-2</v>
      </c>
      <c r="BM82" s="49">
        <f t="shared" si="76"/>
        <v>0</v>
      </c>
      <c r="BN82" s="49">
        <f t="shared" si="76"/>
        <v>0</v>
      </c>
      <c r="BO82" s="49">
        <f t="shared" si="76"/>
        <v>6.3741362641979826E-2</v>
      </c>
      <c r="BP82" s="49">
        <f t="shared" si="76"/>
        <v>5.2371554369055939E-2</v>
      </c>
      <c r="BQ82" s="49">
        <f t="shared" si="76"/>
        <v>5.4000544483351121E-2</v>
      </c>
      <c r="BR82" s="49">
        <f t="shared" si="76"/>
        <v>3.9072403134659206E-2</v>
      </c>
      <c r="BS82" s="49">
        <f t="shared" si="76"/>
        <v>-6.5914047689218602E-2</v>
      </c>
      <c r="BT82" s="49">
        <f t="shared" si="76"/>
        <v>-3.8319257772365889E-2</v>
      </c>
      <c r="BU82" s="49">
        <f t="shared" si="76"/>
        <v>-2.8178637687897634E-2</v>
      </c>
      <c r="BV82" s="49">
        <f t="shared" si="76"/>
        <v>-3.94833152796914E-2</v>
      </c>
      <c r="BW82" s="49">
        <f t="shared" si="76"/>
        <v>3.1754381260922449E-2</v>
      </c>
      <c r="BX82" s="49">
        <f t="shared" si="76"/>
        <v>2.6469216240361471E-2</v>
      </c>
      <c r="BY82" s="49">
        <f t="shared" si="76"/>
        <v>2.7545912079781409E-2</v>
      </c>
      <c r="BZ82" s="49">
        <f t="shared" si="76"/>
        <v>3.9051012972907584E-2</v>
      </c>
      <c r="CA82" s="49">
        <f t="shared" si="76"/>
        <v>3.2315928024672536E-2</v>
      </c>
      <c r="CB82" s="49">
        <f t="shared" si="76"/>
        <v>2.7075996642330402E-2</v>
      </c>
      <c r="CC82" s="49">
        <f t="shared" si="76"/>
        <v>2.8147849496310107E-2</v>
      </c>
      <c r="CD82" s="49">
        <f t="shared" si="76"/>
        <v>3.9462512532694838E-2</v>
      </c>
      <c r="CE82"/>
      <c r="CM82" s="36"/>
      <c r="CN82" s="49">
        <f t="shared" ref="CN82:CO82" si="77">+CN81/CM81-1</f>
        <v>0.27097395869240049</v>
      </c>
      <c r="CO82" s="49">
        <f t="shared" si="77"/>
        <v>4.7244094488188892E-2</v>
      </c>
      <c r="CP82" s="49">
        <f>+CP81/CO81-1</f>
        <v>1.0410641989589298E-2</v>
      </c>
      <c r="CQ82" s="49">
        <f t="shared" ref="CQ82:CX82" si="78">+CQ81/CP81-1</f>
        <v>0.22535412543094169</v>
      </c>
      <c r="CR82" s="49">
        <f t="shared" si="78"/>
        <v>0.15583196604319305</v>
      </c>
      <c r="CS82" s="49">
        <f t="shared" si="78"/>
        <v>0.14583758845779338</v>
      </c>
      <c r="CT82" s="49">
        <f t="shared" si="78"/>
        <v>-7.9373094370816077E-2</v>
      </c>
      <c r="CU82" s="49">
        <f t="shared" si="78"/>
        <v>-1.5521360158159636E-2</v>
      </c>
      <c r="CV82" s="49">
        <f t="shared" si="78"/>
        <v>5.1439935881567589E-2</v>
      </c>
      <c r="CW82" s="49">
        <f t="shared" si="78"/>
        <v>-3.8586973611277164E-2</v>
      </c>
      <c r="CX82" s="49">
        <f t="shared" si="78"/>
        <v>3.0798896490805472E-2</v>
      </c>
    </row>
    <row r="83" spans="2:102" s="10" customFormat="1" x14ac:dyDescent="0.25">
      <c r="B83" s="66"/>
      <c r="C83" s="66"/>
      <c r="D83" s="66"/>
      <c r="E83" s="66"/>
      <c r="F83" s="66"/>
      <c r="G83" s="66"/>
      <c r="H83" s="66"/>
      <c r="I83" s="66"/>
      <c r="J83" s="66"/>
      <c r="K83" s="66"/>
      <c r="L83" s="66"/>
      <c r="M83" s="66"/>
      <c r="N83" s="66"/>
      <c r="O83" s="66"/>
      <c r="P83" s="66"/>
      <c r="Q83" s="66"/>
      <c r="R83" s="66"/>
      <c r="AI83" s="57"/>
      <c r="AJ83" s="57"/>
      <c r="AK83" s="57"/>
      <c r="AL83" s="57"/>
      <c r="AM83" s="49"/>
      <c r="AN83" s="49"/>
      <c r="AO83" s="49"/>
      <c r="AP83" s="49"/>
      <c r="AQ83" s="49"/>
      <c r="AR83" s="49"/>
      <c r="AS83" s="49"/>
      <c r="AT83" s="49"/>
      <c r="AU83" s="49"/>
      <c r="AV83" s="49"/>
      <c r="AW83" s="49"/>
      <c r="AX83" s="49"/>
      <c r="AY83" s="49"/>
      <c r="AZ83" s="49"/>
      <c r="BA83" s="49"/>
      <c r="BB83" s="49"/>
      <c r="BC83" s="49"/>
      <c r="BD83" s="49"/>
      <c r="BE83" s="49"/>
      <c r="BF83" s="49"/>
      <c r="BH83" s="68" t="s">
        <v>164</v>
      </c>
      <c r="BO83" s="69" t="s">
        <v>165</v>
      </c>
      <c r="BP83" s="70"/>
      <c r="BQ83" s="71"/>
      <c r="CE83"/>
      <c r="CM83" s="36"/>
      <c r="CN83" s="57"/>
      <c r="CO83" s="57"/>
      <c r="CP83" s="57"/>
      <c r="CQ83" s="57"/>
      <c r="CR83" s="57"/>
      <c r="CS83" s="57"/>
      <c r="CT83" s="57"/>
      <c r="CU83" s="57"/>
      <c r="CV83" s="57"/>
      <c r="CW83" s="57"/>
      <c r="CX83" s="57"/>
    </row>
    <row r="84" spans="2:102" s="2" customFormat="1" x14ac:dyDescent="0.25">
      <c r="B84" s="72" t="s">
        <v>150</v>
      </c>
      <c r="C84" s="72"/>
      <c r="D84" s="72"/>
      <c r="E84" s="72"/>
      <c r="F84" s="72"/>
      <c r="G84" s="72"/>
      <c r="H84" s="72"/>
      <c r="I84" s="72"/>
      <c r="J84" s="72"/>
      <c r="K84" s="72"/>
      <c r="L84" s="72"/>
      <c r="M84" s="72"/>
      <c r="N84" s="72"/>
      <c r="O84" s="72"/>
      <c r="P84" s="72"/>
      <c r="Q84" s="72"/>
      <c r="R84" s="72"/>
      <c r="S84" s="73"/>
      <c r="T84" s="73"/>
      <c r="U84" s="73"/>
      <c r="V84" s="73"/>
      <c r="W84" s="73"/>
      <c r="X84" s="73"/>
      <c r="Y84" s="73"/>
      <c r="Z84" s="73"/>
      <c r="AA84" s="73"/>
      <c r="AB84" s="73"/>
      <c r="AC84" s="74">
        <v>200</v>
      </c>
      <c r="AD84" s="73"/>
      <c r="AE84" s="73"/>
      <c r="AF84" s="73"/>
      <c r="AG84" s="73"/>
      <c r="AH84" s="73"/>
      <c r="AI84" s="73">
        <v>150</v>
      </c>
      <c r="AJ84" s="73">
        <v>100</v>
      </c>
      <c r="AK84" s="73">
        <v>350</v>
      </c>
      <c r="AL84" s="73">
        <f t="shared" ref="AL84:AT84" si="79">+AL63*2/3</f>
        <v>246</v>
      </c>
      <c r="AM84" s="73">
        <f t="shared" si="79"/>
        <v>178.09166666666667</v>
      </c>
      <c r="AN84" s="73">
        <f t="shared" si="79"/>
        <v>176.02083333333334</v>
      </c>
      <c r="AO84" s="73">
        <f t="shared" si="79"/>
        <v>364.4666666666667</v>
      </c>
      <c r="AP84" s="73">
        <f t="shared" si="79"/>
        <v>275.42083333333335</v>
      </c>
      <c r="AQ84" s="73">
        <f t="shared" si="79"/>
        <v>249.12417957469154</v>
      </c>
      <c r="AR84" s="73">
        <f t="shared" si="79"/>
        <v>134.07823575741665</v>
      </c>
      <c r="AS84" s="73">
        <f t="shared" si="79"/>
        <v>383.7705434497243</v>
      </c>
      <c r="AT84" s="73">
        <f t="shared" si="79"/>
        <v>315.02704121816748</v>
      </c>
      <c r="AU84" s="2">
        <f>+AQ84*(1+AU85)</f>
        <v>251.61542137043847</v>
      </c>
      <c r="AV84" s="2">
        <f t="shared" ref="AV84" si="80">+AR84*(1+AV85)</f>
        <v>134.07823575741665</v>
      </c>
      <c r="AW84" s="73">
        <v>500</v>
      </c>
      <c r="AX84" s="73">
        <v>450</v>
      </c>
      <c r="AY84" s="2">
        <f>+AU84*(1+AY85)</f>
        <v>254.13157558414287</v>
      </c>
      <c r="AZ84" s="2">
        <f t="shared" ref="AZ84:BA84" si="81">+AV84*(1+AZ85)</f>
        <v>138.10058283013916</v>
      </c>
      <c r="BA84" s="2">
        <f t="shared" si="81"/>
        <v>550</v>
      </c>
      <c r="BB84" s="2">
        <f>+AX84*(1+BB85)</f>
        <v>540</v>
      </c>
      <c r="BC84" s="2">
        <f>+BC81-BC87</f>
        <v>287.85367977106858</v>
      </c>
      <c r="BD84" s="2">
        <f>+BD81-BD87</f>
        <v>263.32182179049619</v>
      </c>
      <c r="BE84" s="2">
        <f>+BE81-BE87</f>
        <v>625.25</v>
      </c>
      <c r="BF84" s="2">
        <f t="shared" ref="BF84:CD84" si="82">+BB84*(1+BF85)</f>
        <v>556.20000000000005</v>
      </c>
      <c r="BG84" s="2">
        <f t="shared" si="82"/>
        <v>273.46099578251517</v>
      </c>
      <c r="BH84" s="2">
        <f t="shared" si="82"/>
        <v>263.32182179049619</v>
      </c>
      <c r="BI84" s="2">
        <f t="shared" si="82"/>
        <v>575.23</v>
      </c>
      <c r="BJ84" s="2">
        <f t="shared" si="82"/>
        <v>500.58000000000004</v>
      </c>
      <c r="BK84" s="2">
        <f t="shared" si="82"/>
        <v>246.11489620426366</v>
      </c>
      <c r="BL84" s="2">
        <f t="shared" si="82"/>
        <v>250.15573070097136</v>
      </c>
      <c r="BM84" s="2">
        <f t="shared" si="82"/>
        <v>575.23</v>
      </c>
      <c r="BN84" s="2">
        <f t="shared" si="82"/>
        <v>500.58000000000004</v>
      </c>
      <c r="BO84" s="2">
        <f t="shared" si="82"/>
        <v>270.72638582469006</v>
      </c>
      <c r="BP84" s="2">
        <f t="shared" si="82"/>
        <v>275.17130377106849</v>
      </c>
      <c r="BQ84" s="2">
        <f t="shared" si="82"/>
        <v>632.75300000000004</v>
      </c>
      <c r="BR84" s="2">
        <f t="shared" si="82"/>
        <v>525.60900000000004</v>
      </c>
      <c r="BS84" s="2">
        <f t="shared" si="82"/>
        <v>243.65374724222104</v>
      </c>
      <c r="BT84" s="2">
        <f t="shared" si="82"/>
        <v>255.90931250709369</v>
      </c>
      <c r="BU84" s="2">
        <f t="shared" si="82"/>
        <v>601.11535000000003</v>
      </c>
      <c r="BV84" s="2">
        <f t="shared" si="82"/>
        <v>499.32855000000001</v>
      </c>
      <c r="BW84" s="2">
        <f t="shared" si="82"/>
        <v>255.83643460433211</v>
      </c>
      <c r="BX84" s="2">
        <f t="shared" si="82"/>
        <v>268.70477813244838</v>
      </c>
      <c r="BY84" s="2">
        <f t="shared" si="82"/>
        <v>631.17111750000004</v>
      </c>
      <c r="BZ84" s="2">
        <f t="shared" si="82"/>
        <v>524.29497750000007</v>
      </c>
      <c r="CA84" s="2">
        <f t="shared" si="82"/>
        <v>268.62825633454872</v>
      </c>
      <c r="CB84" s="2">
        <f t="shared" si="82"/>
        <v>282.14001703907081</v>
      </c>
      <c r="CC84" s="2">
        <f t="shared" si="82"/>
        <v>662.72967337500006</v>
      </c>
      <c r="CD84" s="2">
        <f t="shared" si="82"/>
        <v>550.50972637500013</v>
      </c>
      <c r="CE84"/>
      <c r="CM84" s="73">
        <f>+CN84/CN63*CM63</f>
        <v>729.20379839298755</v>
      </c>
      <c r="CN84" s="24">
        <f t="shared" ref="CN84:CX87" si="83">+SUMIFS($S84:$CD84,$S$5:$CD$5,"&lt;="&amp;CN$5,$S$5:$CD$5,"&gt;"&amp;CM$5)</f>
        <v>846</v>
      </c>
      <c r="CO84" s="24">
        <f t="shared" si="83"/>
        <v>994</v>
      </c>
      <c r="CP84" s="24">
        <f t="shared" si="83"/>
        <v>1082</v>
      </c>
      <c r="CQ84" s="24">
        <f t="shared" si="83"/>
        <v>1335.6936571278552</v>
      </c>
      <c r="CR84" s="24">
        <f t="shared" si="83"/>
        <v>1482.2321584142819</v>
      </c>
      <c r="CS84" s="24">
        <f t="shared" si="83"/>
        <v>1732.6255015615648</v>
      </c>
      <c r="CT84" s="24">
        <f t="shared" si="83"/>
        <v>1612.5928175730114</v>
      </c>
      <c r="CU84" s="24">
        <f t="shared" si="83"/>
        <v>1572.080626905235</v>
      </c>
      <c r="CV84" s="24">
        <f t="shared" si="83"/>
        <v>1704.2596895957586</v>
      </c>
      <c r="CW84" s="24">
        <f t="shared" si="83"/>
        <v>1600.0069597493148</v>
      </c>
      <c r="CX84" s="24">
        <f t="shared" si="83"/>
        <v>1680.0073077367806</v>
      </c>
    </row>
    <row r="85" spans="2:102" s="10" customFormat="1" x14ac:dyDescent="0.25">
      <c r="B85" s="66" t="s">
        <v>151</v>
      </c>
      <c r="C85" s="66"/>
      <c r="D85" s="66"/>
      <c r="E85" s="66"/>
      <c r="F85" s="66"/>
      <c r="G85" s="66"/>
      <c r="H85" s="66"/>
      <c r="I85" s="66"/>
      <c r="J85" s="66"/>
      <c r="K85" s="66"/>
      <c r="L85" s="66"/>
      <c r="M85" s="66"/>
      <c r="N85" s="66"/>
      <c r="O85" s="66"/>
      <c r="P85" s="66"/>
      <c r="Q85" s="66"/>
      <c r="R85" s="66"/>
      <c r="AI85" s="57"/>
      <c r="AJ85" s="57"/>
      <c r="AK85" s="57"/>
      <c r="AL85" s="57"/>
      <c r="AM85" s="49">
        <f t="shared" ref="AM85:AT85" si="84">+AM84/AI84-1</f>
        <v>0.18727777777777788</v>
      </c>
      <c r="AN85" s="49">
        <f t="shared" si="84"/>
        <v>0.76020833333333337</v>
      </c>
      <c r="AO85" s="49">
        <f t="shared" si="84"/>
        <v>4.1333333333333444E-2</v>
      </c>
      <c r="AP85" s="49">
        <f t="shared" si="84"/>
        <v>0.11959688346883479</v>
      </c>
      <c r="AQ85" s="49">
        <f t="shared" si="84"/>
        <v>0.39885365911576365</v>
      </c>
      <c r="AR85" s="49">
        <f t="shared" si="84"/>
        <v>-0.23828200776944031</v>
      </c>
      <c r="AS85" s="49">
        <f t="shared" si="84"/>
        <v>5.2964725031253712E-2</v>
      </c>
      <c r="AT85" s="49">
        <f t="shared" si="84"/>
        <v>0.14380251270571076</v>
      </c>
      <c r="AU85" s="75">
        <v>0.01</v>
      </c>
      <c r="AV85" s="75">
        <v>0</v>
      </c>
      <c r="AW85" s="49">
        <f t="shared" ref="AW85:AX85" si="85">+AW84/AS84-1</f>
        <v>0.30286184944129846</v>
      </c>
      <c r="AX85" s="49">
        <f t="shared" si="85"/>
        <v>0.42844880318816481</v>
      </c>
      <c r="AY85" s="75">
        <v>0.01</v>
      </c>
      <c r="AZ85" s="75">
        <v>0.03</v>
      </c>
      <c r="BA85" s="75">
        <v>0.1</v>
      </c>
      <c r="BB85" s="76">
        <v>0.2</v>
      </c>
      <c r="BC85" s="49">
        <f t="shared" ref="BC85:BE85" si="86">+BC84/AY84-1</f>
        <v>0.13269545159594043</v>
      </c>
      <c r="BD85" s="49">
        <f t="shared" si="86"/>
        <v>0.90673939525929836</v>
      </c>
      <c r="BE85" s="49">
        <f t="shared" si="86"/>
        <v>0.13681818181818173</v>
      </c>
      <c r="BF85" s="67">
        <v>0.03</v>
      </c>
      <c r="BG85" s="75">
        <v>-0.05</v>
      </c>
      <c r="BH85" s="75">
        <v>0</v>
      </c>
      <c r="BI85" s="75">
        <v>-0.08</v>
      </c>
      <c r="BJ85" s="75">
        <v>-0.1</v>
      </c>
      <c r="BK85" s="75">
        <v>-0.1</v>
      </c>
      <c r="BL85" s="75">
        <v>-0.05</v>
      </c>
      <c r="BM85" s="75">
        <v>0</v>
      </c>
      <c r="BN85" s="75">
        <v>0</v>
      </c>
      <c r="BO85" s="75">
        <v>0.1</v>
      </c>
      <c r="BP85" s="75">
        <v>0.1</v>
      </c>
      <c r="BQ85" s="75">
        <v>0.1</v>
      </c>
      <c r="BR85" s="75">
        <v>0.05</v>
      </c>
      <c r="BS85" s="75">
        <v>-0.1</v>
      </c>
      <c r="BT85" s="75">
        <v>-7.0000000000000007E-2</v>
      </c>
      <c r="BU85" s="75">
        <v>-0.05</v>
      </c>
      <c r="BV85" s="75">
        <v>-0.05</v>
      </c>
      <c r="BW85" s="75">
        <v>0.05</v>
      </c>
      <c r="BX85" s="75">
        <v>0.05</v>
      </c>
      <c r="BY85" s="75">
        <v>0.05</v>
      </c>
      <c r="BZ85" s="75">
        <v>0.05</v>
      </c>
      <c r="CA85" s="75">
        <v>0.05</v>
      </c>
      <c r="CB85" s="75">
        <v>0.05</v>
      </c>
      <c r="CC85" s="75">
        <v>0.05</v>
      </c>
      <c r="CD85" s="75">
        <v>0.05</v>
      </c>
      <c r="CE85"/>
      <c r="CM85" s="36"/>
      <c r="CN85" s="49">
        <f t="shared" ref="CN85:CO85" si="87">+CN84/CM84-1</f>
        <v>0.1601694915254237</v>
      </c>
      <c r="CO85" s="49">
        <f t="shared" si="87"/>
        <v>0.17494089834515369</v>
      </c>
      <c r="CP85" s="49">
        <f>+CP84/CO84-1</f>
        <v>8.8531187122736332E-2</v>
      </c>
      <c r="CQ85" s="49">
        <f t="shared" ref="CQ85:CX85" si="88">+CQ84/CP84-1</f>
        <v>0.23446733560799937</v>
      </c>
      <c r="CR85" s="49">
        <f t="shared" si="88"/>
        <v>0.10970966321838249</v>
      </c>
      <c r="CS85" s="49">
        <f t="shared" si="88"/>
        <v>0.16892990866906987</v>
      </c>
      <c r="CT85" s="49">
        <f t="shared" si="88"/>
        <v>-6.9277916018419039E-2</v>
      </c>
      <c r="CU85" s="49">
        <f t="shared" si="88"/>
        <v>-2.5122393096571161E-2</v>
      </c>
      <c r="CV85" s="49">
        <f t="shared" si="88"/>
        <v>8.4079060849906018E-2</v>
      </c>
      <c r="CW85" s="49">
        <f t="shared" si="88"/>
        <v>-6.1171856896510834E-2</v>
      </c>
      <c r="CX85" s="49">
        <f t="shared" si="88"/>
        <v>5.0000000000000044E-2</v>
      </c>
    </row>
    <row r="86" spans="2:102" s="10" customFormat="1" x14ac:dyDescent="0.25">
      <c r="B86" s="66"/>
      <c r="C86" s="66"/>
      <c r="D86" s="66"/>
      <c r="E86" s="66"/>
      <c r="F86" s="66"/>
      <c r="G86" s="66"/>
      <c r="H86" s="66"/>
      <c r="I86" s="66"/>
      <c r="J86" s="66"/>
      <c r="K86" s="66"/>
      <c r="L86" s="66"/>
      <c r="M86" s="66"/>
      <c r="N86" s="66"/>
      <c r="O86" s="66"/>
      <c r="P86" s="66"/>
      <c r="Q86" s="66"/>
      <c r="R86" s="66"/>
      <c r="AI86" s="57"/>
      <c r="AJ86" s="57"/>
      <c r="AK86" s="57"/>
      <c r="AL86" s="57"/>
      <c r="AM86" s="49"/>
      <c r="AN86" s="49"/>
      <c r="AO86" s="49"/>
      <c r="AP86" s="49"/>
      <c r="AQ86" s="49"/>
      <c r="AR86" s="49"/>
      <c r="AS86" s="49"/>
      <c r="AT86" s="49"/>
      <c r="AU86" s="49"/>
      <c r="AV86" s="49"/>
      <c r="AW86" s="49"/>
      <c r="AX86" s="49"/>
      <c r="AY86" s="49"/>
      <c r="AZ86" s="49"/>
      <c r="BA86" s="49"/>
      <c r="BB86" s="49"/>
      <c r="BC86" s="49"/>
      <c r="BD86" s="49"/>
      <c r="BE86" s="49"/>
      <c r="BF86" s="49"/>
      <c r="BI86" s="68" t="s">
        <v>166</v>
      </c>
      <c r="CE86"/>
      <c r="CM86" s="36"/>
      <c r="CN86" s="57"/>
      <c r="CO86" s="57"/>
      <c r="CP86" s="57"/>
      <c r="CQ86" s="57"/>
      <c r="CR86" s="57"/>
      <c r="CS86" s="57"/>
      <c r="CT86" s="57"/>
      <c r="CU86" s="57"/>
      <c r="CV86" s="57"/>
      <c r="CW86" s="57"/>
      <c r="CX86" s="57"/>
    </row>
    <row r="87" spans="2:102" s="2" customFormat="1" x14ac:dyDescent="0.25">
      <c r="B87" s="72" t="s">
        <v>167</v>
      </c>
      <c r="C87" s="72"/>
      <c r="D87" s="72"/>
      <c r="E87" s="72"/>
      <c r="F87" s="72"/>
      <c r="G87" s="72"/>
      <c r="H87" s="72"/>
      <c r="I87" s="72"/>
      <c r="J87" s="72"/>
      <c r="K87" s="72"/>
      <c r="L87" s="72"/>
      <c r="M87" s="72"/>
      <c r="N87" s="72"/>
      <c r="O87" s="72"/>
      <c r="P87" s="72"/>
      <c r="Q87" s="72"/>
      <c r="R87" s="72"/>
      <c r="AI87" s="24">
        <f>+AI91*AI93</f>
        <v>70</v>
      </c>
      <c r="AJ87" s="24">
        <f t="shared" ref="AJ87:CD87" si="89">+AJ91*AJ93</f>
        <v>210</v>
      </c>
      <c r="AK87" s="24">
        <f t="shared" si="89"/>
        <v>420</v>
      </c>
      <c r="AL87" s="24">
        <f t="shared" si="89"/>
        <v>105</v>
      </c>
      <c r="AM87" s="24">
        <f t="shared" si="89"/>
        <v>70</v>
      </c>
      <c r="AN87" s="24">
        <f t="shared" si="89"/>
        <v>210</v>
      </c>
      <c r="AO87" s="24">
        <f t="shared" si="89"/>
        <v>350</v>
      </c>
      <c r="AP87" s="24">
        <f t="shared" si="89"/>
        <v>105</v>
      </c>
      <c r="AQ87" s="24">
        <f t="shared" si="89"/>
        <v>70</v>
      </c>
      <c r="AR87" s="24">
        <f t="shared" si="89"/>
        <v>210</v>
      </c>
      <c r="AS87" s="24">
        <f t="shared" si="89"/>
        <v>280</v>
      </c>
      <c r="AT87" s="24">
        <f t="shared" si="89"/>
        <v>105</v>
      </c>
      <c r="AU87" s="24">
        <f t="shared" si="89"/>
        <v>70</v>
      </c>
      <c r="AV87" s="24">
        <f t="shared" si="89"/>
        <v>210</v>
      </c>
      <c r="AW87" s="24">
        <f t="shared" si="89"/>
        <v>420</v>
      </c>
      <c r="AX87" s="24">
        <f t="shared" si="89"/>
        <v>105</v>
      </c>
      <c r="AY87" s="24">
        <f t="shared" si="89"/>
        <v>70</v>
      </c>
      <c r="AZ87" s="24">
        <f t="shared" si="89"/>
        <v>210</v>
      </c>
      <c r="BA87" s="24">
        <f t="shared" si="89"/>
        <v>525</v>
      </c>
      <c r="BB87" s="24">
        <f>+BB81-BB84</f>
        <v>187.05000000000007</v>
      </c>
      <c r="BC87" s="24">
        <f t="shared" si="89"/>
        <v>140</v>
      </c>
      <c r="BD87" s="24">
        <f t="shared" si="89"/>
        <v>227.5</v>
      </c>
      <c r="BE87" s="24">
        <f t="shared" si="89"/>
        <v>525</v>
      </c>
      <c r="BF87" s="24">
        <f t="shared" si="89"/>
        <v>210</v>
      </c>
      <c r="BG87" s="24">
        <f t="shared" si="89"/>
        <v>140</v>
      </c>
      <c r="BH87" s="24">
        <f t="shared" si="89"/>
        <v>227.5</v>
      </c>
      <c r="BI87" s="24">
        <f t="shared" si="89"/>
        <v>490</v>
      </c>
      <c r="BJ87" s="24">
        <f t="shared" si="89"/>
        <v>140</v>
      </c>
      <c r="BK87" s="24">
        <f t="shared" si="89"/>
        <v>140</v>
      </c>
      <c r="BL87" s="24">
        <f t="shared" si="89"/>
        <v>227.5</v>
      </c>
      <c r="BM87" s="24">
        <f t="shared" si="89"/>
        <v>490</v>
      </c>
      <c r="BN87" s="24">
        <f t="shared" si="89"/>
        <v>140</v>
      </c>
      <c r="BO87" s="24">
        <f t="shared" si="89"/>
        <v>140</v>
      </c>
      <c r="BP87" s="24">
        <f t="shared" si="89"/>
        <v>227.5</v>
      </c>
      <c r="BQ87" s="24">
        <f t="shared" si="89"/>
        <v>490</v>
      </c>
      <c r="BR87" s="24">
        <f t="shared" si="89"/>
        <v>140</v>
      </c>
      <c r="BS87" s="24">
        <f t="shared" si="89"/>
        <v>140</v>
      </c>
      <c r="BT87" s="24">
        <f t="shared" si="89"/>
        <v>227.5</v>
      </c>
      <c r="BU87" s="24">
        <f t="shared" si="89"/>
        <v>490</v>
      </c>
      <c r="BV87" s="24">
        <f t="shared" si="89"/>
        <v>140</v>
      </c>
      <c r="BW87" s="24">
        <f t="shared" si="89"/>
        <v>140</v>
      </c>
      <c r="BX87" s="24">
        <f t="shared" si="89"/>
        <v>227.5</v>
      </c>
      <c r="BY87" s="24">
        <f t="shared" si="89"/>
        <v>490</v>
      </c>
      <c r="BZ87" s="24">
        <f t="shared" si="89"/>
        <v>140</v>
      </c>
      <c r="CA87" s="24">
        <f t="shared" si="89"/>
        <v>140</v>
      </c>
      <c r="CB87" s="24">
        <f t="shared" si="89"/>
        <v>227.5</v>
      </c>
      <c r="CC87" s="24">
        <f t="shared" si="89"/>
        <v>490</v>
      </c>
      <c r="CD87" s="24">
        <f t="shared" si="89"/>
        <v>140</v>
      </c>
      <c r="CE87"/>
      <c r="CM87" s="74">
        <f>+CM259*0.11</f>
        <v>569.79999999999995</v>
      </c>
      <c r="CN87" s="24">
        <f t="shared" si="83"/>
        <v>805</v>
      </c>
      <c r="CO87" s="24">
        <f t="shared" si="83"/>
        <v>735</v>
      </c>
      <c r="CP87" s="24">
        <f t="shared" si="83"/>
        <v>665</v>
      </c>
      <c r="CQ87" s="24">
        <f t="shared" si="83"/>
        <v>805</v>
      </c>
      <c r="CR87" s="24">
        <f t="shared" si="83"/>
        <v>992.05000000000007</v>
      </c>
      <c r="CS87" s="24">
        <f t="shared" si="83"/>
        <v>1102.5</v>
      </c>
      <c r="CT87" s="24">
        <f t="shared" si="83"/>
        <v>997.5</v>
      </c>
      <c r="CU87" s="24">
        <f t="shared" si="83"/>
        <v>997.5</v>
      </c>
      <c r="CV87" s="24">
        <f t="shared" si="83"/>
        <v>997.5</v>
      </c>
      <c r="CW87" s="24">
        <f t="shared" si="83"/>
        <v>997.5</v>
      </c>
      <c r="CX87" s="24">
        <f t="shared" si="83"/>
        <v>997.5</v>
      </c>
    </row>
    <row r="88" spans="2:102" s="10" customFormat="1" x14ac:dyDescent="0.25">
      <c r="B88" s="66" t="s">
        <v>151</v>
      </c>
      <c r="C88" s="66"/>
      <c r="D88" s="66"/>
      <c r="E88" s="66"/>
      <c r="F88" s="66"/>
      <c r="G88" s="66"/>
      <c r="H88" s="66"/>
      <c r="I88" s="66"/>
      <c r="J88" s="66"/>
      <c r="K88" s="66"/>
      <c r="L88" s="66"/>
      <c r="M88" s="66"/>
      <c r="N88" s="66"/>
      <c r="O88" s="66"/>
      <c r="P88" s="66"/>
      <c r="Q88" s="66"/>
      <c r="R88" s="66"/>
      <c r="AI88" s="57"/>
      <c r="AJ88" s="57"/>
      <c r="AK88" s="57"/>
      <c r="AL88" s="57"/>
      <c r="AM88" s="49">
        <f t="shared" ref="AM88:BE88" si="90">+AM87/AI87-1</f>
        <v>0</v>
      </c>
      <c r="AN88" s="49">
        <f t="shared" si="90"/>
        <v>0</v>
      </c>
      <c r="AO88" s="49">
        <f t="shared" si="90"/>
        <v>-0.16666666666666663</v>
      </c>
      <c r="AP88" s="49">
        <f t="shared" si="90"/>
        <v>0</v>
      </c>
      <c r="AQ88" s="49">
        <f t="shared" si="90"/>
        <v>0</v>
      </c>
      <c r="AR88" s="49">
        <f t="shared" si="90"/>
        <v>0</v>
      </c>
      <c r="AS88" s="49">
        <f t="shared" si="90"/>
        <v>-0.19999999999999996</v>
      </c>
      <c r="AT88" s="49">
        <f t="shared" si="90"/>
        <v>0</v>
      </c>
      <c r="AU88" s="49">
        <f t="shared" si="90"/>
        <v>0</v>
      </c>
      <c r="AV88" s="49">
        <f t="shared" si="90"/>
        <v>0</v>
      </c>
      <c r="AW88" s="49">
        <f t="shared" si="90"/>
        <v>0.5</v>
      </c>
      <c r="AX88" s="49">
        <f t="shared" si="90"/>
        <v>0</v>
      </c>
      <c r="AY88" s="49">
        <f t="shared" si="90"/>
        <v>0</v>
      </c>
      <c r="AZ88" s="49">
        <f t="shared" si="90"/>
        <v>0</v>
      </c>
      <c r="BA88" s="49">
        <f t="shared" si="90"/>
        <v>0.25</v>
      </c>
      <c r="BB88" s="49">
        <f t="shared" si="90"/>
        <v>0.78142857142857203</v>
      </c>
      <c r="BC88" s="49">
        <f t="shared" si="90"/>
        <v>1</v>
      </c>
      <c r="BD88" s="49">
        <f t="shared" si="90"/>
        <v>8.3333333333333259E-2</v>
      </c>
      <c r="BE88" s="49">
        <f t="shared" si="90"/>
        <v>0</v>
      </c>
      <c r="BF88" s="49">
        <f>+BF87/BB87-1</f>
        <v>0.12269446672012796</v>
      </c>
      <c r="BG88" s="49">
        <f t="shared" ref="BG88:CD88" si="91">+BG87/BC87-1</f>
        <v>0</v>
      </c>
      <c r="BH88" s="49">
        <f t="shared" si="91"/>
        <v>0</v>
      </c>
      <c r="BI88" s="49">
        <f t="shared" si="91"/>
        <v>-6.6666666666666652E-2</v>
      </c>
      <c r="BJ88" s="49">
        <f t="shared" si="91"/>
        <v>-0.33333333333333337</v>
      </c>
      <c r="BK88" s="49">
        <f t="shared" si="91"/>
        <v>0</v>
      </c>
      <c r="BL88" s="49">
        <f t="shared" si="91"/>
        <v>0</v>
      </c>
      <c r="BM88" s="49">
        <f t="shared" si="91"/>
        <v>0</v>
      </c>
      <c r="BN88" s="49">
        <f t="shared" si="91"/>
        <v>0</v>
      </c>
      <c r="BO88" s="49">
        <f t="shared" si="91"/>
        <v>0</v>
      </c>
      <c r="BP88" s="49">
        <f t="shared" si="91"/>
        <v>0</v>
      </c>
      <c r="BQ88" s="49">
        <f t="shared" si="91"/>
        <v>0</v>
      </c>
      <c r="BR88" s="49">
        <f t="shared" si="91"/>
        <v>0</v>
      </c>
      <c r="BS88" s="49">
        <f t="shared" si="91"/>
        <v>0</v>
      </c>
      <c r="BT88" s="49">
        <f t="shared" si="91"/>
        <v>0</v>
      </c>
      <c r="BU88" s="49">
        <f t="shared" si="91"/>
        <v>0</v>
      </c>
      <c r="BV88" s="49">
        <f t="shared" si="91"/>
        <v>0</v>
      </c>
      <c r="BW88" s="49">
        <f t="shared" si="91"/>
        <v>0</v>
      </c>
      <c r="BX88" s="49">
        <f t="shared" si="91"/>
        <v>0</v>
      </c>
      <c r="BY88" s="49">
        <f t="shared" si="91"/>
        <v>0</v>
      </c>
      <c r="BZ88" s="49">
        <f t="shared" si="91"/>
        <v>0</v>
      </c>
      <c r="CA88" s="49">
        <f t="shared" si="91"/>
        <v>0</v>
      </c>
      <c r="CB88" s="49">
        <f t="shared" si="91"/>
        <v>0</v>
      </c>
      <c r="CC88" s="49">
        <f t="shared" si="91"/>
        <v>0</v>
      </c>
      <c r="CD88" s="49">
        <f t="shared" si="91"/>
        <v>0</v>
      </c>
      <c r="CE88"/>
      <c r="CM88" s="36"/>
      <c r="CN88" s="49">
        <f t="shared" ref="CN88:CO88" si="92">+CN87/CM87-1</f>
        <v>0.41277641277641286</v>
      </c>
      <c r="CO88" s="49">
        <f t="shared" si="92"/>
        <v>-8.6956521739130488E-2</v>
      </c>
      <c r="CP88" s="49">
        <f>+CP87/CO87-1</f>
        <v>-9.5238095238095233E-2</v>
      </c>
      <c r="CQ88" s="49">
        <f t="shared" ref="CQ88:CX88" si="93">+CQ87/CP87-1</f>
        <v>0.21052631578947367</v>
      </c>
      <c r="CR88" s="49">
        <f t="shared" si="93"/>
        <v>0.23236024844720515</v>
      </c>
      <c r="CS88" s="49">
        <f t="shared" si="93"/>
        <v>0.11133511415755248</v>
      </c>
      <c r="CT88" s="49">
        <f t="shared" si="93"/>
        <v>-9.5238095238095233E-2</v>
      </c>
      <c r="CU88" s="49">
        <f t="shared" si="93"/>
        <v>0</v>
      </c>
      <c r="CV88" s="49">
        <f t="shared" si="93"/>
        <v>0</v>
      </c>
      <c r="CW88" s="49">
        <f t="shared" si="93"/>
        <v>0</v>
      </c>
      <c r="CX88" s="49">
        <f t="shared" si="93"/>
        <v>0</v>
      </c>
    </row>
    <row r="89" spans="2:102" s="2" customFormat="1" x14ac:dyDescent="0.25">
      <c r="B89" s="77"/>
      <c r="C89" s="77"/>
      <c r="D89" s="77"/>
      <c r="E89" s="77"/>
      <c r="F89" s="77"/>
      <c r="G89" s="77"/>
      <c r="H89" s="77"/>
      <c r="I89" s="77"/>
      <c r="J89" s="77"/>
      <c r="K89" s="77"/>
      <c r="L89" s="77"/>
      <c r="M89" s="77"/>
      <c r="N89" s="77"/>
      <c r="O89" s="77"/>
      <c r="P89" s="77"/>
      <c r="Q89" s="77"/>
      <c r="R89" s="77"/>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CE89"/>
      <c r="CM89" s="74"/>
      <c r="CN89" s="24"/>
      <c r="CO89" s="24"/>
      <c r="CP89" s="24"/>
      <c r="CQ89" s="24"/>
    </row>
    <row r="90" spans="2:102" s="2" customFormat="1" x14ac:dyDescent="0.25">
      <c r="B90" s="78" t="s">
        <v>168</v>
      </c>
      <c r="C90" s="65"/>
      <c r="D90" s="65"/>
      <c r="E90" s="65"/>
      <c r="F90" s="65"/>
      <c r="G90" s="65"/>
      <c r="H90" s="65"/>
      <c r="I90" s="65"/>
      <c r="J90" s="65"/>
      <c r="K90" s="65"/>
      <c r="L90" s="65"/>
      <c r="M90" s="65"/>
      <c r="N90" s="65"/>
      <c r="O90" s="65"/>
      <c r="P90" s="65"/>
      <c r="Q90" s="65"/>
      <c r="R90" s="65"/>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CE90"/>
      <c r="CM90" s="74"/>
      <c r="CN90" s="24"/>
      <c r="CO90" s="24"/>
      <c r="CP90" s="24"/>
      <c r="CQ90" s="24"/>
    </row>
    <row r="91" spans="2:102" x14ac:dyDescent="0.25">
      <c r="B91" s="42" t="s">
        <v>169</v>
      </c>
      <c r="C91" s="42"/>
      <c r="D91" s="42"/>
      <c r="E91" s="42"/>
      <c r="F91" s="42"/>
      <c r="G91" s="42"/>
      <c r="H91" s="42"/>
      <c r="I91" s="42"/>
      <c r="J91" s="42"/>
      <c r="K91" s="42"/>
      <c r="L91" s="42"/>
      <c r="M91" s="42"/>
      <c r="N91" s="42"/>
      <c r="O91" s="42"/>
      <c r="P91" s="42"/>
      <c r="Q91" s="42"/>
      <c r="R91" s="42"/>
      <c r="AI91" s="79">
        <f>50*0.7</f>
        <v>35</v>
      </c>
      <c r="AJ91" s="79">
        <f t="shared" ref="AJ91:BR91" si="94">50*0.7</f>
        <v>35</v>
      </c>
      <c r="AK91" s="79">
        <f t="shared" si="94"/>
        <v>35</v>
      </c>
      <c r="AL91" s="79">
        <f t="shared" si="94"/>
        <v>35</v>
      </c>
      <c r="AM91" s="79">
        <f t="shared" si="94"/>
        <v>35</v>
      </c>
      <c r="AN91" s="79">
        <f t="shared" si="94"/>
        <v>35</v>
      </c>
      <c r="AO91" s="79">
        <f t="shared" si="94"/>
        <v>35</v>
      </c>
      <c r="AP91" s="79">
        <f t="shared" si="94"/>
        <v>35</v>
      </c>
      <c r="AQ91" s="79">
        <f t="shared" si="94"/>
        <v>35</v>
      </c>
      <c r="AR91" s="79">
        <f t="shared" si="94"/>
        <v>35</v>
      </c>
      <c r="AS91" s="79">
        <f t="shared" si="94"/>
        <v>35</v>
      </c>
      <c r="AT91" s="79">
        <f t="shared" si="94"/>
        <v>35</v>
      </c>
      <c r="AU91" s="79">
        <f t="shared" si="94"/>
        <v>35</v>
      </c>
      <c r="AV91" s="79">
        <f t="shared" si="94"/>
        <v>35</v>
      </c>
      <c r="AW91" s="79">
        <f t="shared" si="94"/>
        <v>35</v>
      </c>
      <c r="AX91" s="79">
        <f t="shared" si="94"/>
        <v>35</v>
      </c>
      <c r="AY91" s="79">
        <f t="shared" si="94"/>
        <v>35</v>
      </c>
      <c r="AZ91" s="79">
        <f t="shared" si="94"/>
        <v>35</v>
      </c>
      <c r="BA91" s="79">
        <f t="shared" si="94"/>
        <v>35</v>
      </c>
      <c r="BB91" s="79">
        <f t="shared" si="94"/>
        <v>35</v>
      </c>
      <c r="BC91" s="79">
        <f t="shared" si="94"/>
        <v>35</v>
      </c>
      <c r="BD91" s="79">
        <f t="shared" si="94"/>
        <v>35</v>
      </c>
      <c r="BE91" s="79">
        <f t="shared" si="94"/>
        <v>35</v>
      </c>
      <c r="BF91" s="79">
        <f t="shared" si="94"/>
        <v>35</v>
      </c>
      <c r="BG91" s="79">
        <f t="shared" si="94"/>
        <v>35</v>
      </c>
      <c r="BH91" s="79">
        <f t="shared" si="94"/>
        <v>35</v>
      </c>
      <c r="BI91" s="79">
        <f t="shared" si="94"/>
        <v>35</v>
      </c>
      <c r="BJ91" s="79">
        <f t="shared" si="94"/>
        <v>35</v>
      </c>
      <c r="BK91" s="79">
        <f t="shared" si="94"/>
        <v>35</v>
      </c>
      <c r="BL91" s="79">
        <f t="shared" si="94"/>
        <v>35</v>
      </c>
      <c r="BM91" s="79">
        <f t="shared" si="94"/>
        <v>35</v>
      </c>
      <c r="BN91" s="79">
        <f t="shared" si="94"/>
        <v>35</v>
      </c>
      <c r="BO91" s="79">
        <f t="shared" si="94"/>
        <v>35</v>
      </c>
      <c r="BP91" s="79">
        <f t="shared" si="94"/>
        <v>35</v>
      </c>
      <c r="BQ91" s="79">
        <f t="shared" si="94"/>
        <v>35</v>
      </c>
      <c r="BR91" s="79">
        <f t="shared" si="94"/>
        <v>35</v>
      </c>
      <c r="BS91" s="79">
        <f t="shared" ref="BS91:CD91" si="95">+BR91</f>
        <v>35</v>
      </c>
      <c r="BT91" s="79">
        <f t="shared" si="95"/>
        <v>35</v>
      </c>
      <c r="BU91" s="79">
        <f t="shared" si="95"/>
        <v>35</v>
      </c>
      <c r="BV91" s="79">
        <f t="shared" si="95"/>
        <v>35</v>
      </c>
      <c r="BW91" s="79">
        <f t="shared" si="95"/>
        <v>35</v>
      </c>
      <c r="BX91" s="79">
        <f t="shared" si="95"/>
        <v>35</v>
      </c>
      <c r="BY91" s="79">
        <f t="shared" si="95"/>
        <v>35</v>
      </c>
      <c r="BZ91" s="79">
        <f t="shared" si="95"/>
        <v>35</v>
      </c>
      <c r="CA91" s="79">
        <f t="shared" si="95"/>
        <v>35</v>
      </c>
      <c r="CB91" s="79">
        <f t="shared" si="95"/>
        <v>35</v>
      </c>
      <c r="CC91" s="79">
        <f t="shared" si="95"/>
        <v>35</v>
      </c>
      <c r="CD91" s="79">
        <f t="shared" si="95"/>
        <v>35</v>
      </c>
      <c r="CM91" s="80"/>
      <c r="CN91" s="81">
        <f t="shared" ref="CN91:CX91" si="96">+CN87/CN93</f>
        <v>35</v>
      </c>
      <c r="CO91" s="81">
        <f t="shared" si="96"/>
        <v>35</v>
      </c>
      <c r="CP91" s="81">
        <f t="shared" si="96"/>
        <v>35</v>
      </c>
      <c r="CQ91" s="81">
        <f t="shared" si="96"/>
        <v>35</v>
      </c>
      <c r="CR91" s="81">
        <f t="shared" si="96"/>
        <v>35</v>
      </c>
      <c r="CS91" s="81">
        <f t="shared" si="96"/>
        <v>35</v>
      </c>
      <c r="CT91" s="81">
        <f t="shared" si="96"/>
        <v>35</v>
      </c>
      <c r="CU91" s="81">
        <f t="shared" si="96"/>
        <v>35</v>
      </c>
      <c r="CV91" s="81">
        <f t="shared" si="96"/>
        <v>35</v>
      </c>
      <c r="CW91" s="81">
        <f t="shared" si="96"/>
        <v>35</v>
      </c>
      <c r="CX91" s="81">
        <f t="shared" si="96"/>
        <v>35</v>
      </c>
    </row>
    <row r="92" spans="2:102" ht="15" customHeight="1" x14ac:dyDescent="0.25">
      <c r="B92" s="37" t="s">
        <v>170</v>
      </c>
      <c r="C92" s="37"/>
      <c r="D92" s="37"/>
      <c r="E92" s="37"/>
      <c r="F92" s="37"/>
      <c r="G92" s="37"/>
      <c r="H92" s="37"/>
      <c r="I92" s="37"/>
      <c r="J92" s="37"/>
      <c r="K92" s="37"/>
      <c r="L92" s="37"/>
      <c r="M92" s="37"/>
      <c r="N92" s="37"/>
      <c r="O92" s="37"/>
      <c r="P92" s="37"/>
      <c r="Q92" s="37"/>
      <c r="R92" s="37"/>
      <c r="S92" s="82"/>
      <c r="T92" s="82"/>
      <c r="U92" s="82"/>
      <c r="V92" s="82"/>
      <c r="W92" s="82" t="str">
        <f t="shared" ref="W92:CD92" si="97">+IFERROR(W91/S91-1,"")</f>
        <v/>
      </c>
      <c r="X92" s="82" t="str">
        <f t="shared" si="97"/>
        <v/>
      </c>
      <c r="Y92" s="82" t="str">
        <f t="shared" si="97"/>
        <v/>
      </c>
      <c r="Z92" s="82" t="str">
        <f t="shared" si="97"/>
        <v/>
      </c>
      <c r="AA92" s="82" t="str">
        <f t="shared" si="97"/>
        <v/>
      </c>
      <c r="AB92" s="82" t="str">
        <f t="shared" si="97"/>
        <v/>
      </c>
      <c r="AC92" s="82" t="str">
        <f t="shared" si="97"/>
        <v/>
      </c>
      <c r="AD92" s="82" t="str">
        <f t="shared" si="97"/>
        <v/>
      </c>
      <c r="AE92" s="82" t="str">
        <f t="shared" si="97"/>
        <v/>
      </c>
      <c r="AF92" s="82" t="str">
        <f t="shared" si="97"/>
        <v/>
      </c>
      <c r="AG92" s="82" t="str">
        <f t="shared" si="97"/>
        <v/>
      </c>
      <c r="AH92" s="82" t="str">
        <f t="shared" si="97"/>
        <v/>
      </c>
      <c r="AI92" s="82" t="str">
        <f t="shared" si="97"/>
        <v/>
      </c>
      <c r="AJ92" s="82" t="str">
        <f t="shared" si="97"/>
        <v/>
      </c>
      <c r="AK92" s="82" t="str">
        <f t="shared" si="97"/>
        <v/>
      </c>
      <c r="AL92" s="82" t="str">
        <f t="shared" si="97"/>
        <v/>
      </c>
      <c r="AM92" s="82">
        <f t="shared" si="97"/>
        <v>0</v>
      </c>
      <c r="AN92" s="82">
        <f t="shared" si="97"/>
        <v>0</v>
      </c>
      <c r="AO92" s="82">
        <f t="shared" si="97"/>
        <v>0</v>
      </c>
      <c r="AP92" s="82">
        <f t="shared" si="97"/>
        <v>0</v>
      </c>
      <c r="AQ92" s="82">
        <f t="shared" si="97"/>
        <v>0</v>
      </c>
      <c r="AR92" s="82">
        <f t="shared" si="97"/>
        <v>0</v>
      </c>
      <c r="AS92" s="82">
        <f t="shared" si="97"/>
        <v>0</v>
      </c>
      <c r="AT92" s="82">
        <f t="shared" si="97"/>
        <v>0</v>
      </c>
      <c r="AU92" s="82">
        <f t="shared" si="97"/>
        <v>0</v>
      </c>
      <c r="AV92" s="82">
        <f t="shared" si="97"/>
        <v>0</v>
      </c>
      <c r="AW92" s="82">
        <f t="shared" si="97"/>
        <v>0</v>
      </c>
      <c r="AX92" s="82">
        <f t="shared" si="97"/>
        <v>0</v>
      </c>
      <c r="AY92" s="82">
        <f t="shared" si="97"/>
        <v>0</v>
      </c>
      <c r="AZ92" s="82">
        <f t="shared" si="97"/>
        <v>0</v>
      </c>
      <c r="BA92" s="82">
        <f t="shared" si="97"/>
        <v>0</v>
      </c>
      <c r="BB92" s="82">
        <f t="shared" si="97"/>
        <v>0</v>
      </c>
      <c r="BC92" s="82">
        <f t="shared" si="97"/>
        <v>0</v>
      </c>
      <c r="BD92" s="82">
        <f t="shared" si="97"/>
        <v>0</v>
      </c>
      <c r="BE92" s="82">
        <f t="shared" si="97"/>
        <v>0</v>
      </c>
      <c r="BF92" s="82">
        <f t="shared" si="97"/>
        <v>0</v>
      </c>
      <c r="BG92" s="82">
        <f t="shared" si="97"/>
        <v>0</v>
      </c>
      <c r="BH92" s="82">
        <f t="shared" si="97"/>
        <v>0</v>
      </c>
      <c r="BI92" s="82">
        <f t="shared" si="97"/>
        <v>0</v>
      </c>
      <c r="BJ92" s="82">
        <f t="shared" si="97"/>
        <v>0</v>
      </c>
      <c r="BK92" s="82">
        <f t="shared" si="97"/>
        <v>0</v>
      </c>
      <c r="BL92" s="82">
        <f t="shared" si="97"/>
        <v>0</v>
      </c>
      <c r="BM92" s="82">
        <f t="shared" si="97"/>
        <v>0</v>
      </c>
      <c r="BN92" s="82">
        <f t="shared" si="97"/>
        <v>0</v>
      </c>
      <c r="BO92" s="82">
        <f t="shared" si="97"/>
        <v>0</v>
      </c>
      <c r="BP92" s="82">
        <f t="shared" si="97"/>
        <v>0</v>
      </c>
      <c r="BQ92" s="82">
        <f t="shared" si="97"/>
        <v>0</v>
      </c>
      <c r="BR92" s="82">
        <f t="shared" si="97"/>
        <v>0</v>
      </c>
      <c r="BS92" s="82">
        <f t="shared" si="97"/>
        <v>0</v>
      </c>
      <c r="BT92" s="82">
        <f t="shared" si="97"/>
        <v>0</v>
      </c>
      <c r="BU92" s="82">
        <f t="shared" si="97"/>
        <v>0</v>
      </c>
      <c r="BV92" s="82">
        <f t="shared" si="97"/>
        <v>0</v>
      </c>
      <c r="BW92" s="82">
        <f t="shared" si="97"/>
        <v>0</v>
      </c>
      <c r="BX92" s="82">
        <f t="shared" si="97"/>
        <v>0</v>
      </c>
      <c r="BY92" s="82">
        <f t="shared" si="97"/>
        <v>0</v>
      </c>
      <c r="BZ92" s="82">
        <f t="shared" si="97"/>
        <v>0</v>
      </c>
      <c r="CA92" s="82">
        <f t="shared" si="97"/>
        <v>0</v>
      </c>
      <c r="CB92" s="82">
        <f t="shared" si="97"/>
        <v>0</v>
      </c>
      <c r="CC92" s="82">
        <f t="shared" si="97"/>
        <v>0</v>
      </c>
      <c r="CD92" s="82">
        <f t="shared" si="97"/>
        <v>0</v>
      </c>
      <c r="CG92" s="82"/>
      <c r="CH92" s="82"/>
      <c r="CI92" s="82" t="str">
        <f t="shared" ref="CI92:CX92" si="98">+IFERROR(CI91/CH91-1,"")</f>
        <v/>
      </c>
      <c r="CJ92" s="82" t="str">
        <f t="shared" si="98"/>
        <v/>
      </c>
      <c r="CK92" s="82" t="str">
        <f t="shared" si="98"/>
        <v/>
      </c>
      <c r="CL92" s="82" t="str">
        <f t="shared" si="98"/>
        <v/>
      </c>
      <c r="CM92" s="82" t="str">
        <f t="shared" si="98"/>
        <v/>
      </c>
      <c r="CN92" s="82" t="str">
        <f t="shared" si="98"/>
        <v/>
      </c>
      <c r="CO92" s="82">
        <f t="shared" si="98"/>
        <v>0</v>
      </c>
      <c r="CP92" s="82">
        <f t="shared" si="98"/>
        <v>0</v>
      </c>
      <c r="CQ92" s="82">
        <f t="shared" si="98"/>
        <v>0</v>
      </c>
      <c r="CR92" s="82">
        <f t="shared" si="98"/>
        <v>0</v>
      </c>
      <c r="CS92" s="82">
        <f t="shared" si="98"/>
        <v>0</v>
      </c>
      <c r="CT92" s="82">
        <f t="shared" si="98"/>
        <v>0</v>
      </c>
      <c r="CU92" s="82">
        <f t="shared" si="98"/>
        <v>0</v>
      </c>
      <c r="CV92" s="82">
        <f t="shared" si="98"/>
        <v>0</v>
      </c>
      <c r="CW92" s="82">
        <f t="shared" si="98"/>
        <v>0</v>
      </c>
      <c r="CX92" s="82">
        <f t="shared" si="98"/>
        <v>0</v>
      </c>
    </row>
    <row r="93" spans="2:102" s="84" customFormat="1" x14ac:dyDescent="0.25">
      <c r="B93" s="83" t="s">
        <v>171</v>
      </c>
      <c r="C93" s="83"/>
      <c r="D93" s="83"/>
      <c r="E93" s="83"/>
      <c r="F93" s="83"/>
      <c r="G93" s="83"/>
      <c r="H93" s="83"/>
      <c r="I93" s="83"/>
      <c r="J93" s="83"/>
      <c r="K93" s="83"/>
      <c r="L93" s="83"/>
      <c r="M93" s="83"/>
      <c r="N93" s="83"/>
      <c r="O93" s="83"/>
      <c r="P93" s="83"/>
      <c r="Q93" s="83"/>
      <c r="R93" s="83"/>
      <c r="AI93" s="85">
        <v>2</v>
      </c>
      <c r="AJ93" s="85">
        <v>6</v>
      </c>
      <c r="AK93" s="85">
        <v>12</v>
      </c>
      <c r="AL93" s="85">
        <f>23-SUM(AI93:AK93)</f>
        <v>3</v>
      </c>
      <c r="AM93" s="85">
        <f>+AI93</f>
        <v>2</v>
      </c>
      <c r="AN93" s="85">
        <f>+AJ93</f>
        <v>6</v>
      </c>
      <c r="AO93" s="85">
        <v>10</v>
      </c>
      <c r="AP93" s="85">
        <f t="shared" ref="AP93" si="99">+AL93</f>
        <v>3</v>
      </c>
      <c r="AQ93" s="85">
        <f>+AM93</f>
        <v>2</v>
      </c>
      <c r="AR93" s="85">
        <f>+AN93</f>
        <v>6</v>
      </c>
      <c r="AS93" s="85">
        <v>8</v>
      </c>
      <c r="AT93" s="85">
        <f t="shared" ref="AT93:AX93" si="100">+AP93</f>
        <v>3</v>
      </c>
      <c r="AU93" s="85">
        <f>+AQ93</f>
        <v>2</v>
      </c>
      <c r="AV93" s="85">
        <f>+AR93</f>
        <v>6</v>
      </c>
      <c r="AW93" s="85">
        <v>12</v>
      </c>
      <c r="AX93" s="85">
        <f t="shared" si="100"/>
        <v>3</v>
      </c>
      <c r="AY93" s="85">
        <f>+AU93</f>
        <v>2</v>
      </c>
      <c r="AZ93" s="85">
        <f>+AV93</f>
        <v>6</v>
      </c>
      <c r="BA93" s="85">
        <v>15</v>
      </c>
      <c r="BB93" s="86">
        <f>+BB87/BB91</f>
        <v>5.3442857142857161</v>
      </c>
      <c r="BC93" s="85">
        <v>4</v>
      </c>
      <c r="BD93" s="85">
        <v>6.5</v>
      </c>
      <c r="BE93" s="85">
        <v>15</v>
      </c>
      <c r="BF93" s="85">
        <v>6</v>
      </c>
      <c r="BG93" s="85">
        <v>4</v>
      </c>
      <c r="BH93" s="85">
        <f>+BD93</f>
        <v>6.5</v>
      </c>
      <c r="BI93" s="85">
        <v>14</v>
      </c>
      <c r="BJ93" s="85">
        <v>4</v>
      </c>
      <c r="BK93" s="85">
        <f t="shared" ref="BK93:CD93" si="101">+BG93</f>
        <v>4</v>
      </c>
      <c r="BL93" s="85">
        <f t="shared" si="101"/>
        <v>6.5</v>
      </c>
      <c r="BM93" s="85">
        <f t="shared" si="101"/>
        <v>14</v>
      </c>
      <c r="BN93" s="85">
        <f t="shared" si="101"/>
        <v>4</v>
      </c>
      <c r="BO93" s="85">
        <f t="shared" si="101"/>
        <v>4</v>
      </c>
      <c r="BP93" s="85">
        <f t="shared" si="101"/>
        <v>6.5</v>
      </c>
      <c r="BQ93" s="85">
        <f t="shared" si="101"/>
        <v>14</v>
      </c>
      <c r="BR93" s="85">
        <f t="shared" si="101"/>
        <v>4</v>
      </c>
      <c r="BS93" s="85">
        <f t="shared" si="101"/>
        <v>4</v>
      </c>
      <c r="BT93" s="85">
        <f t="shared" si="101"/>
        <v>6.5</v>
      </c>
      <c r="BU93" s="85">
        <f t="shared" si="101"/>
        <v>14</v>
      </c>
      <c r="BV93" s="85">
        <f t="shared" si="101"/>
        <v>4</v>
      </c>
      <c r="BW93" s="85">
        <f t="shared" si="101"/>
        <v>4</v>
      </c>
      <c r="BX93" s="85">
        <f t="shared" si="101"/>
        <v>6.5</v>
      </c>
      <c r="BY93" s="85">
        <f t="shared" si="101"/>
        <v>14</v>
      </c>
      <c r="BZ93" s="85">
        <f t="shared" si="101"/>
        <v>4</v>
      </c>
      <c r="CA93" s="85">
        <f t="shared" si="101"/>
        <v>4</v>
      </c>
      <c r="CB93" s="85">
        <f t="shared" si="101"/>
        <v>6.5</v>
      </c>
      <c r="CC93" s="85">
        <f t="shared" si="101"/>
        <v>14</v>
      </c>
      <c r="CD93" s="85">
        <f t="shared" si="101"/>
        <v>4</v>
      </c>
      <c r="CE93"/>
      <c r="CM93" s="86">
        <f t="shared" ref="CM93:CX93" si="102">+SUMIFS($S93:$CD93,$S$5:$CD$5,"&lt;="&amp;CM$5,$S$5:$CD$5,"&gt;"&amp;CL$5)</f>
        <v>0</v>
      </c>
      <c r="CN93" s="86">
        <f t="shared" si="102"/>
        <v>23</v>
      </c>
      <c r="CO93" s="86">
        <f t="shared" si="102"/>
        <v>21</v>
      </c>
      <c r="CP93" s="86">
        <f t="shared" si="102"/>
        <v>19</v>
      </c>
      <c r="CQ93" s="86">
        <f t="shared" si="102"/>
        <v>23</v>
      </c>
      <c r="CR93" s="86">
        <f t="shared" si="102"/>
        <v>28.344285714285718</v>
      </c>
      <c r="CS93" s="86">
        <f t="shared" si="102"/>
        <v>31.5</v>
      </c>
      <c r="CT93" s="86">
        <f t="shared" si="102"/>
        <v>28.5</v>
      </c>
      <c r="CU93" s="86">
        <f t="shared" si="102"/>
        <v>28.5</v>
      </c>
      <c r="CV93" s="86">
        <f t="shared" si="102"/>
        <v>28.5</v>
      </c>
      <c r="CW93" s="86">
        <f t="shared" si="102"/>
        <v>28.5</v>
      </c>
      <c r="CX93" s="86">
        <f t="shared" si="102"/>
        <v>28.5</v>
      </c>
    </row>
    <row r="94" spans="2:102" ht="15" customHeight="1" x14ac:dyDescent="0.25">
      <c r="B94" s="37" t="s">
        <v>170</v>
      </c>
      <c r="C94" s="37"/>
      <c r="D94" s="37"/>
      <c r="E94" s="37"/>
      <c r="F94" s="37"/>
      <c r="G94" s="37"/>
      <c r="H94" s="37"/>
      <c r="I94" s="37"/>
      <c r="J94" s="37"/>
      <c r="K94" s="37"/>
      <c r="L94" s="37"/>
      <c r="M94" s="37"/>
      <c r="N94" s="37"/>
      <c r="O94" s="37"/>
      <c r="P94" s="37"/>
      <c r="Q94" s="37"/>
      <c r="R94" s="37"/>
      <c r="S94" s="82"/>
      <c r="T94" s="82"/>
      <c r="U94" s="82"/>
      <c r="V94" s="82"/>
      <c r="W94" s="82" t="str">
        <f t="shared" ref="W94:CD94" si="103">+IFERROR(W93/S93-1,"")</f>
        <v/>
      </c>
      <c r="X94" s="82" t="str">
        <f t="shared" si="103"/>
        <v/>
      </c>
      <c r="Y94" s="82" t="str">
        <f t="shared" si="103"/>
        <v/>
      </c>
      <c r="Z94" s="82" t="str">
        <f t="shared" si="103"/>
        <v/>
      </c>
      <c r="AA94" s="82" t="str">
        <f t="shared" si="103"/>
        <v/>
      </c>
      <c r="AB94" s="82" t="str">
        <f t="shared" si="103"/>
        <v/>
      </c>
      <c r="AC94" s="82" t="str">
        <f t="shared" si="103"/>
        <v/>
      </c>
      <c r="AD94" s="82" t="str">
        <f t="shared" si="103"/>
        <v/>
      </c>
      <c r="AE94" s="82" t="str">
        <f t="shared" si="103"/>
        <v/>
      </c>
      <c r="AF94" s="82" t="str">
        <f t="shared" si="103"/>
        <v/>
      </c>
      <c r="AG94" s="82" t="str">
        <f t="shared" si="103"/>
        <v/>
      </c>
      <c r="AH94" s="82" t="str">
        <f t="shared" si="103"/>
        <v/>
      </c>
      <c r="AI94" s="82" t="str">
        <f t="shared" si="103"/>
        <v/>
      </c>
      <c r="AJ94" s="82" t="str">
        <f t="shared" si="103"/>
        <v/>
      </c>
      <c r="AK94" s="82" t="str">
        <f t="shared" si="103"/>
        <v/>
      </c>
      <c r="AL94" s="82" t="str">
        <f t="shared" si="103"/>
        <v/>
      </c>
      <c r="AM94" s="82">
        <f t="shared" si="103"/>
        <v>0</v>
      </c>
      <c r="AN94" s="82">
        <f t="shared" si="103"/>
        <v>0</v>
      </c>
      <c r="AO94" s="82">
        <f t="shared" si="103"/>
        <v>-0.16666666666666663</v>
      </c>
      <c r="AP94" s="82">
        <f t="shared" si="103"/>
        <v>0</v>
      </c>
      <c r="AQ94" s="82">
        <f t="shared" si="103"/>
        <v>0</v>
      </c>
      <c r="AR94" s="82">
        <f t="shared" si="103"/>
        <v>0</v>
      </c>
      <c r="AS94" s="82">
        <f t="shared" si="103"/>
        <v>-0.19999999999999996</v>
      </c>
      <c r="AT94" s="82">
        <f t="shared" si="103"/>
        <v>0</v>
      </c>
      <c r="AU94" s="82">
        <f t="shared" si="103"/>
        <v>0</v>
      </c>
      <c r="AV94" s="82">
        <f t="shared" si="103"/>
        <v>0</v>
      </c>
      <c r="AW94" s="82">
        <f t="shared" si="103"/>
        <v>0.5</v>
      </c>
      <c r="AX94" s="82">
        <f t="shared" si="103"/>
        <v>0</v>
      </c>
      <c r="AY94" s="82">
        <f t="shared" si="103"/>
        <v>0</v>
      </c>
      <c r="AZ94" s="82">
        <f t="shared" si="103"/>
        <v>0</v>
      </c>
      <c r="BA94" s="82">
        <f t="shared" si="103"/>
        <v>0.25</v>
      </c>
      <c r="BB94" s="82">
        <f t="shared" si="103"/>
        <v>0.78142857142857203</v>
      </c>
      <c r="BC94" s="82">
        <f t="shared" si="103"/>
        <v>1</v>
      </c>
      <c r="BD94" s="82">
        <f t="shared" si="103"/>
        <v>8.3333333333333259E-2</v>
      </c>
      <c r="BE94" s="82">
        <f t="shared" si="103"/>
        <v>0</v>
      </c>
      <c r="BF94" s="82">
        <f t="shared" si="103"/>
        <v>0.12269446672012796</v>
      </c>
      <c r="BG94" s="82">
        <f t="shared" si="103"/>
        <v>0</v>
      </c>
      <c r="BH94" s="82">
        <f t="shared" si="103"/>
        <v>0</v>
      </c>
      <c r="BI94" s="82">
        <f t="shared" si="103"/>
        <v>-6.6666666666666652E-2</v>
      </c>
      <c r="BJ94" s="82">
        <f t="shared" si="103"/>
        <v>-0.33333333333333337</v>
      </c>
      <c r="BK94" s="82">
        <f t="shared" si="103"/>
        <v>0</v>
      </c>
      <c r="BL94" s="82">
        <f t="shared" si="103"/>
        <v>0</v>
      </c>
      <c r="BM94" s="82">
        <f t="shared" si="103"/>
        <v>0</v>
      </c>
      <c r="BN94" s="82">
        <f t="shared" si="103"/>
        <v>0</v>
      </c>
      <c r="BO94" s="82">
        <f t="shared" si="103"/>
        <v>0</v>
      </c>
      <c r="BP94" s="82">
        <f t="shared" si="103"/>
        <v>0</v>
      </c>
      <c r="BQ94" s="82">
        <f t="shared" si="103"/>
        <v>0</v>
      </c>
      <c r="BR94" s="82">
        <f t="shared" si="103"/>
        <v>0</v>
      </c>
      <c r="BS94" s="82">
        <f t="shared" si="103"/>
        <v>0</v>
      </c>
      <c r="BT94" s="82">
        <f t="shared" si="103"/>
        <v>0</v>
      </c>
      <c r="BU94" s="82">
        <f t="shared" si="103"/>
        <v>0</v>
      </c>
      <c r="BV94" s="82">
        <f t="shared" si="103"/>
        <v>0</v>
      </c>
      <c r="BW94" s="82">
        <f t="shared" si="103"/>
        <v>0</v>
      </c>
      <c r="BX94" s="82">
        <f t="shared" si="103"/>
        <v>0</v>
      </c>
      <c r="BY94" s="82">
        <f t="shared" si="103"/>
        <v>0</v>
      </c>
      <c r="BZ94" s="82">
        <f t="shared" si="103"/>
        <v>0</v>
      </c>
      <c r="CA94" s="82">
        <f t="shared" si="103"/>
        <v>0</v>
      </c>
      <c r="CB94" s="82">
        <f t="shared" si="103"/>
        <v>0</v>
      </c>
      <c r="CC94" s="82">
        <f t="shared" si="103"/>
        <v>0</v>
      </c>
      <c r="CD94" s="82">
        <f t="shared" si="103"/>
        <v>0</v>
      </c>
      <c r="CG94" s="82"/>
      <c r="CH94" s="82"/>
      <c r="CI94" s="82" t="str">
        <f t="shared" ref="CI94:CX94" si="104">+IFERROR(CI93/CH93-1,"")</f>
        <v/>
      </c>
      <c r="CJ94" s="82" t="str">
        <f t="shared" si="104"/>
        <v/>
      </c>
      <c r="CK94" s="82" t="str">
        <f t="shared" si="104"/>
        <v/>
      </c>
      <c r="CL94" s="82" t="str">
        <f t="shared" si="104"/>
        <v/>
      </c>
      <c r="CM94" s="82" t="str">
        <f t="shared" si="104"/>
        <v/>
      </c>
      <c r="CN94" s="82" t="str">
        <f t="shared" si="104"/>
        <v/>
      </c>
      <c r="CO94" s="82">
        <f t="shared" si="104"/>
        <v>-8.6956521739130488E-2</v>
      </c>
      <c r="CP94" s="82">
        <f t="shared" si="104"/>
        <v>-9.5238095238095233E-2</v>
      </c>
      <c r="CQ94" s="82">
        <f t="shared" si="104"/>
        <v>0.21052631578947367</v>
      </c>
      <c r="CR94" s="82">
        <f t="shared" si="104"/>
        <v>0.23236024844720515</v>
      </c>
      <c r="CS94" s="82">
        <f t="shared" si="104"/>
        <v>0.11133511415755248</v>
      </c>
      <c r="CT94" s="82">
        <f t="shared" si="104"/>
        <v>-9.5238095238095233E-2</v>
      </c>
      <c r="CU94" s="82">
        <f t="shared" si="104"/>
        <v>0</v>
      </c>
      <c r="CV94" s="82">
        <f t="shared" si="104"/>
        <v>0</v>
      </c>
      <c r="CW94" s="82">
        <f t="shared" si="104"/>
        <v>0</v>
      </c>
      <c r="CX94" s="82">
        <f t="shared" si="104"/>
        <v>0</v>
      </c>
    </row>
    <row r="95" spans="2:102" ht="15" customHeight="1" x14ac:dyDescent="0.25">
      <c r="B95" s="37"/>
      <c r="C95" s="37"/>
      <c r="D95" s="37"/>
      <c r="E95" s="37"/>
      <c r="F95" s="37"/>
      <c r="G95" s="37"/>
      <c r="H95" s="37"/>
      <c r="I95" s="37"/>
      <c r="J95" s="37"/>
      <c r="K95" s="37"/>
      <c r="L95" s="37"/>
      <c r="M95" s="37"/>
      <c r="N95" s="37"/>
      <c r="O95" s="37"/>
      <c r="P95" s="37"/>
      <c r="Q95" s="37"/>
      <c r="R95" s="37"/>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c r="AY95" s="82"/>
      <c r="AZ95" s="82"/>
      <c r="BA95" s="82"/>
      <c r="BB95" s="82"/>
      <c r="BC95" s="82"/>
      <c r="BD95" s="82"/>
      <c r="BE95" s="82"/>
      <c r="BF95" s="82"/>
      <c r="BG95" s="82"/>
      <c r="BH95" s="82"/>
      <c r="BI95" s="82"/>
      <c r="BJ95" s="82"/>
      <c r="BK95" s="82"/>
      <c r="BL95" s="82"/>
      <c r="BM95" s="82"/>
      <c r="BN95" s="82"/>
      <c r="BO95" s="82"/>
      <c r="BP95" s="82"/>
      <c r="BQ95" s="82"/>
      <c r="BR95" s="82"/>
      <c r="BS95" s="82"/>
      <c r="BT95" s="82"/>
      <c r="BU95" s="82"/>
      <c r="BV95" s="82"/>
      <c r="BW95" s="82"/>
      <c r="BX95" s="82"/>
      <c r="BY95" s="82"/>
      <c r="BZ95" s="82"/>
      <c r="CA95" s="82"/>
      <c r="CB95" s="82"/>
      <c r="CC95" s="82"/>
      <c r="CD95" s="82"/>
      <c r="CG95" s="82"/>
      <c r="CH95" s="82"/>
      <c r="CI95" s="82"/>
      <c r="CJ95" s="82"/>
      <c r="CK95" s="82"/>
      <c r="CL95" s="82"/>
      <c r="CM95" s="82"/>
      <c r="CN95" s="82"/>
      <c r="CO95" s="82"/>
      <c r="CP95" s="82"/>
      <c r="CQ95" s="82"/>
      <c r="CR95" s="82"/>
      <c r="CS95" s="82"/>
      <c r="CT95" s="82"/>
      <c r="CU95" s="82"/>
      <c r="CV95" s="82"/>
      <c r="CW95" s="82"/>
      <c r="CX95" s="82"/>
    </row>
    <row r="96" spans="2:102" s="2" customFormat="1" x14ac:dyDescent="0.25">
      <c r="B96" s="72" t="s">
        <v>172</v>
      </c>
      <c r="C96" s="72"/>
      <c r="D96" s="72"/>
      <c r="E96" s="72"/>
      <c r="F96" s="72"/>
      <c r="G96" s="72"/>
      <c r="H96" s="72"/>
      <c r="I96" s="72"/>
      <c r="J96" s="72"/>
      <c r="K96" s="72"/>
      <c r="L96" s="72"/>
      <c r="M96" s="72"/>
      <c r="N96" s="72"/>
      <c r="O96" s="72"/>
      <c r="P96" s="72"/>
      <c r="Q96" s="72"/>
      <c r="R96" s="72"/>
      <c r="AI96" s="73"/>
      <c r="AJ96" s="24">
        <f>+AJ93</f>
        <v>6</v>
      </c>
      <c r="AK96" s="2">
        <f t="shared" ref="AK96:BF96" si="105">+(1-1*(AK35&lt;&gt;"--"))*AJ96+AK93</f>
        <v>18</v>
      </c>
      <c r="AL96" s="2">
        <f t="shared" si="105"/>
        <v>21</v>
      </c>
      <c r="AM96" s="2">
        <f t="shared" si="105"/>
        <v>23</v>
      </c>
      <c r="AN96" s="2">
        <f t="shared" si="105"/>
        <v>6</v>
      </c>
      <c r="AO96" s="2">
        <f t="shared" si="105"/>
        <v>16</v>
      </c>
      <c r="AP96" s="24">
        <f t="shared" si="105"/>
        <v>19</v>
      </c>
      <c r="AQ96" s="2">
        <f t="shared" si="105"/>
        <v>21</v>
      </c>
      <c r="AR96" s="24">
        <f t="shared" si="105"/>
        <v>27</v>
      </c>
      <c r="AS96" s="2">
        <f t="shared" si="105"/>
        <v>8</v>
      </c>
      <c r="AT96" s="2">
        <f t="shared" si="105"/>
        <v>11</v>
      </c>
      <c r="AU96" s="2">
        <f t="shared" si="105"/>
        <v>13</v>
      </c>
      <c r="AV96" s="2">
        <f t="shared" si="105"/>
        <v>19</v>
      </c>
      <c r="AW96" s="2">
        <f t="shared" si="105"/>
        <v>12</v>
      </c>
      <c r="AX96" s="2">
        <f t="shared" si="105"/>
        <v>15</v>
      </c>
      <c r="AY96" s="2">
        <f t="shared" si="105"/>
        <v>17</v>
      </c>
      <c r="AZ96" s="2">
        <f t="shared" si="105"/>
        <v>6</v>
      </c>
      <c r="BA96" s="2">
        <f t="shared" si="105"/>
        <v>21</v>
      </c>
      <c r="BB96" s="2">
        <f t="shared" si="105"/>
        <v>26.344285714285718</v>
      </c>
      <c r="BC96" s="2">
        <f t="shared" si="105"/>
        <v>30.344285714285718</v>
      </c>
      <c r="BD96" s="2">
        <f t="shared" si="105"/>
        <v>6.5</v>
      </c>
      <c r="BE96" s="2">
        <f t="shared" si="105"/>
        <v>21.5</v>
      </c>
      <c r="BF96" s="2">
        <f t="shared" si="105"/>
        <v>27.5</v>
      </c>
      <c r="CE96"/>
    </row>
    <row r="97" spans="1:102" s="2" customFormat="1" x14ac:dyDescent="0.25">
      <c r="B97" s="72" t="s">
        <v>173</v>
      </c>
      <c r="C97" s="72"/>
      <c r="D97" s="72"/>
      <c r="E97" s="72"/>
      <c r="F97" s="72"/>
      <c r="G97" s="72"/>
      <c r="H97" s="72"/>
      <c r="I97" s="72"/>
      <c r="J97" s="72"/>
      <c r="K97" s="72"/>
      <c r="L97" s="72"/>
      <c r="M97" s="72"/>
      <c r="N97" s="72"/>
      <c r="O97" s="72"/>
      <c r="P97" s="72"/>
      <c r="Q97" s="72"/>
      <c r="R97" s="72"/>
      <c r="S97" s="73">
        <f>100+4*20</f>
        <v>180</v>
      </c>
      <c r="AK97" s="74">
        <v>260</v>
      </c>
      <c r="AL97" s="2">
        <f t="shared" ref="AL97:CD97" si="106">+AK97+AL93</f>
        <v>263</v>
      </c>
      <c r="AM97" s="2">
        <f t="shared" si="106"/>
        <v>265</v>
      </c>
      <c r="AN97" s="2">
        <f t="shared" si="106"/>
        <v>271</v>
      </c>
      <c r="AO97" s="2">
        <f t="shared" si="106"/>
        <v>281</v>
      </c>
      <c r="AP97" s="2">
        <f t="shared" si="106"/>
        <v>284</v>
      </c>
      <c r="AQ97" s="2">
        <f t="shared" si="106"/>
        <v>286</v>
      </c>
      <c r="AR97" s="2">
        <f t="shared" si="106"/>
        <v>292</v>
      </c>
      <c r="AS97" s="2">
        <f t="shared" si="106"/>
        <v>300</v>
      </c>
      <c r="AT97" s="74">
        <f t="shared" si="106"/>
        <v>303</v>
      </c>
      <c r="AU97" s="2">
        <f t="shared" si="106"/>
        <v>305</v>
      </c>
      <c r="AV97" s="2">
        <f t="shared" si="106"/>
        <v>311</v>
      </c>
      <c r="AW97" s="2">
        <f t="shared" si="106"/>
        <v>323</v>
      </c>
      <c r="AX97" s="2">
        <f t="shared" si="106"/>
        <v>326</v>
      </c>
      <c r="AY97" s="2">
        <f t="shared" si="106"/>
        <v>328</v>
      </c>
      <c r="AZ97" s="2">
        <f t="shared" si="106"/>
        <v>334</v>
      </c>
      <c r="BA97" s="2">
        <f t="shared" si="106"/>
        <v>349</v>
      </c>
      <c r="BB97" s="2">
        <f t="shared" si="106"/>
        <v>354.34428571428572</v>
      </c>
      <c r="BC97" s="2">
        <f t="shared" si="106"/>
        <v>358.34428571428572</v>
      </c>
      <c r="BD97" s="2">
        <f t="shared" si="106"/>
        <v>364.84428571428572</v>
      </c>
      <c r="BE97" s="2">
        <f t="shared" si="106"/>
        <v>379.84428571428572</v>
      </c>
      <c r="BF97" s="2">
        <f t="shared" si="106"/>
        <v>385.84428571428572</v>
      </c>
      <c r="BG97" s="2">
        <f t="shared" si="106"/>
        <v>389.84428571428572</v>
      </c>
      <c r="BH97" s="2">
        <f t="shared" si="106"/>
        <v>396.34428571428572</v>
      </c>
      <c r="BI97" s="2">
        <f t="shared" si="106"/>
        <v>410.34428571428572</v>
      </c>
      <c r="BJ97" s="2">
        <f t="shared" si="106"/>
        <v>414.34428571428572</v>
      </c>
      <c r="BK97" s="2">
        <f t="shared" si="106"/>
        <v>418.34428571428572</v>
      </c>
      <c r="BL97" s="2">
        <f t="shared" si="106"/>
        <v>424.84428571428572</v>
      </c>
      <c r="BM97" s="2">
        <f t="shared" si="106"/>
        <v>438.84428571428572</v>
      </c>
      <c r="BN97" s="2">
        <f t="shared" si="106"/>
        <v>442.84428571428572</v>
      </c>
      <c r="BO97" s="2">
        <f t="shared" si="106"/>
        <v>446.84428571428572</v>
      </c>
      <c r="BP97" s="2">
        <f t="shared" si="106"/>
        <v>453.34428571428572</v>
      </c>
      <c r="BQ97" s="2">
        <f t="shared" si="106"/>
        <v>467.34428571428572</v>
      </c>
      <c r="BR97" s="2">
        <f t="shared" si="106"/>
        <v>471.34428571428572</v>
      </c>
      <c r="BS97" s="2">
        <f t="shared" si="106"/>
        <v>475.34428571428572</v>
      </c>
      <c r="BT97" s="2">
        <f t="shared" si="106"/>
        <v>481.84428571428572</v>
      </c>
      <c r="BU97" s="2">
        <f t="shared" si="106"/>
        <v>495.84428571428572</v>
      </c>
      <c r="BV97" s="2">
        <f t="shared" si="106"/>
        <v>499.84428571428572</v>
      </c>
      <c r="BW97" s="2">
        <f t="shared" si="106"/>
        <v>503.84428571428572</v>
      </c>
      <c r="BX97" s="2">
        <f t="shared" si="106"/>
        <v>510.34428571428572</v>
      </c>
      <c r="BY97" s="2">
        <f t="shared" si="106"/>
        <v>524.34428571428566</v>
      </c>
      <c r="BZ97" s="2">
        <f t="shared" si="106"/>
        <v>528.34428571428566</v>
      </c>
      <c r="CA97" s="2">
        <f t="shared" si="106"/>
        <v>532.34428571428566</v>
      </c>
      <c r="CB97" s="2">
        <f t="shared" si="106"/>
        <v>538.84428571428566</v>
      </c>
      <c r="CC97" s="2">
        <f t="shared" si="106"/>
        <v>552.84428571428566</v>
      </c>
      <c r="CD97" s="2">
        <f t="shared" si="106"/>
        <v>556.84428571428566</v>
      </c>
      <c r="CE97"/>
      <c r="CM97" s="87">
        <f t="shared" ref="CM97:CS97" si="107">+SUMIF($S$5:$CD$5,"="&amp;CM$5,$S97:$CD97)</f>
        <v>0</v>
      </c>
      <c r="CN97" s="87">
        <f t="shared" si="107"/>
        <v>263</v>
      </c>
      <c r="CO97" s="87">
        <f t="shared" si="107"/>
        <v>284</v>
      </c>
      <c r="CP97" s="87">
        <f t="shared" si="107"/>
        <v>303</v>
      </c>
      <c r="CQ97" s="87">
        <f t="shared" si="107"/>
        <v>326</v>
      </c>
      <c r="CR97" s="87">
        <f t="shared" si="107"/>
        <v>354.34428571428572</v>
      </c>
      <c r="CS97" s="87">
        <f t="shared" si="107"/>
        <v>385.84428571428572</v>
      </c>
    </row>
    <row r="98" spans="1:102" x14ac:dyDescent="0.25">
      <c r="B98" s="42" t="s">
        <v>174</v>
      </c>
      <c r="C98" s="42"/>
      <c r="D98" s="42"/>
      <c r="E98" s="42"/>
      <c r="F98" s="42"/>
      <c r="G98" s="42"/>
      <c r="H98" s="42"/>
      <c r="I98" s="42"/>
      <c r="J98" s="42"/>
      <c r="K98" s="42"/>
      <c r="L98" s="42"/>
      <c r="M98" s="42"/>
      <c r="N98" s="42"/>
      <c r="O98" s="42"/>
      <c r="P98" s="42"/>
      <c r="Q98" s="42"/>
      <c r="R98" s="42"/>
      <c r="BC98">
        <v>65</v>
      </c>
      <c r="CQ98" s="24">
        <v>150</v>
      </c>
    </row>
    <row r="99" spans="1:102" x14ac:dyDescent="0.25">
      <c r="B99" s="37"/>
      <c r="C99" s="37"/>
      <c r="D99" s="37"/>
      <c r="E99" s="37"/>
      <c r="F99" s="37"/>
      <c r="G99" s="37"/>
      <c r="H99" s="37"/>
      <c r="I99" s="37"/>
      <c r="J99" s="37"/>
      <c r="K99" s="37"/>
      <c r="L99" s="37"/>
      <c r="M99" s="37"/>
      <c r="N99" s="37"/>
      <c r="O99" s="37"/>
      <c r="P99" s="37"/>
      <c r="Q99" s="37"/>
      <c r="R99" s="37"/>
      <c r="AI99" s="39"/>
      <c r="AJ99" s="39"/>
      <c r="AK99" s="39"/>
      <c r="AL99" s="39"/>
    </row>
    <row r="100" spans="1:102" x14ac:dyDescent="0.25">
      <c r="B100" s="78" t="s">
        <v>175</v>
      </c>
      <c r="C100" s="65"/>
      <c r="D100" s="65"/>
      <c r="E100" s="65"/>
      <c r="F100" s="65"/>
      <c r="G100" s="65"/>
      <c r="H100" s="65"/>
      <c r="I100" s="65"/>
      <c r="J100" s="65"/>
      <c r="K100" s="65"/>
      <c r="L100" s="65"/>
      <c r="M100" s="65"/>
      <c r="N100" s="65"/>
      <c r="O100" s="65"/>
      <c r="P100" s="65"/>
      <c r="Q100" s="65"/>
      <c r="R100" s="65"/>
      <c r="AF100" s="5" t="s">
        <v>176</v>
      </c>
      <c r="AW100" s="1"/>
      <c r="AX100" s="1"/>
      <c r="AY100" s="1"/>
      <c r="AZ100" s="1"/>
      <c r="BA100" s="1"/>
      <c r="BB100" s="88"/>
      <c r="BC100" s="89"/>
    </row>
    <row r="101" spans="1:102" x14ac:dyDescent="0.25">
      <c r="B101" s="42" t="s">
        <v>177</v>
      </c>
      <c r="C101" s="42"/>
      <c r="D101" s="42"/>
      <c r="E101" s="42"/>
      <c r="F101" s="42"/>
      <c r="G101" s="42"/>
      <c r="H101" s="42"/>
      <c r="I101" s="42"/>
      <c r="J101" s="42"/>
      <c r="K101" s="42"/>
      <c r="L101" s="42"/>
      <c r="M101" s="42"/>
      <c r="N101" s="42"/>
      <c r="O101" s="42"/>
      <c r="P101" s="42"/>
      <c r="Q101" s="42"/>
      <c r="R101" s="42"/>
      <c r="AW101" s="1"/>
      <c r="AX101" s="1"/>
      <c r="AY101" s="1" t="s">
        <v>178</v>
      </c>
      <c r="BA101" s="1"/>
      <c r="BB101" s="89" t="s">
        <v>179</v>
      </c>
      <c r="BC101" s="1"/>
      <c r="BF101" s="1" t="s">
        <v>180</v>
      </c>
      <c r="BG101" s="89" t="s">
        <v>179</v>
      </c>
      <c r="BI101" t="s">
        <v>181</v>
      </c>
    </row>
    <row r="102" spans="1:102" x14ac:dyDescent="0.25">
      <c r="B102" s="37" t="s">
        <v>182</v>
      </c>
      <c r="C102" s="37"/>
      <c r="D102" s="37"/>
      <c r="E102" s="37"/>
      <c r="F102" s="37"/>
      <c r="G102" s="37"/>
      <c r="H102" s="37"/>
      <c r="I102" s="37"/>
      <c r="J102" s="37"/>
      <c r="K102" s="37"/>
      <c r="L102" s="37"/>
      <c r="M102" s="37"/>
      <c r="N102" s="37"/>
      <c r="O102" s="37"/>
      <c r="P102" s="37"/>
      <c r="Q102" s="37"/>
      <c r="R102" s="37"/>
      <c r="AW102" s="1"/>
      <c r="AX102" s="88">
        <v>0.8</v>
      </c>
      <c r="AY102" s="88" t="s">
        <v>183</v>
      </c>
      <c r="AZ102" s="1" t="s">
        <v>184</v>
      </c>
      <c r="BA102" s="1" t="s">
        <v>184</v>
      </c>
      <c r="BB102" s="1"/>
      <c r="BC102" s="1">
        <v>65</v>
      </c>
      <c r="BD102" s="1" t="s">
        <v>185</v>
      </c>
      <c r="BE102" s="90">
        <v>0.28999999999999998</v>
      </c>
      <c r="BI102" t="s">
        <v>186</v>
      </c>
    </row>
    <row r="103" spans="1:102" x14ac:dyDescent="0.25">
      <c r="B103" s="37" t="s">
        <v>187</v>
      </c>
      <c r="C103" s="37"/>
      <c r="D103" s="37"/>
      <c r="E103" s="37"/>
      <c r="F103" s="37"/>
      <c r="G103" s="37"/>
      <c r="H103" s="37"/>
      <c r="I103" s="37"/>
      <c r="J103" s="37"/>
      <c r="K103" s="37"/>
      <c r="L103" s="37"/>
      <c r="M103" s="37"/>
      <c r="N103" s="37"/>
      <c r="O103" s="37"/>
      <c r="P103" s="37"/>
      <c r="Q103" s="37"/>
      <c r="R103" s="37"/>
      <c r="AW103" s="1"/>
      <c r="AX103" s="1"/>
      <c r="AY103" s="1"/>
      <c r="AZ103" s="1"/>
      <c r="BA103" s="1"/>
      <c r="BB103" s="91">
        <v>100</v>
      </c>
      <c r="BC103" s="1" t="s">
        <v>188</v>
      </c>
    </row>
    <row r="104" spans="1:102" x14ac:dyDescent="0.25">
      <c r="B104" s="37"/>
      <c r="C104" s="37"/>
      <c r="D104" s="37"/>
      <c r="E104" s="37"/>
      <c r="F104" s="37"/>
      <c r="G104" s="37"/>
      <c r="H104" s="37"/>
      <c r="I104" s="37"/>
      <c r="J104" s="37"/>
      <c r="K104" s="37"/>
      <c r="L104" s="37"/>
      <c r="M104" s="37"/>
      <c r="N104" s="37"/>
      <c r="O104" s="37"/>
      <c r="P104" s="37"/>
      <c r="Q104" s="37"/>
      <c r="R104" s="37"/>
      <c r="AW104" s="1"/>
      <c r="AX104" s="1"/>
      <c r="AY104" s="1"/>
      <c r="AZ104" s="1"/>
      <c r="BA104" s="1"/>
      <c r="BB104" s="1"/>
      <c r="BC104" s="1"/>
    </row>
    <row r="105" spans="1:102" x14ac:dyDescent="0.25">
      <c r="B105" s="42" t="s">
        <v>189</v>
      </c>
      <c r="C105" s="42"/>
      <c r="D105" s="42"/>
      <c r="E105" s="42"/>
      <c r="F105" s="42"/>
      <c r="G105" s="42"/>
      <c r="H105" s="42"/>
      <c r="I105" s="42"/>
      <c r="J105" s="42"/>
      <c r="K105" s="42"/>
      <c r="L105" s="42"/>
      <c r="M105" s="42"/>
      <c r="N105" s="42"/>
      <c r="O105" s="42"/>
      <c r="P105" s="42"/>
      <c r="Q105" s="42"/>
      <c r="R105" s="42"/>
      <c r="AW105" s="1"/>
      <c r="AX105" s="1"/>
      <c r="AY105" s="1"/>
      <c r="AZ105" s="1"/>
      <c r="BA105" s="1"/>
      <c r="BB105" s="92">
        <v>0.62</v>
      </c>
      <c r="BC105" s="89" t="s">
        <v>179</v>
      </c>
      <c r="BG105" s="89" t="s">
        <v>190</v>
      </c>
    </row>
    <row r="106" spans="1:102" x14ac:dyDescent="0.25">
      <c r="B106" s="42"/>
      <c r="C106" s="42"/>
      <c r="D106" s="42"/>
      <c r="E106" s="42"/>
      <c r="F106" s="42"/>
      <c r="G106" s="42"/>
      <c r="H106" s="42"/>
      <c r="I106" s="42"/>
      <c r="J106" s="42"/>
      <c r="K106" s="42"/>
      <c r="L106" s="42"/>
      <c r="M106" s="42"/>
      <c r="N106" s="42"/>
      <c r="O106" s="42"/>
      <c r="P106" s="42"/>
      <c r="Q106" s="42"/>
      <c r="R106" s="42"/>
      <c r="AW106" s="1"/>
      <c r="AX106" s="1"/>
      <c r="AY106" s="1"/>
      <c r="AZ106" s="1"/>
      <c r="BA106" s="1"/>
      <c r="BB106" s="92"/>
      <c r="BC106" s="89"/>
      <c r="BG106" s="89"/>
    </row>
    <row r="107" spans="1:102" ht="15.75" thickBot="1" x14ac:dyDescent="0.3">
      <c r="A107" s="1" t="s">
        <v>18</v>
      </c>
      <c r="B107" s="34" t="s">
        <v>152</v>
      </c>
      <c r="C107" s="34"/>
      <c r="D107" s="34"/>
      <c r="E107" s="34"/>
      <c r="F107" s="34"/>
      <c r="G107" s="34"/>
      <c r="H107" s="34"/>
      <c r="I107" s="34"/>
      <c r="J107" s="34"/>
      <c r="K107" s="34"/>
      <c r="L107" s="34"/>
      <c r="M107" s="34"/>
      <c r="N107" s="34"/>
      <c r="O107" s="34"/>
      <c r="P107" s="34"/>
      <c r="Q107" s="34"/>
      <c r="R107" s="34"/>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63"/>
      <c r="AV107" s="35"/>
      <c r="AW107" s="93"/>
      <c r="AX107" s="93"/>
      <c r="AY107" s="93"/>
      <c r="AZ107" s="93"/>
      <c r="BA107" s="94" t="s">
        <v>191</v>
      </c>
      <c r="BB107" s="93"/>
      <c r="BC107" s="93"/>
      <c r="BD107" s="35"/>
      <c r="BE107" s="35"/>
      <c r="BF107" s="35"/>
      <c r="BG107" s="35"/>
      <c r="BH107" s="95" t="s">
        <v>192</v>
      </c>
      <c r="BI107" s="35"/>
      <c r="BJ107" s="35"/>
      <c r="BK107" s="35"/>
      <c r="BL107" s="35"/>
      <c r="BM107" s="35"/>
      <c r="BN107" s="35"/>
      <c r="BO107" s="35"/>
      <c r="BP107" s="35"/>
      <c r="BQ107" s="35"/>
      <c r="BR107" s="35"/>
      <c r="BS107" s="35"/>
      <c r="BT107" s="35"/>
      <c r="BU107" s="35"/>
      <c r="BV107" s="35"/>
      <c r="BW107" s="35"/>
      <c r="BX107" s="35"/>
      <c r="BY107" s="35"/>
      <c r="BZ107" s="35"/>
      <c r="CA107" s="35"/>
      <c r="CB107" s="35"/>
      <c r="CC107" s="35"/>
      <c r="CD107" s="35"/>
      <c r="CF107" s="35"/>
      <c r="CG107" s="35"/>
      <c r="CH107" s="35"/>
      <c r="CI107" s="35"/>
      <c r="CJ107" s="35"/>
      <c r="CK107" s="35"/>
      <c r="CL107" s="35"/>
      <c r="CM107" s="35"/>
      <c r="CN107" s="35"/>
      <c r="CO107" s="35"/>
      <c r="CP107" s="35"/>
      <c r="CQ107" s="64" t="s">
        <v>193</v>
      </c>
      <c r="CR107" s="35"/>
      <c r="CS107" s="35"/>
      <c r="CT107" s="35"/>
      <c r="CU107" s="35"/>
      <c r="CV107" s="35"/>
      <c r="CW107" s="35"/>
      <c r="CX107" s="35"/>
    </row>
    <row r="108" spans="1:102" s="52" customFormat="1" x14ac:dyDescent="0.25">
      <c r="B108" s="48" t="s">
        <v>163</v>
      </c>
      <c r="C108" s="48"/>
      <c r="D108" s="48"/>
      <c r="E108" s="48"/>
      <c r="F108" s="48"/>
      <c r="G108" s="48"/>
      <c r="H108" s="48"/>
      <c r="I108" s="48"/>
      <c r="J108" s="48"/>
      <c r="K108" s="48"/>
      <c r="L108" s="48"/>
      <c r="M108" s="48"/>
      <c r="N108" s="48"/>
      <c r="O108" s="48"/>
      <c r="P108" s="48"/>
      <c r="Q108" s="48"/>
      <c r="R108" s="48"/>
      <c r="AK108" s="96" t="s">
        <v>194</v>
      </c>
      <c r="AL108" s="51">
        <v>50</v>
      </c>
      <c r="AM108" s="51">
        <v>70</v>
      </c>
      <c r="AN108" s="51">
        <v>100</v>
      </c>
      <c r="AO108" s="51">
        <v>125</v>
      </c>
      <c r="AP108" s="50">
        <f>+CO108-SUM(AM108:AO108)</f>
        <v>130</v>
      </c>
      <c r="AQ108" s="51">
        <v>85</v>
      </c>
      <c r="AR108" s="50">
        <f>+AN108*(1+AR109)</f>
        <v>124</v>
      </c>
      <c r="AS108" s="51">
        <v>200</v>
      </c>
      <c r="AT108" s="50">
        <f>+CP108-SUM(AQ108:AS108)</f>
        <v>216</v>
      </c>
      <c r="AU108" s="50">
        <f>+AU110-AT110</f>
        <v>190</v>
      </c>
      <c r="AV108" s="51">
        <f>+AR108*(1+AV109)</f>
        <v>310</v>
      </c>
      <c r="AW108" s="51">
        <v>220</v>
      </c>
      <c r="AX108" s="50">
        <f>+CQ108-SUM(AU108:AW108)</f>
        <v>180</v>
      </c>
      <c r="AY108" s="50">
        <f>+AU108*(1+AY109)</f>
        <v>212.8</v>
      </c>
      <c r="AZ108" s="51">
        <v>200</v>
      </c>
      <c r="BA108" s="51">
        <v>200</v>
      </c>
      <c r="BB108" s="51">
        <f>+AX108*(1+BB109)</f>
        <v>185.4</v>
      </c>
      <c r="BC108" s="51">
        <v>175</v>
      </c>
      <c r="BD108" s="51">
        <v>150</v>
      </c>
      <c r="BE108" s="51">
        <v>130</v>
      </c>
      <c r="BF108" s="50">
        <f>+BF110-BE110</f>
        <v>146.79999999999973</v>
      </c>
      <c r="BG108" s="24">
        <f>+BC108*(1+BG109)</f>
        <v>143.5</v>
      </c>
      <c r="BH108" s="24">
        <f t="shared" ref="BH108:CD108" si="108">+BD108*(1+BH109)</f>
        <v>127.5</v>
      </c>
      <c r="BI108" s="24">
        <f t="shared" si="108"/>
        <v>110.5</v>
      </c>
      <c r="BJ108" s="24">
        <f t="shared" si="108"/>
        <v>124.77999999999976</v>
      </c>
      <c r="BK108" s="24">
        <f t="shared" si="108"/>
        <v>129.15</v>
      </c>
      <c r="BL108" s="24">
        <f t="shared" si="108"/>
        <v>114.75</v>
      </c>
      <c r="BM108" s="24">
        <f t="shared" si="108"/>
        <v>99.45</v>
      </c>
      <c r="BN108" s="24">
        <f t="shared" si="108"/>
        <v>112.30199999999978</v>
      </c>
      <c r="BO108" s="24">
        <f t="shared" si="108"/>
        <v>122.6925</v>
      </c>
      <c r="BP108" s="24">
        <f t="shared" si="108"/>
        <v>109.01249999999999</v>
      </c>
      <c r="BQ108" s="24">
        <f t="shared" si="108"/>
        <v>94.477499999999992</v>
      </c>
      <c r="BR108" s="24">
        <f t="shared" si="108"/>
        <v>106.68689999999978</v>
      </c>
      <c r="BS108" s="24">
        <f t="shared" si="108"/>
        <v>116.557875</v>
      </c>
      <c r="BT108" s="24">
        <f t="shared" si="108"/>
        <v>103.56187499999999</v>
      </c>
      <c r="BU108" s="24">
        <f t="shared" si="108"/>
        <v>89.753624999999985</v>
      </c>
      <c r="BV108" s="24">
        <f t="shared" si="108"/>
        <v>101.35255499999978</v>
      </c>
      <c r="BW108" s="24">
        <f t="shared" si="108"/>
        <v>110.72998124999999</v>
      </c>
      <c r="BX108" s="24">
        <f t="shared" si="108"/>
        <v>98.383781249999984</v>
      </c>
      <c r="BY108" s="24">
        <f t="shared" si="108"/>
        <v>85.265943749999977</v>
      </c>
      <c r="BZ108" s="24">
        <f t="shared" si="108"/>
        <v>96.284927249999782</v>
      </c>
      <c r="CA108" s="24">
        <f t="shared" si="108"/>
        <v>105.1934821875</v>
      </c>
      <c r="CB108" s="24">
        <f t="shared" si="108"/>
        <v>93.464592187499974</v>
      </c>
      <c r="CC108" s="24">
        <f t="shared" si="108"/>
        <v>81.002646562499976</v>
      </c>
      <c r="CD108" s="24">
        <f t="shared" si="108"/>
        <v>91.470680887499782</v>
      </c>
      <c r="CE108"/>
      <c r="CN108" s="51">
        <v>10</v>
      </c>
      <c r="CO108" s="51">
        <f>+CO110-AL108</f>
        <v>425</v>
      </c>
      <c r="CP108" s="58">
        <f>750/1.2</f>
        <v>625</v>
      </c>
      <c r="CQ108" s="51">
        <v>900</v>
      </c>
      <c r="CR108" s="97">
        <f t="shared" ref="CR108:CX108" si="109">+SUMIFS($S108:$CD108,$S$5:$CD$5,"&lt;="&amp;CR$5,$S$5:$CD$5,"&gt;"&amp;CQ$5)</f>
        <v>798.19999999999993</v>
      </c>
      <c r="CS108" s="97">
        <f t="shared" si="109"/>
        <v>601.79999999999973</v>
      </c>
      <c r="CT108" s="97">
        <f t="shared" si="109"/>
        <v>506.27999999999975</v>
      </c>
      <c r="CU108" s="97">
        <f t="shared" si="109"/>
        <v>455.65199999999982</v>
      </c>
      <c r="CV108" s="97">
        <f t="shared" si="109"/>
        <v>432.86939999999981</v>
      </c>
      <c r="CW108" s="97">
        <f t="shared" si="109"/>
        <v>411.22592999999972</v>
      </c>
      <c r="CX108" s="97">
        <f t="shared" si="109"/>
        <v>390.66463349999975</v>
      </c>
    </row>
    <row r="109" spans="1:102" s="98" customFormat="1" x14ac:dyDescent="0.25">
      <c r="B109" s="66" t="s">
        <v>151</v>
      </c>
      <c r="C109" s="66"/>
      <c r="D109" s="66"/>
      <c r="E109" s="66"/>
      <c r="F109" s="66"/>
      <c r="G109" s="66"/>
      <c r="H109" s="66"/>
      <c r="I109" s="66"/>
      <c r="J109" s="66"/>
      <c r="K109" s="66"/>
      <c r="L109" s="66"/>
      <c r="M109" s="66"/>
      <c r="N109" s="66"/>
      <c r="O109" s="66"/>
      <c r="P109" s="66"/>
      <c r="Q109" s="66"/>
      <c r="R109" s="66"/>
      <c r="AQ109" s="49">
        <f>+AQ108/AM108-1</f>
        <v>0.21428571428571419</v>
      </c>
      <c r="AR109" s="67">
        <v>0.24</v>
      </c>
      <c r="AS109" s="49">
        <f>+AS108/AO108-1</f>
        <v>0.60000000000000009</v>
      </c>
      <c r="AT109" s="49">
        <f>+AT108/AP108-1</f>
        <v>0.66153846153846163</v>
      </c>
      <c r="AU109" s="49">
        <f>+AU108/AQ108-1</f>
        <v>1.2352941176470589</v>
      </c>
      <c r="AV109" s="67">
        <v>1.5</v>
      </c>
      <c r="AW109" s="49">
        <f>+AW108/AS108-1</f>
        <v>0.10000000000000009</v>
      </c>
      <c r="AX109" s="49">
        <f t="shared" ref="AX109" si="110">+AX108/AT108-1</f>
        <v>-0.16666666666666663</v>
      </c>
      <c r="AY109" s="75">
        <v>0.12</v>
      </c>
      <c r="AZ109" s="49">
        <f t="shared" ref="AZ109:BF109" si="111">+AZ108/AV108-1</f>
        <v>-0.35483870967741937</v>
      </c>
      <c r="BA109" s="49">
        <f t="shared" si="111"/>
        <v>-9.0909090909090939E-2</v>
      </c>
      <c r="BB109" s="99">
        <v>0.03</v>
      </c>
      <c r="BC109" s="100">
        <f t="shared" si="111"/>
        <v>-0.17763157894736847</v>
      </c>
      <c r="BD109" s="49">
        <f t="shared" si="111"/>
        <v>-0.25</v>
      </c>
      <c r="BE109" s="49">
        <f t="shared" si="111"/>
        <v>-0.35</v>
      </c>
      <c r="BF109" s="101">
        <f t="shared" si="111"/>
        <v>-0.20819848975188926</v>
      </c>
      <c r="BG109" s="102">
        <v>-0.18</v>
      </c>
      <c r="BH109" s="102">
        <v>-0.15</v>
      </c>
      <c r="BI109" s="102">
        <v>-0.15</v>
      </c>
      <c r="BJ109" s="102">
        <v>-0.15</v>
      </c>
      <c r="BK109" s="102">
        <v>-0.1</v>
      </c>
      <c r="BL109" s="102">
        <v>-0.1</v>
      </c>
      <c r="BM109" s="102">
        <v>-0.1</v>
      </c>
      <c r="BN109" s="102">
        <v>-0.1</v>
      </c>
      <c r="BO109" s="102">
        <v>-0.05</v>
      </c>
      <c r="BP109" s="102">
        <v>-0.05</v>
      </c>
      <c r="BQ109" s="102">
        <v>-0.05</v>
      </c>
      <c r="BR109" s="102">
        <v>-0.05</v>
      </c>
      <c r="BS109" s="102">
        <v>-0.05</v>
      </c>
      <c r="BT109" s="102">
        <v>-0.05</v>
      </c>
      <c r="BU109" s="102">
        <v>-0.05</v>
      </c>
      <c r="BV109" s="102">
        <v>-0.05</v>
      </c>
      <c r="BW109" s="102">
        <v>-0.05</v>
      </c>
      <c r="BX109" s="102">
        <v>-0.05</v>
      </c>
      <c r="BY109" s="102">
        <v>-0.05</v>
      </c>
      <c r="BZ109" s="102">
        <v>-0.05</v>
      </c>
      <c r="CA109" s="102">
        <v>-0.05</v>
      </c>
      <c r="CB109" s="102">
        <v>-0.05</v>
      </c>
      <c r="CC109" s="102">
        <v>-0.05</v>
      </c>
      <c r="CD109" s="102">
        <v>-0.05</v>
      </c>
      <c r="CE109"/>
      <c r="CP109" s="49">
        <f>+CP108/CO108-1</f>
        <v>0.47058823529411775</v>
      </c>
      <c r="CQ109" s="67">
        <v>0.4</v>
      </c>
      <c r="CR109" s="49">
        <f>+CR108/CQ108-1</f>
        <v>-0.11311111111111116</v>
      </c>
      <c r="CS109" s="49">
        <f>+CS108/CR108-1</f>
        <v>-0.24605362064645475</v>
      </c>
      <c r="CT109" s="49">
        <f t="shared" ref="CT109:CX109" si="112">+CT108/CS108-1</f>
        <v>-0.15872382851445666</v>
      </c>
      <c r="CU109" s="49">
        <f t="shared" si="112"/>
        <v>-9.9999999999999867E-2</v>
      </c>
      <c r="CV109" s="49">
        <f t="shared" si="112"/>
        <v>-5.0000000000000044E-2</v>
      </c>
      <c r="CW109" s="49">
        <f t="shared" si="112"/>
        <v>-5.0000000000000266E-2</v>
      </c>
      <c r="CX109" s="49">
        <f t="shared" si="112"/>
        <v>-4.9999999999999933E-2</v>
      </c>
    </row>
    <row r="110" spans="1:102" s="2" customFormat="1" x14ac:dyDescent="0.25">
      <c r="B110" s="72" t="s">
        <v>195</v>
      </c>
      <c r="C110" s="72"/>
      <c r="D110" s="72"/>
      <c r="E110" s="72"/>
      <c r="F110" s="72"/>
      <c r="G110" s="72"/>
      <c r="H110" s="72"/>
      <c r="I110" s="72"/>
      <c r="J110" s="72"/>
      <c r="K110" s="72"/>
      <c r="L110" s="72"/>
      <c r="M110" s="72"/>
      <c r="N110" s="72"/>
      <c r="O110" s="72"/>
      <c r="P110" s="72"/>
      <c r="Q110" s="72"/>
      <c r="R110" s="72"/>
      <c r="AL110" s="2">
        <f>+AL108+AK110</f>
        <v>50</v>
      </c>
      <c r="AM110" s="2">
        <f t="shared" ref="AM110:AN110" si="113">+AM108+AL110</f>
        <v>120</v>
      </c>
      <c r="AN110" s="2">
        <f t="shared" si="113"/>
        <v>220</v>
      </c>
      <c r="AO110" s="2">
        <f>+AO108+AN110</f>
        <v>345</v>
      </c>
      <c r="AP110" s="74">
        <f>+CO110</f>
        <v>475</v>
      </c>
      <c r="AQ110" s="2">
        <f>+AQ108+AP110</f>
        <v>560</v>
      </c>
      <c r="AR110" s="2">
        <f>+AR108+AQ110</f>
        <v>684</v>
      </c>
      <c r="AS110" s="2">
        <f>+AS108+AR110</f>
        <v>884</v>
      </c>
      <c r="AT110" s="74">
        <f>+CP110</f>
        <v>1100</v>
      </c>
      <c r="AU110" s="2">
        <f>+AV110-AV108</f>
        <v>1290</v>
      </c>
      <c r="AV110" s="74">
        <v>1600</v>
      </c>
      <c r="AW110" s="2">
        <f t="shared" ref="AW110:CD110" si="114">+AV110+AW108</f>
        <v>1820</v>
      </c>
      <c r="AX110" s="74">
        <f t="shared" si="114"/>
        <v>2000</v>
      </c>
      <c r="AY110" s="2">
        <f t="shared" si="114"/>
        <v>2212.8000000000002</v>
      </c>
      <c r="AZ110" s="2">
        <f t="shared" si="114"/>
        <v>2412.8000000000002</v>
      </c>
      <c r="BA110" s="2">
        <f t="shared" si="114"/>
        <v>2612.8000000000002</v>
      </c>
      <c r="BB110" s="2">
        <f t="shared" si="114"/>
        <v>2798.2000000000003</v>
      </c>
      <c r="BC110" s="2">
        <f t="shared" si="114"/>
        <v>2973.2000000000003</v>
      </c>
      <c r="BD110" s="2">
        <f t="shared" si="114"/>
        <v>3123.2000000000003</v>
      </c>
      <c r="BE110" s="2">
        <f t="shared" si="114"/>
        <v>3253.2000000000003</v>
      </c>
      <c r="BF110" s="74">
        <v>3400</v>
      </c>
      <c r="BG110" s="2">
        <f t="shared" si="114"/>
        <v>3543.5</v>
      </c>
      <c r="BH110" s="2">
        <f t="shared" si="114"/>
        <v>3671</v>
      </c>
      <c r="BI110" s="2">
        <f t="shared" si="114"/>
        <v>3781.5</v>
      </c>
      <c r="BJ110" s="2">
        <f t="shared" si="114"/>
        <v>3906.2799999999997</v>
      </c>
      <c r="BK110" s="2">
        <f t="shared" si="114"/>
        <v>4035.43</v>
      </c>
      <c r="BL110" s="2">
        <f t="shared" si="114"/>
        <v>4150.18</v>
      </c>
      <c r="BM110" s="2">
        <f t="shared" si="114"/>
        <v>4249.63</v>
      </c>
      <c r="BN110" s="2">
        <f t="shared" si="114"/>
        <v>4361.9319999999998</v>
      </c>
      <c r="BO110" s="2">
        <f t="shared" si="114"/>
        <v>4484.6244999999999</v>
      </c>
      <c r="BP110" s="2">
        <f t="shared" si="114"/>
        <v>4593.6369999999997</v>
      </c>
      <c r="BQ110" s="2">
        <f t="shared" si="114"/>
        <v>4688.1144999999997</v>
      </c>
      <c r="BR110" s="2">
        <f t="shared" si="114"/>
        <v>4794.8013999999994</v>
      </c>
      <c r="BS110" s="2">
        <f t="shared" si="114"/>
        <v>4911.3592749999998</v>
      </c>
      <c r="BT110" s="2">
        <f t="shared" si="114"/>
        <v>5014.9211500000001</v>
      </c>
      <c r="BU110" s="2">
        <f t="shared" si="114"/>
        <v>5104.6747750000004</v>
      </c>
      <c r="BV110" s="2">
        <f t="shared" si="114"/>
        <v>5206.0273299999999</v>
      </c>
      <c r="BW110" s="2">
        <f t="shared" si="114"/>
        <v>5316.7573112499995</v>
      </c>
      <c r="BX110" s="2">
        <f t="shared" si="114"/>
        <v>5415.1410924999991</v>
      </c>
      <c r="BY110" s="2">
        <f t="shared" si="114"/>
        <v>5500.4070362499988</v>
      </c>
      <c r="BZ110" s="2">
        <f t="shared" si="114"/>
        <v>5596.6919634999986</v>
      </c>
      <c r="CA110" s="2">
        <f t="shared" si="114"/>
        <v>5701.8854456874988</v>
      </c>
      <c r="CB110" s="2">
        <f t="shared" si="114"/>
        <v>5795.3500378749986</v>
      </c>
      <c r="CC110" s="2">
        <f t="shared" si="114"/>
        <v>5876.3526844374983</v>
      </c>
      <c r="CD110" s="2">
        <f t="shared" si="114"/>
        <v>5967.8233653249981</v>
      </c>
      <c r="CE110"/>
      <c r="CN110" s="2">
        <f>+CO110-CO108</f>
        <v>50</v>
      </c>
      <c r="CO110" s="2">
        <f>+CP110-CP108</f>
        <v>475</v>
      </c>
      <c r="CP110" s="74">
        <f>+CQ110-CQ108</f>
        <v>1100</v>
      </c>
      <c r="CQ110" s="74">
        <v>2000</v>
      </c>
      <c r="CR110" s="2">
        <f>+CQ110+CR108</f>
        <v>2798.2</v>
      </c>
      <c r="CS110" s="74">
        <f t="shared" ref="CS110:CX110" si="115">+CR110+CS108</f>
        <v>3399.9999999999995</v>
      </c>
      <c r="CT110" s="2">
        <f t="shared" si="115"/>
        <v>3906.2799999999993</v>
      </c>
      <c r="CU110" s="2">
        <f t="shared" si="115"/>
        <v>4361.9319999999989</v>
      </c>
      <c r="CV110" s="2">
        <f t="shared" si="115"/>
        <v>4794.8013999999985</v>
      </c>
      <c r="CW110" s="2">
        <f t="shared" si="115"/>
        <v>5206.0273299999981</v>
      </c>
      <c r="CX110" s="2">
        <f t="shared" si="115"/>
        <v>5596.6919634999977</v>
      </c>
    </row>
    <row r="111" spans="1:102" x14ac:dyDescent="0.25">
      <c r="B111" s="65" t="s">
        <v>182</v>
      </c>
      <c r="C111" s="65"/>
      <c r="D111" s="65"/>
      <c r="E111" s="65"/>
      <c r="F111" s="65"/>
      <c r="G111" s="65"/>
      <c r="H111" s="65"/>
      <c r="I111" s="65"/>
      <c r="J111" s="65"/>
      <c r="K111" s="65"/>
      <c r="L111" s="65"/>
      <c r="M111" s="65"/>
      <c r="N111" s="65"/>
      <c r="O111" s="65"/>
      <c r="P111" s="65"/>
      <c r="Q111" s="65"/>
      <c r="R111" s="65"/>
      <c r="AL111" s="103">
        <v>50</v>
      </c>
      <c r="AN111" s="103">
        <v>70</v>
      </c>
      <c r="AS111" s="52"/>
      <c r="AT111" s="103">
        <v>100</v>
      </c>
      <c r="AW111" s="104" t="s">
        <v>196</v>
      </c>
      <c r="BB111">
        <f>$CR$111</f>
        <v>20</v>
      </c>
      <c r="BC111" s="103">
        <v>18</v>
      </c>
      <c r="BG111" s="1" t="s">
        <v>197</v>
      </c>
      <c r="CR111" s="103">
        <v>20</v>
      </c>
    </row>
    <row r="112" spans="1:102" x14ac:dyDescent="0.25">
      <c r="B112" s="65"/>
      <c r="C112" s="65"/>
      <c r="D112" s="65"/>
      <c r="E112" s="65"/>
      <c r="F112" s="65"/>
      <c r="G112" s="65"/>
      <c r="H112" s="65"/>
      <c r="I112" s="65"/>
      <c r="J112" s="65"/>
      <c r="K112" s="65"/>
      <c r="L112" s="65"/>
      <c r="M112" s="65"/>
      <c r="N112" s="65"/>
      <c r="O112" s="65"/>
      <c r="P112" s="65"/>
      <c r="Q112" s="65"/>
      <c r="R112" s="65"/>
      <c r="AL112" s="103"/>
      <c r="AN112" s="103"/>
      <c r="AY112" s="4" t="s">
        <v>198</v>
      </c>
      <c r="BA112" s="105" t="s">
        <v>199</v>
      </c>
      <c r="BC112" s="103"/>
    </row>
    <row r="113" spans="1:102" x14ac:dyDescent="0.25">
      <c r="B113" s="65" t="s">
        <v>177</v>
      </c>
      <c r="C113" s="65"/>
      <c r="D113" s="65"/>
      <c r="E113" s="65"/>
      <c r="F113" s="65"/>
      <c r="G113" s="65"/>
      <c r="H113" s="65"/>
      <c r="I113" s="65"/>
      <c r="J113" s="65"/>
      <c r="K113" s="65"/>
      <c r="L113" s="65"/>
      <c r="M113" s="65"/>
      <c r="N113" s="65"/>
      <c r="O113" s="65"/>
      <c r="P113" s="65"/>
      <c r="Q113" s="65"/>
      <c r="R113" s="65"/>
      <c r="AL113" s="103"/>
      <c r="AN113" s="103"/>
      <c r="AY113" s="73">
        <v>20</v>
      </c>
      <c r="AZ113" s="73">
        <v>20</v>
      </c>
      <c r="BA113" s="73">
        <v>20</v>
      </c>
      <c r="BC113" s="103"/>
    </row>
    <row r="114" spans="1:102" x14ac:dyDescent="0.25">
      <c r="B114" s="65"/>
      <c r="C114" s="65"/>
      <c r="D114" s="65"/>
      <c r="E114" s="65"/>
      <c r="F114" s="65"/>
      <c r="G114" s="65"/>
      <c r="H114" s="65"/>
      <c r="I114" s="65"/>
      <c r="J114" s="65"/>
      <c r="K114" s="65"/>
      <c r="L114" s="65"/>
      <c r="M114" s="65"/>
      <c r="N114" s="65"/>
      <c r="O114" s="65"/>
      <c r="P114" s="65"/>
      <c r="Q114" s="65"/>
      <c r="R114" s="65"/>
      <c r="AL114" s="103"/>
      <c r="AN114" s="103"/>
      <c r="AY114" s="2"/>
      <c r="BA114" s="104"/>
      <c r="BC114" s="106"/>
    </row>
    <row r="115" spans="1:102" ht="15.75" thickBot="1" x14ac:dyDescent="0.3">
      <c r="A115" s="1" t="s">
        <v>18</v>
      </c>
      <c r="B115" s="34" t="s">
        <v>200</v>
      </c>
      <c r="C115" s="34"/>
      <c r="D115" s="34"/>
      <c r="E115" s="34"/>
      <c r="F115" s="34"/>
      <c r="G115" s="34"/>
      <c r="H115" s="34"/>
      <c r="I115" s="34"/>
      <c r="J115" s="34"/>
      <c r="K115" s="34"/>
      <c r="L115" s="34"/>
      <c r="M115" s="34"/>
      <c r="N115" s="34"/>
      <c r="O115" s="34"/>
      <c r="P115" s="34"/>
      <c r="Q115" s="34"/>
      <c r="R115" s="34"/>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35"/>
      <c r="BH115" s="35"/>
      <c r="BI115" s="35"/>
      <c r="BJ115" s="35"/>
      <c r="BK115" s="35"/>
      <c r="BL115" s="35"/>
      <c r="BM115" s="35"/>
      <c r="BN115" s="35"/>
      <c r="BO115" s="35"/>
      <c r="BP115" s="35"/>
      <c r="BQ115" s="35"/>
      <c r="BR115" s="35"/>
      <c r="BS115" s="35"/>
      <c r="BT115" s="35"/>
      <c r="BU115" s="35"/>
      <c r="BV115" s="35"/>
      <c r="BW115" s="35"/>
      <c r="BX115" s="35"/>
      <c r="BY115" s="35"/>
      <c r="BZ115" s="35"/>
      <c r="CA115" s="35"/>
      <c r="CB115" s="35"/>
      <c r="CC115" s="35"/>
      <c r="CD115" s="35"/>
      <c r="CF115" s="35"/>
      <c r="CG115" s="35"/>
      <c r="CH115" s="35"/>
      <c r="CI115" s="35"/>
      <c r="CJ115" s="35"/>
      <c r="CK115" s="35"/>
      <c r="CL115" s="35"/>
      <c r="CM115" s="35"/>
      <c r="CN115" s="35"/>
      <c r="CO115" s="35"/>
      <c r="CP115" s="35"/>
      <c r="CQ115" s="35"/>
      <c r="CR115" s="35"/>
      <c r="CS115" s="35"/>
      <c r="CT115" s="35"/>
      <c r="CU115" s="35"/>
      <c r="CV115" s="35"/>
      <c r="CW115" s="35"/>
      <c r="CX115" s="35"/>
    </row>
    <row r="116" spans="1:102" s="2" customFormat="1" x14ac:dyDescent="0.25">
      <c r="A116" s="107"/>
      <c r="B116" s="72" t="s">
        <v>201</v>
      </c>
      <c r="C116" s="72"/>
      <c r="D116" s="72"/>
      <c r="E116" s="72"/>
      <c r="F116" s="72"/>
      <c r="G116" s="72"/>
      <c r="H116" s="72"/>
      <c r="I116" s="72"/>
      <c r="J116" s="72"/>
      <c r="K116" s="72"/>
      <c r="L116" s="72"/>
      <c r="M116" s="72"/>
      <c r="N116" s="72"/>
      <c r="O116" s="72"/>
      <c r="P116" s="72"/>
      <c r="Q116" s="72"/>
      <c r="R116" s="72"/>
      <c r="S116" s="73">
        <f t="shared" ref="S116:AL116" si="116">+W116-5</f>
        <v>45</v>
      </c>
      <c r="T116" s="73">
        <f t="shared" si="116"/>
        <v>25</v>
      </c>
      <c r="U116" s="73">
        <f t="shared" si="116"/>
        <v>75</v>
      </c>
      <c r="V116" s="73">
        <f t="shared" si="116"/>
        <v>125</v>
      </c>
      <c r="W116" s="73">
        <f t="shared" si="116"/>
        <v>50</v>
      </c>
      <c r="X116" s="73">
        <f t="shared" si="116"/>
        <v>30</v>
      </c>
      <c r="Y116" s="73">
        <f t="shared" si="116"/>
        <v>80</v>
      </c>
      <c r="Z116" s="73">
        <f t="shared" si="116"/>
        <v>130</v>
      </c>
      <c r="AA116" s="73">
        <f t="shared" si="116"/>
        <v>55</v>
      </c>
      <c r="AB116" s="73">
        <f t="shared" si="116"/>
        <v>35</v>
      </c>
      <c r="AC116" s="73">
        <f t="shared" si="116"/>
        <v>85</v>
      </c>
      <c r="AD116" s="73">
        <f t="shared" si="116"/>
        <v>135</v>
      </c>
      <c r="AE116" s="73">
        <f t="shared" si="116"/>
        <v>60</v>
      </c>
      <c r="AF116" s="73">
        <f t="shared" si="116"/>
        <v>40</v>
      </c>
      <c r="AG116" s="73">
        <f t="shared" si="116"/>
        <v>90</v>
      </c>
      <c r="AH116" s="73">
        <f t="shared" si="116"/>
        <v>140</v>
      </c>
      <c r="AI116" s="73">
        <f t="shared" si="116"/>
        <v>65</v>
      </c>
      <c r="AJ116" s="73">
        <f t="shared" si="116"/>
        <v>45</v>
      </c>
      <c r="AK116" s="73">
        <f t="shared" si="116"/>
        <v>95</v>
      </c>
      <c r="AL116" s="73">
        <f t="shared" si="116"/>
        <v>145</v>
      </c>
      <c r="AM116" s="73">
        <v>70</v>
      </c>
      <c r="AN116" s="73">
        <v>50</v>
      </c>
      <c r="AO116" s="73">
        <v>100</v>
      </c>
      <c r="AP116" s="73">
        <v>150</v>
      </c>
      <c r="AQ116" s="73">
        <f t="shared" ref="AQ116" si="117">+AM116*2</f>
        <v>140</v>
      </c>
      <c r="AR116" s="73">
        <f>+AN116+5</f>
        <v>55</v>
      </c>
      <c r="AS116" s="73">
        <f t="shared" ref="AS116:BF116" si="118">+AO116+5</f>
        <v>105</v>
      </c>
      <c r="AT116" s="73">
        <f t="shared" si="118"/>
        <v>155</v>
      </c>
      <c r="AU116" s="73">
        <v>100</v>
      </c>
      <c r="AV116" s="73">
        <f t="shared" si="118"/>
        <v>60</v>
      </c>
      <c r="AW116" s="73">
        <f t="shared" si="118"/>
        <v>110</v>
      </c>
      <c r="AX116" s="73">
        <f t="shared" si="118"/>
        <v>160</v>
      </c>
      <c r="AY116" s="73">
        <f t="shared" si="118"/>
        <v>105</v>
      </c>
      <c r="AZ116" s="73">
        <f t="shared" si="118"/>
        <v>65</v>
      </c>
      <c r="BA116" s="73">
        <f t="shared" si="118"/>
        <v>115</v>
      </c>
      <c r="BB116" s="73">
        <f t="shared" si="118"/>
        <v>165</v>
      </c>
      <c r="BC116" s="73">
        <f t="shared" si="118"/>
        <v>110</v>
      </c>
      <c r="BD116" s="73">
        <f t="shared" si="118"/>
        <v>70</v>
      </c>
      <c r="BE116" s="73">
        <f t="shared" si="118"/>
        <v>120</v>
      </c>
      <c r="BF116" s="73">
        <f t="shared" si="118"/>
        <v>170</v>
      </c>
      <c r="BG116" s="24">
        <f>+BC116*(1+BG117)</f>
        <v>115.5</v>
      </c>
      <c r="BH116" s="24">
        <f t="shared" ref="BH116:CD116" si="119">+BD116*(1+BH117)</f>
        <v>73.5</v>
      </c>
      <c r="BI116" s="24">
        <f t="shared" si="119"/>
        <v>126</v>
      </c>
      <c r="BJ116" s="24">
        <f t="shared" si="119"/>
        <v>178.5</v>
      </c>
      <c r="BK116" s="24">
        <f t="shared" si="119"/>
        <v>121.27500000000001</v>
      </c>
      <c r="BL116" s="24">
        <f t="shared" si="119"/>
        <v>77.174999999999997</v>
      </c>
      <c r="BM116" s="24">
        <f t="shared" si="119"/>
        <v>132.30000000000001</v>
      </c>
      <c r="BN116" s="24">
        <f t="shared" si="119"/>
        <v>187.42500000000001</v>
      </c>
      <c r="BO116" s="24">
        <f t="shared" si="119"/>
        <v>127.33875</v>
      </c>
      <c r="BP116" s="24">
        <f t="shared" si="119"/>
        <v>81.033749999999998</v>
      </c>
      <c r="BQ116" s="24">
        <f t="shared" si="119"/>
        <v>138.91500000000002</v>
      </c>
      <c r="BR116" s="24">
        <f t="shared" si="119"/>
        <v>196.79625000000001</v>
      </c>
      <c r="BS116" s="24">
        <f t="shared" si="119"/>
        <v>133.70568750000001</v>
      </c>
      <c r="BT116" s="24">
        <f t="shared" si="119"/>
        <v>85.085437499999998</v>
      </c>
      <c r="BU116" s="24">
        <f t="shared" si="119"/>
        <v>145.86075000000002</v>
      </c>
      <c r="BV116" s="24">
        <f t="shared" si="119"/>
        <v>206.63606250000004</v>
      </c>
      <c r="BW116" s="24">
        <f t="shared" si="119"/>
        <v>140.39097187500002</v>
      </c>
      <c r="BX116" s="24">
        <f t="shared" si="119"/>
        <v>89.339709374999998</v>
      </c>
      <c r="BY116" s="24">
        <f t="shared" si="119"/>
        <v>153.15378750000002</v>
      </c>
      <c r="BZ116" s="24">
        <f t="shared" si="119"/>
        <v>216.96786562500006</v>
      </c>
      <c r="CA116" s="24">
        <f t="shared" si="119"/>
        <v>147.41052046875004</v>
      </c>
      <c r="CB116" s="24">
        <f t="shared" si="119"/>
        <v>93.806694843750009</v>
      </c>
      <c r="CC116" s="24">
        <f t="shared" si="119"/>
        <v>160.81147687500004</v>
      </c>
      <c r="CD116" s="24">
        <f t="shared" si="119"/>
        <v>227.81625890625008</v>
      </c>
      <c r="CE116"/>
      <c r="CM116" s="24">
        <f t="shared" ref="CM116:CX116" si="120">+SUMIFS($S116:$CD116,$S$5:$CD$5,"&lt;="&amp;CM$5,$S$5:$CD$5,"&gt;"&amp;CL$5)</f>
        <v>330</v>
      </c>
      <c r="CN116" s="24">
        <f t="shared" si="120"/>
        <v>350</v>
      </c>
      <c r="CO116" s="24">
        <f t="shared" si="120"/>
        <v>370</v>
      </c>
      <c r="CP116" s="24">
        <f t="shared" si="120"/>
        <v>455</v>
      </c>
      <c r="CQ116" s="24">
        <f t="shared" si="120"/>
        <v>430</v>
      </c>
      <c r="CR116" s="24">
        <f t="shared" si="120"/>
        <v>450</v>
      </c>
      <c r="CS116" s="24">
        <f t="shared" si="120"/>
        <v>470</v>
      </c>
      <c r="CT116" s="24">
        <f t="shared" si="120"/>
        <v>493.5</v>
      </c>
      <c r="CU116" s="24">
        <f t="shared" si="120"/>
        <v>518.17499999999995</v>
      </c>
      <c r="CV116" s="24">
        <f t="shared" si="120"/>
        <v>544.08375000000001</v>
      </c>
      <c r="CW116" s="24">
        <f t="shared" si="120"/>
        <v>571.2879375</v>
      </c>
      <c r="CX116" s="24">
        <f t="shared" si="120"/>
        <v>599.85233437500005</v>
      </c>
    </row>
    <row r="117" spans="1:102" ht="15" customHeight="1" x14ac:dyDescent="0.25">
      <c r="B117" s="37" t="s">
        <v>170</v>
      </c>
      <c r="C117" s="37"/>
      <c r="D117" s="37"/>
      <c r="E117" s="37"/>
      <c r="F117" s="37"/>
      <c r="G117" s="37"/>
      <c r="H117" s="37"/>
      <c r="I117" s="37"/>
      <c r="J117" s="37"/>
      <c r="K117" s="37"/>
      <c r="L117" s="37"/>
      <c r="M117" s="37"/>
      <c r="N117" s="37"/>
      <c r="O117" s="37"/>
      <c r="P117" s="37"/>
      <c r="Q117" s="37"/>
      <c r="R117" s="37"/>
      <c r="S117" s="82"/>
      <c r="T117" s="82"/>
      <c r="U117" s="82"/>
      <c r="V117" s="82"/>
      <c r="W117" s="82">
        <f t="shared" ref="W117:BB117" si="121">+IFERROR(W116/S116-1,"")</f>
        <v>0.11111111111111116</v>
      </c>
      <c r="X117" s="82">
        <f t="shared" si="121"/>
        <v>0.19999999999999996</v>
      </c>
      <c r="Y117" s="82">
        <f t="shared" si="121"/>
        <v>6.6666666666666652E-2</v>
      </c>
      <c r="Z117" s="82">
        <f t="shared" si="121"/>
        <v>4.0000000000000036E-2</v>
      </c>
      <c r="AA117" s="82">
        <f t="shared" si="121"/>
        <v>0.10000000000000009</v>
      </c>
      <c r="AB117" s="82">
        <f t="shared" si="121"/>
        <v>0.16666666666666674</v>
      </c>
      <c r="AC117" s="82">
        <f t="shared" si="121"/>
        <v>6.25E-2</v>
      </c>
      <c r="AD117" s="82">
        <f t="shared" si="121"/>
        <v>3.8461538461538547E-2</v>
      </c>
      <c r="AE117" s="82">
        <f t="shared" si="121"/>
        <v>9.0909090909090828E-2</v>
      </c>
      <c r="AF117" s="82">
        <f t="shared" si="121"/>
        <v>0.14285714285714279</v>
      </c>
      <c r="AG117" s="82">
        <f t="shared" si="121"/>
        <v>5.8823529411764719E-2</v>
      </c>
      <c r="AH117" s="82">
        <f t="shared" si="121"/>
        <v>3.7037037037036979E-2</v>
      </c>
      <c r="AI117" s="82">
        <f t="shared" si="121"/>
        <v>8.3333333333333259E-2</v>
      </c>
      <c r="AJ117" s="82">
        <f t="shared" si="121"/>
        <v>0.125</v>
      </c>
      <c r="AK117" s="82">
        <f t="shared" si="121"/>
        <v>5.555555555555558E-2</v>
      </c>
      <c r="AL117" s="82">
        <f t="shared" si="121"/>
        <v>3.5714285714285809E-2</v>
      </c>
      <c r="AM117" s="82">
        <f t="shared" si="121"/>
        <v>7.6923076923076872E-2</v>
      </c>
      <c r="AN117" s="82">
        <f t="shared" si="121"/>
        <v>0.11111111111111116</v>
      </c>
      <c r="AO117" s="82">
        <f t="shared" si="121"/>
        <v>5.2631578947368363E-2</v>
      </c>
      <c r="AP117" s="82">
        <f t="shared" si="121"/>
        <v>3.4482758620689724E-2</v>
      </c>
      <c r="AQ117" s="82">
        <f t="shared" si="121"/>
        <v>1</v>
      </c>
      <c r="AR117" s="82">
        <f t="shared" si="121"/>
        <v>0.10000000000000009</v>
      </c>
      <c r="AS117" s="82">
        <f t="shared" si="121"/>
        <v>5.0000000000000044E-2</v>
      </c>
      <c r="AT117" s="82">
        <f t="shared" si="121"/>
        <v>3.3333333333333437E-2</v>
      </c>
      <c r="AU117" s="82">
        <f t="shared" si="121"/>
        <v>-0.2857142857142857</v>
      </c>
      <c r="AV117" s="82">
        <f t="shared" si="121"/>
        <v>9.0909090909090828E-2</v>
      </c>
      <c r="AW117" s="82">
        <f t="shared" si="121"/>
        <v>4.7619047619047672E-2</v>
      </c>
      <c r="AX117" s="82">
        <f t="shared" si="121"/>
        <v>3.2258064516129004E-2</v>
      </c>
      <c r="AY117" s="82">
        <f t="shared" si="121"/>
        <v>5.0000000000000044E-2</v>
      </c>
      <c r="AZ117" s="82">
        <f t="shared" si="121"/>
        <v>8.3333333333333259E-2</v>
      </c>
      <c r="BA117" s="82">
        <f t="shared" si="121"/>
        <v>4.5454545454545414E-2</v>
      </c>
      <c r="BB117" s="82">
        <f t="shared" si="121"/>
        <v>3.125E-2</v>
      </c>
      <c r="BC117" s="82">
        <f>+IFERROR(BC116/AY116-1,"")</f>
        <v>4.7619047619047672E-2</v>
      </c>
      <c r="BD117" s="82">
        <f t="shared" ref="BD117:BF117" si="122">+IFERROR(BD116/AZ116-1,"")</f>
        <v>7.6923076923076872E-2</v>
      </c>
      <c r="BE117" s="82">
        <f t="shared" si="122"/>
        <v>4.3478260869565188E-2</v>
      </c>
      <c r="BF117" s="82">
        <f t="shared" si="122"/>
        <v>3.0303030303030276E-2</v>
      </c>
      <c r="BG117" s="102">
        <v>0.05</v>
      </c>
      <c r="BH117" s="102">
        <v>0.05</v>
      </c>
      <c r="BI117" s="102">
        <v>0.05</v>
      </c>
      <c r="BJ117" s="102">
        <v>0.05</v>
      </c>
      <c r="BK117" s="102">
        <v>0.05</v>
      </c>
      <c r="BL117" s="102">
        <v>0.05</v>
      </c>
      <c r="BM117" s="102">
        <v>0.05</v>
      </c>
      <c r="BN117" s="102">
        <v>0.05</v>
      </c>
      <c r="BO117" s="102">
        <v>0.05</v>
      </c>
      <c r="BP117" s="102">
        <v>0.05</v>
      </c>
      <c r="BQ117" s="102">
        <v>0.05</v>
      </c>
      <c r="BR117" s="102">
        <v>0.05</v>
      </c>
      <c r="BS117" s="102">
        <v>0.05</v>
      </c>
      <c r="BT117" s="102">
        <v>0.05</v>
      </c>
      <c r="BU117" s="102">
        <v>0.05</v>
      </c>
      <c r="BV117" s="102">
        <v>0.05</v>
      </c>
      <c r="BW117" s="102">
        <v>0.05</v>
      </c>
      <c r="BX117" s="102">
        <v>0.05</v>
      </c>
      <c r="BY117" s="102">
        <v>0.05</v>
      </c>
      <c r="BZ117" s="102">
        <v>0.05</v>
      </c>
      <c r="CA117" s="102">
        <v>0.05</v>
      </c>
      <c r="CB117" s="102">
        <v>0.05</v>
      </c>
      <c r="CC117" s="102">
        <v>0.05</v>
      </c>
      <c r="CD117" s="102">
        <v>0.05</v>
      </c>
      <c r="CG117" s="82"/>
      <c r="CH117" s="82"/>
      <c r="CI117" s="82" t="str">
        <f t="shared" ref="CI117:CP117" si="123">+IFERROR(CI116/CH116-1,"")</f>
        <v/>
      </c>
      <c r="CJ117" s="82" t="str">
        <f t="shared" si="123"/>
        <v/>
      </c>
      <c r="CK117" s="82" t="str">
        <f t="shared" si="123"/>
        <v/>
      </c>
      <c r="CL117" s="82" t="str">
        <f t="shared" si="123"/>
        <v/>
      </c>
      <c r="CM117" s="82" t="str">
        <f t="shared" si="123"/>
        <v/>
      </c>
      <c r="CN117" s="82">
        <f t="shared" si="123"/>
        <v>6.0606060606060552E-2</v>
      </c>
      <c r="CO117" s="82">
        <f t="shared" si="123"/>
        <v>5.7142857142857162E-2</v>
      </c>
      <c r="CP117" s="82">
        <f t="shared" si="123"/>
        <v>0.22972972972972983</v>
      </c>
      <c r="CQ117" s="82">
        <f>+IFERROR(CQ116/CP116-1,"")</f>
        <v>-5.4945054945054972E-2</v>
      </c>
      <c r="CR117" s="82">
        <f>+IFERROR(CR116/CQ116-1,"")</f>
        <v>4.6511627906976827E-2</v>
      </c>
      <c r="CS117" s="82">
        <f t="shared" ref="CS117:CX117" si="124">+IFERROR(CS116/CR116-1,"")</f>
        <v>4.4444444444444509E-2</v>
      </c>
      <c r="CT117" s="108">
        <f t="shared" si="124"/>
        <v>5.0000000000000044E-2</v>
      </c>
      <c r="CU117" s="108">
        <f t="shared" si="124"/>
        <v>4.9999999999999822E-2</v>
      </c>
      <c r="CV117" s="108">
        <f t="shared" si="124"/>
        <v>5.0000000000000044E-2</v>
      </c>
      <c r="CW117" s="108">
        <f t="shared" si="124"/>
        <v>5.0000000000000044E-2</v>
      </c>
      <c r="CX117" s="108">
        <f t="shared" si="124"/>
        <v>5.0000000000000044E-2</v>
      </c>
    </row>
    <row r="118" spans="1:102" x14ac:dyDescent="0.25">
      <c r="A118" s="1"/>
      <c r="B118" s="42"/>
      <c r="C118" s="42"/>
      <c r="D118" s="42"/>
      <c r="E118" s="42"/>
      <c r="F118" s="42"/>
      <c r="G118" s="42"/>
      <c r="H118" s="42"/>
      <c r="I118" s="42"/>
      <c r="J118" s="42"/>
      <c r="K118" s="42"/>
      <c r="L118" s="42"/>
      <c r="M118" s="42"/>
      <c r="N118" s="42"/>
      <c r="O118" s="42"/>
      <c r="P118" s="42"/>
      <c r="Q118" s="42"/>
      <c r="R118" s="42"/>
      <c r="AM118" s="39"/>
      <c r="AN118" s="39"/>
      <c r="AO118" s="39"/>
      <c r="AP118" s="39"/>
      <c r="AQ118" s="39"/>
      <c r="AR118" s="39"/>
      <c r="AS118" s="39"/>
      <c r="AT118" s="39"/>
      <c r="AU118" s="39"/>
      <c r="AV118" s="39"/>
      <c r="AW118" s="39"/>
      <c r="AX118" s="39"/>
      <c r="AY118" s="39"/>
      <c r="AZ118" s="39"/>
      <c r="BA118" s="39"/>
      <c r="BB118" s="39"/>
      <c r="BC118" s="39"/>
      <c r="BD118" s="39"/>
      <c r="BE118" s="39"/>
      <c r="BF118" s="39"/>
      <c r="CM118" s="29"/>
      <c r="CN118" s="29"/>
      <c r="CO118" s="103"/>
      <c r="CP118" s="29"/>
      <c r="CQ118" s="29"/>
      <c r="CR118" s="29"/>
      <c r="CS118" s="29"/>
    </row>
    <row r="119" spans="1:102" x14ac:dyDescent="0.25">
      <c r="B119" s="42" t="s">
        <v>195</v>
      </c>
      <c r="C119" s="42"/>
      <c r="D119" s="42"/>
      <c r="E119" s="42"/>
      <c r="F119" s="42"/>
      <c r="G119" s="42"/>
      <c r="H119" s="42"/>
      <c r="I119" s="42"/>
      <c r="J119" s="42"/>
      <c r="K119" s="42"/>
      <c r="L119" s="42"/>
      <c r="M119" s="42"/>
      <c r="N119" s="42"/>
      <c r="O119" s="42"/>
      <c r="P119" s="42"/>
      <c r="Q119" s="42"/>
      <c r="R119" s="42"/>
      <c r="AN119" s="109">
        <v>5000</v>
      </c>
      <c r="BE119" s="103"/>
    </row>
    <row r="120" spans="1:102" x14ac:dyDescent="0.25">
      <c r="B120" s="42" t="s">
        <v>202</v>
      </c>
      <c r="C120" s="42"/>
      <c r="D120" s="42"/>
      <c r="E120" s="42"/>
      <c r="F120" s="42"/>
      <c r="G120" s="42"/>
      <c r="H120" s="42"/>
      <c r="I120" s="42"/>
      <c r="J120" s="42"/>
      <c r="K120" s="42"/>
      <c r="L120" s="42"/>
      <c r="M120" s="42"/>
      <c r="N120" s="42"/>
      <c r="O120" s="42"/>
      <c r="P120" s="42"/>
      <c r="Q120" s="42"/>
      <c r="R120" s="42"/>
      <c r="BE120" s="103">
        <v>125</v>
      </c>
    </row>
    <row r="121" spans="1:102" x14ac:dyDescent="0.25">
      <c r="B121" s="42"/>
      <c r="C121" s="42"/>
      <c r="D121" s="42"/>
      <c r="E121" s="42"/>
      <c r="F121" s="42"/>
      <c r="G121" s="42"/>
      <c r="H121" s="42"/>
      <c r="I121" s="42"/>
      <c r="J121" s="42"/>
      <c r="K121" s="42"/>
      <c r="L121" s="42"/>
      <c r="M121" s="42"/>
      <c r="N121" s="42"/>
      <c r="O121" s="42"/>
      <c r="P121" s="42"/>
      <c r="Q121" s="42"/>
      <c r="R121" s="42"/>
      <c r="BE121" s="103"/>
    </row>
    <row r="122" spans="1:102" ht="15.75" thickBot="1" x14ac:dyDescent="0.3">
      <c r="A122" s="1" t="s">
        <v>18</v>
      </c>
      <c r="B122" s="34" t="s">
        <v>203</v>
      </c>
      <c r="C122" s="34"/>
      <c r="D122" s="34"/>
      <c r="E122" s="34"/>
      <c r="F122" s="34"/>
      <c r="G122" s="34"/>
      <c r="H122" s="34"/>
      <c r="I122" s="34"/>
      <c r="J122" s="34"/>
      <c r="K122" s="34"/>
      <c r="L122" s="34"/>
      <c r="M122" s="34"/>
      <c r="N122" s="34"/>
      <c r="O122" s="34"/>
      <c r="P122" s="34"/>
      <c r="Q122" s="34"/>
      <c r="R122" s="34"/>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c r="BB122" s="35"/>
      <c r="BC122" s="35"/>
      <c r="BD122" s="35"/>
      <c r="BE122" s="35"/>
      <c r="BF122" s="35"/>
      <c r="BG122" s="35"/>
      <c r="BH122" s="35"/>
      <c r="BI122" s="35"/>
      <c r="BJ122" s="35"/>
      <c r="BK122" s="35"/>
      <c r="BL122" s="35"/>
      <c r="BM122" s="35"/>
      <c r="BN122" s="35"/>
      <c r="BO122" s="35"/>
      <c r="BP122" s="35"/>
      <c r="BQ122" s="35"/>
      <c r="BR122" s="35"/>
      <c r="BS122" s="35"/>
      <c r="BT122" s="35"/>
      <c r="BU122" s="35"/>
      <c r="BV122" s="35"/>
      <c r="BW122" s="35"/>
      <c r="BX122" s="35"/>
      <c r="BY122" s="35"/>
      <c r="BZ122" s="35"/>
      <c r="CA122" s="35"/>
      <c r="CB122" s="35"/>
      <c r="CC122" s="35"/>
      <c r="CD122" s="35"/>
      <c r="CF122" s="35"/>
      <c r="CG122" s="35"/>
      <c r="CH122" s="35"/>
      <c r="CI122" s="35"/>
      <c r="CJ122" s="35"/>
      <c r="CK122" s="35"/>
      <c r="CL122" s="35"/>
      <c r="CM122" s="35"/>
      <c r="CN122" s="35"/>
      <c r="CO122" s="35"/>
      <c r="CP122" s="35"/>
      <c r="CQ122" s="35"/>
      <c r="CR122" s="35"/>
      <c r="CS122" s="35"/>
      <c r="CT122" s="35"/>
      <c r="CU122" s="35"/>
      <c r="CV122" s="35"/>
      <c r="CW122" s="35"/>
      <c r="CX122" s="35"/>
    </row>
    <row r="123" spans="1:102" x14ac:dyDescent="0.25">
      <c r="A123" s="1"/>
      <c r="B123" s="65" t="s">
        <v>201</v>
      </c>
      <c r="C123" s="65"/>
      <c r="D123" s="65"/>
      <c r="E123" s="65"/>
      <c r="F123" s="65"/>
      <c r="G123" s="65"/>
      <c r="H123" s="65"/>
      <c r="I123" s="65"/>
      <c r="J123" s="65"/>
      <c r="K123" s="65"/>
      <c r="L123" s="65"/>
      <c r="M123" s="65"/>
      <c r="N123" s="65"/>
      <c r="O123" s="65"/>
      <c r="P123" s="65"/>
      <c r="Q123" s="65"/>
      <c r="R123" s="65"/>
      <c r="AM123" s="52">
        <f t="shared" ref="AM123:CD123" si="125">+AM143+AM162</f>
        <v>106.54583333333332</v>
      </c>
      <c r="AN123" s="52">
        <f t="shared" si="125"/>
        <v>195.11041666666665</v>
      </c>
      <c r="AO123" s="52">
        <f t="shared" si="125"/>
        <v>287.23333333333335</v>
      </c>
      <c r="AP123" s="52">
        <f t="shared" si="125"/>
        <v>173.41041666666666</v>
      </c>
      <c r="AQ123" s="52">
        <f t="shared" si="125"/>
        <v>142.41208978734576</v>
      </c>
      <c r="AR123" s="52">
        <f t="shared" si="125"/>
        <v>176.2811178787083</v>
      </c>
      <c r="AS123" s="52">
        <f t="shared" si="125"/>
        <v>298.98527172486217</v>
      </c>
      <c r="AT123" s="52">
        <f t="shared" si="125"/>
        <v>193.92752060908373</v>
      </c>
      <c r="AU123" s="52">
        <f t="shared" si="125"/>
        <v>105.40046285114204</v>
      </c>
      <c r="AV123" s="52">
        <f t="shared" si="125"/>
        <v>211.98551681806248</v>
      </c>
      <c r="AW123" s="52">
        <f t="shared" si="125"/>
        <v>310.7215353111053</v>
      </c>
      <c r="AX123" s="52">
        <f t="shared" si="125"/>
        <v>202.53147663953794</v>
      </c>
      <c r="AY123" s="52">
        <f t="shared" si="125"/>
        <v>110.12427599369913</v>
      </c>
      <c r="AZ123" s="52">
        <f t="shared" si="125"/>
        <v>219.24198745896558</v>
      </c>
      <c r="BA123" s="52">
        <f t="shared" si="125"/>
        <v>322.98035207666055</v>
      </c>
      <c r="BB123" s="52">
        <f t="shared" si="125"/>
        <v>211.54378207151487</v>
      </c>
      <c r="BC123" s="52">
        <f t="shared" si="125"/>
        <v>115.07335559338409</v>
      </c>
      <c r="BD123" s="52">
        <f t="shared" si="125"/>
        <v>237.78701886330356</v>
      </c>
      <c r="BE123" s="52">
        <f t="shared" si="125"/>
        <v>339.1293696804936</v>
      </c>
      <c r="BF123" s="52">
        <f t="shared" si="125"/>
        <v>224.29665981669061</v>
      </c>
      <c r="BG123" s="52">
        <f t="shared" si="125"/>
        <v>126.72140733352251</v>
      </c>
      <c r="BH123" s="52">
        <f t="shared" si="125"/>
        <v>529.133536203728</v>
      </c>
      <c r="BI123" s="52">
        <f t="shared" si="125"/>
        <v>442.37228792441954</v>
      </c>
      <c r="BJ123" s="52">
        <f t="shared" si="125"/>
        <v>287.99035090082702</v>
      </c>
      <c r="BK123" s="52">
        <f t="shared" si="125"/>
        <v>121.27937722783014</v>
      </c>
      <c r="BL123" s="52">
        <f t="shared" si="125"/>
        <v>546.01605199982396</v>
      </c>
      <c r="BM123" s="52">
        <f t="shared" si="125"/>
        <v>459.23749948921954</v>
      </c>
      <c r="BN123" s="52">
        <f t="shared" si="125"/>
        <v>303.0340403779004</v>
      </c>
      <c r="BO123" s="52">
        <f t="shared" si="125"/>
        <v>126.27349179092084</v>
      </c>
      <c r="BP123" s="52">
        <f t="shared" si="125"/>
        <v>541.29521301391446</v>
      </c>
      <c r="BQ123" s="52">
        <f t="shared" si="125"/>
        <v>464.07090232064053</v>
      </c>
      <c r="BR123" s="52">
        <f t="shared" si="125"/>
        <v>309.76186186816176</v>
      </c>
      <c r="BS123" s="52">
        <f t="shared" si="125"/>
        <v>131.94525380148642</v>
      </c>
      <c r="BT123" s="52">
        <f t="shared" si="125"/>
        <v>551.3715736646102</v>
      </c>
      <c r="BU123" s="52">
        <f t="shared" si="125"/>
        <v>481.53604743667256</v>
      </c>
      <c r="BV123" s="52">
        <f t="shared" si="125"/>
        <v>321.83715496156992</v>
      </c>
      <c r="BW123" s="52">
        <f t="shared" si="125"/>
        <v>137.88776566100063</v>
      </c>
      <c r="BX123" s="52">
        <f t="shared" si="125"/>
        <v>561.88198434784067</v>
      </c>
      <c r="BY123" s="52">
        <f t="shared" si="125"/>
        <v>499.80468180850625</v>
      </c>
      <c r="BZ123" s="52">
        <f t="shared" si="125"/>
        <v>334.49295670964841</v>
      </c>
      <c r="CA123" s="52">
        <f t="shared" si="125"/>
        <v>144.1143080968794</v>
      </c>
      <c r="CB123" s="52">
        <f t="shared" si="125"/>
        <v>572.84675220523275</v>
      </c>
      <c r="CC123" s="52">
        <f t="shared" si="125"/>
        <v>518.91558453893151</v>
      </c>
      <c r="CD123" s="52">
        <f t="shared" si="125"/>
        <v>347.75782742513081</v>
      </c>
      <c r="CE123" s="52"/>
      <c r="CM123" s="50">
        <f t="shared" ref="CM123:CX123" si="126">+SUMIFS($S123:$CD123,$S$5:$CD$5,"&lt;="&amp;CM$5,$S$5:$CD$5,"&gt;"&amp;CL$5)</f>
        <v>0</v>
      </c>
      <c r="CN123" s="50">
        <f t="shared" si="126"/>
        <v>0</v>
      </c>
      <c r="CO123" s="50">
        <f t="shared" si="126"/>
        <v>762.3</v>
      </c>
      <c r="CP123" s="50">
        <f t="shared" si="126"/>
        <v>811.60599999999999</v>
      </c>
      <c r="CQ123" s="50">
        <f t="shared" si="126"/>
        <v>830.63899161984773</v>
      </c>
      <c r="CR123" s="50">
        <f t="shared" si="126"/>
        <v>863.89039760084017</v>
      </c>
      <c r="CS123" s="50">
        <f t="shared" si="126"/>
        <v>916.28640395387185</v>
      </c>
      <c r="CT123" s="50">
        <f t="shared" si="126"/>
        <v>1386.2175823624971</v>
      </c>
      <c r="CU123" s="50">
        <f t="shared" si="126"/>
        <v>1429.5669690947739</v>
      </c>
      <c r="CV123" s="50">
        <f t="shared" si="126"/>
        <v>1441.4014689936375</v>
      </c>
      <c r="CW123" s="50">
        <f t="shared" si="126"/>
        <v>1486.6900298643391</v>
      </c>
      <c r="CX123" s="50">
        <f t="shared" si="126"/>
        <v>1534.0673885269962</v>
      </c>
    </row>
    <row r="124" spans="1:102" ht="15" customHeight="1" x14ac:dyDescent="0.25">
      <c r="B124" s="37" t="s">
        <v>151</v>
      </c>
      <c r="C124" s="37"/>
      <c r="D124" s="37"/>
      <c r="E124" s="37"/>
      <c r="F124" s="37"/>
      <c r="G124" s="37"/>
      <c r="H124" s="37"/>
      <c r="I124" s="37"/>
      <c r="J124" s="37"/>
      <c r="K124" s="37"/>
      <c r="L124" s="37"/>
      <c r="M124" s="37"/>
      <c r="N124" s="37"/>
      <c r="O124" s="37"/>
      <c r="P124" s="37"/>
      <c r="Q124" s="37"/>
      <c r="R124" s="37"/>
      <c r="S124" s="82"/>
      <c r="T124" s="82"/>
      <c r="U124" s="82"/>
      <c r="V124" s="82"/>
      <c r="W124" s="82" t="str">
        <f t="shared" ref="W124:CD124" si="127">+IFERROR(W123/S123-1,"")</f>
        <v/>
      </c>
      <c r="X124" s="82" t="str">
        <f t="shared" si="127"/>
        <v/>
      </c>
      <c r="Y124" s="82" t="str">
        <f t="shared" si="127"/>
        <v/>
      </c>
      <c r="Z124" s="82" t="str">
        <f t="shared" si="127"/>
        <v/>
      </c>
      <c r="AA124" s="82" t="str">
        <f t="shared" si="127"/>
        <v/>
      </c>
      <c r="AB124" s="82" t="str">
        <f t="shared" si="127"/>
        <v/>
      </c>
      <c r="AC124" s="82" t="str">
        <f t="shared" si="127"/>
        <v/>
      </c>
      <c r="AD124" s="82" t="str">
        <f t="shared" si="127"/>
        <v/>
      </c>
      <c r="AE124" s="82" t="str">
        <f t="shared" si="127"/>
        <v/>
      </c>
      <c r="AF124" s="82" t="str">
        <f t="shared" si="127"/>
        <v/>
      </c>
      <c r="AG124" s="82" t="str">
        <f t="shared" si="127"/>
        <v/>
      </c>
      <c r="AH124" s="82" t="str">
        <f t="shared" si="127"/>
        <v/>
      </c>
      <c r="AI124" s="82" t="str">
        <f t="shared" si="127"/>
        <v/>
      </c>
      <c r="AJ124" s="82" t="str">
        <f t="shared" si="127"/>
        <v/>
      </c>
      <c r="AK124" s="82" t="str">
        <f t="shared" si="127"/>
        <v/>
      </c>
      <c r="AL124" s="82" t="str">
        <f t="shared" si="127"/>
        <v/>
      </c>
      <c r="AM124" s="82" t="str">
        <f t="shared" si="127"/>
        <v/>
      </c>
      <c r="AN124" s="82" t="str">
        <f t="shared" si="127"/>
        <v/>
      </c>
      <c r="AO124" s="82" t="str">
        <f t="shared" si="127"/>
        <v/>
      </c>
      <c r="AP124" s="82" t="str">
        <f t="shared" si="127"/>
        <v/>
      </c>
      <c r="AQ124" s="82">
        <f t="shared" si="127"/>
        <v>0.33662749008497861</v>
      </c>
      <c r="AR124" s="82">
        <f t="shared" si="127"/>
        <v>-9.6505861192060172E-2</v>
      </c>
      <c r="AS124" s="82">
        <f t="shared" si="127"/>
        <v>4.0914256904475366E-2</v>
      </c>
      <c r="AT124" s="82">
        <f t="shared" si="127"/>
        <v>0.11831529118493211</v>
      </c>
      <c r="AU124" s="82">
        <f t="shared" si="127"/>
        <v>-0.25989104570735999</v>
      </c>
      <c r="AV124" s="82">
        <f t="shared" si="127"/>
        <v>0.20254239006993857</v>
      </c>
      <c r="AW124" s="82">
        <f t="shared" si="127"/>
        <v>3.925365125357505E-2</v>
      </c>
      <c r="AX124" s="82">
        <f t="shared" si="127"/>
        <v>4.436686450397076E-2</v>
      </c>
      <c r="AY124" s="82">
        <f t="shared" si="127"/>
        <v>4.48177646926331E-2</v>
      </c>
      <c r="AZ124" s="82">
        <f t="shared" si="127"/>
        <v>3.4230973652464192E-2</v>
      </c>
      <c r="BA124" s="82">
        <f t="shared" si="127"/>
        <v>3.9452742640709859E-2</v>
      </c>
      <c r="BB124" s="82">
        <f t="shared" si="127"/>
        <v>4.4498295186070624E-2</v>
      </c>
      <c r="BC124" s="82">
        <f t="shared" si="127"/>
        <v>4.4940859361183305E-2</v>
      </c>
      <c r="BD124" s="82">
        <f t="shared" si="127"/>
        <v>8.4587042925839961E-2</v>
      </c>
      <c r="BE124" s="82">
        <f t="shared" si="127"/>
        <v>5.0000000000000044E-2</v>
      </c>
      <c r="BF124" s="82">
        <f t="shared" si="127"/>
        <v>6.0284814898811323E-2</v>
      </c>
      <c r="BG124" s="82">
        <f t="shared" si="127"/>
        <v>0.10122283894542217</v>
      </c>
      <c r="BH124" s="82">
        <f t="shared" si="127"/>
        <v>1.2252414733703803</v>
      </c>
      <c r="BI124" s="82">
        <f t="shared" si="127"/>
        <v>0.30443520223917764</v>
      </c>
      <c r="BJ124" s="82">
        <f t="shared" si="127"/>
        <v>0.28397075166518726</v>
      </c>
      <c r="BK124" s="82">
        <f t="shared" si="127"/>
        <v>-4.2944836395079622E-2</v>
      </c>
      <c r="BL124" s="82">
        <f t="shared" si="127"/>
        <v>3.1905964451279578E-2</v>
      </c>
      <c r="BM124" s="82">
        <f t="shared" si="127"/>
        <v>3.8124475753059439E-2</v>
      </c>
      <c r="BN124" s="82">
        <f t="shared" si="127"/>
        <v>5.2236783038102086E-2</v>
      </c>
      <c r="BO124" s="82">
        <f t="shared" si="127"/>
        <v>4.1178596701638481E-2</v>
      </c>
      <c r="BP124" s="82">
        <f t="shared" si="127"/>
        <v>-8.645971063706015E-3</v>
      </c>
      <c r="BQ124" s="82">
        <f t="shared" si="127"/>
        <v>1.0524843543475493E-2</v>
      </c>
      <c r="BR124" s="82">
        <f t="shared" si="127"/>
        <v>2.2201537100820179E-2</v>
      </c>
      <c r="BS124" s="82">
        <f t="shared" si="127"/>
        <v>4.491648983586094E-2</v>
      </c>
      <c r="BT124" s="82">
        <f t="shared" si="127"/>
        <v>1.861527759425563E-2</v>
      </c>
      <c r="BU124" s="82">
        <f t="shared" si="127"/>
        <v>3.7634648129618808E-2</v>
      </c>
      <c r="BV124" s="82">
        <f t="shared" si="127"/>
        <v>3.8982504239167826E-2</v>
      </c>
      <c r="BW124" s="82">
        <f t="shared" si="127"/>
        <v>4.5037708354821238E-2</v>
      </c>
      <c r="BX124" s="82">
        <f t="shared" si="127"/>
        <v>1.9062300606784266E-2</v>
      </c>
      <c r="BY124" s="82">
        <f t="shared" si="127"/>
        <v>3.793824879587282E-2</v>
      </c>
      <c r="BZ124" s="82">
        <f t="shared" si="127"/>
        <v>3.9323619268228027E-2</v>
      </c>
      <c r="CA124" s="82">
        <f t="shared" si="127"/>
        <v>4.5156598237923617E-2</v>
      </c>
      <c r="CB124" s="82">
        <f t="shared" si="127"/>
        <v>1.9514360956275345E-2</v>
      </c>
      <c r="CC124" s="82">
        <f t="shared" si="127"/>
        <v>3.8236742123490819E-2</v>
      </c>
      <c r="CD124" s="82">
        <f t="shared" si="127"/>
        <v>3.9656651805068499E-2</v>
      </c>
      <c r="CG124" s="82"/>
      <c r="CH124" s="82"/>
      <c r="CI124" s="82" t="str">
        <f t="shared" ref="CI124:CL124" si="128">+IFERROR(CI123/CH123-1,"")</f>
        <v/>
      </c>
      <c r="CJ124" s="82" t="str">
        <f t="shared" si="128"/>
        <v/>
      </c>
      <c r="CK124" s="82" t="str">
        <f t="shared" si="128"/>
        <v/>
      </c>
      <c r="CL124" s="82" t="str">
        <f t="shared" si="128"/>
        <v/>
      </c>
      <c r="CM124" s="82"/>
      <c r="CN124" s="82" t="str">
        <f t="shared" ref="CN124:CP124" si="129">+IFERROR(CN123/CM123-1,"")</f>
        <v/>
      </c>
      <c r="CO124" s="82" t="str">
        <f t="shared" si="129"/>
        <v/>
      </c>
      <c r="CP124" s="82">
        <f t="shared" si="129"/>
        <v>6.4680571953299237E-2</v>
      </c>
      <c r="CQ124" s="82">
        <f>+IFERROR(CQ123/CP123-1,"")</f>
        <v>2.3451023797073534E-2</v>
      </c>
      <c r="CR124" s="82">
        <f>+IFERROR(CR123/CQ123-1,"")</f>
        <v>4.0031116184599203E-2</v>
      </c>
      <c r="CS124" s="82">
        <f t="shared" ref="CS124:CX124" si="130">+IFERROR(CS123/CR123-1,"")</f>
        <v>6.0651219759524588E-2</v>
      </c>
      <c r="CT124" s="82">
        <f t="shared" si="130"/>
        <v>0.512864947445278</v>
      </c>
      <c r="CU124" s="82">
        <f t="shared" si="130"/>
        <v>3.1271704589403315E-2</v>
      </c>
      <c r="CV124" s="82">
        <f t="shared" si="130"/>
        <v>8.2783809046438339E-3</v>
      </c>
      <c r="CW124" s="82">
        <f t="shared" si="130"/>
        <v>3.1419810403219062E-2</v>
      </c>
      <c r="CX124" s="82">
        <f t="shared" si="130"/>
        <v>3.1867677667132943E-2</v>
      </c>
    </row>
    <row r="125" spans="1:102" x14ac:dyDescent="0.25">
      <c r="A125" s="1"/>
      <c r="B125" s="65"/>
      <c r="C125" s="65"/>
      <c r="D125" s="65"/>
      <c r="E125" s="65"/>
      <c r="F125" s="65"/>
      <c r="G125" s="65"/>
      <c r="H125" s="65"/>
      <c r="I125" s="65"/>
      <c r="J125" s="65"/>
      <c r="K125" s="65"/>
      <c r="L125" s="65"/>
      <c r="M125" s="65"/>
      <c r="N125" s="65"/>
      <c r="O125" s="65"/>
      <c r="P125" s="65"/>
      <c r="Q125" s="65"/>
      <c r="R125" s="65"/>
      <c r="BI125" s="5" t="s">
        <v>204</v>
      </c>
    </row>
    <row r="126" spans="1:102" s="52" customFormat="1" x14ac:dyDescent="0.25">
      <c r="A126" s="110"/>
      <c r="B126" s="48" t="s">
        <v>205</v>
      </c>
      <c r="C126" s="48"/>
      <c r="D126" s="48"/>
      <c r="E126" s="48"/>
      <c r="F126" s="48"/>
      <c r="G126" s="48"/>
      <c r="H126" s="48"/>
      <c r="I126" s="48"/>
      <c r="J126" s="48"/>
      <c r="K126" s="48"/>
      <c r="L126" s="48"/>
      <c r="M126" s="48"/>
      <c r="N126" s="48"/>
      <c r="O126" s="48"/>
      <c r="P126" s="48"/>
      <c r="Q126" s="48"/>
      <c r="R126" s="48"/>
      <c r="S126" s="51"/>
      <c r="T126" s="51"/>
      <c r="U126" s="51"/>
      <c r="V126" s="51"/>
      <c r="W126" s="51"/>
      <c r="X126" s="51"/>
      <c r="Y126" s="51"/>
      <c r="Z126" s="51"/>
      <c r="AA126" s="51"/>
      <c r="AB126" s="51"/>
      <c r="AC126" s="51"/>
      <c r="AD126" s="51"/>
      <c r="AE126" s="51"/>
      <c r="AF126" s="51"/>
      <c r="AG126" s="51"/>
      <c r="AH126" s="51"/>
      <c r="AI126" s="53"/>
      <c r="AJ126" s="53"/>
      <c r="AK126" s="53"/>
      <c r="AL126" s="53"/>
      <c r="AM126" s="52">
        <f t="shared" ref="AM126:CD126" si="131">+AM146+AM165</f>
        <v>89.04583333333332</v>
      </c>
      <c r="AN126" s="52">
        <f t="shared" si="131"/>
        <v>88.010416666666657</v>
      </c>
      <c r="AO126" s="52">
        <f t="shared" si="131"/>
        <v>182.23333333333335</v>
      </c>
      <c r="AP126" s="52">
        <f t="shared" si="131"/>
        <v>137.71041666666667</v>
      </c>
      <c r="AQ126" s="52">
        <f t="shared" si="131"/>
        <v>124.56208978734577</v>
      </c>
      <c r="AR126" s="52">
        <f t="shared" si="131"/>
        <v>67.039117878708311</v>
      </c>
      <c r="AS126" s="52">
        <f t="shared" si="131"/>
        <v>191.88527172486215</v>
      </c>
      <c r="AT126" s="52">
        <f t="shared" si="131"/>
        <v>157.51352060908374</v>
      </c>
      <c r="AU126" s="52">
        <f t="shared" si="131"/>
        <v>87.19346285114203</v>
      </c>
      <c r="AV126" s="52">
        <f t="shared" si="131"/>
        <v>100.55867681806247</v>
      </c>
      <c r="AW126" s="52">
        <f t="shared" si="131"/>
        <v>201.47953531110528</v>
      </c>
      <c r="AX126" s="52">
        <f t="shared" si="131"/>
        <v>165.38919663953794</v>
      </c>
      <c r="AY126" s="52">
        <f t="shared" si="131"/>
        <v>91.553135993699129</v>
      </c>
      <c r="AZ126" s="52">
        <f t="shared" si="131"/>
        <v>105.5866106589656</v>
      </c>
      <c r="BA126" s="52">
        <f t="shared" si="131"/>
        <v>211.55351207666055</v>
      </c>
      <c r="BB126" s="52">
        <f t="shared" si="131"/>
        <v>173.65865647151486</v>
      </c>
      <c r="BC126" s="52">
        <f t="shared" si="131"/>
        <v>96.130792793384089</v>
      </c>
      <c r="BD126" s="52">
        <f t="shared" si="131"/>
        <v>111.92180729850354</v>
      </c>
      <c r="BE126" s="52">
        <f t="shared" si="131"/>
        <v>215.73210344049357</v>
      </c>
      <c r="BF126" s="52">
        <f t="shared" si="131"/>
        <v>182.34158929509061</v>
      </c>
      <c r="BG126" s="52">
        <f t="shared" si="131"/>
        <v>105.74387207272251</v>
      </c>
      <c r="BH126" s="52">
        <f t="shared" si="131"/>
        <v>145.133536203728</v>
      </c>
      <c r="BI126" s="52">
        <f t="shared" si="131"/>
        <v>283.37228792441954</v>
      </c>
      <c r="BJ126" s="52">
        <f t="shared" si="131"/>
        <v>204.99035090082702</v>
      </c>
      <c r="BK126" s="52">
        <f t="shared" si="131"/>
        <v>99.882291261814132</v>
      </c>
      <c r="BL126" s="52">
        <f t="shared" si="131"/>
        <v>147.633536203728</v>
      </c>
      <c r="BM126" s="52">
        <f t="shared" si="131"/>
        <v>288.37228792441954</v>
      </c>
      <c r="BN126" s="52">
        <f t="shared" si="131"/>
        <v>215.23986844586838</v>
      </c>
      <c r="BO126" s="52">
        <f t="shared" si="131"/>
        <v>104.87640582490484</v>
      </c>
      <c r="BP126" s="52">
        <f t="shared" si="131"/>
        <v>155.0152130139144</v>
      </c>
      <c r="BQ126" s="52">
        <f t="shared" si="131"/>
        <v>302.7909023206405</v>
      </c>
      <c r="BR126" s="52">
        <f t="shared" si="131"/>
        <v>226.0018618681618</v>
      </c>
      <c r="BS126" s="52">
        <f t="shared" si="131"/>
        <v>110.12022611615009</v>
      </c>
      <c r="BT126" s="52">
        <f t="shared" si="131"/>
        <v>162.76597366461013</v>
      </c>
      <c r="BU126" s="52">
        <f t="shared" si="131"/>
        <v>317.93044743667258</v>
      </c>
      <c r="BV126" s="52">
        <f t="shared" si="131"/>
        <v>237.30195496156989</v>
      </c>
      <c r="BW126" s="52">
        <f t="shared" si="131"/>
        <v>115.6262374219576</v>
      </c>
      <c r="BX126" s="52">
        <f t="shared" si="131"/>
        <v>170.90427234784065</v>
      </c>
      <c r="BY126" s="52">
        <f t="shared" si="131"/>
        <v>333.82696980850619</v>
      </c>
      <c r="BZ126" s="52">
        <f t="shared" si="131"/>
        <v>249.1670527096484</v>
      </c>
      <c r="CA126" s="52">
        <f t="shared" si="131"/>
        <v>121.40754929305548</v>
      </c>
      <c r="CB126" s="52">
        <f t="shared" si="131"/>
        <v>179.4494859652327</v>
      </c>
      <c r="CC126" s="52">
        <f t="shared" si="131"/>
        <v>350.51831829893149</v>
      </c>
      <c r="CD126" s="52">
        <f t="shared" si="131"/>
        <v>261.62540534513084</v>
      </c>
      <c r="CM126" s="50">
        <f t="shared" ref="CM126:CX126" si="132">+SUMIFS($S126:$CD126,$S$5:$CD$5,"&lt;="&amp;CM$5,$S$5:$CD$5,"&gt;"&amp;CL$5)</f>
        <v>0</v>
      </c>
      <c r="CN126" s="50">
        <f t="shared" si="132"/>
        <v>0</v>
      </c>
      <c r="CO126" s="50">
        <f t="shared" si="132"/>
        <v>497</v>
      </c>
      <c r="CP126" s="50">
        <f t="shared" si="132"/>
        <v>541</v>
      </c>
      <c r="CQ126" s="50">
        <f t="shared" si="132"/>
        <v>554.62087161984778</v>
      </c>
      <c r="CR126" s="50">
        <f t="shared" si="132"/>
        <v>582.35191520084015</v>
      </c>
      <c r="CS126" s="50">
        <f t="shared" si="132"/>
        <v>606.12629282747184</v>
      </c>
      <c r="CT126" s="50">
        <f t="shared" si="132"/>
        <v>739.24004710169709</v>
      </c>
      <c r="CU126" s="50">
        <f t="shared" si="132"/>
        <v>751.12798383583015</v>
      </c>
      <c r="CV126" s="50">
        <f t="shared" si="132"/>
        <v>788.68438302762149</v>
      </c>
      <c r="CW126" s="50">
        <f t="shared" si="132"/>
        <v>828.11860217900266</v>
      </c>
      <c r="CX126" s="50">
        <f t="shared" si="132"/>
        <v>869.52453228795287</v>
      </c>
    </row>
    <row r="127" spans="1:102" ht="15" customHeight="1" x14ac:dyDescent="0.25">
      <c r="B127" s="37" t="s">
        <v>151</v>
      </c>
      <c r="C127" s="37"/>
      <c r="D127" s="37"/>
      <c r="E127" s="37"/>
      <c r="F127" s="37"/>
      <c r="G127" s="37"/>
      <c r="H127" s="37"/>
      <c r="I127" s="37"/>
      <c r="J127" s="37"/>
      <c r="K127" s="37"/>
      <c r="L127" s="37"/>
      <c r="M127" s="37"/>
      <c r="N127" s="37"/>
      <c r="O127" s="37"/>
      <c r="P127" s="37"/>
      <c r="Q127" s="37"/>
      <c r="R127" s="37"/>
      <c r="S127" s="82"/>
      <c r="T127" s="82"/>
      <c r="U127" s="82"/>
      <c r="V127" s="82"/>
      <c r="W127" s="82" t="str">
        <f t="shared" ref="W127:CD127" si="133">+IFERROR(W126/S126-1,"")</f>
        <v/>
      </c>
      <c r="X127" s="82" t="str">
        <f t="shared" si="133"/>
        <v/>
      </c>
      <c r="Y127" s="82" t="str">
        <f t="shared" si="133"/>
        <v/>
      </c>
      <c r="Z127" s="82" t="str">
        <f t="shared" si="133"/>
        <v/>
      </c>
      <c r="AA127" s="82" t="str">
        <f t="shared" si="133"/>
        <v/>
      </c>
      <c r="AB127" s="82" t="str">
        <f t="shared" si="133"/>
        <v/>
      </c>
      <c r="AC127" s="82" t="str">
        <f t="shared" si="133"/>
        <v/>
      </c>
      <c r="AD127" s="82" t="str">
        <f t="shared" si="133"/>
        <v/>
      </c>
      <c r="AE127" s="82" t="str">
        <f t="shared" si="133"/>
        <v/>
      </c>
      <c r="AF127" s="82" t="str">
        <f t="shared" si="133"/>
        <v/>
      </c>
      <c r="AG127" s="82" t="str">
        <f t="shared" si="133"/>
        <v/>
      </c>
      <c r="AH127" s="82" t="str">
        <f t="shared" si="133"/>
        <v/>
      </c>
      <c r="AI127" s="82" t="str">
        <f t="shared" si="133"/>
        <v/>
      </c>
      <c r="AJ127" s="82" t="str">
        <f t="shared" si="133"/>
        <v/>
      </c>
      <c r="AK127" s="82" t="str">
        <f t="shared" si="133"/>
        <v/>
      </c>
      <c r="AL127" s="82" t="str">
        <f t="shared" si="133"/>
        <v/>
      </c>
      <c r="AM127" s="82" t="str">
        <f t="shared" si="133"/>
        <v/>
      </c>
      <c r="AN127" s="82" t="str">
        <f t="shared" si="133"/>
        <v/>
      </c>
      <c r="AO127" s="82" t="str">
        <f t="shared" si="133"/>
        <v/>
      </c>
      <c r="AP127" s="82" t="str">
        <f t="shared" si="133"/>
        <v/>
      </c>
      <c r="AQ127" s="82">
        <f t="shared" si="133"/>
        <v>0.39885365911576387</v>
      </c>
      <c r="AR127" s="82">
        <f t="shared" si="133"/>
        <v>-0.23828200776944031</v>
      </c>
      <c r="AS127" s="82">
        <f t="shared" si="133"/>
        <v>5.2964725031253712E-2</v>
      </c>
      <c r="AT127" s="82">
        <f t="shared" si="133"/>
        <v>0.14380251270571076</v>
      </c>
      <c r="AU127" s="82">
        <f t="shared" si="133"/>
        <v>-0.30000000000000004</v>
      </c>
      <c r="AV127" s="82">
        <f t="shared" si="133"/>
        <v>0.5</v>
      </c>
      <c r="AW127" s="82">
        <f t="shared" si="133"/>
        <v>5.0000000000000044E-2</v>
      </c>
      <c r="AX127" s="82">
        <f t="shared" si="133"/>
        <v>5.0000000000000044E-2</v>
      </c>
      <c r="AY127" s="82">
        <f t="shared" si="133"/>
        <v>5.0000000000000044E-2</v>
      </c>
      <c r="AZ127" s="82">
        <f t="shared" si="133"/>
        <v>5.0000000000000044E-2</v>
      </c>
      <c r="BA127" s="82">
        <f t="shared" si="133"/>
        <v>5.0000000000000044E-2</v>
      </c>
      <c r="BB127" s="82">
        <f t="shared" si="133"/>
        <v>5.0000000000000044E-2</v>
      </c>
      <c r="BC127" s="82">
        <f t="shared" si="133"/>
        <v>5.0000000000000044E-2</v>
      </c>
      <c r="BD127" s="82">
        <f t="shared" si="133"/>
        <v>6.0000000000000053E-2</v>
      </c>
      <c r="BE127" s="82">
        <f t="shared" si="133"/>
        <v>1.9751935681969757E-2</v>
      </c>
      <c r="BF127" s="82">
        <f t="shared" si="133"/>
        <v>5.0000000000000044E-2</v>
      </c>
      <c r="BG127" s="82">
        <f t="shared" si="133"/>
        <v>0.10000000000000009</v>
      </c>
      <c r="BH127" s="82">
        <f t="shared" si="133"/>
        <v>0.29674046288983158</v>
      </c>
      <c r="BI127" s="82">
        <f t="shared" si="133"/>
        <v>0.31353787130056654</v>
      </c>
      <c r="BJ127" s="82">
        <f t="shared" si="133"/>
        <v>0.12421061861582783</v>
      </c>
      <c r="BK127" s="82">
        <f t="shared" si="133"/>
        <v>-5.5431872277924898E-2</v>
      </c>
      <c r="BL127" s="82">
        <f t="shared" si="133"/>
        <v>1.7225515655393986E-2</v>
      </c>
      <c r="BM127" s="82">
        <f t="shared" si="133"/>
        <v>1.7644632919552095E-2</v>
      </c>
      <c r="BN127" s="82">
        <f t="shared" si="133"/>
        <v>5.0000000000000044E-2</v>
      </c>
      <c r="BO127" s="82">
        <f t="shared" si="133"/>
        <v>5.0000000000000044E-2</v>
      </c>
      <c r="BP127" s="82">
        <f t="shared" si="133"/>
        <v>5.0000000000000044E-2</v>
      </c>
      <c r="BQ127" s="82">
        <f t="shared" si="133"/>
        <v>5.0000000000000044E-2</v>
      </c>
      <c r="BR127" s="82">
        <f t="shared" si="133"/>
        <v>5.0000000000000044E-2</v>
      </c>
      <c r="BS127" s="82">
        <f t="shared" si="133"/>
        <v>5.0000000000000044E-2</v>
      </c>
      <c r="BT127" s="82">
        <f t="shared" si="133"/>
        <v>5.0000000000000044E-2</v>
      </c>
      <c r="BU127" s="82">
        <f t="shared" si="133"/>
        <v>5.0000000000000266E-2</v>
      </c>
      <c r="BV127" s="82">
        <f t="shared" si="133"/>
        <v>5.0000000000000044E-2</v>
      </c>
      <c r="BW127" s="82">
        <f t="shared" si="133"/>
        <v>5.0000000000000044E-2</v>
      </c>
      <c r="BX127" s="82">
        <f t="shared" si="133"/>
        <v>5.0000000000000044E-2</v>
      </c>
      <c r="BY127" s="82">
        <f t="shared" si="133"/>
        <v>5.0000000000000044E-2</v>
      </c>
      <c r="BZ127" s="82">
        <f t="shared" si="133"/>
        <v>5.0000000000000044E-2</v>
      </c>
      <c r="CA127" s="82">
        <f t="shared" si="133"/>
        <v>5.0000000000000044E-2</v>
      </c>
      <c r="CB127" s="82">
        <f t="shared" si="133"/>
        <v>5.0000000000000044E-2</v>
      </c>
      <c r="CC127" s="82">
        <f t="shared" si="133"/>
        <v>5.0000000000000044E-2</v>
      </c>
      <c r="CD127" s="82">
        <f t="shared" si="133"/>
        <v>5.0000000000000044E-2</v>
      </c>
      <c r="CG127" s="82"/>
      <c r="CH127" s="82"/>
      <c r="CI127" s="82" t="str">
        <f t="shared" ref="CI127:CL127" si="134">+IFERROR(CI126/CH126-1,"")</f>
        <v/>
      </c>
      <c r="CJ127" s="82" t="str">
        <f t="shared" si="134"/>
        <v/>
      </c>
      <c r="CK127" s="82" t="str">
        <f t="shared" si="134"/>
        <v/>
      </c>
      <c r="CL127" s="82" t="str">
        <f t="shared" si="134"/>
        <v/>
      </c>
      <c r="CM127" s="82"/>
      <c r="CN127" s="82" t="str">
        <f t="shared" ref="CN127:CP127" si="135">+IFERROR(CN126/CM126-1,"")</f>
        <v/>
      </c>
      <c r="CO127" s="82" t="str">
        <f t="shared" si="135"/>
        <v/>
      </c>
      <c r="CP127" s="82">
        <f t="shared" si="135"/>
        <v>8.8531187122736332E-2</v>
      </c>
      <c r="CQ127" s="82">
        <f>+IFERROR(CQ126/CP126-1,"")</f>
        <v>2.5177211866631799E-2</v>
      </c>
      <c r="CR127" s="82">
        <f>+IFERROR(CR126/CQ126-1,"")</f>
        <v>5.0000000000000044E-2</v>
      </c>
      <c r="CS127" s="82">
        <f t="shared" ref="CS127:CX127" si="136">+IFERROR(CS126/CR126-1,"")</f>
        <v>4.0824760777909308E-2</v>
      </c>
      <c r="CT127" s="82">
        <f t="shared" si="136"/>
        <v>0.21961389210369542</v>
      </c>
      <c r="CU127" s="82">
        <f t="shared" si="136"/>
        <v>1.6081294270706037E-2</v>
      </c>
      <c r="CV127" s="82">
        <f t="shared" si="136"/>
        <v>4.9999999999999822E-2</v>
      </c>
      <c r="CW127" s="82">
        <f t="shared" si="136"/>
        <v>5.0000000000000044E-2</v>
      </c>
      <c r="CX127" s="82">
        <f t="shared" si="136"/>
        <v>5.0000000000000044E-2</v>
      </c>
    </row>
    <row r="129" spans="1:102" x14ac:dyDescent="0.25">
      <c r="B129" t="s">
        <v>167</v>
      </c>
      <c r="AM129" s="52">
        <f t="shared" ref="AM129:CD129" si="137">+AM149+AM168</f>
        <v>17.5</v>
      </c>
      <c r="AN129" s="52">
        <f t="shared" si="137"/>
        <v>107.10000000000001</v>
      </c>
      <c r="AO129" s="52">
        <f t="shared" si="137"/>
        <v>105</v>
      </c>
      <c r="AP129" s="52">
        <f t="shared" si="137"/>
        <v>35.700000000000003</v>
      </c>
      <c r="AQ129" s="52">
        <f t="shared" si="137"/>
        <v>17.850000000000001</v>
      </c>
      <c r="AR129" s="52">
        <f t="shared" si="137"/>
        <v>109.242</v>
      </c>
      <c r="AS129" s="52">
        <f t="shared" si="137"/>
        <v>107.10000000000001</v>
      </c>
      <c r="AT129" s="52">
        <f t="shared" si="137"/>
        <v>36.414000000000001</v>
      </c>
      <c r="AU129" s="52">
        <f t="shared" si="137"/>
        <v>18.207000000000001</v>
      </c>
      <c r="AV129" s="52">
        <f t="shared" si="137"/>
        <v>111.42684</v>
      </c>
      <c r="AW129" s="52">
        <f t="shared" si="137"/>
        <v>109.242</v>
      </c>
      <c r="AX129" s="52">
        <f t="shared" si="137"/>
        <v>37.14228</v>
      </c>
      <c r="AY129" s="52">
        <f t="shared" si="137"/>
        <v>18.57114</v>
      </c>
      <c r="AZ129" s="52">
        <f t="shared" si="137"/>
        <v>113.6553768</v>
      </c>
      <c r="BA129" s="52">
        <f t="shared" si="137"/>
        <v>111.42684</v>
      </c>
      <c r="BB129" s="52">
        <f t="shared" si="137"/>
        <v>37.885125600000002</v>
      </c>
      <c r="BC129" s="52">
        <f t="shared" si="137"/>
        <v>18.942562800000001</v>
      </c>
      <c r="BD129" s="52">
        <f t="shared" si="137"/>
        <v>125.86521156480001</v>
      </c>
      <c r="BE129" s="52">
        <f t="shared" si="137"/>
        <v>123.39726624000001</v>
      </c>
      <c r="BF129" s="52">
        <f t="shared" si="137"/>
        <v>41.9550705216</v>
      </c>
      <c r="BG129" s="52">
        <f t="shared" si="137"/>
        <v>20.9775352608</v>
      </c>
      <c r="BH129" s="52">
        <f t="shared" si="137"/>
        <v>384</v>
      </c>
      <c r="BI129" s="52">
        <f t="shared" si="137"/>
        <v>159</v>
      </c>
      <c r="BJ129" s="52">
        <f t="shared" si="137"/>
        <v>83</v>
      </c>
      <c r="BK129" s="52">
        <f t="shared" si="137"/>
        <v>21.397085966016</v>
      </c>
      <c r="BL129" s="52">
        <f t="shared" si="137"/>
        <v>398.38251579609596</v>
      </c>
      <c r="BM129" s="52">
        <f t="shared" si="137"/>
        <v>170.86521156480001</v>
      </c>
      <c r="BN129" s="52">
        <f t="shared" si="137"/>
        <v>87.794171932032</v>
      </c>
      <c r="BO129" s="52">
        <f t="shared" si="137"/>
        <v>21.397085966016</v>
      </c>
      <c r="BP129" s="52">
        <f t="shared" si="137"/>
        <v>386.28</v>
      </c>
      <c r="BQ129" s="52">
        <f t="shared" si="137"/>
        <v>161.28</v>
      </c>
      <c r="BR129" s="52">
        <f t="shared" si="137"/>
        <v>83.759999999999991</v>
      </c>
      <c r="BS129" s="52">
        <f t="shared" si="137"/>
        <v>21.82502768533632</v>
      </c>
      <c r="BT129" s="52">
        <f t="shared" si="137"/>
        <v>388.60559999999998</v>
      </c>
      <c r="BU129" s="52">
        <f t="shared" si="137"/>
        <v>163.60559999999998</v>
      </c>
      <c r="BV129" s="52">
        <f t="shared" si="137"/>
        <v>84.535200000000003</v>
      </c>
      <c r="BW129" s="52">
        <f t="shared" si="137"/>
        <v>22.261528239043049</v>
      </c>
      <c r="BX129" s="52">
        <f t="shared" si="137"/>
        <v>390.977712</v>
      </c>
      <c r="BY129" s="52">
        <f t="shared" si="137"/>
        <v>165.977712</v>
      </c>
      <c r="BZ129" s="52">
        <f t="shared" si="137"/>
        <v>85.325903999999994</v>
      </c>
      <c r="CA129" s="52">
        <f t="shared" si="137"/>
        <v>22.706758803823909</v>
      </c>
      <c r="CB129" s="52">
        <f t="shared" si="137"/>
        <v>393.39726624000002</v>
      </c>
      <c r="CC129" s="52">
        <f t="shared" si="137"/>
        <v>168.39726624000002</v>
      </c>
      <c r="CD129" s="52">
        <f t="shared" si="137"/>
        <v>86.132422079999998</v>
      </c>
      <c r="CE129" s="52"/>
      <c r="CM129" s="50">
        <f t="shared" ref="CM129:CX129" si="138">+SUMIFS($S129:$CD129,$S$5:$CD$5,"&lt;="&amp;CM$5,$S$5:$CD$5,"&gt;"&amp;CL$5)</f>
        <v>0</v>
      </c>
      <c r="CN129" s="50">
        <f t="shared" si="138"/>
        <v>0</v>
      </c>
      <c r="CO129" s="50">
        <f t="shared" si="138"/>
        <v>265.3</v>
      </c>
      <c r="CP129" s="50">
        <f t="shared" si="138"/>
        <v>270.60599999999999</v>
      </c>
      <c r="CQ129" s="50">
        <f t="shared" si="138"/>
        <v>276.01811999999995</v>
      </c>
      <c r="CR129" s="50">
        <f t="shared" si="138"/>
        <v>281.53848240000002</v>
      </c>
      <c r="CS129" s="50">
        <f t="shared" si="138"/>
        <v>310.16011112640001</v>
      </c>
      <c r="CT129" s="50">
        <f t="shared" si="138"/>
        <v>646.97753526079998</v>
      </c>
      <c r="CU129" s="50">
        <f t="shared" si="138"/>
        <v>678.43898525894394</v>
      </c>
      <c r="CV129" s="50">
        <f t="shared" si="138"/>
        <v>652.71708596601593</v>
      </c>
      <c r="CW129" s="50">
        <f t="shared" si="138"/>
        <v>658.57142768533629</v>
      </c>
      <c r="CX129" s="50">
        <f t="shared" si="138"/>
        <v>664.54285623904309</v>
      </c>
    </row>
    <row r="130" spans="1:102" ht="15" customHeight="1" x14ac:dyDescent="0.25">
      <c r="B130" s="37" t="s">
        <v>151</v>
      </c>
      <c r="C130" s="37"/>
      <c r="D130" s="37"/>
      <c r="E130" s="37"/>
      <c r="F130" s="37"/>
      <c r="G130" s="37"/>
      <c r="H130" s="37"/>
      <c r="I130" s="37"/>
      <c r="J130" s="37"/>
      <c r="K130" s="37"/>
      <c r="L130" s="37"/>
      <c r="M130" s="37"/>
      <c r="N130" s="37"/>
      <c r="O130" s="37"/>
      <c r="P130" s="37"/>
      <c r="Q130" s="37"/>
      <c r="R130" s="37"/>
      <c r="S130" s="82"/>
      <c r="T130" s="82"/>
      <c r="U130" s="82"/>
      <c r="V130" s="82"/>
      <c r="W130" s="82" t="str">
        <f t="shared" ref="W130:CD130" si="139">+IFERROR(W129/S129-1,"")</f>
        <v/>
      </c>
      <c r="X130" s="82" t="str">
        <f t="shared" si="139"/>
        <v/>
      </c>
      <c r="Y130" s="82" t="str">
        <f t="shared" si="139"/>
        <v/>
      </c>
      <c r="Z130" s="82" t="str">
        <f t="shared" si="139"/>
        <v/>
      </c>
      <c r="AA130" s="82" t="str">
        <f t="shared" si="139"/>
        <v/>
      </c>
      <c r="AB130" s="82" t="str">
        <f t="shared" si="139"/>
        <v/>
      </c>
      <c r="AC130" s="82" t="str">
        <f t="shared" si="139"/>
        <v/>
      </c>
      <c r="AD130" s="82" t="str">
        <f t="shared" si="139"/>
        <v/>
      </c>
      <c r="AE130" s="82" t="str">
        <f t="shared" si="139"/>
        <v/>
      </c>
      <c r="AF130" s="82" t="str">
        <f t="shared" si="139"/>
        <v/>
      </c>
      <c r="AG130" s="82" t="str">
        <f t="shared" si="139"/>
        <v/>
      </c>
      <c r="AH130" s="82" t="str">
        <f t="shared" si="139"/>
        <v/>
      </c>
      <c r="AI130" s="82" t="str">
        <f t="shared" si="139"/>
        <v/>
      </c>
      <c r="AJ130" s="82" t="str">
        <f t="shared" si="139"/>
        <v/>
      </c>
      <c r="AK130" s="82" t="str">
        <f t="shared" si="139"/>
        <v/>
      </c>
      <c r="AL130" s="82" t="str">
        <f t="shared" si="139"/>
        <v/>
      </c>
      <c r="AM130" s="82" t="str">
        <f t="shared" si="139"/>
        <v/>
      </c>
      <c r="AN130" s="82" t="str">
        <f t="shared" si="139"/>
        <v/>
      </c>
      <c r="AO130" s="82" t="str">
        <f t="shared" si="139"/>
        <v/>
      </c>
      <c r="AP130" s="82" t="str">
        <f t="shared" si="139"/>
        <v/>
      </c>
      <c r="AQ130" s="82">
        <f t="shared" si="139"/>
        <v>2.0000000000000018E-2</v>
      </c>
      <c r="AR130" s="82">
        <f t="shared" si="139"/>
        <v>2.0000000000000018E-2</v>
      </c>
      <c r="AS130" s="82">
        <f t="shared" si="139"/>
        <v>2.0000000000000018E-2</v>
      </c>
      <c r="AT130" s="82">
        <f t="shared" si="139"/>
        <v>2.0000000000000018E-2</v>
      </c>
      <c r="AU130" s="82">
        <f t="shared" si="139"/>
        <v>2.0000000000000018E-2</v>
      </c>
      <c r="AV130" s="82">
        <f t="shared" si="139"/>
        <v>2.0000000000000018E-2</v>
      </c>
      <c r="AW130" s="82">
        <f t="shared" si="139"/>
        <v>2.0000000000000018E-2</v>
      </c>
      <c r="AX130" s="82">
        <f t="shared" si="139"/>
        <v>2.0000000000000018E-2</v>
      </c>
      <c r="AY130" s="82">
        <f t="shared" si="139"/>
        <v>2.0000000000000018E-2</v>
      </c>
      <c r="AZ130" s="82">
        <f t="shared" si="139"/>
        <v>2.0000000000000018E-2</v>
      </c>
      <c r="BA130" s="82">
        <f t="shared" si="139"/>
        <v>2.0000000000000018E-2</v>
      </c>
      <c r="BB130" s="82">
        <f t="shared" si="139"/>
        <v>2.0000000000000018E-2</v>
      </c>
      <c r="BC130" s="82">
        <f t="shared" si="139"/>
        <v>2.0000000000000018E-2</v>
      </c>
      <c r="BD130" s="82">
        <f t="shared" si="139"/>
        <v>0.10742857142857143</v>
      </c>
      <c r="BE130" s="82">
        <f t="shared" si="139"/>
        <v>0.10742857142857143</v>
      </c>
      <c r="BF130" s="82">
        <f t="shared" si="139"/>
        <v>0.10742857142857143</v>
      </c>
      <c r="BG130" s="82">
        <f t="shared" si="139"/>
        <v>0.10742857142857143</v>
      </c>
      <c r="BH130" s="82">
        <f t="shared" si="139"/>
        <v>2.0508827278481374</v>
      </c>
      <c r="BI130" s="82">
        <f t="shared" si="139"/>
        <v>0.28852125208961188</v>
      </c>
      <c r="BJ130" s="82">
        <f t="shared" si="139"/>
        <v>0.97830676883902679</v>
      </c>
      <c r="BK130" s="82">
        <f t="shared" si="139"/>
        <v>2.0000000000000018E-2</v>
      </c>
      <c r="BL130" s="82">
        <f t="shared" si="139"/>
        <v>3.7454468218999892E-2</v>
      </c>
      <c r="BM130" s="82">
        <f t="shared" si="139"/>
        <v>7.4623972105660519E-2</v>
      </c>
      <c r="BN130" s="82">
        <f t="shared" si="139"/>
        <v>5.7761107614843432E-2</v>
      </c>
      <c r="BO130" s="82">
        <f t="shared" si="139"/>
        <v>0</v>
      </c>
      <c r="BP130" s="82">
        <f t="shared" si="139"/>
        <v>-3.0379133913322698E-2</v>
      </c>
      <c r="BQ130" s="82">
        <f t="shared" si="139"/>
        <v>-5.6098087357968951E-2</v>
      </c>
      <c r="BR130" s="82">
        <f t="shared" si="139"/>
        <v>-4.5950338652947953E-2</v>
      </c>
      <c r="BS130" s="82">
        <f t="shared" si="139"/>
        <v>2.0000000000000018E-2</v>
      </c>
      <c r="BT130" s="82">
        <f t="shared" si="139"/>
        <v>6.020503261882526E-3</v>
      </c>
      <c r="BU130" s="82">
        <f t="shared" si="139"/>
        <v>1.4419642857142811E-2</v>
      </c>
      <c r="BV130" s="82">
        <f t="shared" si="139"/>
        <v>9.2550143266476592E-3</v>
      </c>
      <c r="BW130" s="82">
        <f t="shared" si="139"/>
        <v>2.0000000000000018E-2</v>
      </c>
      <c r="BX130" s="82">
        <f t="shared" si="139"/>
        <v>6.1041631927074569E-3</v>
      </c>
      <c r="BY130" s="82">
        <f t="shared" si="139"/>
        <v>1.449896580557164E-2</v>
      </c>
      <c r="BZ130" s="82">
        <f t="shared" si="139"/>
        <v>9.3535473980068673E-3</v>
      </c>
      <c r="CA130" s="82">
        <f t="shared" si="139"/>
        <v>2.0000000000000018E-2</v>
      </c>
      <c r="CB130" s="82">
        <f t="shared" si="139"/>
        <v>6.1884710195450054E-3</v>
      </c>
      <c r="CC130" s="82">
        <f t="shared" si="139"/>
        <v>1.4577585212164124E-2</v>
      </c>
      <c r="CD130" s="82">
        <f t="shared" si="139"/>
        <v>9.4522066827442686E-3</v>
      </c>
      <c r="CG130" s="82"/>
      <c r="CH130" s="82"/>
      <c r="CI130" s="82" t="str">
        <f t="shared" ref="CI130:CL130" si="140">+IFERROR(CI129/CH129-1,"")</f>
        <v/>
      </c>
      <c r="CJ130" s="82" t="str">
        <f t="shared" si="140"/>
        <v/>
      </c>
      <c r="CK130" s="82" t="str">
        <f t="shared" si="140"/>
        <v/>
      </c>
      <c r="CL130" s="82" t="str">
        <f t="shared" si="140"/>
        <v/>
      </c>
      <c r="CM130" s="82"/>
      <c r="CN130" s="82" t="str">
        <f t="shared" ref="CN130:CP130" si="141">+IFERROR(CN129/CM129-1,"")</f>
        <v/>
      </c>
      <c r="CO130" s="82" t="str">
        <f t="shared" si="141"/>
        <v/>
      </c>
      <c r="CP130" s="82">
        <f t="shared" si="141"/>
        <v>2.0000000000000018E-2</v>
      </c>
      <c r="CQ130" s="82">
        <f>+IFERROR(CQ129/CP129-1,"")</f>
        <v>1.9999999999999796E-2</v>
      </c>
      <c r="CR130" s="82">
        <f>+IFERROR(CR129/CQ129-1,"")</f>
        <v>2.000000000000024E-2</v>
      </c>
      <c r="CS130" s="82">
        <f t="shared" ref="CS130:CX130" si="142">+IFERROR(CS129/CR129-1,"")</f>
        <v>0.10166151526573697</v>
      </c>
      <c r="CT130" s="82">
        <f t="shared" si="142"/>
        <v>1.085946941762399</v>
      </c>
      <c r="CU130" s="82">
        <f t="shared" si="142"/>
        <v>4.8628349955708527E-2</v>
      </c>
      <c r="CV130" s="82">
        <f t="shared" si="142"/>
        <v>-3.7913356767242057E-2</v>
      </c>
      <c r="CW130" s="82">
        <f t="shared" si="142"/>
        <v>8.9691871795511968E-3</v>
      </c>
      <c r="CX130" s="82">
        <f t="shared" si="142"/>
        <v>9.0672451045961111E-3</v>
      </c>
    </row>
    <row r="131" spans="1:102" ht="15" customHeight="1" x14ac:dyDescent="0.25">
      <c r="B131" s="37"/>
      <c r="C131" s="37"/>
      <c r="D131" s="37"/>
      <c r="E131" s="37"/>
      <c r="F131" s="37"/>
      <c r="G131" s="37"/>
      <c r="H131" s="37"/>
      <c r="I131" s="37"/>
      <c r="J131" s="37"/>
      <c r="K131" s="37"/>
      <c r="L131" s="37"/>
      <c r="M131" s="37"/>
      <c r="N131" s="37"/>
      <c r="O131" s="37"/>
      <c r="P131" s="37"/>
      <c r="Q131" s="37"/>
      <c r="R131" s="37"/>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2"/>
      <c r="BM131" s="82"/>
      <c r="BN131" s="82"/>
      <c r="BO131" s="82"/>
      <c r="BP131" s="82"/>
      <c r="BQ131" s="82"/>
      <c r="BR131" s="82"/>
      <c r="BS131" s="82"/>
      <c r="BT131" s="82"/>
      <c r="BU131" s="82"/>
      <c r="BV131" s="82"/>
      <c r="BW131" s="82"/>
      <c r="BX131" s="82"/>
      <c r="BY131" s="82"/>
      <c r="BZ131" s="82"/>
      <c r="CA131" s="82"/>
      <c r="CB131" s="82"/>
      <c r="CC131" s="82"/>
      <c r="CD131" s="82"/>
      <c r="CG131" s="82"/>
      <c r="CH131" s="82"/>
      <c r="CI131" s="82"/>
      <c r="CJ131" s="82"/>
      <c r="CK131" s="82"/>
      <c r="CL131" s="82"/>
      <c r="CM131" s="82"/>
      <c r="CN131" s="82"/>
      <c r="CO131" s="82"/>
      <c r="CP131" s="82"/>
      <c r="CQ131" s="82"/>
      <c r="CR131" s="82"/>
      <c r="CS131" s="82"/>
      <c r="CT131" s="82"/>
      <c r="CU131" s="82"/>
      <c r="CV131" s="82"/>
      <c r="CW131" s="82"/>
      <c r="CX131" s="82"/>
    </row>
    <row r="132" spans="1:102" s="24" customFormat="1" x14ac:dyDescent="0.25">
      <c r="B132" s="111" t="s">
        <v>168</v>
      </c>
      <c r="C132" s="112"/>
      <c r="D132" s="112"/>
      <c r="E132" s="112"/>
      <c r="F132" s="112"/>
      <c r="G132" s="112"/>
      <c r="H132" s="112"/>
      <c r="I132" s="112"/>
      <c r="J132" s="112"/>
      <c r="K132" s="112"/>
      <c r="L132" s="112"/>
      <c r="M132" s="112"/>
      <c r="N132" s="112"/>
      <c r="O132" s="112"/>
      <c r="P132" s="112"/>
      <c r="Q132" s="112"/>
      <c r="R132" s="112"/>
      <c r="BD132" s="113"/>
      <c r="CE132" s="60"/>
    </row>
    <row r="133" spans="1:102" s="114" customFormat="1" x14ac:dyDescent="0.25">
      <c r="B133" s="115" t="s">
        <v>169</v>
      </c>
      <c r="C133" s="115"/>
      <c r="D133" s="115"/>
      <c r="E133" s="115"/>
      <c r="F133" s="115"/>
      <c r="G133" s="115"/>
      <c r="H133" s="115"/>
      <c r="I133" s="115"/>
      <c r="J133" s="115"/>
      <c r="K133" s="115"/>
      <c r="L133" s="115"/>
      <c r="M133" s="115"/>
      <c r="N133" s="115"/>
      <c r="O133" s="115"/>
      <c r="P133" s="115"/>
      <c r="Q133" s="115"/>
      <c r="R133" s="115"/>
      <c r="AM133" s="114">
        <f>+AM129/AM136</f>
        <v>35</v>
      </c>
      <c r="AN133" s="114">
        <f t="shared" ref="AN133:CD133" si="143">+AN129/AN136</f>
        <v>35</v>
      </c>
      <c r="AO133" s="114">
        <f t="shared" si="143"/>
        <v>35</v>
      </c>
      <c r="AP133" s="114">
        <f t="shared" si="143"/>
        <v>35</v>
      </c>
      <c r="AQ133" s="114">
        <f t="shared" si="143"/>
        <v>35</v>
      </c>
      <c r="AR133" s="114">
        <f t="shared" si="143"/>
        <v>35</v>
      </c>
      <c r="AS133" s="114">
        <f t="shared" si="143"/>
        <v>35</v>
      </c>
      <c r="AT133" s="114">
        <f t="shared" si="143"/>
        <v>35</v>
      </c>
      <c r="AU133" s="114">
        <f t="shared" si="143"/>
        <v>35</v>
      </c>
      <c r="AV133" s="114">
        <f t="shared" si="143"/>
        <v>35</v>
      </c>
      <c r="AW133" s="114">
        <f t="shared" si="143"/>
        <v>35</v>
      </c>
      <c r="AX133" s="114">
        <f t="shared" si="143"/>
        <v>35</v>
      </c>
      <c r="AY133" s="114">
        <f t="shared" si="143"/>
        <v>35</v>
      </c>
      <c r="AZ133" s="114">
        <f t="shared" si="143"/>
        <v>35</v>
      </c>
      <c r="BA133" s="114">
        <f t="shared" si="143"/>
        <v>35</v>
      </c>
      <c r="BB133" s="114">
        <f t="shared" si="143"/>
        <v>35</v>
      </c>
      <c r="BC133" s="114">
        <f t="shared" si="143"/>
        <v>35</v>
      </c>
      <c r="BD133" s="114">
        <f t="shared" si="143"/>
        <v>38</v>
      </c>
      <c r="BE133" s="114">
        <f t="shared" si="143"/>
        <v>38</v>
      </c>
      <c r="BF133" s="114">
        <f t="shared" si="143"/>
        <v>38</v>
      </c>
      <c r="BG133" s="114">
        <f t="shared" si="143"/>
        <v>38</v>
      </c>
      <c r="BH133" s="114">
        <f t="shared" si="143"/>
        <v>42.666666666666664</v>
      </c>
      <c r="BI133" s="114">
        <f t="shared" si="143"/>
        <v>39.75</v>
      </c>
      <c r="BJ133" s="114">
        <f t="shared" si="143"/>
        <v>41.5</v>
      </c>
      <c r="BK133" s="114">
        <f t="shared" si="143"/>
        <v>38</v>
      </c>
      <c r="BL133" s="114">
        <f t="shared" si="143"/>
        <v>42.478334175386848</v>
      </c>
      <c r="BM133" s="114">
        <f t="shared" si="143"/>
        <v>39.623285366429421</v>
      </c>
      <c r="BN133" s="114">
        <f t="shared" si="143"/>
        <v>41.292316681254825</v>
      </c>
      <c r="BO133" s="114">
        <f t="shared" si="143"/>
        <v>38</v>
      </c>
      <c r="BP133" s="114">
        <f t="shared" si="143"/>
        <v>42.63576158940397</v>
      </c>
      <c r="BQ133" s="114">
        <f t="shared" si="143"/>
        <v>39.724137931034477</v>
      </c>
      <c r="BR133" s="114">
        <f t="shared" si="143"/>
        <v>41.465346534653463</v>
      </c>
      <c r="BS133" s="114">
        <f t="shared" si="143"/>
        <v>38</v>
      </c>
      <c r="BT133" s="114">
        <f t="shared" si="143"/>
        <v>42.604657281936582</v>
      </c>
      <c r="BU133" s="114">
        <f t="shared" si="143"/>
        <v>39.698534407454133</v>
      </c>
      <c r="BV133" s="114">
        <f t="shared" si="143"/>
        <v>41.430699862772009</v>
      </c>
      <c r="BW133" s="114">
        <f t="shared" si="143"/>
        <v>38</v>
      </c>
      <c r="BX133" s="114">
        <f t="shared" si="143"/>
        <v>42.57335796848826</v>
      </c>
      <c r="BY133" s="114">
        <f t="shared" si="143"/>
        <v>39.673190516164929</v>
      </c>
      <c r="BZ133" s="114">
        <f t="shared" si="143"/>
        <v>41.396066772494578</v>
      </c>
      <c r="CA133" s="114">
        <f t="shared" si="143"/>
        <v>38</v>
      </c>
      <c r="CB133" s="114">
        <f t="shared" si="143"/>
        <v>42.54186800334967</v>
      </c>
      <c r="CC133" s="114">
        <f t="shared" si="143"/>
        <v>39.648107221372975</v>
      </c>
      <c r="CD133" s="114">
        <f t="shared" si="143"/>
        <v>41.361454041316769</v>
      </c>
      <c r="CN133" s="114">
        <f>+CN128/CN136</f>
        <v>0</v>
      </c>
      <c r="CO133" s="114">
        <f t="shared" ref="CO133:CX133" si="144">+CO128/CO136</f>
        <v>0</v>
      </c>
      <c r="CP133" s="114">
        <f t="shared" si="144"/>
        <v>0</v>
      </c>
      <c r="CQ133" s="114">
        <f t="shared" si="144"/>
        <v>0</v>
      </c>
      <c r="CR133" s="114">
        <f t="shared" si="144"/>
        <v>0</v>
      </c>
      <c r="CS133" s="114">
        <f t="shared" si="144"/>
        <v>0</v>
      </c>
      <c r="CT133" s="114">
        <f t="shared" si="144"/>
        <v>0</v>
      </c>
      <c r="CU133" s="114">
        <f t="shared" si="144"/>
        <v>0</v>
      </c>
      <c r="CV133" s="114">
        <f t="shared" si="144"/>
        <v>0</v>
      </c>
      <c r="CW133" s="114">
        <f t="shared" si="144"/>
        <v>0</v>
      </c>
      <c r="CX133" s="114">
        <f t="shared" si="144"/>
        <v>0</v>
      </c>
    </row>
    <row r="134" spans="1:102" s="60" customFormat="1" ht="15" customHeight="1" x14ac:dyDescent="0.25">
      <c r="B134" s="26" t="s">
        <v>170</v>
      </c>
      <c r="C134" s="26"/>
      <c r="D134" s="26"/>
      <c r="E134" s="26"/>
      <c r="F134" s="26"/>
      <c r="G134" s="26"/>
      <c r="H134" s="26"/>
      <c r="I134" s="26"/>
      <c r="J134" s="26"/>
      <c r="K134" s="26"/>
      <c r="L134" s="26"/>
      <c r="M134" s="26"/>
      <c r="N134" s="26"/>
      <c r="O134" s="26"/>
      <c r="P134" s="26"/>
      <c r="Q134" s="26"/>
      <c r="R134" s="26"/>
      <c r="S134" s="108"/>
      <c r="T134" s="108"/>
      <c r="U134" s="108"/>
      <c r="V134" s="108"/>
      <c r="W134" s="108" t="str">
        <f t="shared" ref="W134:BB134" si="145">+IFERROR(W133/S133-1,"")</f>
        <v/>
      </c>
      <c r="X134" s="108" t="str">
        <f t="shared" si="145"/>
        <v/>
      </c>
      <c r="Y134" s="108" t="str">
        <f t="shared" si="145"/>
        <v/>
      </c>
      <c r="Z134" s="108" t="str">
        <f t="shared" si="145"/>
        <v/>
      </c>
      <c r="AA134" s="108" t="str">
        <f t="shared" si="145"/>
        <v/>
      </c>
      <c r="AB134" s="108" t="str">
        <f t="shared" si="145"/>
        <v/>
      </c>
      <c r="AC134" s="108" t="str">
        <f t="shared" si="145"/>
        <v/>
      </c>
      <c r="AD134" s="108" t="str">
        <f t="shared" si="145"/>
        <v/>
      </c>
      <c r="AE134" s="108" t="str">
        <f t="shared" si="145"/>
        <v/>
      </c>
      <c r="AF134" s="108" t="str">
        <f t="shared" si="145"/>
        <v/>
      </c>
      <c r="AG134" s="108" t="str">
        <f t="shared" si="145"/>
        <v/>
      </c>
      <c r="AH134" s="108" t="str">
        <f t="shared" si="145"/>
        <v/>
      </c>
      <c r="AI134" s="108" t="str">
        <f t="shared" si="145"/>
        <v/>
      </c>
      <c r="AJ134" s="108" t="str">
        <f t="shared" si="145"/>
        <v/>
      </c>
      <c r="AK134" s="108" t="str">
        <f t="shared" si="145"/>
        <v/>
      </c>
      <c r="AL134" s="108" t="str">
        <f t="shared" si="145"/>
        <v/>
      </c>
      <c r="AM134" s="108" t="str">
        <f t="shared" si="145"/>
        <v/>
      </c>
      <c r="AN134" s="108" t="str">
        <f t="shared" si="145"/>
        <v/>
      </c>
      <c r="AO134" s="108" t="str">
        <f t="shared" si="145"/>
        <v/>
      </c>
      <c r="AP134" s="108" t="str">
        <f t="shared" si="145"/>
        <v/>
      </c>
      <c r="AQ134" s="108">
        <f t="shared" si="145"/>
        <v>0</v>
      </c>
      <c r="AR134" s="108">
        <f t="shared" si="145"/>
        <v>0</v>
      </c>
      <c r="AS134" s="108">
        <f t="shared" si="145"/>
        <v>0</v>
      </c>
      <c r="AT134" s="108">
        <f t="shared" si="145"/>
        <v>0</v>
      </c>
      <c r="AU134" s="108">
        <f t="shared" si="145"/>
        <v>0</v>
      </c>
      <c r="AV134" s="108">
        <f t="shared" si="145"/>
        <v>0</v>
      </c>
      <c r="AW134" s="108">
        <f t="shared" si="145"/>
        <v>0</v>
      </c>
      <c r="AX134" s="108">
        <f t="shared" si="145"/>
        <v>0</v>
      </c>
      <c r="AY134" s="108">
        <f t="shared" si="145"/>
        <v>0</v>
      </c>
      <c r="AZ134" s="108">
        <f t="shared" si="145"/>
        <v>0</v>
      </c>
      <c r="BA134" s="108">
        <f t="shared" si="145"/>
        <v>0</v>
      </c>
      <c r="BB134" s="108">
        <f t="shared" si="145"/>
        <v>0</v>
      </c>
      <c r="BC134" s="108">
        <f>+IFERROR(BC133/AY133-1,"")</f>
        <v>0</v>
      </c>
      <c r="BD134" s="108">
        <f t="shared" ref="BD134:CD134" si="146">+IFERROR(BD133/AZ133-1,"")</f>
        <v>8.5714285714285632E-2</v>
      </c>
      <c r="BE134" s="108">
        <f t="shared" si="146"/>
        <v>8.5714285714285632E-2</v>
      </c>
      <c r="BF134" s="108">
        <f t="shared" si="146"/>
        <v>8.5714285714285632E-2</v>
      </c>
      <c r="BG134" s="108">
        <f t="shared" si="146"/>
        <v>8.5714285714285632E-2</v>
      </c>
      <c r="BH134" s="108">
        <f t="shared" si="146"/>
        <v>0.12280701754385959</v>
      </c>
      <c r="BI134" s="108">
        <f t="shared" si="146"/>
        <v>4.6052631578947345E-2</v>
      </c>
      <c r="BJ134" s="108">
        <f t="shared" si="146"/>
        <v>9.210526315789469E-2</v>
      </c>
      <c r="BK134" s="108">
        <f t="shared" si="146"/>
        <v>0</v>
      </c>
      <c r="BL134" s="108">
        <f t="shared" si="146"/>
        <v>-4.4140427643707403E-3</v>
      </c>
      <c r="BM134" s="108">
        <f t="shared" si="146"/>
        <v>-3.1877895237881759E-3</v>
      </c>
      <c r="BN134" s="108">
        <f t="shared" si="146"/>
        <v>-5.0044173191609032E-3</v>
      </c>
      <c r="BO134" s="108">
        <f t="shared" si="146"/>
        <v>0</v>
      </c>
      <c r="BP134" s="108">
        <f t="shared" si="146"/>
        <v>3.7060637398615981E-3</v>
      </c>
      <c r="BQ134" s="108">
        <f t="shared" si="146"/>
        <v>2.5452852703249373E-3</v>
      </c>
      <c r="BR134" s="108">
        <f t="shared" si="146"/>
        <v>4.1903643899250387E-3</v>
      </c>
      <c r="BS134" s="108">
        <f t="shared" si="146"/>
        <v>0</v>
      </c>
      <c r="BT134" s="108">
        <f t="shared" si="146"/>
        <v>-7.2953563646716013E-4</v>
      </c>
      <c r="BU134" s="108">
        <f t="shared" si="146"/>
        <v>-6.4453314568568842E-4</v>
      </c>
      <c r="BV134" s="108">
        <f t="shared" si="146"/>
        <v>-8.3555727316786399E-4</v>
      </c>
      <c r="BW134" s="108">
        <f t="shared" si="146"/>
        <v>0</v>
      </c>
      <c r="BX134" s="108">
        <f t="shared" si="146"/>
        <v>-7.3464535206091419E-4</v>
      </c>
      <c r="BY134" s="108">
        <f t="shared" si="146"/>
        <v>-6.3840873894949191E-4</v>
      </c>
      <c r="BZ134" s="108">
        <f t="shared" si="146"/>
        <v>-8.3592819798228302E-4</v>
      </c>
      <c r="CA134" s="108">
        <f t="shared" si="146"/>
        <v>0</v>
      </c>
      <c r="CB134" s="108">
        <f t="shared" si="146"/>
        <v>-7.3966364508759597E-4</v>
      </c>
      <c r="CC134" s="108">
        <f t="shared" si="146"/>
        <v>-6.32247985745793E-4</v>
      </c>
      <c r="CD134" s="108">
        <f t="shared" si="146"/>
        <v>-8.3613574613339292E-4</v>
      </c>
      <c r="CG134" s="108"/>
      <c r="CH134" s="108"/>
      <c r="CI134" s="108" t="str">
        <f t="shared" ref="CI134:CL134" si="147">+IFERROR(CI133/CH133-1,"")</f>
        <v/>
      </c>
      <c r="CJ134" s="108" t="str">
        <f t="shared" si="147"/>
        <v/>
      </c>
      <c r="CK134" s="108" t="str">
        <f t="shared" si="147"/>
        <v/>
      </c>
      <c r="CL134" s="108" t="str">
        <f t="shared" si="147"/>
        <v/>
      </c>
      <c r="CM134" s="108"/>
      <c r="CN134" s="108" t="str">
        <f t="shared" ref="CN134:CP134" si="148">+IFERROR(CN133/CM133-1,"")</f>
        <v/>
      </c>
      <c r="CO134" s="108" t="str">
        <f t="shared" si="148"/>
        <v/>
      </c>
      <c r="CP134" s="108" t="str">
        <f t="shared" si="148"/>
        <v/>
      </c>
      <c r="CQ134" s="108" t="str">
        <f>+IFERROR(CQ133/CP133-1,"")</f>
        <v/>
      </c>
      <c r="CR134" s="108" t="str">
        <f>+IFERROR(CR133/CQ133-1,"")</f>
        <v/>
      </c>
      <c r="CS134" s="108" t="str">
        <f t="shared" ref="CS134:CX134" si="149">+IFERROR(CS133/CR133-1,"")</f>
        <v/>
      </c>
      <c r="CT134" s="108" t="str">
        <f t="shared" si="149"/>
        <v/>
      </c>
      <c r="CU134" s="108" t="str">
        <f t="shared" si="149"/>
        <v/>
      </c>
      <c r="CV134" s="108" t="str">
        <f t="shared" si="149"/>
        <v/>
      </c>
      <c r="CW134" s="108" t="str">
        <f t="shared" si="149"/>
        <v/>
      </c>
      <c r="CX134" s="108" t="str">
        <f t="shared" si="149"/>
        <v/>
      </c>
    </row>
    <row r="135" spans="1:102" s="60" customFormat="1" ht="15" customHeight="1" x14ac:dyDescent="0.25">
      <c r="B135" s="26"/>
      <c r="C135" s="26"/>
      <c r="D135" s="26"/>
      <c r="E135" s="26"/>
      <c r="F135" s="26"/>
      <c r="G135" s="26"/>
      <c r="H135" s="26"/>
      <c r="I135" s="26"/>
      <c r="J135" s="26"/>
      <c r="K135" s="26"/>
      <c r="L135" s="26"/>
      <c r="M135" s="26"/>
      <c r="N135" s="26"/>
      <c r="O135" s="26"/>
      <c r="P135" s="26"/>
      <c r="Q135" s="26"/>
      <c r="R135" s="26"/>
      <c r="S135" s="108"/>
      <c r="T135" s="108"/>
      <c r="U135" s="108"/>
      <c r="V135" s="108"/>
      <c r="W135" s="108"/>
      <c r="X135" s="108"/>
      <c r="Y135" s="108"/>
      <c r="Z135" s="108"/>
      <c r="AA135" s="108"/>
      <c r="AB135" s="108"/>
      <c r="AC135" s="108"/>
      <c r="AD135" s="108"/>
      <c r="AE135" s="108"/>
      <c r="AF135" s="108"/>
      <c r="AG135" s="108"/>
      <c r="AH135" s="108"/>
      <c r="AI135" s="108"/>
      <c r="AJ135" s="108"/>
      <c r="AK135" s="108"/>
      <c r="AL135" s="108"/>
      <c r="AM135" s="108"/>
      <c r="AN135" s="108"/>
      <c r="AO135" s="108"/>
      <c r="AP135" s="108"/>
      <c r="AQ135" s="108"/>
      <c r="AR135" s="108"/>
      <c r="AS135" s="108"/>
      <c r="AT135" s="108"/>
      <c r="AU135" s="108"/>
      <c r="AV135" s="108"/>
      <c r="AW135" s="108"/>
      <c r="AX135" s="108"/>
      <c r="AY135" s="108"/>
      <c r="AZ135" s="108"/>
      <c r="BA135" s="108"/>
      <c r="BB135" s="108"/>
      <c r="BC135" s="108"/>
      <c r="BD135" s="108"/>
      <c r="BE135" s="108"/>
      <c r="BF135" s="108"/>
      <c r="BG135" s="108"/>
      <c r="BH135" s="108"/>
      <c r="BI135" s="108"/>
      <c r="BJ135" s="108"/>
      <c r="BK135" s="108"/>
      <c r="BL135" s="108"/>
      <c r="BM135" s="108"/>
      <c r="BN135" s="108"/>
      <c r="BO135" s="108"/>
      <c r="BP135" s="108"/>
      <c r="BQ135" s="108"/>
      <c r="BR135" s="108"/>
      <c r="BS135" s="108"/>
      <c r="BT135" s="108"/>
      <c r="BU135" s="108"/>
      <c r="BV135" s="108"/>
      <c r="BW135" s="108"/>
      <c r="BX135" s="108"/>
      <c r="BY135" s="108"/>
      <c r="BZ135" s="108"/>
      <c r="CA135" s="108"/>
      <c r="CB135" s="108"/>
      <c r="CC135" s="108"/>
      <c r="CD135" s="108"/>
      <c r="CG135" s="108"/>
      <c r="CH135" s="108"/>
      <c r="CI135" s="108"/>
      <c r="CJ135" s="108"/>
      <c r="CK135" s="108"/>
      <c r="CL135" s="108"/>
      <c r="CM135" s="108"/>
      <c r="CN135" s="108"/>
      <c r="CO135" s="108"/>
      <c r="CP135" s="108"/>
      <c r="CQ135" s="108"/>
      <c r="CR135" s="108"/>
      <c r="CS135" s="108"/>
      <c r="CT135" s="108"/>
      <c r="CU135" s="108"/>
      <c r="CV135" s="108"/>
      <c r="CW135" s="108"/>
      <c r="CX135" s="108"/>
    </row>
    <row r="136" spans="1:102" s="86" customFormat="1" x14ac:dyDescent="0.25">
      <c r="B136" s="116" t="s">
        <v>171</v>
      </c>
      <c r="C136" s="116"/>
      <c r="D136" s="116"/>
      <c r="E136" s="116"/>
      <c r="F136" s="116"/>
      <c r="G136" s="116"/>
      <c r="H136" s="116"/>
      <c r="I136" s="116"/>
      <c r="J136" s="116"/>
      <c r="K136" s="116"/>
      <c r="L136" s="116"/>
      <c r="M136" s="116"/>
      <c r="N136" s="116"/>
      <c r="O136" s="116"/>
      <c r="P136" s="116"/>
      <c r="Q136" s="116"/>
      <c r="R136" s="116"/>
      <c r="AI136" s="86">
        <f t="shared" ref="AI136:CD136" si="150">+AI156+AI174</f>
        <v>1</v>
      </c>
      <c r="AJ136" s="86">
        <f t="shared" si="150"/>
        <v>3</v>
      </c>
      <c r="AK136" s="86">
        <f t="shared" si="150"/>
        <v>1.5</v>
      </c>
      <c r="AL136" s="86">
        <f t="shared" si="150"/>
        <v>1</v>
      </c>
      <c r="AM136" s="86">
        <f t="shared" si="150"/>
        <v>0.5</v>
      </c>
      <c r="AN136" s="86">
        <f t="shared" si="150"/>
        <v>3.06</v>
      </c>
      <c r="AO136" s="86">
        <f t="shared" si="150"/>
        <v>3</v>
      </c>
      <c r="AP136" s="86">
        <f t="shared" si="150"/>
        <v>1.02</v>
      </c>
      <c r="AQ136" s="86">
        <f t="shared" si="150"/>
        <v>0.51</v>
      </c>
      <c r="AR136" s="86">
        <f t="shared" si="150"/>
        <v>3.1212</v>
      </c>
      <c r="AS136" s="86">
        <f t="shared" si="150"/>
        <v>3.06</v>
      </c>
      <c r="AT136" s="86">
        <f t="shared" si="150"/>
        <v>1.0404</v>
      </c>
      <c r="AU136" s="86">
        <f t="shared" si="150"/>
        <v>0.5202</v>
      </c>
      <c r="AV136" s="86">
        <f t="shared" si="150"/>
        <v>3.183624</v>
      </c>
      <c r="AW136" s="86">
        <f t="shared" si="150"/>
        <v>3.1212</v>
      </c>
      <c r="AX136" s="86">
        <f t="shared" si="150"/>
        <v>1.0612079999999999</v>
      </c>
      <c r="AY136" s="86">
        <f t="shared" si="150"/>
        <v>0.53060399999999996</v>
      </c>
      <c r="AZ136" s="86">
        <f t="shared" si="150"/>
        <v>3.2472964800000002</v>
      </c>
      <c r="BA136" s="86">
        <f t="shared" si="150"/>
        <v>3.183624</v>
      </c>
      <c r="BB136" s="86">
        <f t="shared" si="150"/>
        <v>1.08243216</v>
      </c>
      <c r="BC136" s="86">
        <f t="shared" si="150"/>
        <v>0.54121607999999999</v>
      </c>
      <c r="BD136" s="86">
        <f t="shared" si="150"/>
        <v>3.3122424096</v>
      </c>
      <c r="BE136" s="86">
        <f t="shared" si="150"/>
        <v>3.2472964800000002</v>
      </c>
      <c r="BF136" s="86">
        <f t="shared" si="150"/>
        <v>1.1040808032</v>
      </c>
      <c r="BG136" s="86">
        <f t="shared" si="150"/>
        <v>0.55204040160000001</v>
      </c>
      <c r="BH136" s="86">
        <f t="shared" si="150"/>
        <v>9</v>
      </c>
      <c r="BI136" s="86">
        <f t="shared" si="150"/>
        <v>4</v>
      </c>
      <c r="BJ136" s="86">
        <f t="shared" si="150"/>
        <v>2</v>
      </c>
      <c r="BK136" s="86">
        <f t="shared" si="150"/>
        <v>0.56308120963200003</v>
      </c>
      <c r="BL136" s="86">
        <f t="shared" si="150"/>
        <v>9.3784872577919991</v>
      </c>
      <c r="BM136" s="86">
        <f t="shared" si="150"/>
        <v>4.3122424095999996</v>
      </c>
      <c r="BN136" s="86">
        <f t="shared" si="150"/>
        <v>2.1261624192640003</v>
      </c>
      <c r="BO136" s="86">
        <f t="shared" si="150"/>
        <v>0.56308120963200003</v>
      </c>
      <c r="BP136" s="86">
        <f t="shared" si="150"/>
        <v>9.06</v>
      </c>
      <c r="BQ136" s="86">
        <f t="shared" si="150"/>
        <v>4.0600000000000005</v>
      </c>
      <c r="BR136" s="86">
        <f t="shared" si="150"/>
        <v>2.02</v>
      </c>
      <c r="BS136" s="86">
        <f t="shared" si="150"/>
        <v>0.57434283382464002</v>
      </c>
      <c r="BT136" s="86">
        <f t="shared" si="150"/>
        <v>9.1212</v>
      </c>
      <c r="BU136" s="86">
        <f t="shared" si="150"/>
        <v>4.1212</v>
      </c>
      <c r="BV136" s="86">
        <f t="shared" si="150"/>
        <v>2.0404</v>
      </c>
      <c r="BW136" s="86">
        <f t="shared" si="150"/>
        <v>0.58582969050113287</v>
      </c>
      <c r="BX136" s="86">
        <f t="shared" si="150"/>
        <v>9.183624</v>
      </c>
      <c r="BY136" s="86">
        <f t="shared" si="150"/>
        <v>4.183624</v>
      </c>
      <c r="BZ136" s="86">
        <f t="shared" si="150"/>
        <v>2.0612079999999997</v>
      </c>
      <c r="CA136" s="86">
        <f t="shared" si="150"/>
        <v>0.59754628431115553</v>
      </c>
      <c r="CB136" s="86">
        <f t="shared" si="150"/>
        <v>9.2472964799999993</v>
      </c>
      <c r="CC136" s="86">
        <f t="shared" si="150"/>
        <v>4.2472964800000002</v>
      </c>
      <c r="CD136" s="86">
        <f t="shared" si="150"/>
        <v>2.0824321599999998</v>
      </c>
      <c r="CN136" s="86">
        <f t="shared" ref="CN136:CX136" si="151">+SUMIFS($S136:$CD136,$S$5:$CD$5,"&lt;="&amp;CN$5,$S$5:$CD$5,"&gt;"&amp;CM$5)</f>
        <v>6.5</v>
      </c>
      <c r="CO136" s="86">
        <f t="shared" si="151"/>
        <v>7.58</v>
      </c>
      <c r="CP136" s="86">
        <f t="shared" si="151"/>
        <v>7.7316000000000003</v>
      </c>
      <c r="CQ136" s="86">
        <f t="shared" si="151"/>
        <v>7.8862319999999997</v>
      </c>
      <c r="CR136" s="86">
        <f t="shared" si="151"/>
        <v>8.0439566399999993</v>
      </c>
      <c r="CS136" s="86">
        <f t="shared" si="151"/>
        <v>8.204835772800001</v>
      </c>
      <c r="CT136" s="86">
        <f t="shared" si="151"/>
        <v>15.552040401599999</v>
      </c>
      <c r="CU136" s="86">
        <f t="shared" si="151"/>
        <v>16.379973296288</v>
      </c>
      <c r="CV136" s="86">
        <f t="shared" si="151"/>
        <v>15.703081209632</v>
      </c>
      <c r="CW136" s="86">
        <f t="shared" si="151"/>
        <v>15.857142833824639</v>
      </c>
      <c r="CX136" s="86">
        <f t="shared" si="151"/>
        <v>16.014285690501133</v>
      </c>
    </row>
    <row r="137" spans="1:102" s="60" customFormat="1" ht="15" customHeight="1" x14ac:dyDescent="0.25">
      <c r="B137" s="26" t="s">
        <v>170</v>
      </c>
      <c r="C137" s="26"/>
      <c r="D137" s="26"/>
      <c r="E137" s="26"/>
      <c r="F137" s="26"/>
      <c r="G137" s="26"/>
      <c r="H137" s="26"/>
      <c r="I137" s="26"/>
      <c r="J137" s="26"/>
      <c r="K137" s="26"/>
      <c r="L137" s="26"/>
      <c r="M137" s="26"/>
      <c r="N137" s="26"/>
      <c r="O137" s="26"/>
      <c r="P137" s="26"/>
      <c r="Q137" s="26"/>
      <c r="R137" s="26"/>
      <c r="S137" s="108"/>
      <c r="T137" s="108"/>
      <c r="U137" s="108"/>
      <c r="V137" s="108"/>
      <c r="W137" s="108" t="str">
        <f t="shared" ref="W137:CD137" si="152">+IFERROR(W136/S136-1,"")</f>
        <v/>
      </c>
      <c r="X137" s="108" t="str">
        <f t="shared" si="152"/>
        <v/>
      </c>
      <c r="Y137" s="108" t="str">
        <f t="shared" si="152"/>
        <v/>
      </c>
      <c r="Z137" s="108" t="str">
        <f t="shared" si="152"/>
        <v/>
      </c>
      <c r="AA137" s="108" t="str">
        <f t="shared" si="152"/>
        <v/>
      </c>
      <c r="AB137" s="108" t="str">
        <f t="shared" si="152"/>
        <v/>
      </c>
      <c r="AC137" s="108" t="str">
        <f t="shared" si="152"/>
        <v/>
      </c>
      <c r="AD137" s="108" t="str">
        <f t="shared" si="152"/>
        <v/>
      </c>
      <c r="AE137" s="108" t="str">
        <f t="shared" si="152"/>
        <v/>
      </c>
      <c r="AF137" s="108" t="str">
        <f t="shared" si="152"/>
        <v/>
      </c>
      <c r="AG137" s="108" t="str">
        <f t="shared" si="152"/>
        <v/>
      </c>
      <c r="AH137" s="108" t="str">
        <f t="shared" si="152"/>
        <v/>
      </c>
      <c r="AI137" s="108" t="str">
        <f t="shared" si="152"/>
        <v/>
      </c>
      <c r="AJ137" s="108" t="str">
        <f t="shared" si="152"/>
        <v/>
      </c>
      <c r="AK137" s="108" t="str">
        <f t="shared" si="152"/>
        <v/>
      </c>
      <c r="AL137" s="108" t="str">
        <f t="shared" si="152"/>
        <v/>
      </c>
      <c r="AM137" s="108">
        <f t="shared" si="152"/>
        <v>-0.5</v>
      </c>
      <c r="AN137" s="108">
        <f t="shared" si="152"/>
        <v>2.0000000000000018E-2</v>
      </c>
      <c r="AO137" s="108">
        <f t="shared" si="152"/>
        <v>1</v>
      </c>
      <c r="AP137" s="108">
        <f t="shared" si="152"/>
        <v>2.0000000000000018E-2</v>
      </c>
      <c r="AQ137" s="108">
        <f t="shared" si="152"/>
        <v>2.0000000000000018E-2</v>
      </c>
      <c r="AR137" s="108">
        <f t="shared" si="152"/>
        <v>2.0000000000000018E-2</v>
      </c>
      <c r="AS137" s="108">
        <f t="shared" si="152"/>
        <v>2.0000000000000018E-2</v>
      </c>
      <c r="AT137" s="108">
        <f t="shared" si="152"/>
        <v>2.0000000000000018E-2</v>
      </c>
      <c r="AU137" s="108">
        <f t="shared" si="152"/>
        <v>2.0000000000000018E-2</v>
      </c>
      <c r="AV137" s="108">
        <f t="shared" si="152"/>
        <v>2.0000000000000018E-2</v>
      </c>
      <c r="AW137" s="108">
        <f t="shared" si="152"/>
        <v>2.0000000000000018E-2</v>
      </c>
      <c r="AX137" s="108">
        <f t="shared" si="152"/>
        <v>2.0000000000000018E-2</v>
      </c>
      <c r="AY137" s="108">
        <f t="shared" si="152"/>
        <v>2.0000000000000018E-2</v>
      </c>
      <c r="AZ137" s="108">
        <f t="shared" si="152"/>
        <v>2.0000000000000018E-2</v>
      </c>
      <c r="BA137" s="108">
        <f t="shared" si="152"/>
        <v>2.0000000000000018E-2</v>
      </c>
      <c r="BB137" s="108">
        <f t="shared" si="152"/>
        <v>2.0000000000000018E-2</v>
      </c>
      <c r="BC137" s="108">
        <f t="shared" si="152"/>
        <v>2.0000000000000018E-2</v>
      </c>
      <c r="BD137" s="108">
        <f t="shared" si="152"/>
        <v>2.0000000000000018E-2</v>
      </c>
      <c r="BE137" s="108">
        <f t="shared" si="152"/>
        <v>2.0000000000000018E-2</v>
      </c>
      <c r="BF137" s="108">
        <f t="shared" si="152"/>
        <v>2.0000000000000018E-2</v>
      </c>
      <c r="BG137" s="108">
        <f t="shared" si="152"/>
        <v>2.0000000000000018E-2</v>
      </c>
      <c r="BH137" s="108">
        <f t="shared" si="152"/>
        <v>1.7171924294897476</v>
      </c>
      <c r="BI137" s="108">
        <f t="shared" si="152"/>
        <v>0.23179390136868561</v>
      </c>
      <c r="BJ137" s="108">
        <f t="shared" si="152"/>
        <v>0.81146161965983188</v>
      </c>
      <c r="BK137" s="108">
        <f t="shared" si="152"/>
        <v>2.0000000000000018E-2</v>
      </c>
      <c r="BL137" s="108">
        <f t="shared" si="152"/>
        <v>4.2054139754666542E-2</v>
      </c>
      <c r="BM137" s="108">
        <f t="shared" si="152"/>
        <v>7.8060602399999901E-2</v>
      </c>
      <c r="BN137" s="108">
        <f t="shared" si="152"/>
        <v>6.3081209632000146E-2</v>
      </c>
      <c r="BO137" s="108">
        <f t="shared" si="152"/>
        <v>0</v>
      </c>
      <c r="BP137" s="108">
        <f t="shared" si="152"/>
        <v>-3.3959342166551165E-2</v>
      </c>
      <c r="BQ137" s="108">
        <f t="shared" si="152"/>
        <v>-5.8494487470938994E-2</v>
      </c>
      <c r="BR137" s="108">
        <f t="shared" si="152"/>
        <v>-4.993147198074821E-2</v>
      </c>
      <c r="BS137" s="108">
        <f t="shared" si="152"/>
        <v>2.0000000000000018E-2</v>
      </c>
      <c r="BT137" s="108">
        <f t="shared" si="152"/>
        <v>6.7549668874171687E-3</v>
      </c>
      <c r="BU137" s="108">
        <f t="shared" si="152"/>
        <v>1.5073891625615676E-2</v>
      </c>
      <c r="BV137" s="108">
        <f t="shared" si="152"/>
        <v>1.0099009900990108E-2</v>
      </c>
      <c r="BW137" s="108">
        <f t="shared" si="152"/>
        <v>2.0000000000000018E-2</v>
      </c>
      <c r="BX137" s="108">
        <f t="shared" si="152"/>
        <v>6.8438363373239941E-3</v>
      </c>
      <c r="BY137" s="108">
        <f t="shared" si="152"/>
        <v>1.5147044550130939E-2</v>
      </c>
      <c r="BZ137" s="108">
        <f t="shared" si="152"/>
        <v>1.0198000392079853E-2</v>
      </c>
      <c r="CA137" s="108">
        <f t="shared" si="152"/>
        <v>2.0000000000000018E-2</v>
      </c>
      <c r="CB137" s="108">
        <f t="shared" si="152"/>
        <v>6.933262947176333E-3</v>
      </c>
      <c r="CC137" s="108">
        <f t="shared" si="152"/>
        <v>1.5219455668100235E-2</v>
      </c>
      <c r="CD137" s="108">
        <f t="shared" si="152"/>
        <v>1.0296952078586941E-2</v>
      </c>
      <c r="CG137" s="108"/>
      <c r="CH137" s="108"/>
      <c r="CI137" s="108" t="str">
        <f>+IFERROR(CI136/CH136-1,"")</f>
        <v/>
      </c>
      <c r="CJ137" s="108" t="str">
        <f>+IFERROR(CJ136/CI136-1,"")</f>
        <v/>
      </c>
      <c r="CK137" s="108" t="str">
        <f>+IFERROR(CK136/CJ136-1,"")</f>
        <v/>
      </c>
      <c r="CL137" s="108" t="str">
        <f>+IFERROR(CL136/CK136-1,"")</f>
        <v/>
      </c>
      <c r="CM137" s="108"/>
      <c r="CN137" s="108" t="str">
        <f t="shared" ref="CN137:CX137" si="153">+IFERROR(CN136/CM136-1,"")</f>
        <v/>
      </c>
      <c r="CO137" s="108">
        <f t="shared" si="153"/>
        <v>0.1661538461538461</v>
      </c>
      <c r="CP137" s="108">
        <f t="shared" si="153"/>
        <v>2.0000000000000018E-2</v>
      </c>
      <c r="CQ137" s="108">
        <f t="shared" si="153"/>
        <v>2.0000000000000018E-2</v>
      </c>
      <c r="CR137" s="108">
        <f t="shared" si="153"/>
        <v>2.0000000000000018E-2</v>
      </c>
      <c r="CS137" s="108">
        <f t="shared" si="153"/>
        <v>2.000000000000024E-2</v>
      </c>
      <c r="CT137" s="108">
        <f t="shared" si="153"/>
        <v>0.89547247894428894</v>
      </c>
      <c r="CU137" s="108">
        <f t="shared" si="153"/>
        <v>5.3236287542232974E-2</v>
      </c>
      <c r="CV137" s="108">
        <f t="shared" si="153"/>
        <v>-4.1324370584254644E-2</v>
      </c>
      <c r="CW137" s="108">
        <f t="shared" si="153"/>
        <v>9.8109168599433971E-3</v>
      </c>
      <c r="CX137" s="108">
        <f t="shared" si="153"/>
        <v>9.9099098950723441E-3</v>
      </c>
    </row>
    <row r="138" spans="1:102" s="60" customFormat="1" ht="15" customHeight="1" x14ac:dyDescent="0.25">
      <c r="B138" s="26"/>
      <c r="C138" s="26"/>
      <c r="D138" s="26"/>
      <c r="E138" s="26"/>
      <c r="F138" s="26"/>
      <c r="G138" s="26"/>
      <c r="H138" s="26"/>
      <c r="I138" s="26"/>
      <c r="J138" s="26"/>
      <c r="K138" s="26"/>
      <c r="L138" s="26"/>
      <c r="M138" s="26"/>
      <c r="N138" s="26"/>
      <c r="O138" s="26"/>
      <c r="P138" s="26"/>
      <c r="Q138" s="26"/>
      <c r="R138" s="26"/>
      <c r="S138" s="108"/>
      <c r="T138" s="108"/>
      <c r="U138" s="108"/>
      <c r="V138" s="108"/>
      <c r="W138" s="108"/>
      <c r="X138" s="108"/>
      <c r="Y138" s="108"/>
      <c r="Z138" s="108"/>
      <c r="AA138" s="108"/>
      <c r="AB138" s="108"/>
      <c r="AC138" s="108"/>
      <c r="AD138" s="108"/>
      <c r="AE138" s="108"/>
      <c r="AF138" s="108"/>
      <c r="AG138" s="108"/>
      <c r="AH138" s="108"/>
      <c r="AI138" s="108"/>
      <c r="AJ138" s="108"/>
      <c r="AK138" s="108"/>
      <c r="AL138" s="108"/>
      <c r="AM138" s="108"/>
      <c r="AN138" s="108"/>
      <c r="AO138" s="108"/>
      <c r="AP138" s="108"/>
      <c r="AQ138" s="108"/>
      <c r="AR138" s="108"/>
      <c r="AS138" s="108"/>
      <c r="AT138" s="108"/>
      <c r="AU138" s="108"/>
      <c r="AV138" s="108"/>
      <c r="AW138" s="108"/>
      <c r="AX138" s="108"/>
      <c r="AY138" s="108"/>
      <c r="AZ138" s="108"/>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8"/>
      <c r="CB138" s="108"/>
      <c r="CC138" s="108"/>
      <c r="CD138" s="108"/>
      <c r="CG138" s="108"/>
      <c r="CH138" s="108"/>
      <c r="CI138" s="108"/>
      <c r="CJ138" s="108"/>
      <c r="CK138" s="108"/>
      <c r="CL138" s="108"/>
      <c r="CM138" s="108"/>
      <c r="CN138" s="108"/>
      <c r="CO138" s="108"/>
      <c r="CP138" s="108"/>
      <c r="CQ138" s="108"/>
      <c r="CR138" s="108"/>
      <c r="CS138" s="108"/>
      <c r="CT138" s="108"/>
      <c r="CU138" s="108"/>
      <c r="CV138" s="108"/>
      <c r="CW138" s="108"/>
      <c r="CX138" s="108"/>
    </row>
    <row r="139" spans="1:102" s="24" customFormat="1" x14ac:dyDescent="0.25">
      <c r="B139" s="117" t="s">
        <v>172</v>
      </c>
      <c r="C139" s="117"/>
      <c r="D139" s="117"/>
      <c r="E139" s="117"/>
      <c r="F139" s="117"/>
      <c r="G139" s="117"/>
      <c r="H139" s="117"/>
      <c r="I139" s="117"/>
      <c r="J139" s="117"/>
      <c r="K139" s="117"/>
      <c r="L139" s="117"/>
      <c r="M139" s="117"/>
      <c r="N139" s="117"/>
      <c r="O139" s="117"/>
      <c r="P139" s="117"/>
      <c r="Q139" s="117"/>
      <c r="R139" s="117"/>
      <c r="AJ139" s="24">
        <f>+AJ136</f>
        <v>3</v>
      </c>
      <c r="AK139" s="24" t="e">
        <f t="shared" ref="AK139:CD139" ca="1" si="154">+(1-1*(AK23&lt;&gt;"--"))*AJ139+AK136</f>
        <v>#NAME?</v>
      </c>
      <c r="AL139" s="24" t="e">
        <f t="shared" ca="1" si="154"/>
        <v>#NAME?</v>
      </c>
      <c r="AM139" s="24" t="e">
        <f t="shared" ca="1" si="154"/>
        <v>#NAME?</v>
      </c>
      <c r="AN139" s="24" t="e">
        <f t="shared" ca="1" si="154"/>
        <v>#NAME?</v>
      </c>
      <c r="AO139" s="24" t="e">
        <f t="shared" ca="1" si="154"/>
        <v>#NAME?</v>
      </c>
      <c r="AP139" s="24" t="e">
        <f t="shared" ca="1" si="154"/>
        <v>#NAME?</v>
      </c>
      <c r="AQ139" s="24" t="e">
        <f t="shared" ca="1" si="154"/>
        <v>#NAME?</v>
      </c>
      <c r="AR139" s="24" t="e">
        <f t="shared" ca="1" si="154"/>
        <v>#NAME?</v>
      </c>
      <c r="AS139" s="24" t="e">
        <f t="shared" ca="1" si="154"/>
        <v>#NAME?</v>
      </c>
      <c r="AT139" s="24" t="e">
        <f t="shared" ca="1" si="154"/>
        <v>#NAME?</v>
      </c>
      <c r="AU139" s="24" t="e">
        <f t="shared" ca="1" si="154"/>
        <v>#NAME?</v>
      </c>
      <c r="AV139" s="24" t="e">
        <f t="shared" ca="1" si="154"/>
        <v>#NAME?</v>
      </c>
      <c r="AW139" s="24" t="e">
        <f t="shared" ca="1" si="154"/>
        <v>#NAME?</v>
      </c>
      <c r="AX139" s="24" t="e">
        <f t="shared" ca="1" si="154"/>
        <v>#NAME?</v>
      </c>
      <c r="AY139" s="24" t="e">
        <f t="shared" ca="1" si="154"/>
        <v>#NAME?</v>
      </c>
      <c r="AZ139" s="24" t="e">
        <f t="shared" ca="1" si="154"/>
        <v>#NAME?</v>
      </c>
      <c r="BA139" s="24" t="e">
        <f t="shared" ca="1" si="154"/>
        <v>#NAME?</v>
      </c>
      <c r="BB139" s="24" t="e">
        <f t="shared" ca="1" si="154"/>
        <v>#NAME?</v>
      </c>
      <c r="BC139" s="24" t="e">
        <f t="shared" ca="1" si="154"/>
        <v>#NAME?</v>
      </c>
      <c r="BD139" s="24" t="e">
        <f t="shared" ca="1" si="154"/>
        <v>#NAME?</v>
      </c>
      <c r="BE139" s="24" t="e">
        <f t="shared" ca="1" si="154"/>
        <v>#NAME?</v>
      </c>
      <c r="BF139" s="24" t="e">
        <f t="shared" ca="1" si="154"/>
        <v>#NAME?</v>
      </c>
      <c r="BG139" s="24" t="e">
        <f t="shared" ca="1" si="154"/>
        <v>#NAME?</v>
      </c>
      <c r="BH139" s="24" t="e">
        <f t="shared" ca="1" si="154"/>
        <v>#NAME?</v>
      </c>
      <c r="BI139" s="24" t="e">
        <f t="shared" ca="1" si="154"/>
        <v>#NAME?</v>
      </c>
      <c r="BJ139" s="24" t="e">
        <f t="shared" ca="1" si="154"/>
        <v>#NAME?</v>
      </c>
      <c r="BK139" s="24" t="e">
        <f t="shared" ca="1" si="154"/>
        <v>#NAME?</v>
      </c>
      <c r="BL139" s="24" t="e">
        <f t="shared" ca="1" si="154"/>
        <v>#NAME?</v>
      </c>
      <c r="BM139" s="24" t="e">
        <f t="shared" ca="1" si="154"/>
        <v>#NAME?</v>
      </c>
      <c r="BN139" s="24" t="e">
        <f t="shared" ca="1" si="154"/>
        <v>#NAME?</v>
      </c>
      <c r="BO139" s="24" t="e">
        <f t="shared" ca="1" si="154"/>
        <v>#NAME?</v>
      </c>
      <c r="BP139" s="24" t="e">
        <f t="shared" ca="1" si="154"/>
        <v>#NAME?</v>
      </c>
      <c r="BQ139" s="24" t="e">
        <f t="shared" ca="1" si="154"/>
        <v>#NAME?</v>
      </c>
      <c r="BR139" s="24" t="e">
        <f t="shared" ca="1" si="154"/>
        <v>#NAME?</v>
      </c>
      <c r="BS139" s="24" t="e">
        <f t="shared" ca="1" si="154"/>
        <v>#NAME?</v>
      </c>
      <c r="BT139" s="24" t="e">
        <f t="shared" ca="1" si="154"/>
        <v>#NAME?</v>
      </c>
      <c r="BU139" s="24" t="e">
        <f t="shared" ca="1" si="154"/>
        <v>#NAME?</v>
      </c>
      <c r="BV139" s="24" t="e">
        <f t="shared" ca="1" si="154"/>
        <v>#NAME?</v>
      </c>
      <c r="BW139" s="24" t="e">
        <f t="shared" ca="1" si="154"/>
        <v>#NAME?</v>
      </c>
      <c r="BX139" s="24" t="e">
        <f t="shared" ca="1" si="154"/>
        <v>#NAME?</v>
      </c>
      <c r="BY139" s="24" t="e">
        <f t="shared" ca="1" si="154"/>
        <v>#NAME?</v>
      </c>
      <c r="BZ139" s="24" t="e">
        <f t="shared" ca="1" si="154"/>
        <v>#NAME?</v>
      </c>
      <c r="CA139" s="24" t="e">
        <f t="shared" ca="1" si="154"/>
        <v>#NAME?</v>
      </c>
      <c r="CB139" s="24" t="e">
        <f t="shared" ca="1" si="154"/>
        <v>#NAME?</v>
      </c>
      <c r="CC139" s="24" t="e">
        <f t="shared" ca="1" si="154"/>
        <v>#NAME?</v>
      </c>
      <c r="CD139" s="24" t="e">
        <f t="shared" ca="1" si="154"/>
        <v>#NAME?</v>
      </c>
      <c r="CE139" s="60"/>
      <c r="CN139" s="86">
        <f>+CN136+CM139</f>
        <v>6.5</v>
      </c>
      <c r="CO139" s="86">
        <f t="shared" ref="CO139:CX139" si="155">+CO136+CN139</f>
        <v>14.08</v>
      </c>
      <c r="CP139" s="86">
        <f t="shared" si="155"/>
        <v>21.811599999999999</v>
      </c>
      <c r="CQ139" s="86">
        <f t="shared" si="155"/>
        <v>29.697831999999998</v>
      </c>
      <c r="CR139" s="86">
        <f t="shared" si="155"/>
        <v>37.741788639999996</v>
      </c>
      <c r="CS139" s="86">
        <f t="shared" si="155"/>
        <v>45.946624412799999</v>
      </c>
      <c r="CT139" s="86">
        <f t="shared" si="155"/>
        <v>61.498664814400001</v>
      </c>
      <c r="CU139" s="86">
        <f t="shared" si="155"/>
        <v>77.878638110688001</v>
      </c>
      <c r="CV139" s="86">
        <f t="shared" si="155"/>
        <v>93.581719320320005</v>
      </c>
      <c r="CW139" s="86">
        <f t="shared" si="155"/>
        <v>109.43886215414464</v>
      </c>
      <c r="CX139" s="86">
        <f t="shared" si="155"/>
        <v>125.45314784464577</v>
      </c>
    </row>
    <row r="140" spans="1:102" s="60" customFormat="1" x14ac:dyDescent="0.25">
      <c r="B140" s="26" t="s">
        <v>170</v>
      </c>
      <c r="C140" s="23"/>
      <c r="D140" s="23"/>
      <c r="E140" s="23"/>
      <c r="F140" s="23"/>
      <c r="G140" s="23"/>
      <c r="H140" s="23"/>
      <c r="I140" s="23"/>
      <c r="J140" s="23"/>
      <c r="K140" s="23"/>
      <c r="L140" s="23"/>
      <c r="M140" s="23"/>
      <c r="N140" s="23"/>
      <c r="O140" s="23"/>
      <c r="P140" s="23"/>
      <c r="Q140" s="23"/>
      <c r="R140" s="23"/>
      <c r="CO140" s="108">
        <f t="shared" ref="CO140:CX140" si="156">+IFERROR(CO139/CN139-1,"")</f>
        <v>1.1661538461538461</v>
      </c>
      <c r="CP140" s="108">
        <f t="shared" si="156"/>
        <v>0.54911931818181814</v>
      </c>
      <c r="CQ140" s="108">
        <f t="shared" si="156"/>
        <v>0.36156137101358921</v>
      </c>
      <c r="CR140" s="108">
        <f t="shared" si="156"/>
        <v>0.27086006278168706</v>
      </c>
      <c r="CS140" s="108">
        <f t="shared" si="156"/>
        <v>0.2173939304006447</v>
      </c>
      <c r="CT140" s="108">
        <f t="shared" si="156"/>
        <v>0.33848058699318617</v>
      </c>
      <c r="CU140" s="108">
        <f t="shared" si="156"/>
        <v>0.26634681168643204</v>
      </c>
      <c r="CV140" s="108">
        <f t="shared" si="156"/>
        <v>0.20163528267293773</v>
      </c>
      <c r="CW140" s="108">
        <f t="shared" si="156"/>
        <v>0.16944701325210088</v>
      </c>
      <c r="CX140" s="108">
        <f t="shared" si="156"/>
        <v>0.14633088626182</v>
      </c>
    </row>
    <row r="141" spans="1:102" s="60" customFormat="1" x14ac:dyDescent="0.25">
      <c r="B141" s="26"/>
      <c r="C141" s="23"/>
      <c r="D141" s="23"/>
      <c r="E141" s="23"/>
      <c r="F141" s="23"/>
      <c r="G141" s="23"/>
      <c r="H141" s="23"/>
      <c r="I141" s="23"/>
      <c r="J141" s="23"/>
      <c r="K141" s="23"/>
      <c r="L141" s="23"/>
      <c r="M141" s="23"/>
      <c r="N141" s="23"/>
      <c r="O141" s="23"/>
      <c r="P141" s="23"/>
      <c r="Q141" s="23"/>
      <c r="R141" s="23"/>
      <c r="CO141" s="108"/>
      <c r="CP141" s="108"/>
      <c r="CQ141" s="108"/>
      <c r="CR141" s="108"/>
      <c r="CS141" s="108"/>
      <c r="CT141" s="108"/>
      <c r="CU141" s="108"/>
      <c r="CV141" s="108"/>
      <c r="CW141" s="108"/>
      <c r="CX141" s="108"/>
    </row>
    <row r="142" spans="1:102" ht="15.75" thickBot="1" x14ac:dyDescent="0.3">
      <c r="A142" s="1" t="s">
        <v>18</v>
      </c>
      <c r="B142" s="34" t="s">
        <v>111</v>
      </c>
      <c r="C142" s="34"/>
      <c r="D142" s="34"/>
      <c r="E142" s="34"/>
      <c r="F142" s="34"/>
      <c r="G142" s="34"/>
      <c r="H142" s="34"/>
      <c r="I142" s="34"/>
      <c r="J142" s="34"/>
      <c r="K142" s="34"/>
      <c r="L142" s="34"/>
      <c r="M142" s="34"/>
      <c r="N142" s="34"/>
      <c r="O142" s="34"/>
      <c r="P142" s="34"/>
      <c r="Q142" s="34"/>
      <c r="R142" s="34"/>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c r="AX142" s="35"/>
      <c r="AY142" s="35"/>
      <c r="AZ142" s="35"/>
      <c r="BA142" s="35"/>
      <c r="BB142" s="35"/>
      <c r="BC142" s="35"/>
      <c r="BD142" s="35"/>
      <c r="BE142" s="35"/>
      <c r="BF142" s="35"/>
      <c r="BG142" s="35"/>
      <c r="BH142" s="35"/>
      <c r="BI142" s="35"/>
      <c r="BJ142" s="35"/>
      <c r="BK142" s="35"/>
      <c r="BL142" s="35"/>
      <c r="BM142" s="35"/>
      <c r="BN142" s="35"/>
      <c r="BO142" s="35"/>
      <c r="BP142" s="35"/>
      <c r="BQ142" s="35"/>
      <c r="BR142" s="35"/>
      <c r="BS142" s="35"/>
      <c r="BT142" s="35"/>
      <c r="BU142" s="35"/>
      <c r="BV142" s="35"/>
      <c r="BW142" s="35"/>
      <c r="BX142" s="35"/>
      <c r="BY142" s="35"/>
      <c r="BZ142" s="35"/>
      <c r="CA142" s="35"/>
      <c r="CB142" s="35"/>
      <c r="CC142" s="35"/>
      <c r="CD142" s="35"/>
      <c r="CF142" s="35"/>
      <c r="CG142" s="35"/>
      <c r="CH142" s="35"/>
      <c r="CI142" s="35"/>
      <c r="CJ142" s="35"/>
      <c r="CK142" s="35"/>
      <c r="CL142" s="35"/>
      <c r="CM142" s="35"/>
      <c r="CN142" s="35"/>
      <c r="CO142" s="35"/>
      <c r="CP142" s="35"/>
      <c r="CQ142" s="35"/>
      <c r="CR142" s="35"/>
      <c r="CS142" s="35"/>
      <c r="CT142" s="35"/>
      <c r="CU142" s="35"/>
      <c r="CV142" s="35"/>
      <c r="CW142" s="35"/>
      <c r="CX142" s="35"/>
    </row>
    <row r="143" spans="1:102" s="36" customFormat="1" x14ac:dyDescent="0.25">
      <c r="A143" s="118"/>
      <c r="B143" s="119" t="s">
        <v>201</v>
      </c>
      <c r="C143" s="119"/>
      <c r="D143" s="119"/>
      <c r="E143" s="119"/>
      <c r="F143" s="119"/>
      <c r="G143" s="119"/>
      <c r="H143" s="119"/>
      <c r="I143" s="119"/>
      <c r="J143" s="119"/>
      <c r="K143" s="119"/>
      <c r="L143" s="119"/>
      <c r="M143" s="119"/>
      <c r="N143" s="119"/>
      <c r="O143" s="119"/>
      <c r="P143" s="119"/>
      <c r="Q143" s="119"/>
      <c r="R143" s="119"/>
      <c r="S143" s="120"/>
      <c r="T143" s="120"/>
      <c r="U143" s="120"/>
      <c r="V143" s="120"/>
      <c r="W143" s="120"/>
      <c r="X143" s="120"/>
      <c r="Y143" s="120"/>
      <c r="Z143" s="120"/>
      <c r="AA143" s="120"/>
      <c r="AB143" s="120"/>
      <c r="AC143" s="120"/>
      <c r="AD143" s="120"/>
      <c r="AE143" s="120"/>
      <c r="AF143" s="120"/>
      <c r="AG143" s="120"/>
      <c r="AH143" s="120"/>
      <c r="AI143" s="57">
        <f>+AI146+AI149</f>
        <v>135</v>
      </c>
      <c r="AJ143" s="57">
        <f t="shared" ref="AJ143:BF143" si="157">+AJ146+AJ149</f>
        <v>255</v>
      </c>
      <c r="AK143" s="57">
        <f t="shared" si="157"/>
        <v>202.5</v>
      </c>
      <c r="AL143" s="57">
        <f t="shared" si="157"/>
        <v>158</v>
      </c>
      <c r="AM143" s="57">
        <f t="shared" si="157"/>
        <v>106.54583333333332</v>
      </c>
      <c r="AN143" s="57">
        <f t="shared" si="157"/>
        <v>195.11041666666665</v>
      </c>
      <c r="AO143" s="57">
        <f t="shared" si="157"/>
        <v>287.23333333333335</v>
      </c>
      <c r="AP143" s="57">
        <f t="shared" si="157"/>
        <v>173.41041666666666</v>
      </c>
      <c r="AQ143" s="57">
        <f t="shared" si="157"/>
        <v>142.41208978734576</v>
      </c>
      <c r="AR143" s="57">
        <f t="shared" si="157"/>
        <v>176.2811178787083</v>
      </c>
      <c r="AS143" s="57">
        <f t="shared" si="157"/>
        <v>298.98527172486217</v>
      </c>
      <c r="AT143" s="57">
        <f t="shared" si="157"/>
        <v>193.92752060908373</v>
      </c>
      <c r="AU143" s="57">
        <f t="shared" si="157"/>
        <v>105.40046285114204</v>
      </c>
      <c r="AV143" s="57">
        <f t="shared" si="157"/>
        <v>211.98551681806248</v>
      </c>
      <c r="AW143" s="57">
        <f t="shared" si="157"/>
        <v>310.7215353111053</v>
      </c>
      <c r="AX143" s="57">
        <f t="shared" si="157"/>
        <v>202.53147663953794</v>
      </c>
      <c r="AY143" s="57">
        <f t="shared" si="157"/>
        <v>110.12427599369913</v>
      </c>
      <c r="AZ143" s="57">
        <f t="shared" si="157"/>
        <v>219.24198745896558</v>
      </c>
      <c r="BA143" s="57">
        <f t="shared" si="157"/>
        <v>322.98035207666055</v>
      </c>
      <c r="BB143" s="57">
        <f t="shared" si="157"/>
        <v>211.54378207151487</v>
      </c>
      <c r="BC143" s="57">
        <f t="shared" si="157"/>
        <v>115.07335559338409</v>
      </c>
      <c r="BD143" s="57">
        <f t="shared" si="157"/>
        <v>237.78701886330356</v>
      </c>
      <c r="BE143" s="57">
        <f>+BA143*(1+BE144)</f>
        <v>339.1293696804936</v>
      </c>
      <c r="BF143" s="57">
        <f t="shared" si="157"/>
        <v>224.29665981669061</v>
      </c>
      <c r="BG143" s="57">
        <f>+BG146+BG149</f>
        <v>126.72140733352251</v>
      </c>
      <c r="BH143" s="57">
        <f t="shared" ref="BH143:CD143" si="158">+BH146+BH149</f>
        <v>209.133536203728</v>
      </c>
      <c r="BI143" s="57">
        <f t="shared" si="158"/>
        <v>297.37228792441954</v>
      </c>
      <c r="BJ143" s="57">
        <f t="shared" si="158"/>
        <v>192.99035090082702</v>
      </c>
      <c r="BK143" s="57">
        <f t="shared" si="158"/>
        <v>111.27937722783014</v>
      </c>
      <c r="BL143" s="57">
        <f t="shared" si="158"/>
        <v>223.51605199982399</v>
      </c>
      <c r="BM143" s="57">
        <f t="shared" si="158"/>
        <v>309.23749948921954</v>
      </c>
      <c r="BN143" s="57">
        <f t="shared" si="158"/>
        <v>205.5340403779004</v>
      </c>
      <c r="BO143" s="57">
        <f t="shared" si="158"/>
        <v>115.77349179092084</v>
      </c>
      <c r="BP143" s="57">
        <f t="shared" si="158"/>
        <v>216.17021301391441</v>
      </c>
      <c r="BQ143" s="57">
        <f t="shared" si="158"/>
        <v>308.82090232064053</v>
      </c>
      <c r="BR143" s="57">
        <f t="shared" si="158"/>
        <v>209.63686186816179</v>
      </c>
      <c r="BS143" s="57">
        <f t="shared" si="158"/>
        <v>120.92025380148641</v>
      </c>
      <c r="BT143" s="57">
        <f t="shared" si="158"/>
        <v>223.49032366461012</v>
      </c>
      <c r="BU143" s="57">
        <f t="shared" si="158"/>
        <v>320.77354743667257</v>
      </c>
      <c r="BV143" s="57">
        <f t="shared" si="158"/>
        <v>218.9559049615699</v>
      </c>
      <c r="BW143" s="57">
        <f t="shared" si="158"/>
        <v>126.31151566100064</v>
      </c>
      <c r="BX143" s="57">
        <f t="shared" si="158"/>
        <v>231.10667184784063</v>
      </c>
      <c r="BY143" s="57">
        <f t="shared" si="158"/>
        <v>333.25405680850622</v>
      </c>
      <c r="BZ143" s="57">
        <f t="shared" si="158"/>
        <v>228.71764420964837</v>
      </c>
      <c r="CA143" s="57">
        <f t="shared" si="158"/>
        <v>131.95924559687938</v>
      </c>
      <c r="CB143" s="57">
        <f t="shared" si="158"/>
        <v>239.03267408023271</v>
      </c>
      <c r="CC143" s="57">
        <f t="shared" si="158"/>
        <v>346.28742828893149</v>
      </c>
      <c r="CD143" s="57">
        <f t="shared" si="158"/>
        <v>238.9437493001308</v>
      </c>
      <c r="CE143"/>
      <c r="CM143" s="57"/>
      <c r="CN143" s="57">
        <f t="shared" ref="CN143:CX143" si="159">+SUMIFS($S143:$CD143,$S$5:$CD$5,"&lt;="&amp;CN$5,$S$5:$CD$5,"&gt;"&amp;CM$5)</f>
        <v>750.5</v>
      </c>
      <c r="CO143" s="57">
        <f t="shared" si="159"/>
        <v>762.3</v>
      </c>
      <c r="CP143" s="57">
        <f t="shared" si="159"/>
        <v>811.60599999999999</v>
      </c>
      <c r="CQ143" s="57">
        <f t="shared" si="159"/>
        <v>830.63899161984773</v>
      </c>
      <c r="CR143" s="57">
        <f t="shared" si="159"/>
        <v>863.89039760084017</v>
      </c>
      <c r="CS143" s="57">
        <f t="shared" si="159"/>
        <v>916.28640395387185</v>
      </c>
      <c r="CT143" s="57">
        <f t="shared" si="159"/>
        <v>826.21758236249707</v>
      </c>
      <c r="CU143" s="57">
        <f t="shared" si="159"/>
        <v>849.56696909477409</v>
      </c>
      <c r="CV143" s="57">
        <f t="shared" si="159"/>
        <v>850.40146899363754</v>
      </c>
      <c r="CW143" s="57">
        <f t="shared" si="159"/>
        <v>884.140029864339</v>
      </c>
      <c r="CX143" s="57">
        <f t="shared" si="159"/>
        <v>919.38988852699583</v>
      </c>
    </row>
    <row r="144" spans="1:102" ht="15" customHeight="1" x14ac:dyDescent="0.25">
      <c r="B144" s="37" t="s">
        <v>170</v>
      </c>
      <c r="C144" s="37"/>
      <c r="D144" s="37"/>
      <c r="E144" s="37"/>
      <c r="F144" s="37"/>
      <c r="G144" s="37"/>
      <c r="H144" s="37"/>
      <c r="I144" s="37"/>
      <c r="J144" s="37"/>
      <c r="K144" s="37"/>
      <c r="L144" s="37"/>
      <c r="M144" s="37"/>
      <c r="N144" s="37"/>
      <c r="O144" s="37"/>
      <c r="P144" s="37"/>
      <c r="Q144" s="37"/>
      <c r="R144" s="37"/>
      <c r="S144" s="82"/>
      <c r="T144" s="82"/>
      <c r="U144" s="82"/>
      <c r="V144" s="82"/>
      <c r="W144" s="82"/>
      <c r="X144" s="82"/>
      <c r="Y144" s="82"/>
      <c r="Z144" s="82"/>
      <c r="AA144" s="82"/>
      <c r="AB144" s="82"/>
      <c r="AC144" s="82"/>
      <c r="AD144" s="82"/>
      <c r="AE144" s="82"/>
      <c r="AF144" s="82"/>
      <c r="AG144" s="82"/>
      <c r="AH144" s="82"/>
      <c r="AI144" s="82" t="str">
        <f t="shared" ref="AI144:BB144" si="160">+IFERROR(AI143/AE143-1,"")</f>
        <v/>
      </c>
      <c r="AJ144" s="82" t="str">
        <f t="shared" si="160"/>
        <v/>
      </c>
      <c r="AK144" s="82" t="str">
        <f t="shared" si="160"/>
        <v/>
      </c>
      <c r="AL144" s="82" t="str">
        <f t="shared" si="160"/>
        <v/>
      </c>
      <c r="AM144" s="82">
        <f t="shared" si="160"/>
        <v>-0.21077160493827174</v>
      </c>
      <c r="AN144" s="82">
        <f t="shared" si="160"/>
        <v>-0.23486111111111119</v>
      </c>
      <c r="AO144" s="82">
        <f t="shared" si="160"/>
        <v>0.41843621399176967</v>
      </c>
      <c r="AP144" s="82">
        <f t="shared" si="160"/>
        <v>9.753428270042197E-2</v>
      </c>
      <c r="AQ144" s="82">
        <f t="shared" si="160"/>
        <v>0.33662749008497861</v>
      </c>
      <c r="AR144" s="82">
        <f t="shared" si="160"/>
        <v>-9.6505861192060172E-2</v>
      </c>
      <c r="AS144" s="82">
        <f t="shared" si="160"/>
        <v>4.0914256904475366E-2</v>
      </c>
      <c r="AT144" s="82">
        <f t="shared" si="160"/>
        <v>0.11831529118493211</v>
      </c>
      <c r="AU144" s="82">
        <f t="shared" si="160"/>
        <v>-0.25989104570735999</v>
      </c>
      <c r="AV144" s="82">
        <f t="shared" si="160"/>
        <v>0.20254239006993857</v>
      </c>
      <c r="AW144" s="82">
        <f t="shared" si="160"/>
        <v>3.925365125357505E-2</v>
      </c>
      <c r="AX144" s="82">
        <f t="shared" si="160"/>
        <v>4.436686450397076E-2</v>
      </c>
      <c r="AY144" s="82">
        <f t="shared" si="160"/>
        <v>4.48177646926331E-2</v>
      </c>
      <c r="AZ144" s="82">
        <f t="shared" si="160"/>
        <v>3.4230973652464192E-2</v>
      </c>
      <c r="BA144" s="82">
        <f t="shared" si="160"/>
        <v>3.9452742640709859E-2</v>
      </c>
      <c r="BB144" s="82">
        <f t="shared" si="160"/>
        <v>4.4498295186070624E-2</v>
      </c>
      <c r="BC144" s="82">
        <f>+IFERROR(BC143/AY143-1,"")</f>
        <v>4.4940859361183305E-2</v>
      </c>
      <c r="BD144" s="82">
        <f t="shared" ref="BD144" si="161">+IFERROR(BD143/AZ143-1,"")</f>
        <v>8.4587042925839961E-2</v>
      </c>
      <c r="BE144" s="121">
        <v>0.05</v>
      </c>
      <c r="BF144" s="82">
        <f t="shared" ref="BF144:CD144" si="162">+IFERROR(BF143/BB143-1,"")</f>
        <v>6.0284814898811323E-2</v>
      </c>
      <c r="BG144" s="82">
        <f t="shared" si="162"/>
        <v>0.10122283894542217</v>
      </c>
      <c r="BH144" s="82">
        <f t="shared" si="162"/>
        <v>-0.1205006177231549</v>
      </c>
      <c r="BI144" s="82">
        <f t="shared" si="162"/>
        <v>-0.12313024317361532</v>
      </c>
      <c r="BJ144" s="82">
        <f t="shared" si="162"/>
        <v>-0.1395754575277629</v>
      </c>
      <c r="BK144" s="82">
        <f t="shared" si="162"/>
        <v>-0.1218581014102057</v>
      </c>
      <c r="BL144" s="82">
        <f t="shared" si="162"/>
        <v>6.8771924661978678E-2</v>
      </c>
      <c r="BM144" s="82">
        <f t="shared" si="162"/>
        <v>3.9900192609123364E-2</v>
      </c>
      <c r="BN144" s="82">
        <f t="shared" si="162"/>
        <v>6.4996459245360239E-2</v>
      </c>
      <c r="BO144" s="82">
        <f t="shared" si="162"/>
        <v>4.0385870904809051E-2</v>
      </c>
      <c r="BP144" s="82">
        <f t="shared" si="162"/>
        <v>-3.2864928134626159E-2</v>
      </c>
      <c r="BQ144" s="82">
        <f t="shared" si="162"/>
        <v>-1.3471754533881386E-3</v>
      </c>
      <c r="BR144" s="82">
        <f t="shared" si="162"/>
        <v>1.9961761481056106E-2</v>
      </c>
      <c r="BS144" s="82">
        <f t="shared" si="162"/>
        <v>4.4455444255411036E-2</v>
      </c>
      <c r="BT144" s="82">
        <f t="shared" si="162"/>
        <v>3.3862716553943129E-2</v>
      </c>
      <c r="BU144" s="82">
        <f t="shared" si="162"/>
        <v>3.8704132480067432E-2</v>
      </c>
      <c r="BV144" s="82">
        <f t="shared" si="162"/>
        <v>4.445326556771656E-2</v>
      </c>
      <c r="BW144" s="82">
        <f t="shared" si="162"/>
        <v>4.4585267480210744E-2</v>
      </c>
      <c r="BX144" s="82">
        <f t="shared" si="162"/>
        <v>3.4079095946276006E-2</v>
      </c>
      <c r="BY144" s="82">
        <f t="shared" si="162"/>
        <v>3.8907539201927355E-2</v>
      </c>
      <c r="BZ144" s="82">
        <f t="shared" si="162"/>
        <v>4.4583128506133773E-2</v>
      </c>
      <c r="CA144" s="82">
        <f t="shared" si="162"/>
        <v>4.4712708151142255E-2</v>
      </c>
      <c r="CB144" s="82">
        <f t="shared" si="162"/>
        <v>3.4295860734001371E-2</v>
      </c>
      <c r="CC144" s="82">
        <f t="shared" si="162"/>
        <v>3.9109415816997783E-2</v>
      </c>
      <c r="CD144" s="82">
        <f t="shared" si="162"/>
        <v>4.4710608688802944E-2</v>
      </c>
      <c r="CG144" s="82"/>
      <c r="CH144" s="82"/>
      <c r="CI144" s="82" t="str">
        <f t="shared" ref="CI144:CL144" si="163">+IFERROR(CI143/CH143-1,"")</f>
        <v/>
      </c>
      <c r="CJ144" s="82" t="str">
        <f t="shared" si="163"/>
        <v/>
      </c>
      <c r="CK144" s="82" t="str">
        <f t="shared" si="163"/>
        <v/>
      </c>
      <c r="CL144" s="82" t="str">
        <f t="shared" si="163"/>
        <v/>
      </c>
      <c r="CM144" s="82"/>
      <c r="CN144" s="82" t="str">
        <f t="shared" ref="CN144:CP144" si="164">+IFERROR(CN143/CM143-1,"")</f>
        <v/>
      </c>
      <c r="CO144" s="82">
        <f t="shared" si="164"/>
        <v>1.5722851432378393E-2</v>
      </c>
      <c r="CP144" s="82">
        <f t="shared" si="164"/>
        <v>6.4680571953299237E-2</v>
      </c>
      <c r="CQ144" s="82">
        <f>+IFERROR(CQ143/CP143-1,"")</f>
        <v>2.3451023797073534E-2</v>
      </c>
      <c r="CR144" s="82">
        <f>+IFERROR(CR143/CQ143-1,"")</f>
        <v>4.0031116184599203E-2</v>
      </c>
      <c r="CS144" s="82">
        <f t="shared" ref="CS144:CX144" si="165">+IFERROR(CS143/CR143-1,"")</f>
        <v>6.0651219759524588E-2</v>
      </c>
      <c r="CT144" s="82">
        <f t="shared" si="165"/>
        <v>-9.8297673306859457E-2</v>
      </c>
      <c r="CU144" s="82">
        <f t="shared" si="165"/>
        <v>2.8260578364250666E-2</v>
      </c>
      <c r="CV144" s="82">
        <f t="shared" si="165"/>
        <v>9.8226499995957006E-4</v>
      </c>
      <c r="CW144" s="82">
        <f t="shared" si="165"/>
        <v>3.967368601870791E-2</v>
      </c>
      <c r="CX144" s="82">
        <f t="shared" si="165"/>
        <v>3.9869090270763463E-2</v>
      </c>
    </row>
    <row r="145" spans="1:102" x14ac:dyDescent="0.25">
      <c r="B145" s="42"/>
      <c r="C145" s="42"/>
      <c r="D145" s="42"/>
      <c r="E145" s="42"/>
      <c r="F145" s="42"/>
      <c r="G145" s="42"/>
      <c r="H145" s="42"/>
      <c r="I145" s="42"/>
      <c r="J145" s="42"/>
      <c r="K145" s="42"/>
      <c r="L145" s="42"/>
      <c r="M145" s="42"/>
      <c r="N145" s="42"/>
      <c r="O145" s="42"/>
      <c r="P145" s="42"/>
      <c r="Q145" s="42"/>
      <c r="R145" s="42"/>
      <c r="BE145" s="103"/>
      <c r="BH145" s="122" t="s">
        <v>206</v>
      </c>
      <c r="BI145" s="123"/>
      <c r="BJ145" s="124"/>
    </row>
    <row r="146" spans="1:102" s="2" customFormat="1" x14ac:dyDescent="0.25">
      <c r="A146" s="107"/>
      <c r="B146" s="72" t="s">
        <v>150</v>
      </c>
      <c r="C146" s="72"/>
      <c r="D146" s="72"/>
      <c r="E146" s="72"/>
      <c r="F146" s="72"/>
      <c r="G146" s="72"/>
      <c r="H146" s="72"/>
      <c r="I146" s="72"/>
      <c r="J146" s="72"/>
      <c r="K146" s="72"/>
      <c r="L146" s="72"/>
      <c r="M146" s="72"/>
      <c r="N146" s="72"/>
      <c r="O146" s="72"/>
      <c r="P146" s="72"/>
      <c r="Q146" s="72"/>
      <c r="R146" s="72"/>
      <c r="S146" s="73"/>
      <c r="T146" s="73"/>
      <c r="U146" s="73"/>
      <c r="V146" s="73"/>
      <c r="W146" s="73"/>
      <c r="X146" s="73"/>
      <c r="Y146" s="73"/>
      <c r="Z146" s="73"/>
      <c r="AA146" s="73"/>
      <c r="AB146" s="73"/>
      <c r="AC146" s="73"/>
      <c r="AD146" s="73"/>
      <c r="AE146" s="73"/>
      <c r="AF146" s="73"/>
      <c r="AG146" s="73"/>
      <c r="AH146" s="73"/>
      <c r="AI146" s="87">
        <f t="shared" ref="AI146:AT146" si="166">+AI67</f>
        <v>100</v>
      </c>
      <c r="AJ146" s="87">
        <f t="shared" si="166"/>
        <v>150</v>
      </c>
      <c r="AK146" s="87">
        <f t="shared" si="166"/>
        <v>150</v>
      </c>
      <c r="AL146" s="87">
        <f t="shared" si="166"/>
        <v>123</v>
      </c>
      <c r="AM146" s="87">
        <f t="shared" si="166"/>
        <v>89.04583333333332</v>
      </c>
      <c r="AN146" s="87">
        <f t="shared" si="166"/>
        <v>88.010416666666657</v>
      </c>
      <c r="AO146" s="87">
        <f t="shared" si="166"/>
        <v>182.23333333333335</v>
      </c>
      <c r="AP146" s="87">
        <f t="shared" si="166"/>
        <v>137.71041666666667</v>
      </c>
      <c r="AQ146" s="87">
        <f t="shared" si="166"/>
        <v>124.56208978734577</v>
      </c>
      <c r="AR146" s="87">
        <f t="shared" si="166"/>
        <v>67.039117878708311</v>
      </c>
      <c r="AS146" s="87">
        <f t="shared" si="166"/>
        <v>191.88527172486215</v>
      </c>
      <c r="AT146" s="87">
        <f t="shared" si="166"/>
        <v>157.51352060908374</v>
      </c>
      <c r="AU146" s="24">
        <f>+AQ146*(1+AU147)</f>
        <v>87.19346285114203</v>
      </c>
      <c r="AV146" s="24">
        <f t="shared" ref="AV146:BG146" si="167">+AR146*(1+AV147)</f>
        <v>100.55867681806247</v>
      </c>
      <c r="AW146" s="24">
        <f t="shared" si="167"/>
        <v>201.47953531110528</v>
      </c>
      <c r="AX146" s="24">
        <f t="shared" si="167"/>
        <v>165.38919663953794</v>
      </c>
      <c r="AY146" s="24">
        <f t="shared" si="167"/>
        <v>91.553135993699129</v>
      </c>
      <c r="AZ146" s="24">
        <f t="shared" si="167"/>
        <v>105.5866106589656</v>
      </c>
      <c r="BA146" s="24">
        <f t="shared" si="167"/>
        <v>211.55351207666055</v>
      </c>
      <c r="BB146" s="24">
        <f t="shared" si="167"/>
        <v>173.65865647151486</v>
      </c>
      <c r="BC146" s="24">
        <f t="shared" si="167"/>
        <v>96.130792793384089</v>
      </c>
      <c r="BD146" s="24">
        <f t="shared" si="167"/>
        <v>111.92180729850354</v>
      </c>
      <c r="BE146" s="24">
        <f>+BE143-BE149</f>
        <v>215.73210344049357</v>
      </c>
      <c r="BF146" s="24">
        <f t="shared" si="167"/>
        <v>182.34158929509061</v>
      </c>
      <c r="BG146" s="24">
        <f t="shared" si="167"/>
        <v>105.74387207272251</v>
      </c>
      <c r="BH146" s="24">
        <f>+BD146*(1+BH147)</f>
        <v>95.133536203727999</v>
      </c>
      <c r="BI146" s="24">
        <f t="shared" ref="BI146:CD146" si="168">+BE146*(1+BI147)</f>
        <v>183.37228792441954</v>
      </c>
      <c r="BJ146" s="24">
        <f t="shared" si="168"/>
        <v>154.99035090082702</v>
      </c>
      <c r="BK146" s="24">
        <f t="shared" si="168"/>
        <v>89.882291261814132</v>
      </c>
      <c r="BL146" s="24">
        <f t="shared" si="168"/>
        <v>95.133536203727999</v>
      </c>
      <c r="BM146" s="24">
        <f t="shared" si="168"/>
        <v>183.37228792441954</v>
      </c>
      <c r="BN146" s="24">
        <f t="shared" si="168"/>
        <v>162.73986844586838</v>
      </c>
      <c r="BO146" s="24">
        <f t="shared" si="168"/>
        <v>94.376405824904836</v>
      </c>
      <c r="BP146" s="24">
        <f t="shared" si="168"/>
        <v>99.890213013914405</v>
      </c>
      <c r="BQ146" s="24">
        <f t="shared" si="168"/>
        <v>192.54090232064053</v>
      </c>
      <c r="BR146" s="24">
        <f t="shared" si="168"/>
        <v>170.8768618681618</v>
      </c>
      <c r="BS146" s="24">
        <f t="shared" si="168"/>
        <v>99.095226116150087</v>
      </c>
      <c r="BT146" s="24">
        <f t="shared" si="168"/>
        <v>104.88472366461014</v>
      </c>
      <c r="BU146" s="24">
        <f t="shared" si="168"/>
        <v>202.16794743667256</v>
      </c>
      <c r="BV146" s="24">
        <f t="shared" si="168"/>
        <v>179.4207049615699</v>
      </c>
      <c r="BW146" s="24">
        <f t="shared" si="168"/>
        <v>104.0499874219576</v>
      </c>
      <c r="BX146" s="24">
        <f t="shared" si="168"/>
        <v>110.12895984784065</v>
      </c>
      <c r="BY146" s="24">
        <f t="shared" si="168"/>
        <v>212.2763448085062</v>
      </c>
      <c r="BZ146" s="24">
        <f t="shared" si="168"/>
        <v>188.39174020964839</v>
      </c>
      <c r="CA146" s="24">
        <f t="shared" si="168"/>
        <v>109.25248679305548</v>
      </c>
      <c r="CB146" s="24">
        <f t="shared" si="168"/>
        <v>115.63540784023269</v>
      </c>
      <c r="CC146" s="24">
        <f t="shared" si="168"/>
        <v>222.8901620489315</v>
      </c>
      <c r="CD146" s="24">
        <f t="shared" si="168"/>
        <v>197.81132722013081</v>
      </c>
      <c r="CE146" s="24"/>
      <c r="CM146" s="24"/>
      <c r="CN146" s="24">
        <f t="shared" ref="CN146:CX146" si="169">+SUMIFS($S146:$CD146,$S$5:$CD$5,"&lt;="&amp;CN$5,$S$5:$CD$5,"&gt;"&amp;CM$5)</f>
        <v>523</v>
      </c>
      <c r="CO146" s="24">
        <f t="shared" si="169"/>
        <v>497</v>
      </c>
      <c r="CP146" s="24">
        <f t="shared" si="169"/>
        <v>541</v>
      </c>
      <c r="CQ146" s="24">
        <f t="shared" si="169"/>
        <v>554.62087161984778</v>
      </c>
      <c r="CR146" s="24">
        <f t="shared" si="169"/>
        <v>582.35191520084015</v>
      </c>
      <c r="CS146" s="24">
        <f t="shared" si="169"/>
        <v>606.12629282747184</v>
      </c>
      <c r="CT146" s="24">
        <f t="shared" si="169"/>
        <v>539.24004710169709</v>
      </c>
      <c r="CU146" s="24">
        <f t="shared" si="169"/>
        <v>531.12798383583004</v>
      </c>
      <c r="CV146" s="24">
        <f t="shared" si="169"/>
        <v>557.68438302762149</v>
      </c>
      <c r="CW146" s="24">
        <f t="shared" si="169"/>
        <v>585.56860217900271</v>
      </c>
      <c r="CX146" s="24">
        <f t="shared" si="169"/>
        <v>614.84703228795274</v>
      </c>
    </row>
    <row r="147" spans="1:102" ht="15" customHeight="1" x14ac:dyDescent="0.25">
      <c r="B147" s="37" t="s">
        <v>170</v>
      </c>
      <c r="C147" s="37"/>
      <c r="D147" s="37"/>
      <c r="E147" s="37"/>
      <c r="F147" s="37"/>
      <c r="G147" s="37"/>
      <c r="H147" s="37"/>
      <c r="I147" s="37"/>
      <c r="J147" s="37"/>
      <c r="K147" s="37"/>
      <c r="L147" s="37"/>
      <c r="M147" s="37"/>
      <c r="N147" s="37"/>
      <c r="O147" s="37"/>
      <c r="P147" s="37"/>
      <c r="Q147" s="37"/>
      <c r="R147" s="37"/>
      <c r="S147" s="82"/>
      <c r="T147" s="82"/>
      <c r="U147" s="82"/>
      <c r="V147" s="82"/>
      <c r="W147" s="82"/>
      <c r="X147" s="82"/>
      <c r="Y147" s="82"/>
      <c r="Z147" s="82"/>
      <c r="AA147" s="82"/>
      <c r="AB147" s="82"/>
      <c r="AC147" s="82"/>
      <c r="AD147" s="82"/>
      <c r="AE147" s="82"/>
      <c r="AF147" s="82"/>
      <c r="AG147" s="82"/>
      <c r="AH147" s="82"/>
      <c r="AI147" s="82" t="str">
        <f t="shared" ref="AI147:AT147" si="170">+IFERROR(AI146/AE146-1,"")</f>
        <v/>
      </c>
      <c r="AJ147" s="82" t="str">
        <f t="shared" si="170"/>
        <v/>
      </c>
      <c r="AK147" s="82" t="str">
        <f t="shared" si="170"/>
        <v/>
      </c>
      <c r="AL147" s="82" t="str">
        <f t="shared" si="170"/>
        <v/>
      </c>
      <c r="AM147" s="82">
        <f t="shared" si="170"/>
        <v>-0.10954166666666676</v>
      </c>
      <c r="AN147" s="82">
        <f t="shared" si="170"/>
        <v>-0.41326388888888899</v>
      </c>
      <c r="AO147" s="82">
        <f t="shared" si="170"/>
        <v>0.21488888888888891</v>
      </c>
      <c r="AP147" s="82">
        <f t="shared" si="170"/>
        <v>0.11959688346883479</v>
      </c>
      <c r="AQ147" s="82">
        <f t="shared" si="170"/>
        <v>0.39885365911576387</v>
      </c>
      <c r="AR147" s="82">
        <f t="shared" si="170"/>
        <v>-0.23828200776944031</v>
      </c>
      <c r="AS147" s="82">
        <f t="shared" si="170"/>
        <v>5.2964725031253712E-2</v>
      </c>
      <c r="AT147" s="82">
        <f t="shared" si="170"/>
        <v>0.14380251270571076</v>
      </c>
      <c r="AU147" s="75">
        <v>-0.3</v>
      </c>
      <c r="AV147" s="75">
        <v>0.5</v>
      </c>
      <c r="AW147" s="75">
        <v>0.05</v>
      </c>
      <c r="AX147" s="75">
        <v>0.05</v>
      </c>
      <c r="AY147" s="75">
        <v>0.05</v>
      </c>
      <c r="AZ147" s="75">
        <v>0.05</v>
      </c>
      <c r="BA147" s="75">
        <v>0.05</v>
      </c>
      <c r="BB147" s="75">
        <v>0.05</v>
      </c>
      <c r="BC147" s="75">
        <v>0.05</v>
      </c>
      <c r="BD147" s="75">
        <v>0.06</v>
      </c>
      <c r="BE147" s="49">
        <f t="shared" ref="BE147" si="171">+IFERROR(BE146/BA146-1,"")</f>
        <v>1.9751935681969757E-2</v>
      </c>
      <c r="BF147" s="75">
        <v>0.05</v>
      </c>
      <c r="BG147" s="102">
        <v>0.1</v>
      </c>
      <c r="BH147" s="102">
        <v>-0.15</v>
      </c>
      <c r="BI147" s="102">
        <v>-0.15</v>
      </c>
      <c r="BJ147" s="102">
        <v>-0.15</v>
      </c>
      <c r="BK147" s="102">
        <v>-0.15</v>
      </c>
      <c r="BL147" s="102">
        <v>0</v>
      </c>
      <c r="BM147" s="102">
        <v>0</v>
      </c>
      <c r="BN147" s="102">
        <v>0.05</v>
      </c>
      <c r="BO147" s="102">
        <v>0.05</v>
      </c>
      <c r="BP147" s="102">
        <v>0.05</v>
      </c>
      <c r="BQ147" s="102">
        <v>0.05</v>
      </c>
      <c r="BR147" s="102">
        <v>0.05</v>
      </c>
      <c r="BS147" s="102">
        <v>0.05</v>
      </c>
      <c r="BT147" s="102">
        <v>0.05</v>
      </c>
      <c r="BU147" s="102">
        <v>0.05</v>
      </c>
      <c r="BV147" s="102">
        <v>0.05</v>
      </c>
      <c r="BW147" s="102">
        <v>0.05</v>
      </c>
      <c r="BX147" s="102">
        <v>0.05</v>
      </c>
      <c r="BY147" s="102">
        <v>0.05</v>
      </c>
      <c r="BZ147" s="102">
        <v>0.05</v>
      </c>
      <c r="CA147" s="102">
        <v>0.05</v>
      </c>
      <c r="CB147" s="102">
        <v>0.05</v>
      </c>
      <c r="CC147" s="102">
        <v>0.05</v>
      </c>
      <c r="CD147" s="102">
        <v>0.05</v>
      </c>
      <c r="CE147" s="102"/>
      <c r="CG147" s="82"/>
      <c r="CH147" s="82"/>
      <c r="CI147" s="82" t="str">
        <f t="shared" ref="CI147:CL147" si="172">+IFERROR(CI146/CH146-1,"")</f>
        <v/>
      </c>
      <c r="CJ147" s="82" t="str">
        <f t="shared" si="172"/>
        <v/>
      </c>
      <c r="CK147" s="82" t="str">
        <f t="shared" si="172"/>
        <v/>
      </c>
      <c r="CL147" s="82" t="str">
        <f t="shared" si="172"/>
        <v/>
      </c>
      <c r="CM147" s="82"/>
      <c r="CN147" s="82" t="str">
        <f t="shared" ref="CN147:CP147" si="173">+IFERROR(CN146/CM146-1,"")</f>
        <v/>
      </c>
      <c r="CO147" s="82">
        <f t="shared" si="173"/>
        <v>-4.9713193116634802E-2</v>
      </c>
      <c r="CP147" s="82">
        <f t="shared" si="173"/>
        <v>8.8531187122736332E-2</v>
      </c>
      <c r="CQ147" s="82">
        <f>+IFERROR(CQ146/CP146-1,"")</f>
        <v>2.5177211866631799E-2</v>
      </c>
      <c r="CR147" s="82">
        <f>+IFERROR(CR146/CQ146-1,"")</f>
        <v>5.0000000000000044E-2</v>
      </c>
      <c r="CS147" s="82">
        <f t="shared" ref="CS147:CX147" si="174">+IFERROR(CS146/CR146-1,"")</f>
        <v>4.0824760777909308E-2</v>
      </c>
      <c r="CT147" s="82">
        <f t="shared" si="174"/>
        <v>-0.11035034532780663</v>
      </c>
      <c r="CU147" s="82">
        <f t="shared" si="174"/>
        <v>-1.5043510417053985E-2</v>
      </c>
      <c r="CV147" s="82">
        <f t="shared" si="174"/>
        <v>4.9999999999999822E-2</v>
      </c>
      <c r="CW147" s="82">
        <f t="shared" si="174"/>
        <v>5.0000000000000266E-2</v>
      </c>
      <c r="CX147" s="82">
        <f t="shared" si="174"/>
        <v>4.9999999999999822E-2</v>
      </c>
    </row>
    <row r="148" spans="1:102" x14ac:dyDescent="0.25">
      <c r="B148" s="42"/>
      <c r="C148" s="42"/>
      <c r="D148" s="42"/>
      <c r="E148" s="42"/>
      <c r="F148" s="42"/>
      <c r="G148" s="42"/>
      <c r="H148" s="42"/>
      <c r="I148" s="42"/>
      <c r="J148" s="42"/>
      <c r="K148" s="42"/>
      <c r="L148" s="42"/>
      <c r="M148" s="42"/>
      <c r="N148" s="42"/>
      <c r="O148" s="42"/>
      <c r="P148" s="42"/>
      <c r="Q148" s="42"/>
      <c r="R148" s="42"/>
      <c r="BE148" s="103"/>
      <c r="BH148" s="4" t="s">
        <v>207</v>
      </c>
    </row>
    <row r="149" spans="1:102" s="2" customFormat="1" x14ac:dyDescent="0.25">
      <c r="A149" s="107"/>
      <c r="B149" s="72" t="s">
        <v>167</v>
      </c>
      <c r="C149" s="72"/>
      <c r="D149" s="72"/>
      <c r="E149" s="72"/>
      <c r="F149" s="72"/>
      <c r="G149" s="72"/>
      <c r="H149" s="72"/>
      <c r="I149" s="72"/>
      <c r="J149" s="72"/>
      <c r="K149" s="72"/>
      <c r="L149" s="72"/>
      <c r="M149" s="72"/>
      <c r="N149" s="72"/>
      <c r="O149" s="72"/>
      <c r="P149" s="72"/>
      <c r="Q149" s="72"/>
      <c r="R149" s="72"/>
      <c r="S149" s="24"/>
      <c r="T149" s="24"/>
      <c r="U149" s="24"/>
      <c r="V149" s="24"/>
      <c r="W149" s="24"/>
      <c r="X149" s="24"/>
      <c r="Y149" s="24"/>
      <c r="Z149" s="24"/>
      <c r="AA149" s="24"/>
      <c r="AB149" s="24"/>
      <c r="AC149" s="24"/>
      <c r="AD149" s="24"/>
      <c r="AE149" s="24"/>
      <c r="AF149" s="24"/>
      <c r="AG149" s="24"/>
      <c r="AH149" s="24"/>
      <c r="AI149" s="24">
        <f t="shared" ref="AI149:CD149" si="175">+AI153*AI156</f>
        <v>35</v>
      </c>
      <c r="AJ149" s="24">
        <f t="shared" si="175"/>
        <v>105</v>
      </c>
      <c r="AK149" s="24">
        <f t="shared" si="175"/>
        <v>52.5</v>
      </c>
      <c r="AL149" s="24">
        <f t="shared" si="175"/>
        <v>35</v>
      </c>
      <c r="AM149" s="24">
        <f t="shared" si="175"/>
        <v>17.5</v>
      </c>
      <c r="AN149" s="24">
        <f t="shared" si="175"/>
        <v>107.10000000000001</v>
      </c>
      <c r="AO149" s="24">
        <f t="shared" si="175"/>
        <v>105</v>
      </c>
      <c r="AP149" s="24">
        <f t="shared" si="175"/>
        <v>35.700000000000003</v>
      </c>
      <c r="AQ149" s="24">
        <f t="shared" si="175"/>
        <v>17.850000000000001</v>
      </c>
      <c r="AR149" s="24">
        <f t="shared" si="175"/>
        <v>109.242</v>
      </c>
      <c r="AS149" s="24">
        <f t="shared" si="175"/>
        <v>107.10000000000001</v>
      </c>
      <c r="AT149" s="24">
        <f t="shared" si="175"/>
        <v>36.414000000000001</v>
      </c>
      <c r="AU149" s="24">
        <f t="shared" si="175"/>
        <v>18.207000000000001</v>
      </c>
      <c r="AV149" s="24">
        <f t="shared" si="175"/>
        <v>111.42684</v>
      </c>
      <c r="AW149" s="24">
        <f t="shared" si="175"/>
        <v>109.242</v>
      </c>
      <c r="AX149" s="24">
        <f t="shared" si="175"/>
        <v>37.14228</v>
      </c>
      <c r="AY149" s="24">
        <f t="shared" si="175"/>
        <v>18.57114</v>
      </c>
      <c r="AZ149" s="24">
        <f t="shared" si="175"/>
        <v>113.6553768</v>
      </c>
      <c r="BA149" s="24">
        <f t="shared" si="175"/>
        <v>111.42684</v>
      </c>
      <c r="BB149" s="24">
        <f t="shared" si="175"/>
        <v>37.885125600000002</v>
      </c>
      <c r="BC149" s="24">
        <f t="shared" si="175"/>
        <v>18.942562800000001</v>
      </c>
      <c r="BD149" s="24">
        <f t="shared" si="175"/>
        <v>125.86521156480001</v>
      </c>
      <c r="BE149" s="24">
        <f t="shared" si="175"/>
        <v>123.39726624000001</v>
      </c>
      <c r="BF149" s="24">
        <f t="shared" si="175"/>
        <v>41.9550705216</v>
      </c>
      <c r="BG149" s="24">
        <f t="shared" si="175"/>
        <v>20.9775352608</v>
      </c>
      <c r="BH149" s="24">
        <f t="shared" si="175"/>
        <v>114</v>
      </c>
      <c r="BI149" s="24">
        <f t="shared" si="175"/>
        <v>114</v>
      </c>
      <c r="BJ149" s="24">
        <f t="shared" si="175"/>
        <v>38</v>
      </c>
      <c r="BK149" s="24">
        <f t="shared" si="175"/>
        <v>21.397085966016</v>
      </c>
      <c r="BL149" s="24">
        <f t="shared" si="175"/>
        <v>128.38251579609599</v>
      </c>
      <c r="BM149" s="24">
        <f t="shared" si="175"/>
        <v>125.86521156480001</v>
      </c>
      <c r="BN149" s="24">
        <f t="shared" si="175"/>
        <v>42.794171932032</v>
      </c>
      <c r="BO149" s="24">
        <f t="shared" si="175"/>
        <v>21.397085966016</v>
      </c>
      <c r="BP149" s="24">
        <f t="shared" si="175"/>
        <v>116.28</v>
      </c>
      <c r="BQ149" s="24">
        <f t="shared" si="175"/>
        <v>116.28</v>
      </c>
      <c r="BR149" s="24">
        <f t="shared" si="175"/>
        <v>38.76</v>
      </c>
      <c r="BS149" s="24">
        <f t="shared" si="175"/>
        <v>21.82502768533632</v>
      </c>
      <c r="BT149" s="24">
        <f t="shared" si="175"/>
        <v>118.6056</v>
      </c>
      <c r="BU149" s="24">
        <f t="shared" si="175"/>
        <v>118.6056</v>
      </c>
      <c r="BV149" s="24">
        <f t="shared" si="175"/>
        <v>39.535200000000003</v>
      </c>
      <c r="BW149" s="24">
        <f t="shared" si="175"/>
        <v>22.261528239043049</v>
      </c>
      <c r="BX149" s="24">
        <f t="shared" si="175"/>
        <v>120.977712</v>
      </c>
      <c r="BY149" s="24">
        <f t="shared" si="175"/>
        <v>120.977712</v>
      </c>
      <c r="BZ149" s="24">
        <f t="shared" si="175"/>
        <v>40.325903999999994</v>
      </c>
      <c r="CA149" s="24">
        <f t="shared" si="175"/>
        <v>22.706758803823909</v>
      </c>
      <c r="CB149" s="24">
        <f t="shared" si="175"/>
        <v>123.39726624000001</v>
      </c>
      <c r="CC149" s="24">
        <f t="shared" si="175"/>
        <v>123.39726624000001</v>
      </c>
      <c r="CD149" s="24">
        <f t="shared" si="175"/>
        <v>41.132422079999998</v>
      </c>
      <c r="CE149"/>
      <c r="CM149" s="24"/>
      <c r="CN149" s="24">
        <f t="shared" ref="CN149:CX149" si="176">+SUMIFS($S149:$CD149,$S$5:$CD$5,"&lt;="&amp;CN$5,$S$5:$CD$5,"&gt;"&amp;CM$5)</f>
        <v>227.5</v>
      </c>
      <c r="CO149" s="24">
        <f t="shared" si="176"/>
        <v>265.3</v>
      </c>
      <c r="CP149" s="24">
        <f t="shared" si="176"/>
        <v>270.60599999999999</v>
      </c>
      <c r="CQ149" s="24">
        <f t="shared" si="176"/>
        <v>276.01811999999995</v>
      </c>
      <c r="CR149" s="24">
        <f t="shared" si="176"/>
        <v>281.53848240000002</v>
      </c>
      <c r="CS149" s="24">
        <f t="shared" si="176"/>
        <v>310.16011112640001</v>
      </c>
      <c r="CT149" s="24">
        <f t="shared" si="176"/>
        <v>286.97753526079998</v>
      </c>
      <c r="CU149" s="24">
        <f t="shared" si="176"/>
        <v>318.43898525894394</v>
      </c>
      <c r="CV149" s="24">
        <f t="shared" si="176"/>
        <v>292.71708596601599</v>
      </c>
      <c r="CW149" s="24">
        <f t="shared" si="176"/>
        <v>298.57142768533629</v>
      </c>
      <c r="CX149" s="24">
        <f t="shared" si="176"/>
        <v>304.54285623904303</v>
      </c>
    </row>
    <row r="150" spans="1:102" ht="15" customHeight="1" x14ac:dyDescent="0.25">
      <c r="B150" s="37" t="s">
        <v>170</v>
      </c>
      <c r="C150" s="37"/>
      <c r="D150" s="37"/>
      <c r="E150" s="37"/>
      <c r="F150" s="37"/>
      <c r="G150" s="37"/>
      <c r="H150" s="37"/>
      <c r="I150" s="37"/>
      <c r="J150" s="37"/>
      <c r="K150" s="37"/>
      <c r="L150" s="37"/>
      <c r="M150" s="37"/>
      <c r="N150" s="37"/>
      <c r="O150" s="37"/>
      <c r="P150" s="37"/>
      <c r="Q150" s="37"/>
      <c r="R150" s="37"/>
      <c r="S150" s="82"/>
      <c r="T150" s="82"/>
      <c r="U150" s="82"/>
      <c r="V150" s="82"/>
      <c r="W150" s="82" t="str">
        <f t="shared" ref="W150:BB150" si="177">+IFERROR(W149/S149-1,"")</f>
        <v/>
      </c>
      <c r="X150" s="82" t="str">
        <f t="shared" si="177"/>
        <v/>
      </c>
      <c r="Y150" s="82" t="str">
        <f t="shared" si="177"/>
        <v/>
      </c>
      <c r="Z150" s="82" t="str">
        <f t="shared" si="177"/>
        <v/>
      </c>
      <c r="AA150" s="82" t="str">
        <f t="shared" si="177"/>
        <v/>
      </c>
      <c r="AB150" s="82" t="str">
        <f t="shared" si="177"/>
        <v/>
      </c>
      <c r="AC150" s="82" t="str">
        <f t="shared" si="177"/>
        <v/>
      </c>
      <c r="AD150" s="82" t="str">
        <f t="shared" si="177"/>
        <v/>
      </c>
      <c r="AE150" s="82" t="str">
        <f t="shared" si="177"/>
        <v/>
      </c>
      <c r="AF150" s="82" t="str">
        <f t="shared" si="177"/>
        <v/>
      </c>
      <c r="AG150" s="82" t="str">
        <f t="shared" si="177"/>
        <v/>
      </c>
      <c r="AH150" s="82" t="str">
        <f t="shared" si="177"/>
        <v/>
      </c>
      <c r="AI150" s="82" t="str">
        <f t="shared" si="177"/>
        <v/>
      </c>
      <c r="AJ150" s="82" t="str">
        <f t="shared" si="177"/>
        <v/>
      </c>
      <c r="AK150" s="82" t="str">
        <f t="shared" si="177"/>
        <v/>
      </c>
      <c r="AL150" s="82" t="str">
        <f t="shared" si="177"/>
        <v/>
      </c>
      <c r="AM150" s="82">
        <f t="shared" si="177"/>
        <v>-0.5</v>
      </c>
      <c r="AN150" s="82">
        <f t="shared" si="177"/>
        <v>2.0000000000000018E-2</v>
      </c>
      <c r="AO150" s="82">
        <f t="shared" si="177"/>
        <v>1</v>
      </c>
      <c r="AP150" s="82">
        <f t="shared" si="177"/>
        <v>2.0000000000000018E-2</v>
      </c>
      <c r="AQ150" s="82">
        <f t="shared" si="177"/>
        <v>2.0000000000000018E-2</v>
      </c>
      <c r="AR150" s="82">
        <f t="shared" si="177"/>
        <v>2.0000000000000018E-2</v>
      </c>
      <c r="AS150" s="82">
        <f t="shared" si="177"/>
        <v>2.0000000000000018E-2</v>
      </c>
      <c r="AT150" s="82">
        <f t="shared" si="177"/>
        <v>2.0000000000000018E-2</v>
      </c>
      <c r="AU150" s="82">
        <f t="shared" si="177"/>
        <v>2.0000000000000018E-2</v>
      </c>
      <c r="AV150" s="82">
        <f t="shared" si="177"/>
        <v>2.0000000000000018E-2</v>
      </c>
      <c r="AW150" s="82">
        <f t="shared" si="177"/>
        <v>2.0000000000000018E-2</v>
      </c>
      <c r="AX150" s="82">
        <f t="shared" si="177"/>
        <v>2.0000000000000018E-2</v>
      </c>
      <c r="AY150" s="82">
        <f t="shared" si="177"/>
        <v>2.0000000000000018E-2</v>
      </c>
      <c r="AZ150" s="82">
        <f t="shared" si="177"/>
        <v>2.0000000000000018E-2</v>
      </c>
      <c r="BA150" s="82">
        <f t="shared" si="177"/>
        <v>2.0000000000000018E-2</v>
      </c>
      <c r="BB150" s="82">
        <f t="shared" si="177"/>
        <v>2.0000000000000018E-2</v>
      </c>
      <c r="BC150" s="82">
        <f>+IFERROR(BC149/AY149-1,"")</f>
        <v>2.0000000000000018E-2</v>
      </c>
      <c r="BD150" s="82">
        <f t="shared" ref="BD150:CD150" si="178">+IFERROR(BD149/AZ149-1,"")</f>
        <v>0.10742857142857143</v>
      </c>
      <c r="BE150" s="82">
        <f t="shared" si="178"/>
        <v>0.10742857142857143</v>
      </c>
      <c r="BF150" s="82">
        <f t="shared" si="178"/>
        <v>0.10742857142857143</v>
      </c>
      <c r="BG150" s="82">
        <f t="shared" si="178"/>
        <v>0.10742857142857143</v>
      </c>
      <c r="BH150" s="82">
        <f t="shared" si="178"/>
        <v>-9.4269190170084172E-2</v>
      </c>
      <c r="BI150" s="82">
        <f t="shared" si="178"/>
        <v>-7.6154573973485795E-2</v>
      </c>
      <c r="BJ150" s="82">
        <f t="shared" si="178"/>
        <v>-9.4269190170084061E-2</v>
      </c>
      <c r="BK150" s="82">
        <f t="shared" si="178"/>
        <v>2.0000000000000018E-2</v>
      </c>
      <c r="BL150" s="82">
        <f t="shared" si="178"/>
        <v>0.12616241926399985</v>
      </c>
      <c r="BM150" s="82">
        <f t="shared" si="178"/>
        <v>0.10408080320000002</v>
      </c>
      <c r="BN150" s="82">
        <f t="shared" si="178"/>
        <v>0.12616241926400007</v>
      </c>
      <c r="BO150" s="82">
        <f t="shared" si="178"/>
        <v>0</v>
      </c>
      <c r="BP150" s="82">
        <f t="shared" si="178"/>
        <v>-9.426919017008395E-2</v>
      </c>
      <c r="BQ150" s="82">
        <f t="shared" si="178"/>
        <v>-7.6154573973485795E-2</v>
      </c>
      <c r="BR150" s="82">
        <f t="shared" si="178"/>
        <v>-9.4269190170084172E-2</v>
      </c>
      <c r="BS150" s="82">
        <f t="shared" si="178"/>
        <v>2.0000000000000018E-2</v>
      </c>
      <c r="BT150" s="82">
        <f t="shared" si="178"/>
        <v>2.0000000000000018E-2</v>
      </c>
      <c r="BU150" s="82">
        <f t="shared" si="178"/>
        <v>2.0000000000000018E-2</v>
      </c>
      <c r="BV150" s="82">
        <f t="shared" si="178"/>
        <v>2.000000000000024E-2</v>
      </c>
      <c r="BW150" s="82">
        <f t="shared" si="178"/>
        <v>2.0000000000000018E-2</v>
      </c>
      <c r="BX150" s="82">
        <f t="shared" si="178"/>
        <v>2.0000000000000018E-2</v>
      </c>
      <c r="BY150" s="82">
        <f t="shared" si="178"/>
        <v>2.0000000000000018E-2</v>
      </c>
      <c r="BZ150" s="82">
        <f t="shared" si="178"/>
        <v>1.9999999999999796E-2</v>
      </c>
      <c r="CA150" s="82">
        <f t="shared" si="178"/>
        <v>2.0000000000000018E-2</v>
      </c>
      <c r="CB150" s="82">
        <f t="shared" si="178"/>
        <v>2.0000000000000018E-2</v>
      </c>
      <c r="CC150" s="82">
        <f t="shared" si="178"/>
        <v>2.0000000000000018E-2</v>
      </c>
      <c r="CD150" s="82">
        <f t="shared" si="178"/>
        <v>2.0000000000000018E-2</v>
      </c>
      <c r="CG150" s="82"/>
      <c r="CH150" s="82"/>
      <c r="CI150" s="82" t="str">
        <f t="shared" ref="CI150:CL150" si="179">+IFERROR(CI149/CH149-1,"")</f>
        <v/>
      </c>
      <c r="CJ150" s="82" t="str">
        <f t="shared" si="179"/>
        <v/>
      </c>
      <c r="CK150" s="82" t="str">
        <f t="shared" si="179"/>
        <v/>
      </c>
      <c r="CL150" s="82" t="str">
        <f t="shared" si="179"/>
        <v/>
      </c>
      <c r="CM150" s="82"/>
      <c r="CN150" s="82" t="str">
        <f t="shared" ref="CN150:CP150" si="180">+IFERROR(CN149/CM149-1,"")</f>
        <v/>
      </c>
      <c r="CO150" s="82">
        <f t="shared" si="180"/>
        <v>0.1661538461538461</v>
      </c>
      <c r="CP150" s="82">
        <f t="shared" si="180"/>
        <v>2.0000000000000018E-2</v>
      </c>
      <c r="CQ150" s="82">
        <f>+IFERROR(CQ149/CP149-1,"")</f>
        <v>1.9999999999999796E-2</v>
      </c>
      <c r="CR150" s="82">
        <f>+IFERROR(CR149/CQ149-1,"")</f>
        <v>2.000000000000024E-2</v>
      </c>
      <c r="CS150" s="82">
        <f t="shared" ref="CS150:CX150" si="181">+IFERROR(CS149/CR149-1,"")</f>
        <v>0.10166151526573697</v>
      </c>
      <c r="CT150" s="82">
        <f t="shared" si="181"/>
        <v>-7.4743898502642736E-2</v>
      </c>
      <c r="CU150" s="82">
        <f t="shared" si="181"/>
        <v>0.10963035824233547</v>
      </c>
      <c r="CV150" s="82">
        <f t="shared" si="181"/>
        <v>-8.0774969409011854E-2</v>
      </c>
      <c r="CW150" s="82">
        <f t="shared" si="181"/>
        <v>2.0000000000000018E-2</v>
      </c>
      <c r="CX150" s="82">
        <f t="shared" si="181"/>
        <v>2.0000000000000018E-2</v>
      </c>
    </row>
    <row r="151" spans="1:102" x14ac:dyDescent="0.25">
      <c r="B151" s="42"/>
      <c r="C151" s="42"/>
      <c r="D151" s="42"/>
      <c r="E151" s="42"/>
      <c r="F151" s="42"/>
      <c r="G151" s="42"/>
      <c r="H151" s="42"/>
      <c r="I151" s="42"/>
      <c r="J151" s="42"/>
      <c r="K151" s="42"/>
      <c r="L151" s="42"/>
      <c r="M151" s="42"/>
      <c r="N151" s="42"/>
      <c r="O151" s="42"/>
      <c r="P151" s="42"/>
      <c r="Q151" s="42"/>
      <c r="R151" s="42"/>
      <c r="BE151" s="103"/>
    </row>
    <row r="152" spans="1:102" s="2" customFormat="1" x14ac:dyDescent="0.25">
      <c r="B152" s="78" t="s">
        <v>168</v>
      </c>
      <c r="C152" s="65"/>
      <c r="D152" s="65"/>
      <c r="E152" s="65"/>
      <c r="F152" s="65"/>
      <c r="G152" s="65"/>
      <c r="H152" s="65"/>
      <c r="I152" s="65"/>
      <c r="J152" s="65"/>
      <c r="K152" s="65"/>
      <c r="L152" s="65"/>
      <c r="M152" s="65"/>
      <c r="N152" s="65"/>
      <c r="O152" s="65"/>
      <c r="P152" s="65"/>
      <c r="Q152" s="65"/>
      <c r="R152" s="65"/>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113" t="s">
        <v>208</v>
      </c>
      <c r="BE152" s="24"/>
      <c r="BF152" s="24"/>
      <c r="CE152"/>
      <c r="CM152" s="74"/>
      <c r="CN152" s="24"/>
      <c r="CO152" s="24"/>
      <c r="CP152" s="24"/>
      <c r="CQ152" s="24"/>
    </row>
    <row r="153" spans="1:102" s="81" customFormat="1" x14ac:dyDescent="0.25">
      <c r="B153" s="125" t="s">
        <v>169</v>
      </c>
      <c r="C153" s="125"/>
      <c r="D153" s="125"/>
      <c r="E153" s="125"/>
      <c r="F153" s="125"/>
      <c r="G153" s="125"/>
      <c r="H153" s="125"/>
      <c r="I153" s="125"/>
      <c r="J153" s="125"/>
      <c r="K153" s="125"/>
      <c r="L153" s="125"/>
      <c r="M153" s="125"/>
      <c r="N153" s="125"/>
      <c r="O153" s="125"/>
      <c r="P153" s="125"/>
      <c r="Q153" s="125"/>
      <c r="R153" s="125"/>
      <c r="AI153" s="126">
        <v>35</v>
      </c>
      <c r="AJ153" s="126">
        <v>35</v>
      </c>
      <c r="AK153" s="126">
        <v>35</v>
      </c>
      <c r="AL153" s="126">
        <v>35</v>
      </c>
      <c r="AM153" s="126">
        <f>50*0.7</f>
        <v>35</v>
      </c>
      <c r="AN153" s="126">
        <f t="shared" ref="AN153:BC153" si="182">50*0.7</f>
        <v>35</v>
      </c>
      <c r="AO153" s="126">
        <f t="shared" si="182"/>
        <v>35</v>
      </c>
      <c r="AP153" s="126">
        <f t="shared" si="182"/>
        <v>35</v>
      </c>
      <c r="AQ153" s="126">
        <f t="shared" si="182"/>
        <v>35</v>
      </c>
      <c r="AR153" s="126">
        <f t="shared" si="182"/>
        <v>35</v>
      </c>
      <c r="AS153" s="126">
        <f t="shared" si="182"/>
        <v>35</v>
      </c>
      <c r="AT153" s="126">
        <f t="shared" si="182"/>
        <v>35</v>
      </c>
      <c r="AU153" s="126">
        <f t="shared" si="182"/>
        <v>35</v>
      </c>
      <c r="AV153" s="126">
        <f t="shared" si="182"/>
        <v>35</v>
      </c>
      <c r="AW153" s="126">
        <f t="shared" si="182"/>
        <v>35</v>
      </c>
      <c r="AX153" s="126">
        <f t="shared" si="182"/>
        <v>35</v>
      </c>
      <c r="AY153" s="126">
        <f t="shared" si="182"/>
        <v>35</v>
      </c>
      <c r="AZ153" s="126">
        <f t="shared" si="182"/>
        <v>35</v>
      </c>
      <c r="BA153" s="126">
        <f t="shared" si="182"/>
        <v>35</v>
      </c>
      <c r="BB153" s="126">
        <f t="shared" si="182"/>
        <v>35</v>
      </c>
      <c r="BC153" s="126">
        <f t="shared" si="182"/>
        <v>35</v>
      </c>
      <c r="BD153" s="127">
        <f>50*0.7+3</f>
        <v>38</v>
      </c>
      <c r="BE153" s="126">
        <f>+BD153</f>
        <v>38</v>
      </c>
      <c r="BF153" s="126">
        <f t="shared" ref="BF153:CD153" si="183">+BE153</f>
        <v>38</v>
      </c>
      <c r="BG153" s="126">
        <f t="shared" si="183"/>
        <v>38</v>
      </c>
      <c r="BH153" s="126">
        <f t="shared" si="183"/>
        <v>38</v>
      </c>
      <c r="BI153" s="126">
        <f t="shared" si="183"/>
        <v>38</v>
      </c>
      <c r="BJ153" s="126">
        <f t="shared" si="183"/>
        <v>38</v>
      </c>
      <c r="BK153" s="126">
        <f t="shared" si="183"/>
        <v>38</v>
      </c>
      <c r="BL153" s="126">
        <f t="shared" si="183"/>
        <v>38</v>
      </c>
      <c r="BM153" s="126">
        <f t="shared" si="183"/>
        <v>38</v>
      </c>
      <c r="BN153" s="126">
        <f t="shared" si="183"/>
        <v>38</v>
      </c>
      <c r="BO153" s="126">
        <f t="shared" si="183"/>
        <v>38</v>
      </c>
      <c r="BP153" s="126">
        <f t="shared" si="183"/>
        <v>38</v>
      </c>
      <c r="BQ153" s="126">
        <f t="shared" si="183"/>
        <v>38</v>
      </c>
      <c r="BR153" s="126">
        <f t="shared" si="183"/>
        <v>38</v>
      </c>
      <c r="BS153" s="126">
        <f t="shared" si="183"/>
        <v>38</v>
      </c>
      <c r="BT153" s="126">
        <f t="shared" si="183"/>
        <v>38</v>
      </c>
      <c r="BU153" s="126">
        <f t="shared" si="183"/>
        <v>38</v>
      </c>
      <c r="BV153" s="126">
        <f t="shared" si="183"/>
        <v>38</v>
      </c>
      <c r="BW153" s="126">
        <f t="shared" si="183"/>
        <v>38</v>
      </c>
      <c r="BX153" s="126">
        <f t="shared" si="183"/>
        <v>38</v>
      </c>
      <c r="BY153" s="126">
        <f t="shared" si="183"/>
        <v>38</v>
      </c>
      <c r="BZ153" s="126">
        <f t="shared" si="183"/>
        <v>38</v>
      </c>
      <c r="CA153" s="126">
        <f t="shared" si="183"/>
        <v>38</v>
      </c>
      <c r="CB153" s="126">
        <f t="shared" si="183"/>
        <v>38</v>
      </c>
      <c r="CC153" s="126">
        <f t="shared" si="183"/>
        <v>38</v>
      </c>
      <c r="CD153" s="126">
        <f t="shared" si="183"/>
        <v>38</v>
      </c>
      <c r="CN153" s="81">
        <f>+CN149/CN156</f>
        <v>35</v>
      </c>
      <c r="CO153" s="81">
        <f t="shared" ref="CO153:CX153" si="184">+CO149/CO156</f>
        <v>35</v>
      </c>
      <c r="CP153" s="81">
        <f t="shared" si="184"/>
        <v>35</v>
      </c>
      <c r="CQ153" s="81">
        <f t="shared" si="184"/>
        <v>34.999999999999993</v>
      </c>
      <c r="CR153" s="81">
        <f t="shared" si="184"/>
        <v>35.000000000000007</v>
      </c>
      <c r="CS153" s="81">
        <f t="shared" si="184"/>
        <v>37.802110817941951</v>
      </c>
      <c r="CT153" s="81">
        <f t="shared" si="184"/>
        <v>38</v>
      </c>
      <c r="CU153" s="81">
        <f t="shared" si="184"/>
        <v>37.999999999999993</v>
      </c>
      <c r="CV153" s="81">
        <f t="shared" si="184"/>
        <v>38</v>
      </c>
      <c r="CW153" s="81">
        <f t="shared" si="184"/>
        <v>37.999999999999993</v>
      </c>
      <c r="CX153" s="81">
        <f t="shared" si="184"/>
        <v>38</v>
      </c>
    </row>
    <row r="154" spans="1:102" ht="15" customHeight="1" x14ac:dyDescent="0.25">
      <c r="B154" s="37" t="s">
        <v>170</v>
      </c>
      <c r="C154" s="37"/>
      <c r="D154" s="37"/>
      <c r="E154" s="37"/>
      <c r="F154" s="37"/>
      <c r="G154" s="37"/>
      <c r="H154" s="37"/>
      <c r="I154" s="37"/>
      <c r="J154" s="37"/>
      <c r="K154" s="37"/>
      <c r="L154" s="37"/>
      <c r="M154" s="37"/>
      <c r="N154" s="37"/>
      <c r="O154" s="37"/>
      <c r="P154" s="37"/>
      <c r="Q154" s="37"/>
      <c r="R154" s="37"/>
      <c r="S154" s="82"/>
      <c r="T154" s="82"/>
      <c r="U154" s="82"/>
      <c r="V154" s="82"/>
      <c r="W154" s="82" t="str">
        <f t="shared" ref="W154:BB154" si="185">+IFERROR(W153/S153-1,"")</f>
        <v/>
      </c>
      <c r="X154" s="82" t="str">
        <f t="shared" si="185"/>
        <v/>
      </c>
      <c r="Y154" s="82" t="str">
        <f t="shared" si="185"/>
        <v/>
      </c>
      <c r="Z154" s="82" t="str">
        <f t="shared" si="185"/>
        <v/>
      </c>
      <c r="AA154" s="82" t="str">
        <f t="shared" si="185"/>
        <v/>
      </c>
      <c r="AB154" s="82" t="str">
        <f t="shared" si="185"/>
        <v/>
      </c>
      <c r="AC154" s="82" t="str">
        <f t="shared" si="185"/>
        <v/>
      </c>
      <c r="AD154" s="82" t="str">
        <f t="shared" si="185"/>
        <v/>
      </c>
      <c r="AE154" s="82" t="str">
        <f t="shared" si="185"/>
        <v/>
      </c>
      <c r="AF154" s="82" t="str">
        <f t="shared" si="185"/>
        <v/>
      </c>
      <c r="AG154" s="82" t="str">
        <f t="shared" si="185"/>
        <v/>
      </c>
      <c r="AH154" s="82" t="str">
        <f t="shared" si="185"/>
        <v/>
      </c>
      <c r="AI154" s="82" t="str">
        <f t="shared" si="185"/>
        <v/>
      </c>
      <c r="AJ154" s="82" t="str">
        <f t="shared" si="185"/>
        <v/>
      </c>
      <c r="AK154" s="82" t="str">
        <f t="shared" si="185"/>
        <v/>
      </c>
      <c r="AL154" s="82" t="str">
        <f t="shared" si="185"/>
        <v/>
      </c>
      <c r="AM154" s="82">
        <f t="shared" si="185"/>
        <v>0</v>
      </c>
      <c r="AN154" s="82">
        <f t="shared" si="185"/>
        <v>0</v>
      </c>
      <c r="AO154" s="82">
        <f t="shared" si="185"/>
        <v>0</v>
      </c>
      <c r="AP154" s="82">
        <f t="shared" si="185"/>
        <v>0</v>
      </c>
      <c r="AQ154" s="82">
        <f t="shared" si="185"/>
        <v>0</v>
      </c>
      <c r="AR154" s="82">
        <f t="shared" si="185"/>
        <v>0</v>
      </c>
      <c r="AS154" s="82">
        <f t="shared" si="185"/>
        <v>0</v>
      </c>
      <c r="AT154" s="82">
        <f t="shared" si="185"/>
        <v>0</v>
      </c>
      <c r="AU154" s="82">
        <f t="shared" si="185"/>
        <v>0</v>
      </c>
      <c r="AV154" s="82">
        <f t="shared" si="185"/>
        <v>0</v>
      </c>
      <c r="AW154" s="82">
        <f t="shared" si="185"/>
        <v>0</v>
      </c>
      <c r="AX154" s="82">
        <f t="shared" si="185"/>
        <v>0</v>
      </c>
      <c r="AY154" s="82">
        <f t="shared" si="185"/>
        <v>0</v>
      </c>
      <c r="AZ154" s="82">
        <f t="shared" si="185"/>
        <v>0</v>
      </c>
      <c r="BA154" s="82">
        <f t="shared" si="185"/>
        <v>0</v>
      </c>
      <c r="BB154" s="82">
        <f t="shared" si="185"/>
        <v>0</v>
      </c>
      <c r="BC154" s="82">
        <f>+IFERROR(BC153/AY153-1,"")</f>
        <v>0</v>
      </c>
      <c r="BD154" s="82">
        <f t="shared" ref="BD154:CD154" si="186">+IFERROR(BD153/AZ153-1,"")</f>
        <v>8.5714285714285632E-2</v>
      </c>
      <c r="BE154" s="82">
        <f t="shared" si="186"/>
        <v>8.5714285714285632E-2</v>
      </c>
      <c r="BF154" s="82">
        <f t="shared" si="186"/>
        <v>8.5714285714285632E-2</v>
      </c>
      <c r="BG154" s="82">
        <f t="shared" si="186"/>
        <v>8.5714285714285632E-2</v>
      </c>
      <c r="BH154" s="82">
        <f t="shared" si="186"/>
        <v>0</v>
      </c>
      <c r="BI154" s="82">
        <f t="shared" si="186"/>
        <v>0</v>
      </c>
      <c r="BJ154" s="82">
        <f t="shared" si="186"/>
        <v>0</v>
      </c>
      <c r="BK154" s="82">
        <f t="shared" si="186"/>
        <v>0</v>
      </c>
      <c r="BL154" s="82">
        <f t="shared" si="186"/>
        <v>0</v>
      </c>
      <c r="BM154" s="82">
        <f t="shared" si="186"/>
        <v>0</v>
      </c>
      <c r="BN154" s="82">
        <f t="shared" si="186"/>
        <v>0</v>
      </c>
      <c r="BO154" s="82">
        <f t="shared" si="186"/>
        <v>0</v>
      </c>
      <c r="BP154" s="82">
        <f t="shared" si="186"/>
        <v>0</v>
      </c>
      <c r="BQ154" s="82">
        <f t="shared" si="186"/>
        <v>0</v>
      </c>
      <c r="BR154" s="82">
        <f t="shared" si="186"/>
        <v>0</v>
      </c>
      <c r="BS154" s="82">
        <f t="shared" si="186"/>
        <v>0</v>
      </c>
      <c r="BT154" s="82">
        <f t="shared" si="186"/>
        <v>0</v>
      </c>
      <c r="BU154" s="82">
        <f t="shared" si="186"/>
        <v>0</v>
      </c>
      <c r="BV154" s="82">
        <f t="shared" si="186"/>
        <v>0</v>
      </c>
      <c r="BW154" s="82">
        <f t="shared" si="186"/>
        <v>0</v>
      </c>
      <c r="BX154" s="82">
        <f t="shared" si="186"/>
        <v>0</v>
      </c>
      <c r="BY154" s="82">
        <f t="shared" si="186"/>
        <v>0</v>
      </c>
      <c r="BZ154" s="82">
        <f t="shared" si="186"/>
        <v>0</v>
      </c>
      <c r="CA154" s="82">
        <f t="shared" si="186"/>
        <v>0</v>
      </c>
      <c r="CB154" s="82">
        <f t="shared" si="186"/>
        <v>0</v>
      </c>
      <c r="CC154" s="82">
        <f t="shared" si="186"/>
        <v>0</v>
      </c>
      <c r="CD154" s="82">
        <f t="shared" si="186"/>
        <v>0</v>
      </c>
      <c r="CG154" s="82"/>
      <c r="CH154" s="82"/>
      <c r="CI154" s="82" t="str">
        <f t="shared" ref="CI154:CL154" si="187">+IFERROR(CI153/CH153-1,"")</f>
        <v/>
      </c>
      <c r="CJ154" s="82" t="str">
        <f t="shared" si="187"/>
        <v/>
      </c>
      <c r="CK154" s="82" t="str">
        <f t="shared" si="187"/>
        <v/>
      </c>
      <c r="CL154" s="82" t="str">
        <f t="shared" si="187"/>
        <v/>
      </c>
      <c r="CM154" s="82"/>
      <c r="CN154" s="82" t="str">
        <f t="shared" ref="CN154:CP154" si="188">+IFERROR(CN153/CM153-1,"")</f>
        <v/>
      </c>
      <c r="CO154" s="82">
        <f t="shared" si="188"/>
        <v>0</v>
      </c>
      <c r="CP154" s="82">
        <f t="shared" si="188"/>
        <v>0</v>
      </c>
      <c r="CQ154" s="82">
        <f>+IFERROR(CQ153/CP153-1,"")</f>
        <v>-2.2204460492503131E-16</v>
      </c>
      <c r="CR154" s="82">
        <f>+IFERROR(CR153/CQ153-1,"")</f>
        <v>4.4408920985006262E-16</v>
      </c>
      <c r="CS154" s="82">
        <f t="shared" ref="CS154:CX154" si="189">+IFERROR(CS153/CR153-1,"")</f>
        <v>8.0060309084055481E-2</v>
      </c>
      <c r="CT154" s="82">
        <f t="shared" si="189"/>
        <v>5.234871222167925E-3</v>
      </c>
      <c r="CU154" s="82">
        <f t="shared" si="189"/>
        <v>-2.2204460492503131E-16</v>
      </c>
      <c r="CV154" s="82">
        <f t="shared" si="189"/>
        <v>2.2204460492503131E-16</v>
      </c>
      <c r="CW154" s="82">
        <f t="shared" si="189"/>
        <v>-2.2204460492503131E-16</v>
      </c>
      <c r="CX154" s="82">
        <f t="shared" si="189"/>
        <v>2.2204460492503131E-16</v>
      </c>
    </row>
    <row r="155" spans="1:102" ht="15" customHeight="1" x14ac:dyDescent="0.25">
      <c r="B155" s="37"/>
      <c r="C155" s="37"/>
      <c r="D155" s="37"/>
      <c r="E155" s="37"/>
      <c r="F155" s="37"/>
      <c r="G155" s="37"/>
      <c r="H155" s="37"/>
      <c r="I155" s="37"/>
      <c r="J155" s="37"/>
      <c r="K155" s="37"/>
      <c r="L155" s="37"/>
      <c r="M155" s="37"/>
      <c r="N155" s="37"/>
      <c r="O155" s="37"/>
      <c r="P155" s="37"/>
      <c r="Q155" s="37"/>
      <c r="R155" s="37"/>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122" t="s">
        <v>206</v>
      </c>
      <c r="BI155" s="123"/>
      <c r="BJ155" s="124"/>
      <c r="BK155" s="82"/>
      <c r="BL155" s="82"/>
      <c r="BM155" s="82"/>
      <c r="BN155" s="82"/>
      <c r="BO155" s="82"/>
      <c r="BP155" s="82"/>
      <c r="BQ155" s="82"/>
      <c r="BR155" s="82"/>
      <c r="BS155" s="82"/>
      <c r="BT155" s="82"/>
      <c r="BU155" s="82"/>
      <c r="BV155" s="82"/>
      <c r="BW155" s="82"/>
      <c r="BX155" s="82"/>
      <c r="BY155" s="82"/>
      <c r="BZ155" s="82"/>
      <c r="CA155" s="82"/>
      <c r="CB155" s="82"/>
      <c r="CC155" s="82"/>
      <c r="CD155" s="82"/>
      <c r="CG155" s="82"/>
      <c r="CH155" s="82"/>
      <c r="CI155" s="82"/>
      <c r="CJ155" s="82"/>
      <c r="CK155" s="82"/>
      <c r="CL155" s="82"/>
      <c r="CM155" s="82"/>
      <c r="CN155" s="82"/>
      <c r="CO155" s="82"/>
      <c r="CP155" s="82"/>
      <c r="CQ155" s="82"/>
      <c r="CR155" s="82"/>
      <c r="CS155" s="82"/>
      <c r="CT155" s="82"/>
      <c r="CU155" s="82"/>
      <c r="CV155" s="82"/>
      <c r="CW155" s="82"/>
      <c r="CX155" s="82"/>
    </row>
    <row r="156" spans="1:102" s="84" customFormat="1" x14ac:dyDescent="0.25">
      <c r="B156" s="83" t="s">
        <v>171</v>
      </c>
      <c r="C156" s="83"/>
      <c r="D156" s="83"/>
      <c r="E156" s="83"/>
      <c r="F156" s="83"/>
      <c r="G156" s="83"/>
      <c r="H156" s="83"/>
      <c r="I156" s="83"/>
      <c r="J156" s="83"/>
      <c r="K156" s="83"/>
      <c r="L156" s="83"/>
      <c r="M156" s="83"/>
      <c r="N156" s="83"/>
      <c r="O156" s="83"/>
      <c r="P156" s="83"/>
      <c r="Q156" s="83"/>
      <c r="R156" s="83"/>
      <c r="AI156" s="85">
        <v>1</v>
      </c>
      <c r="AJ156" s="85">
        <v>3</v>
      </c>
      <c r="AK156" s="85">
        <v>1.5</v>
      </c>
      <c r="AL156" s="85">
        <v>1</v>
      </c>
      <c r="AM156" s="85">
        <v>0.5</v>
      </c>
      <c r="AN156" s="85">
        <f t="shared" ref="AN156:BG156" si="190">+AJ156*1.02</f>
        <v>3.06</v>
      </c>
      <c r="AO156" s="85">
        <v>3</v>
      </c>
      <c r="AP156" s="85">
        <f t="shared" si="190"/>
        <v>1.02</v>
      </c>
      <c r="AQ156" s="85">
        <f t="shared" si="190"/>
        <v>0.51</v>
      </c>
      <c r="AR156" s="85">
        <f t="shared" si="190"/>
        <v>3.1212</v>
      </c>
      <c r="AS156" s="85">
        <f t="shared" si="190"/>
        <v>3.06</v>
      </c>
      <c r="AT156" s="85">
        <f t="shared" si="190"/>
        <v>1.0404</v>
      </c>
      <c r="AU156" s="85">
        <f t="shared" si="190"/>
        <v>0.5202</v>
      </c>
      <c r="AV156" s="85">
        <f t="shared" si="190"/>
        <v>3.183624</v>
      </c>
      <c r="AW156" s="85">
        <f t="shared" si="190"/>
        <v>3.1212</v>
      </c>
      <c r="AX156" s="85">
        <f t="shared" si="190"/>
        <v>1.0612079999999999</v>
      </c>
      <c r="AY156" s="85">
        <f t="shared" si="190"/>
        <v>0.53060399999999996</v>
      </c>
      <c r="AZ156" s="85">
        <f t="shared" si="190"/>
        <v>3.2472964800000002</v>
      </c>
      <c r="BA156" s="85">
        <f t="shared" si="190"/>
        <v>3.183624</v>
      </c>
      <c r="BB156" s="85">
        <f t="shared" si="190"/>
        <v>1.08243216</v>
      </c>
      <c r="BC156" s="85">
        <f t="shared" si="190"/>
        <v>0.54121607999999999</v>
      </c>
      <c r="BD156" s="85">
        <f t="shared" si="190"/>
        <v>3.3122424096</v>
      </c>
      <c r="BE156" s="85">
        <f t="shared" si="190"/>
        <v>3.2472964800000002</v>
      </c>
      <c r="BF156" s="85">
        <f t="shared" si="190"/>
        <v>1.1040808032</v>
      </c>
      <c r="BG156" s="85">
        <f t="shared" si="190"/>
        <v>0.55204040160000001</v>
      </c>
      <c r="BH156" s="85">
        <v>3</v>
      </c>
      <c r="BI156" s="85">
        <v>3</v>
      </c>
      <c r="BJ156" s="85">
        <v>1</v>
      </c>
      <c r="BK156" s="85">
        <f t="shared" ref="BK156" si="191">+BG156*1.02</f>
        <v>0.56308120963200003</v>
      </c>
      <c r="BL156" s="85">
        <f>+BD156*1.02</f>
        <v>3.378487257792</v>
      </c>
      <c r="BM156" s="85">
        <f t="shared" ref="BM156:BR156" si="192">+BE156*1.02</f>
        <v>3.3122424096</v>
      </c>
      <c r="BN156" s="85">
        <f t="shared" si="192"/>
        <v>1.1261624192640001</v>
      </c>
      <c r="BO156" s="85">
        <f t="shared" si="192"/>
        <v>0.56308120963200003</v>
      </c>
      <c r="BP156" s="85">
        <f t="shared" si="192"/>
        <v>3.06</v>
      </c>
      <c r="BQ156" s="85">
        <f t="shared" si="192"/>
        <v>3.06</v>
      </c>
      <c r="BR156" s="85">
        <f t="shared" si="192"/>
        <v>1.02</v>
      </c>
      <c r="BS156" s="85">
        <f>+BO156*1.02</f>
        <v>0.57434283382464002</v>
      </c>
      <c r="BT156" s="85">
        <f t="shared" ref="BT156:CD156" si="193">+BP156*1.02</f>
        <v>3.1212</v>
      </c>
      <c r="BU156" s="85">
        <f t="shared" si="193"/>
        <v>3.1212</v>
      </c>
      <c r="BV156" s="85">
        <f t="shared" si="193"/>
        <v>1.0404</v>
      </c>
      <c r="BW156" s="85">
        <f t="shared" si="193"/>
        <v>0.58582969050113287</v>
      </c>
      <c r="BX156" s="85">
        <f t="shared" si="193"/>
        <v>3.183624</v>
      </c>
      <c r="BY156" s="85">
        <f t="shared" si="193"/>
        <v>3.183624</v>
      </c>
      <c r="BZ156" s="85">
        <f t="shared" si="193"/>
        <v>1.0612079999999999</v>
      </c>
      <c r="CA156" s="85">
        <f t="shared" si="193"/>
        <v>0.59754628431115553</v>
      </c>
      <c r="CB156" s="85">
        <f t="shared" si="193"/>
        <v>3.2472964800000002</v>
      </c>
      <c r="CC156" s="85">
        <f t="shared" si="193"/>
        <v>3.2472964800000002</v>
      </c>
      <c r="CD156" s="85">
        <f t="shared" si="193"/>
        <v>1.08243216</v>
      </c>
      <c r="CE156"/>
      <c r="CM156" s="86"/>
      <c r="CN156" s="86">
        <f t="shared" ref="CN156:CX156" si="194">+SUMIFS($S156:$CD156,$S$5:$CD$5,"&lt;="&amp;CN$5,$S$5:$CD$5,"&gt;"&amp;CM$5)</f>
        <v>6.5</v>
      </c>
      <c r="CO156" s="86">
        <f t="shared" si="194"/>
        <v>7.58</v>
      </c>
      <c r="CP156" s="86">
        <f t="shared" si="194"/>
        <v>7.7316000000000003</v>
      </c>
      <c r="CQ156" s="86">
        <f t="shared" si="194"/>
        <v>7.8862319999999997</v>
      </c>
      <c r="CR156" s="86">
        <f t="shared" si="194"/>
        <v>8.0439566399999993</v>
      </c>
      <c r="CS156" s="86">
        <f t="shared" si="194"/>
        <v>8.204835772800001</v>
      </c>
      <c r="CT156" s="86">
        <f t="shared" si="194"/>
        <v>7.5520404016000002</v>
      </c>
      <c r="CU156" s="86">
        <f t="shared" si="194"/>
        <v>8.379973296288</v>
      </c>
      <c r="CV156" s="86">
        <f t="shared" si="194"/>
        <v>7.7030812096319998</v>
      </c>
      <c r="CW156" s="86">
        <f t="shared" si="194"/>
        <v>7.8571428338246401</v>
      </c>
      <c r="CX156" s="86">
        <f t="shared" si="194"/>
        <v>8.0142856905011328</v>
      </c>
    </row>
    <row r="157" spans="1:102" ht="15" customHeight="1" x14ac:dyDescent="0.25">
      <c r="B157" s="37" t="s">
        <v>170</v>
      </c>
      <c r="C157" s="37"/>
      <c r="D157" s="37"/>
      <c r="E157" s="37"/>
      <c r="F157" s="37"/>
      <c r="G157" s="37"/>
      <c r="H157" s="37"/>
      <c r="I157" s="37"/>
      <c r="J157" s="37"/>
      <c r="K157" s="37"/>
      <c r="L157" s="37"/>
      <c r="M157" s="37"/>
      <c r="N157" s="37"/>
      <c r="O157" s="37"/>
      <c r="P157" s="37"/>
      <c r="Q157" s="37"/>
      <c r="R157" s="37"/>
      <c r="S157" s="82"/>
      <c r="T157" s="82"/>
      <c r="U157" s="82"/>
      <c r="V157" s="82"/>
      <c r="W157" s="82" t="str">
        <f t="shared" ref="W157:CD157" si="195">+IFERROR(W156/S156-1,"")</f>
        <v/>
      </c>
      <c r="X157" s="82" t="str">
        <f t="shared" si="195"/>
        <v/>
      </c>
      <c r="Y157" s="82" t="str">
        <f t="shared" si="195"/>
        <v/>
      </c>
      <c r="Z157" s="82" t="str">
        <f t="shared" si="195"/>
        <v/>
      </c>
      <c r="AA157" s="82" t="str">
        <f t="shared" si="195"/>
        <v/>
      </c>
      <c r="AB157" s="82" t="str">
        <f t="shared" si="195"/>
        <v/>
      </c>
      <c r="AC157" s="82" t="str">
        <f t="shared" si="195"/>
        <v/>
      </c>
      <c r="AD157" s="82" t="str">
        <f t="shared" si="195"/>
        <v/>
      </c>
      <c r="AE157" s="82" t="str">
        <f t="shared" si="195"/>
        <v/>
      </c>
      <c r="AF157" s="82" t="str">
        <f t="shared" si="195"/>
        <v/>
      </c>
      <c r="AG157" s="82" t="str">
        <f t="shared" si="195"/>
        <v/>
      </c>
      <c r="AH157" s="82" t="str">
        <f t="shared" si="195"/>
        <v/>
      </c>
      <c r="AI157" s="82" t="str">
        <f t="shared" si="195"/>
        <v/>
      </c>
      <c r="AJ157" s="82" t="str">
        <f t="shared" si="195"/>
        <v/>
      </c>
      <c r="AK157" s="82" t="str">
        <f t="shared" si="195"/>
        <v/>
      </c>
      <c r="AL157" s="82" t="str">
        <f t="shared" si="195"/>
        <v/>
      </c>
      <c r="AM157" s="82">
        <f t="shared" si="195"/>
        <v>-0.5</v>
      </c>
      <c r="AN157" s="82">
        <f t="shared" si="195"/>
        <v>2.0000000000000018E-2</v>
      </c>
      <c r="AO157" s="82">
        <f t="shared" si="195"/>
        <v>1</v>
      </c>
      <c r="AP157" s="82">
        <f t="shared" si="195"/>
        <v>2.0000000000000018E-2</v>
      </c>
      <c r="AQ157" s="82">
        <f t="shared" si="195"/>
        <v>2.0000000000000018E-2</v>
      </c>
      <c r="AR157" s="82">
        <f t="shared" si="195"/>
        <v>2.0000000000000018E-2</v>
      </c>
      <c r="AS157" s="82">
        <f t="shared" si="195"/>
        <v>2.0000000000000018E-2</v>
      </c>
      <c r="AT157" s="82">
        <f t="shared" si="195"/>
        <v>2.0000000000000018E-2</v>
      </c>
      <c r="AU157" s="82">
        <f t="shared" si="195"/>
        <v>2.0000000000000018E-2</v>
      </c>
      <c r="AV157" s="82">
        <f t="shared" si="195"/>
        <v>2.0000000000000018E-2</v>
      </c>
      <c r="AW157" s="82">
        <f t="shared" si="195"/>
        <v>2.0000000000000018E-2</v>
      </c>
      <c r="AX157" s="82">
        <f t="shared" si="195"/>
        <v>2.0000000000000018E-2</v>
      </c>
      <c r="AY157" s="82">
        <f t="shared" si="195"/>
        <v>2.0000000000000018E-2</v>
      </c>
      <c r="AZ157" s="82">
        <f t="shared" si="195"/>
        <v>2.0000000000000018E-2</v>
      </c>
      <c r="BA157" s="82">
        <f t="shared" si="195"/>
        <v>2.0000000000000018E-2</v>
      </c>
      <c r="BB157" s="82">
        <f t="shared" si="195"/>
        <v>2.0000000000000018E-2</v>
      </c>
      <c r="BC157" s="82">
        <f t="shared" si="195"/>
        <v>2.0000000000000018E-2</v>
      </c>
      <c r="BD157" s="82">
        <f t="shared" si="195"/>
        <v>2.0000000000000018E-2</v>
      </c>
      <c r="BE157" s="82">
        <f t="shared" si="195"/>
        <v>2.0000000000000018E-2</v>
      </c>
      <c r="BF157" s="82">
        <f t="shared" si="195"/>
        <v>2.0000000000000018E-2</v>
      </c>
      <c r="BG157" s="82">
        <f t="shared" si="195"/>
        <v>2.0000000000000018E-2</v>
      </c>
      <c r="BH157" s="82">
        <f t="shared" si="195"/>
        <v>-9.4269190170084061E-2</v>
      </c>
      <c r="BI157" s="82">
        <f t="shared" si="195"/>
        <v>-7.6154573973485795E-2</v>
      </c>
      <c r="BJ157" s="82">
        <f t="shared" si="195"/>
        <v>-9.4269190170084061E-2</v>
      </c>
      <c r="BK157" s="82">
        <f t="shared" si="195"/>
        <v>2.0000000000000018E-2</v>
      </c>
      <c r="BL157" s="82">
        <f t="shared" si="195"/>
        <v>0.12616241926400007</v>
      </c>
      <c r="BM157" s="82">
        <f t="shared" si="195"/>
        <v>0.10408080320000002</v>
      </c>
      <c r="BN157" s="82">
        <f t="shared" si="195"/>
        <v>0.12616241926400007</v>
      </c>
      <c r="BO157" s="82">
        <f t="shared" si="195"/>
        <v>0</v>
      </c>
      <c r="BP157" s="82">
        <f t="shared" si="195"/>
        <v>-9.4269190170084061E-2</v>
      </c>
      <c r="BQ157" s="82">
        <f t="shared" si="195"/>
        <v>-7.6154573973485795E-2</v>
      </c>
      <c r="BR157" s="82">
        <f t="shared" si="195"/>
        <v>-9.4269190170084172E-2</v>
      </c>
      <c r="BS157" s="82">
        <f t="shared" si="195"/>
        <v>2.0000000000000018E-2</v>
      </c>
      <c r="BT157" s="82">
        <f t="shared" si="195"/>
        <v>2.0000000000000018E-2</v>
      </c>
      <c r="BU157" s="82">
        <f t="shared" si="195"/>
        <v>2.0000000000000018E-2</v>
      </c>
      <c r="BV157" s="82">
        <f t="shared" si="195"/>
        <v>2.0000000000000018E-2</v>
      </c>
      <c r="BW157" s="82">
        <f t="shared" si="195"/>
        <v>2.0000000000000018E-2</v>
      </c>
      <c r="BX157" s="82">
        <f t="shared" si="195"/>
        <v>2.0000000000000018E-2</v>
      </c>
      <c r="BY157" s="82">
        <f t="shared" si="195"/>
        <v>2.0000000000000018E-2</v>
      </c>
      <c r="BZ157" s="82">
        <f t="shared" si="195"/>
        <v>2.0000000000000018E-2</v>
      </c>
      <c r="CA157" s="82">
        <f t="shared" si="195"/>
        <v>2.0000000000000018E-2</v>
      </c>
      <c r="CB157" s="82">
        <f t="shared" si="195"/>
        <v>2.0000000000000018E-2</v>
      </c>
      <c r="CC157" s="82">
        <f t="shared" si="195"/>
        <v>2.0000000000000018E-2</v>
      </c>
      <c r="CD157" s="82">
        <f t="shared" si="195"/>
        <v>2.0000000000000018E-2</v>
      </c>
      <c r="CG157" s="82"/>
      <c r="CH157" s="82"/>
      <c r="CI157" s="82" t="str">
        <f>+IFERROR(CI156/CH156-1,"")</f>
        <v/>
      </c>
      <c r="CJ157" s="82" t="str">
        <f>+IFERROR(CJ156/CI156-1,"")</f>
        <v/>
      </c>
      <c r="CK157" s="82" t="str">
        <f>+IFERROR(CK156/CJ156-1,"")</f>
        <v/>
      </c>
      <c r="CL157" s="82" t="str">
        <f>+IFERROR(CL156/CK156-1,"")</f>
        <v/>
      </c>
      <c r="CM157" s="82"/>
      <c r="CN157" s="82" t="str">
        <f t="shared" ref="CN157:CX157" si="196">+IFERROR(CN156/CM156-1,"")</f>
        <v/>
      </c>
      <c r="CO157" s="82">
        <f t="shared" si="196"/>
        <v>0.1661538461538461</v>
      </c>
      <c r="CP157" s="82">
        <f t="shared" si="196"/>
        <v>2.0000000000000018E-2</v>
      </c>
      <c r="CQ157" s="82">
        <f t="shared" si="196"/>
        <v>2.0000000000000018E-2</v>
      </c>
      <c r="CR157" s="82">
        <f t="shared" si="196"/>
        <v>2.0000000000000018E-2</v>
      </c>
      <c r="CS157" s="82">
        <f t="shared" si="196"/>
        <v>2.000000000000024E-2</v>
      </c>
      <c r="CT157" s="82">
        <f t="shared" si="196"/>
        <v>-7.9562271479472479E-2</v>
      </c>
      <c r="CU157" s="82">
        <f t="shared" si="196"/>
        <v>0.10963035824233547</v>
      </c>
      <c r="CV157" s="82">
        <f t="shared" si="196"/>
        <v>-8.0774969409011965E-2</v>
      </c>
      <c r="CW157" s="82">
        <f t="shared" si="196"/>
        <v>2.0000000000000018E-2</v>
      </c>
      <c r="CX157" s="82">
        <f t="shared" si="196"/>
        <v>2.0000000000000018E-2</v>
      </c>
    </row>
    <row r="158" spans="1:102" ht="15" customHeight="1" x14ac:dyDescent="0.25">
      <c r="B158" s="37"/>
      <c r="C158" s="37"/>
      <c r="D158" s="37"/>
      <c r="E158" s="37"/>
      <c r="F158" s="37"/>
      <c r="G158" s="37"/>
      <c r="H158" s="37"/>
      <c r="I158" s="37"/>
      <c r="J158" s="37"/>
      <c r="K158" s="37"/>
      <c r="L158" s="37"/>
      <c r="M158" s="37"/>
      <c r="N158" s="37"/>
      <c r="O158" s="37"/>
      <c r="P158" s="37"/>
      <c r="Q158" s="37"/>
      <c r="R158" s="37"/>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c r="BX158" s="82"/>
      <c r="BY158" s="82"/>
      <c r="BZ158" s="82"/>
      <c r="CA158" s="82"/>
      <c r="CB158" s="82"/>
      <c r="CC158" s="82"/>
      <c r="CD158" s="82"/>
      <c r="CG158" s="82"/>
      <c r="CH158" s="82"/>
      <c r="CI158" s="82"/>
      <c r="CJ158" s="82"/>
      <c r="CK158" s="82"/>
      <c r="CL158" s="82"/>
      <c r="CM158" s="82"/>
      <c r="CN158" s="82"/>
      <c r="CO158" s="82"/>
      <c r="CP158" s="82"/>
      <c r="CQ158" s="82"/>
      <c r="CR158" s="82"/>
      <c r="CS158" s="82"/>
      <c r="CT158" s="108"/>
      <c r="CU158" s="108"/>
      <c r="CV158" s="108"/>
      <c r="CW158" s="108"/>
      <c r="CX158" s="108"/>
    </row>
    <row r="159" spans="1:102" s="2" customFormat="1" x14ac:dyDescent="0.25">
      <c r="B159" s="72" t="s">
        <v>172</v>
      </c>
      <c r="C159" s="72"/>
      <c r="D159" s="72"/>
      <c r="E159" s="72"/>
      <c r="F159" s="72"/>
      <c r="G159" s="72"/>
      <c r="H159" s="72"/>
      <c r="I159" s="72"/>
      <c r="J159" s="72"/>
      <c r="K159" s="72"/>
      <c r="L159" s="72"/>
      <c r="M159" s="72"/>
      <c r="N159" s="72"/>
      <c r="O159" s="72"/>
      <c r="P159" s="72"/>
      <c r="Q159" s="72"/>
      <c r="R159" s="72"/>
      <c r="AI159" s="73"/>
      <c r="AJ159" s="24">
        <f>+AJ156</f>
        <v>3</v>
      </c>
      <c r="AK159" s="2">
        <f t="shared" ref="AK159:CD159" si="197">+(1-1*(AK42&lt;&gt;"--"))*AJ159+AK156</f>
        <v>4.5</v>
      </c>
      <c r="AL159" s="2">
        <f t="shared" si="197"/>
        <v>5.5</v>
      </c>
      <c r="AM159" s="2">
        <f t="shared" si="197"/>
        <v>6</v>
      </c>
      <c r="AN159" s="2">
        <f t="shared" si="197"/>
        <v>3.06</v>
      </c>
      <c r="AO159" s="2">
        <f t="shared" si="197"/>
        <v>6.0600000000000005</v>
      </c>
      <c r="AP159" s="2">
        <f t="shared" si="197"/>
        <v>7.08</v>
      </c>
      <c r="AQ159" s="2">
        <f t="shared" si="197"/>
        <v>7.59</v>
      </c>
      <c r="AR159" s="2">
        <f t="shared" si="197"/>
        <v>3.1212</v>
      </c>
      <c r="AS159" s="2">
        <f t="shared" si="197"/>
        <v>3.06</v>
      </c>
      <c r="AT159" s="2">
        <f t="shared" si="197"/>
        <v>4.1004000000000005</v>
      </c>
      <c r="AU159" s="2">
        <f t="shared" si="197"/>
        <v>4.6206000000000005</v>
      </c>
      <c r="AV159" s="2">
        <f t="shared" si="197"/>
        <v>3.183624</v>
      </c>
      <c r="AW159" s="2">
        <f t="shared" si="197"/>
        <v>6.304824</v>
      </c>
      <c r="AX159" s="2">
        <f t="shared" si="197"/>
        <v>7.3660319999999997</v>
      </c>
      <c r="AY159" s="2">
        <f t="shared" si="197"/>
        <v>7.896636</v>
      </c>
      <c r="AZ159" s="2">
        <f t="shared" si="197"/>
        <v>3.2472964800000002</v>
      </c>
      <c r="BA159" s="2">
        <f t="shared" si="197"/>
        <v>6.4309204800000002</v>
      </c>
      <c r="BB159" s="2">
        <f t="shared" si="197"/>
        <v>7.5133526399999999</v>
      </c>
      <c r="BC159" s="2">
        <f t="shared" si="197"/>
        <v>8.0545687200000007</v>
      </c>
      <c r="BD159" s="2">
        <f t="shared" si="197"/>
        <v>3.3122424096</v>
      </c>
      <c r="BE159" s="2">
        <f t="shared" si="197"/>
        <v>6.5595388896000006</v>
      </c>
      <c r="BF159" s="2">
        <f t="shared" si="197"/>
        <v>7.6636196928000011</v>
      </c>
      <c r="BG159" s="2">
        <f t="shared" si="197"/>
        <v>8.2156600944000004</v>
      </c>
      <c r="BH159" s="2">
        <f t="shared" si="197"/>
        <v>3</v>
      </c>
      <c r="BI159" s="2">
        <f t="shared" si="197"/>
        <v>6</v>
      </c>
      <c r="BJ159" s="2">
        <f t="shared" si="197"/>
        <v>7</v>
      </c>
      <c r="BK159" s="2">
        <f t="shared" si="197"/>
        <v>7.5630812096320001</v>
      </c>
      <c r="BL159" s="2">
        <f t="shared" si="197"/>
        <v>3.378487257792</v>
      </c>
      <c r="BM159" s="2">
        <f t="shared" si="197"/>
        <v>6.6907296673920005</v>
      </c>
      <c r="BN159" s="2">
        <f t="shared" si="197"/>
        <v>7.8168920866560008</v>
      </c>
      <c r="BO159" s="2">
        <f t="shared" si="197"/>
        <v>8.379973296288</v>
      </c>
      <c r="BP159" s="2">
        <f t="shared" si="197"/>
        <v>3.06</v>
      </c>
      <c r="BQ159" s="2">
        <f t="shared" si="197"/>
        <v>6.12</v>
      </c>
      <c r="BR159" s="2">
        <f t="shared" si="197"/>
        <v>7.1400000000000006</v>
      </c>
      <c r="BS159" s="2">
        <f t="shared" si="197"/>
        <v>7.7143428338246407</v>
      </c>
      <c r="BT159" s="2">
        <f t="shared" si="197"/>
        <v>3.1212</v>
      </c>
      <c r="BU159" s="2">
        <f t="shared" si="197"/>
        <v>6.2423999999999999</v>
      </c>
      <c r="BV159" s="2">
        <f t="shared" si="197"/>
        <v>7.2827999999999999</v>
      </c>
      <c r="BW159" s="2">
        <f t="shared" si="197"/>
        <v>7.868629690501133</v>
      </c>
      <c r="BX159" s="2">
        <f t="shared" si="197"/>
        <v>3.183624</v>
      </c>
      <c r="BY159" s="2">
        <f t="shared" si="197"/>
        <v>6.367248</v>
      </c>
      <c r="BZ159" s="2">
        <f t="shared" si="197"/>
        <v>7.4284559999999997</v>
      </c>
      <c r="CA159" s="2">
        <f t="shared" si="197"/>
        <v>8.026002284311156</v>
      </c>
      <c r="CB159" s="2">
        <f t="shared" si="197"/>
        <v>3.2472964800000002</v>
      </c>
      <c r="CC159" s="2">
        <f t="shared" si="197"/>
        <v>6.4945929600000003</v>
      </c>
      <c r="CD159" s="2">
        <f t="shared" si="197"/>
        <v>7.5770251200000001</v>
      </c>
      <c r="CE159"/>
      <c r="CN159" s="86">
        <f>+CN156+CM159</f>
        <v>6.5</v>
      </c>
      <c r="CO159" s="86">
        <f t="shared" ref="CO159:CX159" si="198">+CO156+CN159</f>
        <v>14.08</v>
      </c>
      <c r="CP159" s="86">
        <f t="shared" si="198"/>
        <v>21.811599999999999</v>
      </c>
      <c r="CQ159" s="86">
        <f t="shared" si="198"/>
        <v>29.697831999999998</v>
      </c>
      <c r="CR159" s="86">
        <f t="shared" si="198"/>
        <v>37.741788639999996</v>
      </c>
      <c r="CS159" s="86">
        <f t="shared" si="198"/>
        <v>45.946624412799999</v>
      </c>
      <c r="CT159" s="86">
        <f t="shared" si="198"/>
        <v>53.498664814400001</v>
      </c>
      <c r="CU159" s="86">
        <f t="shared" si="198"/>
        <v>61.878638110688001</v>
      </c>
      <c r="CV159" s="86">
        <f t="shared" si="198"/>
        <v>69.581719320320005</v>
      </c>
      <c r="CW159" s="86">
        <f t="shared" si="198"/>
        <v>77.438862154144644</v>
      </c>
      <c r="CX159" s="86">
        <f t="shared" si="198"/>
        <v>85.45314784464577</v>
      </c>
    </row>
    <row r="160" spans="1:102" x14ac:dyDescent="0.25">
      <c r="B160" s="42"/>
      <c r="C160" s="42"/>
      <c r="D160" s="42"/>
      <c r="E160" s="42"/>
      <c r="F160" s="42"/>
      <c r="G160" s="42"/>
      <c r="H160" s="42"/>
      <c r="I160" s="42"/>
      <c r="J160" s="42"/>
      <c r="K160" s="42"/>
      <c r="L160" s="42"/>
      <c r="M160" s="42"/>
      <c r="N160" s="42"/>
      <c r="O160" s="42"/>
      <c r="P160" s="42"/>
      <c r="Q160" s="42"/>
      <c r="R160" s="42"/>
      <c r="BE160" s="103"/>
    </row>
    <row r="161" spans="1:102" ht="15.75" thickBot="1" x14ac:dyDescent="0.3">
      <c r="A161" s="1" t="s">
        <v>18</v>
      </c>
      <c r="B161" s="34" t="s">
        <v>158</v>
      </c>
      <c r="C161" s="34"/>
      <c r="D161" s="34"/>
      <c r="E161" s="34"/>
      <c r="F161" s="34"/>
      <c r="G161" s="34"/>
      <c r="H161" s="34"/>
      <c r="I161" s="34"/>
      <c r="J161" s="34"/>
      <c r="K161" s="34"/>
      <c r="L161" s="34"/>
      <c r="M161" s="34"/>
      <c r="N161" s="34"/>
      <c r="O161" s="34"/>
      <c r="P161" s="34"/>
      <c r="Q161" s="34"/>
      <c r="R161" s="34"/>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c r="AX161" s="35"/>
      <c r="AY161" s="35"/>
      <c r="AZ161" s="35"/>
      <c r="BA161" s="35"/>
      <c r="BB161" s="35"/>
      <c r="BC161" s="35"/>
      <c r="BD161" s="35"/>
      <c r="BE161" s="35"/>
      <c r="BF161" s="35"/>
      <c r="BG161" s="35"/>
      <c r="BH161" s="35"/>
      <c r="BI161" s="35"/>
      <c r="BJ161" s="35"/>
      <c r="BK161" s="35"/>
      <c r="BL161" s="35"/>
      <c r="BM161" s="35"/>
      <c r="BN161" s="35"/>
      <c r="BO161" s="35"/>
      <c r="BP161" s="35"/>
      <c r="BQ161" s="35"/>
      <c r="BR161" s="35"/>
      <c r="BS161" s="35"/>
      <c r="BT161" s="35"/>
      <c r="BU161" s="35"/>
      <c r="BV161" s="35"/>
      <c r="BW161" s="35"/>
      <c r="BX161" s="35"/>
      <c r="BY161" s="35"/>
      <c r="BZ161" s="35"/>
      <c r="CA161" s="35"/>
      <c r="CB161" s="35"/>
      <c r="CC161" s="35"/>
      <c r="CD161" s="35"/>
      <c r="CF161" s="35"/>
      <c r="CG161" s="35"/>
      <c r="CH161" s="35"/>
      <c r="CI161" s="35"/>
      <c r="CJ161" s="35"/>
      <c r="CK161" s="35"/>
      <c r="CL161" s="35"/>
      <c r="CM161" s="35"/>
      <c r="CN161" s="35"/>
      <c r="CO161" s="35"/>
      <c r="CP161" s="35"/>
      <c r="CQ161" s="35"/>
      <c r="CR161" s="35"/>
      <c r="CS161" s="35"/>
      <c r="CT161" s="35"/>
      <c r="CU161" s="35"/>
      <c r="CV161" s="35"/>
      <c r="CW161" s="35"/>
      <c r="CX161" s="35"/>
    </row>
    <row r="162" spans="1:102" x14ac:dyDescent="0.25">
      <c r="A162" s="1"/>
      <c r="B162" s="65" t="s">
        <v>201</v>
      </c>
      <c r="C162" s="65"/>
      <c r="D162" s="65"/>
      <c r="E162" s="65"/>
      <c r="F162" s="65"/>
      <c r="G162" s="65"/>
      <c r="H162" s="65"/>
      <c r="I162" s="65"/>
      <c r="J162" s="65"/>
      <c r="K162" s="65"/>
      <c r="L162" s="65"/>
      <c r="M162" s="65"/>
      <c r="N162" s="65"/>
      <c r="O162" s="65"/>
      <c r="P162" s="65"/>
      <c r="Q162" s="65"/>
      <c r="R162" s="65"/>
      <c r="BH162" s="52">
        <f>+BH165+BH168</f>
        <v>320</v>
      </c>
      <c r="BI162" s="52">
        <f t="shared" ref="BI162:CD162" si="199">+BI165+BI168</f>
        <v>145</v>
      </c>
      <c r="BJ162" s="52">
        <f t="shared" si="199"/>
        <v>95</v>
      </c>
      <c r="BK162" s="52">
        <f t="shared" si="199"/>
        <v>10</v>
      </c>
      <c r="BL162" s="52">
        <f t="shared" si="199"/>
        <v>322.5</v>
      </c>
      <c r="BM162" s="52">
        <f t="shared" si="199"/>
        <v>150</v>
      </c>
      <c r="BN162" s="52">
        <f t="shared" si="199"/>
        <v>97.5</v>
      </c>
      <c r="BO162" s="52">
        <f t="shared" si="199"/>
        <v>10.5</v>
      </c>
      <c r="BP162" s="52">
        <f t="shared" si="199"/>
        <v>325.125</v>
      </c>
      <c r="BQ162" s="52">
        <f t="shared" si="199"/>
        <v>155.25</v>
      </c>
      <c r="BR162" s="52">
        <f t="shared" si="199"/>
        <v>100.125</v>
      </c>
      <c r="BS162" s="52">
        <f t="shared" si="199"/>
        <v>11.025</v>
      </c>
      <c r="BT162" s="52">
        <f t="shared" si="199"/>
        <v>327.88125000000002</v>
      </c>
      <c r="BU162" s="52">
        <f t="shared" si="199"/>
        <v>160.76249999999999</v>
      </c>
      <c r="BV162" s="52">
        <f t="shared" si="199"/>
        <v>102.88124999999999</v>
      </c>
      <c r="BW162" s="52">
        <f t="shared" si="199"/>
        <v>11.576250000000002</v>
      </c>
      <c r="BX162" s="52">
        <f t="shared" si="199"/>
        <v>330.77531249999998</v>
      </c>
      <c r="BY162" s="52">
        <f t="shared" si="199"/>
        <v>166.55062500000003</v>
      </c>
      <c r="BZ162" s="52">
        <f t="shared" si="199"/>
        <v>105.77531250000001</v>
      </c>
      <c r="CA162" s="52">
        <f t="shared" si="199"/>
        <v>12.155062500000001</v>
      </c>
      <c r="CB162" s="52">
        <f t="shared" si="199"/>
        <v>333.81407812500004</v>
      </c>
      <c r="CC162" s="52">
        <f t="shared" si="199"/>
        <v>172.62815625000002</v>
      </c>
      <c r="CD162" s="52">
        <f t="shared" si="199"/>
        <v>108.81407812500001</v>
      </c>
      <c r="CE162" s="52"/>
      <c r="CM162" s="50">
        <f t="shared" ref="CM162:CX162" si="200">+SUMIFS($S162:$CD162,$S$5:$CD$5,"&lt;="&amp;CM$5,$S$5:$CD$5,"&gt;"&amp;CL$5)</f>
        <v>0</v>
      </c>
      <c r="CN162" s="50">
        <f t="shared" si="200"/>
        <v>0</v>
      </c>
      <c r="CO162" s="50">
        <f t="shared" si="200"/>
        <v>0</v>
      </c>
      <c r="CP162" s="50">
        <f t="shared" si="200"/>
        <v>0</v>
      </c>
      <c r="CQ162" s="50">
        <f t="shared" si="200"/>
        <v>0</v>
      </c>
      <c r="CR162" s="50">
        <f t="shared" si="200"/>
        <v>0</v>
      </c>
      <c r="CS162" s="50">
        <f t="shared" si="200"/>
        <v>0</v>
      </c>
      <c r="CT162" s="50">
        <f t="shared" si="200"/>
        <v>560</v>
      </c>
      <c r="CU162" s="50">
        <f t="shared" si="200"/>
        <v>580</v>
      </c>
      <c r="CV162" s="50">
        <f t="shared" si="200"/>
        <v>591</v>
      </c>
      <c r="CW162" s="50">
        <f t="shared" si="200"/>
        <v>602.54999999999995</v>
      </c>
      <c r="CX162" s="50">
        <f t="shared" si="200"/>
        <v>614.67750000000001</v>
      </c>
    </row>
    <row r="163" spans="1:102" ht="15" customHeight="1" x14ac:dyDescent="0.25">
      <c r="B163" s="37" t="s">
        <v>151</v>
      </c>
      <c r="C163" s="37"/>
      <c r="D163" s="37"/>
      <c r="E163" s="37"/>
      <c r="F163" s="37"/>
      <c r="G163" s="37"/>
      <c r="H163" s="37"/>
      <c r="I163" s="37"/>
      <c r="J163" s="37"/>
      <c r="K163" s="37"/>
      <c r="L163" s="37"/>
      <c r="M163" s="37"/>
      <c r="N163" s="37"/>
      <c r="O163" s="37"/>
      <c r="P163" s="37"/>
      <c r="Q163" s="37"/>
      <c r="R163" s="37"/>
      <c r="S163" s="82"/>
      <c r="T163" s="82"/>
      <c r="U163" s="82"/>
      <c r="V163" s="82"/>
      <c r="W163" s="82" t="str">
        <f t="shared" ref="W163:BB163" si="201">+IFERROR(W162/S162-1,"")</f>
        <v/>
      </c>
      <c r="X163" s="82" t="str">
        <f t="shared" si="201"/>
        <v/>
      </c>
      <c r="Y163" s="82" t="str">
        <f t="shared" si="201"/>
        <v/>
      </c>
      <c r="Z163" s="82" t="str">
        <f t="shared" si="201"/>
        <v/>
      </c>
      <c r="AA163" s="82" t="str">
        <f t="shared" si="201"/>
        <v/>
      </c>
      <c r="AB163" s="82" t="str">
        <f t="shared" si="201"/>
        <v/>
      </c>
      <c r="AC163" s="82" t="str">
        <f t="shared" si="201"/>
        <v/>
      </c>
      <c r="AD163" s="82" t="str">
        <f t="shared" si="201"/>
        <v/>
      </c>
      <c r="AE163" s="82" t="str">
        <f t="shared" si="201"/>
        <v/>
      </c>
      <c r="AF163" s="82" t="str">
        <f t="shared" si="201"/>
        <v/>
      </c>
      <c r="AG163" s="82" t="str">
        <f t="shared" si="201"/>
        <v/>
      </c>
      <c r="AH163" s="82" t="str">
        <f t="shared" si="201"/>
        <v/>
      </c>
      <c r="AI163" s="82" t="str">
        <f t="shared" si="201"/>
        <v/>
      </c>
      <c r="AJ163" s="82" t="str">
        <f t="shared" si="201"/>
        <v/>
      </c>
      <c r="AK163" s="82" t="str">
        <f t="shared" si="201"/>
        <v/>
      </c>
      <c r="AL163" s="82" t="str">
        <f t="shared" si="201"/>
        <v/>
      </c>
      <c r="AM163" s="82" t="str">
        <f t="shared" si="201"/>
        <v/>
      </c>
      <c r="AN163" s="82" t="str">
        <f t="shared" si="201"/>
        <v/>
      </c>
      <c r="AO163" s="82" t="str">
        <f t="shared" si="201"/>
        <v/>
      </c>
      <c r="AP163" s="82" t="str">
        <f t="shared" si="201"/>
        <v/>
      </c>
      <c r="AQ163" s="82" t="str">
        <f t="shared" si="201"/>
        <v/>
      </c>
      <c r="AR163" s="82" t="str">
        <f t="shared" si="201"/>
        <v/>
      </c>
      <c r="AS163" s="82" t="str">
        <f t="shared" si="201"/>
        <v/>
      </c>
      <c r="AT163" s="82" t="str">
        <f t="shared" si="201"/>
        <v/>
      </c>
      <c r="AU163" s="82" t="str">
        <f t="shared" si="201"/>
        <v/>
      </c>
      <c r="AV163" s="82" t="str">
        <f t="shared" si="201"/>
        <v/>
      </c>
      <c r="AW163" s="82" t="str">
        <f t="shared" si="201"/>
        <v/>
      </c>
      <c r="AX163" s="82" t="str">
        <f t="shared" si="201"/>
        <v/>
      </c>
      <c r="AY163" s="82" t="str">
        <f t="shared" si="201"/>
        <v/>
      </c>
      <c r="AZ163" s="82" t="str">
        <f t="shared" si="201"/>
        <v/>
      </c>
      <c r="BA163" s="82" t="str">
        <f t="shared" si="201"/>
        <v/>
      </c>
      <c r="BB163" s="82" t="str">
        <f t="shared" si="201"/>
        <v/>
      </c>
      <c r="BC163" s="82" t="str">
        <f>+IFERROR(BC162/AY162-1,"")</f>
        <v/>
      </c>
      <c r="BD163" s="82" t="str">
        <f t="shared" ref="BD163:CD163" si="202">+IFERROR(BD162/AZ162-1,"")</f>
        <v/>
      </c>
      <c r="BE163" s="82" t="str">
        <f t="shared" si="202"/>
        <v/>
      </c>
      <c r="BF163" s="82" t="str">
        <f t="shared" si="202"/>
        <v/>
      </c>
      <c r="BG163" s="82" t="str">
        <f t="shared" si="202"/>
        <v/>
      </c>
      <c r="BH163" s="82" t="str">
        <f t="shared" si="202"/>
        <v/>
      </c>
      <c r="BI163" s="82" t="str">
        <f t="shared" si="202"/>
        <v/>
      </c>
      <c r="BJ163" s="82" t="str">
        <f t="shared" si="202"/>
        <v/>
      </c>
      <c r="BK163" s="82" t="str">
        <f t="shared" si="202"/>
        <v/>
      </c>
      <c r="BL163" s="82">
        <f t="shared" si="202"/>
        <v>7.8125E-3</v>
      </c>
      <c r="BM163" s="82">
        <f t="shared" si="202"/>
        <v>3.4482758620689724E-2</v>
      </c>
      <c r="BN163" s="82">
        <f t="shared" si="202"/>
        <v>2.6315789473684292E-2</v>
      </c>
      <c r="BO163" s="82">
        <f t="shared" si="202"/>
        <v>5.0000000000000044E-2</v>
      </c>
      <c r="BP163" s="82">
        <f t="shared" si="202"/>
        <v>8.1395348837209891E-3</v>
      </c>
      <c r="BQ163" s="82">
        <f t="shared" si="202"/>
        <v>3.499999999999992E-2</v>
      </c>
      <c r="BR163" s="82">
        <f t="shared" si="202"/>
        <v>2.6923076923076827E-2</v>
      </c>
      <c r="BS163" s="82">
        <f t="shared" si="202"/>
        <v>5.0000000000000044E-2</v>
      </c>
      <c r="BT163" s="82">
        <f t="shared" si="202"/>
        <v>8.4775086505191055E-3</v>
      </c>
      <c r="BU163" s="82">
        <f t="shared" si="202"/>
        <v>3.5507246376811574E-2</v>
      </c>
      <c r="BV163" s="82">
        <f t="shared" si="202"/>
        <v>2.7528089887640439E-2</v>
      </c>
      <c r="BW163" s="82">
        <f t="shared" si="202"/>
        <v>5.0000000000000044E-2</v>
      </c>
      <c r="BX163" s="82">
        <f t="shared" si="202"/>
        <v>8.8265568708181252E-3</v>
      </c>
      <c r="BY163" s="82">
        <f t="shared" si="202"/>
        <v>3.6004198740378079E-2</v>
      </c>
      <c r="BZ163" s="82">
        <f t="shared" si="202"/>
        <v>2.8130125751777202E-2</v>
      </c>
      <c r="CA163" s="82">
        <f t="shared" si="202"/>
        <v>5.0000000000000044E-2</v>
      </c>
      <c r="CB163" s="82">
        <f t="shared" si="202"/>
        <v>9.1867969288066398E-3</v>
      </c>
      <c r="CC163" s="82">
        <f t="shared" si="202"/>
        <v>3.6490594076125538E-2</v>
      </c>
      <c r="CD163" s="82">
        <f t="shared" si="202"/>
        <v>2.8728495838761914E-2</v>
      </c>
      <c r="CG163" s="82"/>
      <c r="CH163" s="82"/>
      <c r="CI163" s="82" t="str">
        <f t="shared" ref="CI163:CL163" si="203">+IFERROR(CI162/CH162-1,"")</f>
        <v/>
      </c>
      <c r="CJ163" s="82" t="str">
        <f t="shared" si="203"/>
        <v/>
      </c>
      <c r="CK163" s="82" t="str">
        <f t="shared" si="203"/>
        <v/>
      </c>
      <c r="CL163" s="82" t="str">
        <f t="shared" si="203"/>
        <v/>
      </c>
      <c r="CM163" s="82"/>
      <c r="CN163" s="82" t="str">
        <f t="shared" ref="CN163:CP163" si="204">+IFERROR(CN162/CM162-1,"")</f>
        <v/>
      </c>
      <c r="CO163" s="82" t="str">
        <f t="shared" si="204"/>
        <v/>
      </c>
      <c r="CP163" s="82" t="str">
        <f t="shared" si="204"/>
        <v/>
      </c>
      <c r="CQ163" s="82" t="str">
        <f>+IFERROR(CQ162/CP162-1,"")</f>
        <v/>
      </c>
      <c r="CR163" s="82" t="str">
        <f>+IFERROR(CR162/CQ162-1,"")</f>
        <v/>
      </c>
      <c r="CS163" s="82" t="str">
        <f t="shared" ref="CS163:CX163" si="205">+IFERROR(CS162/CR162-1,"")</f>
        <v/>
      </c>
      <c r="CT163" s="82" t="str">
        <f t="shared" si="205"/>
        <v/>
      </c>
      <c r="CU163" s="82">
        <f t="shared" si="205"/>
        <v>3.5714285714285809E-2</v>
      </c>
      <c r="CV163" s="82">
        <f t="shared" si="205"/>
        <v>1.8965517241379404E-2</v>
      </c>
      <c r="CW163" s="82">
        <f t="shared" si="205"/>
        <v>1.9543147208121781E-2</v>
      </c>
      <c r="CX163" s="82">
        <f t="shared" si="205"/>
        <v>2.0126960418222595E-2</v>
      </c>
    </row>
    <row r="164" spans="1:102" x14ac:dyDescent="0.25">
      <c r="A164" s="1"/>
      <c r="B164" s="65"/>
      <c r="C164" s="65"/>
      <c r="D164" s="65"/>
      <c r="E164" s="65"/>
      <c r="F164" s="65"/>
      <c r="G164" s="65"/>
      <c r="H164" s="65"/>
      <c r="I164" s="65"/>
      <c r="J164" s="65"/>
      <c r="K164" s="65"/>
      <c r="L164" s="65"/>
      <c r="M164" s="65"/>
      <c r="N164" s="65"/>
      <c r="O164" s="65"/>
      <c r="P164" s="65"/>
      <c r="Q164" s="65"/>
      <c r="R164" s="65"/>
    </row>
    <row r="165" spans="1:102" s="52" customFormat="1" x14ac:dyDescent="0.25">
      <c r="A165" s="110"/>
      <c r="B165" s="48" t="s">
        <v>205</v>
      </c>
      <c r="C165" s="48"/>
      <c r="D165" s="48"/>
      <c r="E165" s="48"/>
      <c r="F165" s="48"/>
      <c r="G165" s="48"/>
      <c r="H165" s="48"/>
      <c r="I165" s="48"/>
      <c r="J165" s="48"/>
      <c r="K165" s="48"/>
      <c r="L165" s="48"/>
      <c r="M165" s="48"/>
      <c r="N165" s="48"/>
      <c r="O165" s="48"/>
      <c r="P165" s="48"/>
      <c r="Q165" s="48"/>
      <c r="R165" s="48"/>
      <c r="S165" s="51"/>
      <c r="T165" s="51"/>
      <c r="U165" s="51"/>
      <c r="V165" s="51"/>
      <c r="W165" s="51"/>
      <c r="X165" s="51"/>
      <c r="Y165" s="51"/>
      <c r="Z165" s="51"/>
      <c r="AA165" s="51"/>
      <c r="AB165" s="51"/>
      <c r="AC165" s="51"/>
      <c r="AD165" s="51"/>
      <c r="AE165" s="51"/>
      <c r="AF165" s="51"/>
      <c r="AG165" s="51"/>
      <c r="AH165" s="51"/>
      <c r="AI165" s="53"/>
      <c r="AJ165" s="53"/>
      <c r="AK165" s="53"/>
      <c r="AL165" s="53"/>
      <c r="AM165" s="53"/>
      <c r="AN165" s="53"/>
      <c r="AO165" s="53"/>
      <c r="AP165" s="53"/>
      <c r="AQ165" s="53"/>
      <c r="AR165" s="53"/>
      <c r="AS165" s="53"/>
      <c r="AT165" s="53"/>
      <c r="AU165" s="50"/>
      <c r="AV165" s="50"/>
      <c r="AW165" s="50"/>
      <c r="AX165" s="50"/>
      <c r="AY165" s="50"/>
      <c r="AZ165" s="50"/>
      <c r="BA165" s="50"/>
      <c r="BB165" s="50"/>
      <c r="BC165" s="50"/>
      <c r="BE165" s="50"/>
      <c r="BF165" s="50"/>
      <c r="BG165" s="51">
        <v>0</v>
      </c>
      <c r="BH165" s="51">
        <v>50</v>
      </c>
      <c r="BI165" s="51">
        <v>100</v>
      </c>
      <c r="BJ165" s="51">
        <v>50</v>
      </c>
      <c r="BK165" s="51">
        <v>10</v>
      </c>
      <c r="BL165" s="51">
        <f>+BH165*1.05</f>
        <v>52.5</v>
      </c>
      <c r="BM165" s="51">
        <f t="shared" ref="BM165:CD165" si="206">+BI165*1.05</f>
        <v>105</v>
      </c>
      <c r="BN165" s="51">
        <f t="shared" si="206"/>
        <v>52.5</v>
      </c>
      <c r="BO165" s="51">
        <f t="shared" si="206"/>
        <v>10.5</v>
      </c>
      <c r="BP165" s="51">
        <f t="shared" si="206"/>
        <v>55.125</v>
      </c>
      <c r="BQ165" s="51">
        <f t="shared" si="206"/>
        <v>110.25</v>
      </c>
      <c r="BR165" s="51">
        <f t="shared" si="206"/>
        <v>55.125</v>
      </c>
      <c r="BS165" s="51">
        <f t="shared" si="206"/>
        <v>11.025</v>
      </c>
      <c r="BT165" s="51">
        <f t="shared" si="206"/>
        <v>57.881250000000001</v>
      </c>
      <c r="BU165" s="51">
        <f t="shared" si="206"/>
        <v>115.7625</v>
      </c>
      <c r="BV165" s="51">
        <f t="shared" si="206"/>
        <v>57.881250000000001</v>
      </c>
      <c r="BW165" s="51">
        <f t="shared" si="206"/>
        <v>11.576250000000002</v>
      </c>
      <c r="BX165" s="51">
        <f t="shared" si="206"/>
        <v>60.775312500000005</v>
      </c>
      <c r="BY165" s="51">
        <f t="shared" si="206"/>
        <v>121.55062500000001</v>
      </c>
      <c r="BZ165" s="51">
        <f t="shared" si="206"/>
        <v>60.775312500000005</v>
      </c>
      <c r="CA165" s="51">
        <f t="shared" si="206"/>
        <v>12.155062500000001</v>
      </c>
      <c r="CB165" s="51">
        <f t="shared" si="206"/>
        <v>63.814078125000009</v>
      </c>
      <c r="CC165" s="51">
        <f t="shared" si="206"/>
        <v>127.62815625000002</v>
      </c>
      <c r="CD165" s="51">
        <f t="shared" si="206"/>
        <v>63.814078125000009</v>
      </c>
      <c r="CE165" s="51"/>
      <c r="CM165" s="50">
        <f t="shared" ref="CM165:CX165" si="207">+SUMIFS($S165:$CD165,$S$5:$CD$5,"&lt;="&amp;CM$5,$S$5:$CD$5,"&gt;"&amp;CL$5)</f>
        <v>0</v>
      </c>
      <c r="CN165" s="50">
        <f t="shared" si="207"/>
        <v>0</v>
      </c>
      <c r="CO165" s="50">
        <f t="shared" si="207"/>
        <v>0</v>
      </c>
      <c r="CP165" s="50">
        <f t="shared" si="207"/>
        <v>0</v>
      </c>
      <c r="CQ165" s="50">
        <f t="shared" si="207"/>
        <v>0</v>
      </c>
      <c r="CR165" s="50">
        <f t="shared" si="207"/>
        <v>0</v>
      </c>
      <c r="CS165" s="50">
        <f t="shared" si="207"/>
        <v>0</v>
      </c>
      <c r="CT165" s="50">
        <f t="shared" si="207"/>
        <v>200</v>
      </c>
      <c r="CU165" s="50">
        <f t="shared" si="207"/>
        <v>220</v>
      </c>
      <c r="CV165" s="50">
        <f t="shared" si="207"/>
        <v>231</v>
      </c>
      <c r="CW165" s="50">
        <f t="shared" si="207"/>
        <v>242.54999999999998</v>
      </c>
      <c r="CX165" s="50">
        <f t="shared" si="207"/>
        <v>254.67750000000004</v>
      </c>
    </row>
    <row r="166" spans="1:102" ht="15" customHeight="1" x14ac:dyDescent="0.25">
      <c r="B166" s="37" t="s">
        <v>151</v>
      </c>
      <c r="C166" s="37"/>
      <c r="D166" s="37"/>
      <c r="E166" s="37"/>
      <c r="F166" s="37"/>
      <c r="G166" s="37"/>
      <c r="H166" s="37"/>
      <c r="I166" s="37"/>
      <c r="J166" s="37"/>
      <c r="K166" s="37"/>
      <c r="L166" s="37"/>
      <c r="M166" s="37"/>
      <c r="N166" s="37"/>
      <c r="O166" s="37"/>
      <c r="P166" s="37"/>
      <c r="Q166" s="37"/>
      <c r="R166" s="37"/>
      <c r="S166" s="82"/>
      <c r="T166" s="82"/>
      <c r="U166" s="82"/>
      <c r="V166" s="82"/>
      <c r="W166" s="82" t="str">
        <f t="shared" ref="W166:BB166" si="208">+IFERROR(W165/S165-1,"")</f>
        <v/>
      </c>
      <c r="X166" s="82" t="str">
        <f t="shared" si="208"/>
        <v/>
      </c>
      <c r="Y166" s="82" t="str">
        <f t="shared" si="208"/>
        <v/>
      </c>
      <c r="Z166" s="82" t="str">
        <f t="shared" si="208"/>
        <v/>
      </c>
      <c r="AA166" s="82" t="str">
        <f t="shared" si="208"/>
        <v/>
      </c>
      <c r="AB166" s="82" t="str">
        <f t="shared" si="208"/>
        <v/>
      </c>
      <c r="AC166" s="82" t="str">
        <f t="shared" si="208"/>
        <v/>
      </c>
      <c r="AD166" s="82" t="str">
        <f t="shared" si="208"/>
        <v/>
      </c>
      <c r="AE166" s="82" t="str">
        <f t="shared" si="208"/>
        <v/>
      </c>
      <c r="AF166" s="82" t="str">
        <f t="shared" si="208"/>
        <v/>
      </c>
      <c r="AG166" s="82" t="str">
        <f t="shared" si="208"/>
        <v/>
      </c>
      <c r="AH166" s="82" t="str">
        <f t="shared" si="208"/>
        <v/>
      </c>
      <c r="AI166" s="82" t="str">
        <f t="shared" si="208"/>
        <v/>
      </c>
      <c r="AJ166" s="82" t="str">
        <f t="shared" si="208"/>
        <v/>
      </c>
      <c r="AK166" s="82" t="str">
        <f t="shared" si="208"/>
        <v/>
      </c>
      <c r="AL166" s="82" t="str">
        <f t="shared" si="208"/>
        <v/>
      </c>
      <c r="AM166" s="82" t="str">
        <f t="shared" si="208"/>
        <v/>
      </c>
      <c r="AN166" s="82" t="str">
        <f t="shared" si="208"/>
        <v/>
      </c>
      <c r="AO166" s="82" t="str">
        <f t="shared" si="208"/>
        <v/>
      </c>
      <c r="AP166" s="82" t="str">
        <f t="shared" si="208"/>
        <v/>
      </c>
      <c r="AQ166" s="82" t="str">
        <f t="shared" si="208"/>
        <v/>
      </c>
      <c r="AR166" s="82" t="str">
        <f t="shared" si="208"/>
        <v/>
      </c>
      <c r="AS166" s="82" t="str">
        <f t="shared" si="208"/>
        <v/>
      </c>
      <c r="AT166" s="82" t="str">
        <f t="shared" si="208"/>
        <v/>
      </c>
      <c r="AU166" s="82" t="str">
        <f t="shared" si="208"/>
        <v/>
      </c>
      <c r="AV166" s="82" t="str">
        <f t="shared" si="208"/>
        <v/>
      </c>
      <c r="AW166" s="82" t="str">
        <f t="shared" si="208"/>
        <v/>
      </c>
      <c r="AX166" s="82" t="str">
        <f t="shared" si="208"/>
        <v/>
      </c>
      <c r="AY166" s="82" t="str">
        <f t="shared" si="208"/>
        <v/>
      </c>
      <c r="AZ166" s="82" t="str">
        <f t="shared" si="208"/>
        <v/>
      </c>
      <c r="BA166" s="82" t="str">
        <f t="shared" si="208"/>
        <v/>
      </c>
      <c r="BB166" s="82" t="str">
        <f t="shared" si="208"/>
        <v/>
      </c>
      <c r="BC166" s="82" t="str">
        <f>+IFERROR(BC165/AY165-1,"")</f>
        <v/>
      </c>
      <c r="BD166" s="82" t="str">
        <f t="shared" ref="BD166:CD166" si="209">+IFERROR(BD165/AZ165-1,"")</f>
        <v/>
      </c>
      <c r="BE166" s="82" t="str">
        <f t="shared" si="209"/>
        <v/>
      </c>
      <c r="BF166" s="82" t="str">
        <f t="shared" si="209"/>
        <v/>
      </c>
      <c r="BG166" s="82" t="str">
        <f t="shared" si="209"/>
        <v/>
      </c>
      <c r="BH166" s="82" t="str">
        <f t="shared" si="209"/>
        <v/>
      </c>
      <c r="BI166" s="82" t="str">
        <f t="shared" si="209"/>
        <v/>
      </c>
      <c r="BJ166" s="82" t="str">
        <f t="shared" si="209"/>
        <v/>
      </c>
      <c r="BK166" s="82" t="str">
        <f t="shared" si="209"/>
        <v/>
      </c>
      <c r="BL166" s="82">
        <f t="shared" si="209"/>
        <v>5.0000000000000044E-2</v>
      </c>
      <c r="BM166" s="82">
        <f t="shared" si="209"/>
        <v>5.0000000000000044E-2</v>
      </c>
      <c r="BN166" s="82">
        <f t="shared" si="209"/>
        <v>5.0000000000000044E-2</v>
      </c>
      <c r="BO166" s="82">
        <f t="shared" si="209"/>
        <v>5.0000000000000044E-2</v>
      </c>
      <c r="BP166" s="82">
        <f t="shared" si="209"/>
        <v>5.0000000000000044E-2</v>
      </c>
      <c r="BQ166" s="82">
        <f t="shared" si="209"/>
        <v>5.0000000000000044E-2</v>
      </c>
      <c r="BR166" s="82">
        <f t="shared" si="209"/>
        <v>5.0000000000000044E-2</v>
      </c>
      <c r="BS166" s="82">
        <f t="shared" si="209"/>
        <v>5.0000000000000044E-2</v>
      </c>
      <c r="BT166" s="82">
        <f t="shared" si="209"/>
        <v>5.0000000000000044E-2</v>
      </c>
      <c r="BU166" s="82">
        <f t="shared" si="209"/>
        <v>5.0000000000000044E-2</v>
      </c>
      <c r="BV166" s="82">
        <f t="shared" si="209"/>
        <v>5.0000000000000044E-2</v>
      </c>
      <c r="BW166" s="82">
        <f t="shared" si="209"/>
        <v>5.0000000000000044E-2</v>
      </c>
      <c r="BX166" s="82">
        <f t="shared" si="209"/>
        <v>5.0000000000000044E-2</v>
      </c>
      <c r="BY166" s="82">
        <f t="shared" si="209"/>
        <v>5.0000000000000044E-2</v>
      </c>
      <c r="BZ166" s="82">
        <f t="shared" si="209"/>
        <v>5.0000000000000044E-2</v>
      </c>
      <c r="CA166" s="82">
        <f t="shared" si="209"/>
        <v>5.0000000000000044E-2</v>
      </c>
      <c r="CB166" s="82">
        <f t="shared" si="209"/>
        <v>5.0000000000000044E-2</v>
      </c>
      <c r="CC166" s="82">
        <f t="shared" si="209"/>
        <v>5.0000000000000044E-2</v>
      </c>
      <c r="CD166" s="82">
        <f t="shared" si="209"/>
        <v>5.0000000000000044E-2</v>
      </c>
      <c r="CG166" s="82"/>
      <c r="CH166" s="82"/>
      <c r="CI166" s="82" t="str">
        <f t="shared" ref="CI166:CL166" si="210">+IFERROR(CI165/CH165-1,"")</f>
        <v/>
      </c>
      <c r="CJ166" s="82" t="str">
        <f t="shared" si="210"/>
        <v/>
      </c>
      <c r="CK166" s="82" t="str">
        <f t="shared" si="210"/>
        <v/>
      </c>
      <c r="CL166" s="82" t="str">
        <f t="shared" si="210"/>
        <v/>
      </c>
      <c r="CM166" s="82"/>
      <c r="CN166" s="82" t="str">
        <f t="shared" ref="CN166:CP166" si="211">+IFERROR(CN165/CM165-1,"")</f>
        <v/>
      </c>
      <c r="CO166" s="82" t="str">
        <f t="shared" si="211"/>
        <v/>
      </c>
      <c r="CP166" s="82" t="str">
        <f t="shared" si="211"/>
        <v/>
      </c>
      <c r="CQ166" s="82" t="str">
        <f>+IFERROR(CQ165/CP165-1,"")</f>
        <v/>
      </c>
      <c r="CR166" s="82" t="str">
        <f>+IFERROR(CR165/CQ165-1,"")</f>
        <v/>
      </c>
      <c r="CS166" s="82" t="str">
        <f t="shared" ref="CS166:CX166" si="212">+IFERROR(CS165/CR165-1,"")</f>
        <v/>
      </c>
      <c r="CT166" s="82" t="str">
        <f t="shared" si="212"/>
        <v/>
      </c>
      <c r="CU166" s="82">
        <f t="shared" si="212"/>
        <v>0.10000000000000009</v>
      </c>
      <c r="CV166" s="82">
        <f t="shared" si="212"/>
        <v>5.0000000000000044E-2</v>
      </c>
      <c r="CW166" s="82">
        <f t="shared" si="212"/>
        <v>4.9999999999999822E-2</v>
      </c>
      <c r="CX166" s="82">
        <f t="shared" si="212"/>
        <v>5.0000000000000266E-2</v>
      </c>
    </row>
    <row r="168" spans="1:102" x14ac:dyDescent="0.25">
      <c r="B168" t="s">
        <v>167</v>
      </c>
      <c r="BH168" s="50">
        <f>+BH171*BH174</f>
        <v>270</v>
      </c>
      <c r="BI168" s="50">
        <f t="shared" ref="BI168:CD168" si="213">+BI171*BI174</f>
        <v>45</v>
      </c>
      <c r="BJ168" s="50">
        <f t="shared" si="213"/>
        <v>45</v>
      </c>
      <c r="BK168" s="50">
        <f t="shared" si="213"/>
        <v>0</v>
      </c>
      <c r="BL168" s="50">
        <f t="shared" si="213"/>
        <v>270</v>
      </c>
      <c r="BM168" s="50">
        <f t="shared" si="213"/>
        <v>45</v>
      </c>
      <c r="BN168" s="50">
        <f t="shared" si="213"/>
        <v>45</v>
      </c>
      <c r="BO168" s="50">
        <f t="shared" si="213"/>
        <v>0</v>
      </c>
      <c r="BP168" s="50">
        <f t="shared" si="213"/>
        <v>270</v>
      </c>
      <c r="BQ168" s="50">
        <f t="shared" si="213"/>
        <v>45</v>
      </c>
      <c r="BR168" s="50">
        <f t="shared" si="213"/>
        <v>45</v>
      </c>
      <c r="BS168" s="50">
        <f t="shared" si="213"/>
        <v>0</v>
      </c>
      <c r="BT168" s="50">
        <f t="shared" si="213"/>
        <v>270</v>
      </c>
      <c r="BU168" s="50">
        <f t="shared" si="213"/>
        <v>45</v>
      </c>
      <c r="BV168" s="50">
        <f t="shared" si="213"/>
        <v>45</v>
      </c>
      <c r="BW168" s="50">
        <f t="shared" si="213"/>
        <v>0</v>
      </c>
      <c r="BX168" s="50">
        <f t="shared" si="213"/>
        <v>270</v>
      </c>
      <c r="BY168" s="50">
        <f t="shared" si="213"/>
        <v>45</v>
      </c>
      <c r="BZ168" s="50">
        <f t="shared" si="213"/>
        <v>45</v>
      </c>
      <c r="CA168" s="50">
        <f t="shared" si="213"/>
        <v>0</v>
      </c>
      <c r="CB168" s="50">
        <f t="shared" si="213"/>
        <v>270</v>
      </c>
      <c r="CC168" s="50">
        <f t="shared" si="213"/>
        <v>45</v>
      </c>
      <c r="CD168" s="50">
        <f t="shared" si="213"/>
        <v>45</v>
      </c>
      <c r="CE168" s="50"/>
      <c r="CM168" s="50">
        <f t="shared" ref="CM168:CX168" si="214">+SUMIFS($S168:$CD168,$S$5:$CD$5,"&lt;="&amp;CM$5,$S$5:$CD$5,"&gt;"&amp;CL$5)</f>
        <v>0</v>
      </c>
      <c r="CN168" s="50">
        <f t="shared" si="214"/>
        <v>0</v>
      </c>
      <c r="CO168" s="50">
        <f t="shared" si="214"/>
        <v>0</v>
      </c>
      <c r="CP168" s="50">
        <f t="shared" si="214"/>
        <v>0</v>
      </c>
      <c r="CQ168" s="50">
        <f t="shared" si="214"/>
        <v>0</v>
      </c>
      <c r="CR168" s="50">
        <f t="shared" si="214"/>
        <v>0</v>
      </c>
      <c r="CS168" s="50">
        <f t="shared" si="214"/>
        <v>0</v>
      </c>
      <c r="CT168" s="50">
        <f t="shared" si="214"/>
        <v>360</v>
      </c>
      <c r="CU168" s="50">
        <f t="shared" si="214"/>
        <v>360</v>
      </c>
      <c r="CV168" s="50">
        <f t="shared" si="214"/>
        <v>360</v>
      </c>
      <c r="CW168" s="50">
        <f t="shared" si="214"/>
        <v>360</v>
      </c>
      <c r="CX168" s="50">
        <f t="shared" si="214"/>
        <v>360</v>
      </c>
    </row>
    <row r="169" spans="1:102" x14ac:dyDescent="0.25">
      <c r="CM169" s="82"/>
      <c r="CN169" s="82" t="str">
        <f t="shared" ref="CN169:CP169" si="215">+IFERROR(CN168/CM168-1,"")</f>
        <v/>
      </c>
      <c r="CO169" s="82" t="str">
        <f t="shared" si="215"/>
        <v/>
      </c>
      <c r="CP169" s="82" t="str">
        <f t="shared" si="215"/>
        <v/>
      </c>
      <c r="CQ169" s="82" t="str">
        <f>+IFERROR(CQ168/CP168-1,"")</f>
        <v/>
      </c>
      <c r="CR169" s="82" t="str">
        <f>+IFERROR(CR168/CQ168-1,"")</f>
        <v/>
      </c>
      <c r="CS169" s="82" t="str">
        <f t="shared" ref="CS169:CX169" si="216">+IFERROR(CS168/CR168-1,"")</f>
        <v/>
      </c>
      <c r="CT169" s="82" t="str">
        <f t="shared" si="216"/>
        <v/>
      </c>
      <c r="CU169" s="82">
        <f t="shared" si="216"/>
        <v>0</v>
      </c>
      <c r="CV169" s="82">
        <f t="shared" si="216"/>
        <v>0</v>
      </c>
      <c r="CW169" s="82">
        <f t="shared" si="216"/>
        <v>0</v>
      </c>
      <c r="CX169" s="82">
        <f t="shared" si="216"/>
        <v>0</v>
      </c>
    </row>
    <row r="170" spans="1:102" x14ac:dyDescent="0.25">
      <c r="B170" s="78" t="s">
        <v>168</v>
      </c>
    </row>
    <row r="171" spans="1:102" x14ac:dyDescent="0.25">
      <c r="B171" s="125" t="s">
        <v>169</v>
      </c>
      <c r="BH171" s="79">
        <v>45</v>
      </c>
      <c r="BI171" s="79">
        <v>45</v>
      </c>
      <c r="BJ171" s="79">
        <v>45</v>
      </c>
      <c r="BK171" s="79">
        <v>45</v>
      </c>
      <c r="BL171" s="79">
        <v>45</v>
      </c>
      <c r="BM171" s="79">
        <v>45</v>
      </c>
      <c r="BN171" s="79">
        <v>45</v>
      </c>
      <c r="BO171" s="79">
        <v>45</v>
      </c>
      <c r="BP171" s="79">
        <v>45</v>
      </c>
      <c r="BQ171" s="79">
        <v>45</v>
      </c>
      <c r="BR171" s="79">
        <v>45</v>
      </c>
      <c r="BS171" s="79">
        <v>45</v>
      </c>
      <c r="BT171" s="79">
        <v>45</v>
      </c>
      <c r="BU171" s="79">
        <v>45</v>
      </c>
      <c r="BV171" s="79">
        <v>45</v>
      </c>
      <c r="BW171" s="79">
        <v>45</v>
      </c>
      <c r="BX171" s="79">
        <v>45</v>
      </c>
      <c r="BY171" s="79">
        <v>45</v>
      </c>
      <c r="BZ171" s="79">
        <v>45</v>
      </c>
      <c r="CA171" s="79">
        <v>45</v>
      </c>
      <c r="CB171" s="79">
        <v>45</v>
      </c>
      <c r="CC171" s="79">
        <v>45</v>
      </c>
      <c r="CD171" s="79">
        <v>45</v>
      </c>
      <c r="CE171" s="79"/>
    </row>
    <row r="172" spans="1:102" x14ac:dyDescent="0.25">
      <c r="B172" s="37" t="s">
        <v>170</v>
      </c>
      <c r="CM172" s="82"/>
      <c r="CN172" s="82" t="str">
        <f t="shared" ref="CN172:CP172" si="217">+IFERROR(CN171/CM171-1,"")</f>
        <v/>
      </c>
      <c r="CO172" s="82" t="str">
        <f t="shared" si="217"/>
        <v/>
      </c>
      <c r="CP172" s="82" t="str">
        <f t="shared" si="217"/>
        <v/>
      </c>
      <c r="CQ172" s="82" t="str">
        <f>+IFERROR(CQ171/CP171-1,"")</f>
        <v/>
      </c>
      <c r="CR172" s="82" t="str">
        <f>+IFERROR(CR171/CQ171-1,"")</f>
        <v/>
      </c>
      <c r="CS172" s="82" t="str">
        <f t="shared" ref="CS172:CX172" si="218">+IFERROR(CS171/CR171-1,"")</f>
        <v/>
      </c>
      <c r="CT172" s="82" t="str">
        <f t="shared" si="218"/>
        <v/>
      </c>
      <c r="CU172" s="82" t="str">
        <f t="shared" si="218"/>
        <v/>
      </c>
      <c r="CV172" s="82" t="str">
        <f t="shared" si="218"/>
        <v/>
      </c>
      <c r="CW172" s="82" t="str">
        <f t="shared" si="218"/>
        <v/>
      </c>
      <c r="CX172" s="82" t="str">
        <f t="shared" si="218"/>
        <v/>
      </c>
    </row>
    <row r="173" spans="1:102" x14ac:dyDescent="0.25">
      <c r="B173" s="37"/>
    </row>
    <row r="174" spans="1:102" s="128" customFormat="1" x14ac:dyDescent="0.25">
      <c r="B174" s="129" t="s">
        <v>171</v>
      </c>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130">
        <v>6</v>
      </c>
      <c r="BI174" s="130">
        <v>1</v>
      </c>
      <c r="BJ174" s="130">
        <v>1</v>
      </c>
      <c r="BK174" s="25">
        <v>0</v>
      </c>
      <c r="BL174" s="25">
        <f>+BH174</f>
        <v>6</v>
      </c>
      <c r="BM174" s="25">
        <f t="shared" ref="BM174:CD174" si="219">+BI174</f>
        <v>1</v>
      </c>
      <c r="BN174" s="25">
        <f t="shared" si="219"/>
        <v>1</v>
      </c>
      <c r="BO174" s="25">
        <f t="shared" si="219"/>
        <v>0</v>
      </c>
      <c r="BP174" s="25">
        <f t="shared" si="219"/>
        <v>6</v>
      </c>
      <c r="BQ174" s="25">
        <f t="shared" si="219"/>
        <v>1</v>
      </c>
      <c r="BR174" s="25">
        <f t="shared" si="219"/>
        <v>1</v>
      </c>
      <c r="BS174" s="25">
        <f t="shared" si="219"/>
        <v>0</v>
      </c>
      <c r="BT174" s="25">
        <f t="shared" si="219"/>
        <v>6</v>
      </c>
      <c r="BU174" s="25">
        <f t="shared" si="219"/>
        <v>1</v>
      </c>
      <c r="BV174" s="25">
        <f t="shared" si="219"/>
        <v>1</v>
      </c>
      <c r="BW174" s="25">
        <f t="shared" si="219"/>
        <v>0</v>
      </c>
      <c r="BX174" s="25">
        <f t="shared" si="219"/>
        <v>6</v>
      </c>
      <c r="BY174" s="25">
        <f t="shared" si="219"/>
        <v>1</v>
      </c>
      <c r="BZ174" s="25">
        <f t="shared" si="219"/>
        <v>1</v>
      </c>
      <c r="CA174" s="25">
        <f t="shared" si="219"/>
        <v>0</v>
      </c>
      <c r="CB174" s="25">
        <f t="shared" si="219"/>
        <v>6</v>
      </c>
      <c r="CC174" s="25">
        <f t="shared" si="219"/>
        <v>1</v>
      </c>
      <c r="CD174" s="25">
        <f t="shared" si="219"/>
        <v>1</v>
      </c>
      <c r="CE174" s="25"/>
      <c r="CM174" s="25">
        <f t="shared" ref="CM174:CX174" si="220">+SUMIFS($S174:$CD174,$S$5:$CD$5,"&lt;="&amp;CM$5,$S$5:$CD$5,"&gt;"&amp;CL$5)</f>
        <v>0</v>
      </c>
      <c r="CN174" s="25">
        <f t="shared" si="220"/>
        <v>0</v>
      </c>
      <c r="CO174" s="25">
        <f t="shared" si="220"/>
        <v>0</v>
      </c>
      <c r="CP174" s="25">
        <f t="shared" si="220"/>
        <v>0</v>
      </c>
      <c r="CQ174" s="25">
        <f t="shared" si="220"/>
        <v>0</v>
      </c>
      <c r="CR174" s="25">
        <f t="shared" si="220"/>
        <v>0</v>
      </c>
      <c r="CS174" s="25">
        <f t="shared" si="220"/>
        <v>0</v>
      </c>
      <c r="CT174" s="25">
        <f t="shared" si="220"/>
        <v>8</v>
      </c>
      <c r="CU174" s="25">
        <f t="shared" si="220"/>
        <v>8</v>
      </c>
      <c r="CV174" s="25">
        <f t="shared" si="220"/>
        <v>8</v>
      </c>
      <c r="CW174" s="25">
        <f t="shared" si="220"/>
        <v>8</v>
      </c>
      <c r="CX174" s="25">
        <f t="shared" si="220"/>
        <v>8</v>
      </c>
    </row>
    <row r="175" spans="1:102" x14ac:dyDescent="0.25">
      <c r="B175" s="37" t="s">
        <v>170</v>
      </c>
    </row>
    <row r="176" spans="1:102" x14ac:dyDescent="0.25">
      <c r="B176" s="37"/>
    </row>
    <row r="177" spans="1:102" x14ac:dyDescent="0.25">
      <c r="B177" s="72" t="s">
        <v>172</v>
      </c>
      <c r="BH177" s="84">
        <f>+BG177+BH174</f>
        <v>6</v>
      </c>
      <c r="BI177" s="84">
        <f t="shared" ref="BI177:CD177" si="221">+BH177+BI174</f>
        <v>7</v>
      </c>
      <c r="BJ177" s="84">
        <f t="shared" si="221"/>
        <v>8</v>
      </c>
      <c r="BK177" s="84">
        <f t="shared" si="221"/>
        <v>8</v>
      </c>
      <c r="BL177" s="84">
        <f t="shared" si="221"/>
        <v>14</v>
      </c>
      <c r="BM177" s="84">
        <f t="shared" si="221"/>
        <v>15</v>
      </c>
      <c r="BN177" s="84">
        <f t="shared" si="221"/>
        <v>16</v>
      </c>
      <c r="BO177" s="84">
        <f t="shared" si="221"/>
        <v>16</v>
      </c>
      <c r="BP177" s="84">
        <f t="shared" si="221"/>
        <v>22</v>
      </c>
      <c r="BQ177" s="84">
        <f t="shared" si="221"/>
        <v>23</v>
      </c>
      <c r="BR177" s="84">
        <f t="shared" si="221"/>
        <v>24</v>
      </c>
      <c r="BS177" s="84">
        <f t="shared" si="221"/>
        <v>24</v>
      </c>
      <c r="BT177" s="84">
        <f t="shared" si="221"/>
        <v>30</v>
      </c>
      <c r="BU177" s="84">
        <f t="shared" si="221"/>
        <v>31</v>
      </c>
      <c r="BV177" s="84">
        <f t="shared" si="221"/>
        <v>32</v>
      </c>
      <c r="BW177" s="84">
        <f t="shared" si="221"/>
        <v>32</v>
      </c>
      <c r="BX177" s="84">
        <f t="shared" si="221"/>
        <v>38</v>
      </c>
      <c r="BY177" s="84">
        <f t="shared" si="221"/>
        <v>39</v>
      </c>
      <c r="BZ177" s="84">
        <f t="shared" si="221"/>
        <v>40</v>
      </c>
      <c r="CA177" s="84">
        <f t="shared" si="221"/>
        <v>40</v>
      </c>
      <c r="CB177" s="84">
        <f t="shared" si="221"/>
        <v>46</v>
      </c>
      <c r="CC177" s="84">
        <f t="shared" si="221"/>
        <v>47</v>
      </c>
      <c r="CD177" s="84">
        <f t="shared" si="221"/>
        <v>48</v>
      </c>
      <c r="CE177" s="84"/>
      <c r="CM177" s="86"/>
      <c r="CN177" s="86"/>
      <c r="CO177" s="86"/>
      <c r="CP177" s="86"/>
      <c r="CQ177" s="86"/>
      <c r="CR177" s="86"/>
      <c r="CS177" s="86"/>
      <c r="CT177" s="86">
        <f>+CT174+CS177</f>
        <v>8</v>
      </c>
      <c r="CU177" s="86">
        <f t="shared" ref="CU177:CX177" si="222">+CU174+CT177</f>
        <v>16</v>
      </c>
      <c r="CV177" s="86">
        <f t="shared" si="222"/>
        <v>24</v>
      </c>
      <c r="CW177" s="86">
        <f t="shared" si="222"/>
        <v>32</v>
      </c>
      <c r="CX177" s="86">
        <f t="shared" si="222"/>
        <v>40</v>
      </c>
    </row>
    <row r="179" spans="1:102" ht="15" hidden="1" customHeight="1" outlineLevel="1" x14ac:dyDescent="0.25">
      <c r="A179" s="1" t="s">
        <v>18</v>
      </c>
      <c r="B179" s="16" t="s">
        <v>209</v>
      </c>
      <c r="C179" s="17"/>
      <c r="D179" s="17"/>
      <c r="E179" s="17"/>
      <c r="F179" s="17"/>
      <c r="G179" s="17"/>
      <c r="H179" s="17"/>
      <c r="I179" s="17"/>
      <c r="J179" s="17"/>
      <c r="K179" s="17"/>
      <c r="L179" s="17"/>
      <c r="M179" s="17"/>
      <c r="N179" s="17"/>
      <c r="O179" s="17"/>
      <c r="P179" s="17"/>
      <c r="Q179" s="17"/>
      <c r="R179" s="17"/>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F179" s="19" t="str">
        <f>+B179</f>
        <v>Mscience Model</v>
      </c>
      <c r="CG179" s="20"/>
      <c r="CH179" s="20"/>
      <c r="CI179" s="20"/>
      <c r="CJ179" s="20"/>
      <c r="CK179" s="20"/>
      <c r="CL179" s="20"/>
      <c r="CM179" s="21" t="str">
        <f>+B179</f>
        <v>Mscience Model</v>
      </c>
      <c r="CN179" s="20"/>
      <c r="CO179" s="20"/>
      <c r="CP179" s="20"/>
      <c r="CQ179" s="20"/>
      <c r="CR179" s="20"/>
      <c r="CS179" s="20"/>
      <c r="CT179" s="20"/>
      <c r="CU179" s="20"/>
      <c r="CV179" s="20"/>
      <c r="CW179" s="20"/>
      <c r="CX179" s="20"/>
    </row>
    <row r="180" spans="1:102" s="10" customFormat="1" hidden="1" outlineLevel="1" x14ac:dyDescent="0.25">
      <c r="B180" s="57" t="s">
        <v>210</v>
      </c>
      <c r="C180" s="57"/>
      <c r="D180" s="57"/>
      <c r="E180" s="57"/>
      <c r="F180" s="57"/>
      <c r="G180" s="57"/>
      <c r="H180" s="57"/>
      <c r="I180" s="57"/>
      <c r="J180" s="57"/>
      <c r="K180" s="57"/>
      <c r="L180" s="57"/>
      <c r="M180" s="57"/>
      <c r="N180" s="57"/>
      <c r="O180" s="57"/>
      <c r="P180" s="57"/>
      <c r="Q180" s="57"/>
      <c r="R180" s="57"/>
      <c r="S180" s="61">
        <f>+S237</f>
        <v>291</v>
      </c>
      <c r="T180" s="61">
        <f t="shared" ref="T180:BF180" si="223">+T237</f>
        <v>242</v>
      </c>
      <c r="U180" s="61">
        <f t="shared" si="223"/>
        <v>414</v>
      </c>
      <c r="V180" s="61">
        <f t="shared" si="223"/>
        <v>336</v>
      </c>
      <c r="W180" s="61">
        <f t="shared" si="223"/>
        <v>322</v>
      </c>
      <c r="X180" s="61">
        <f t="shared" si="223"/>
        <v>279</v>
      </c>
      <c r="Y180" s="61">
        <f t="shared" si="223"/>
        <v>449</v>
      </c>
      <c r="Z180" s="61">
        <f t="shared" si="223"/>
        <v>404</v>
      </c>
      <c r="AA180" s="61">
        <f t="shared" si="223"/>
        <v>343</v>
      </c>
      <c r="AB180" s="61">
        <f t="shared" si="223"/>
        <v>255</v>
      </c>
      <c r="AC180" s="61">
        <f t="shared" si="223"/>
        <v>565</v>
      </c>
      <c r="AD180" s="61">
        <f t="shared" si="223"/>
        <v>519</v>
      </c>
      <c r="AE180" s="61">
        <f t="shared" si="223"/>
        <v>419</v>
      </c>
      <c r="AF180" s="61">
        <f t="shared" si="223"/>
        <v>305</v>
      </c>
      <c r="AG180" s="61">
        <f t="shared" si="223"/>
        <v>783</v>
      </c>
      <c r="AH180" s="61">
        <f t="shared" si="223"/>
        <v>677</v>
      </c>
      <c r="AI180" s="61">
        <f t="shared" si="223"/>
        <v>466</v>
      </c>
      <c r="AJ180" s="61">
        <f t="shared" si="223"/>
        <v>341</v>
      </c>
      <c r="AK180" s="61">
        <f t="shared" si="223"/>
        <v>841</v>
      </c>
      <c r="AL180" s="61">
        <f t="shared" si="223"/>
        <v>877</v>
      </c>
      <c r="AM180" s="61">
        <f t="shared" si="223"/>
        <v>516</v>
      </c>
      <c r="AN180" s="61">
        <f t="shared" si="223"/>
        <v>510</v>
      </c>
      <c r="AO180" s="61">
        <f t="shared" si="223"/>
        <v>1056</v>
      </c>
      <c r="AP180" s="61">
        <f t="shared" si="223"/>
        <v>798</v>
      </c>
      <c r="AQ180" s="61">
        <f t="shared" si="223"/>
        <v>877</v>
      </c>
      <c r="AR180" s="61">
        <f t="shared" si="223"/>
        <v>472</v>
      </c>
      <c r="AS180" s="61">
        <f t="shared" si="223"/>
        <v>1351</v>
      </c>
      <c r="AT180" s="61">
        <f t="shared" si="223"/>
        <v>1109</v>
      </c>
      <c r="AU180" s="61">
        <f t="shared" si="223"/>
        <v>782</v>
      </c>
      <c r="AV180" s="61">
        <f t="shared" si="223"/>
        <v>876</v>
      </c>
      <c r="AW180" s="61">
        <f t="shared" si="223"/>
        <v>1357</v>
      </c>
      <c r="AX180" s="61">
        <f t="shared" si="223"/>
        <v>1162</v>
      </c>
      <c r="AY180" s="61">
        <f t="shared" si="223"/>
        <v>820</v>
      </c>
      <c r="AZ180" s="61">
        <f t="shared" si="223"/>
        <v>823</v>
      </c>
      <c r="BA180" s="61">
        <f t="shared" si="223"/>
        <v>1352</v>
      </c>
      <c r="BB180" s="61">
        <f t="shared" si="223"/>
        <v>1291</v>
      </c>
      <c r="BC180" s="61">
        <f t="shared" si="223"/>
        <v>874</v>
      </c>
      <c r="BD180" s="61">
        <f t="shared" si="223"/>
        <v>850</v>
      </c>
      <c r="BE180" s="61">
        <f t="shared" si="223"/>
        <v>1405</v>
      </c>
      <c r="BF180" s="61">
        <f t="shared" si="223"/>
        <v>1109</v>
      </c>
      <c r="CE180"/>
    </row>
    <row r="181" spans="1:102" hidden="1" outlineLevel="1" x14ac:dyDescent="0.25">
      <c r="B181" s="37" t="s">
        <v>154</v>
      </c>
      <c r="C181" s="37"/>
      <c r="D181" s="37"/>
      <c r="E181" s="37"/>
      <c r="F181" s="37"/>
      <c r="G181" s="37"/>
      <c r="H181" s="37"/>
      <c r="I181" s="37"/>
      <c r="J181" s="37"/>
      <c r="K181" s="37"/>
      <c r="L181" s="37"/>
      <c r="M181" s="37"/>
      <c r="N181" s="37"/>
      <c r="O181" s="37"/>
      <c r="P181" s="37"/>
      <c r="Q181" s="37"/>
      <c r="R181" s="37"/>
      <c r="AA181" s="75">
        <v>0.4106196870657346</v>
      </c>
      <c r="AB181" s="75">
        <v>0.19352115235773645</v>
      </c>
      <c r="AC181" s="75">
        <v>0.30484118243319575</v>
      </c>
      <c r="AD181" s="75">
        <v>0.48923092802405438</v>
      </c>
      <c r="AE181" s="75">
        <v>0.55409321911678866</v>
      </c>
      <c r="AF181" s="75">
        <v>0.3637253976475211</v>
      </c>
      <c r="AG181" s="75">
        <v>0.62149240578956511</v>
      </c>
      <c r="AH181" s="75">
        <v>0.5414955205623494</v>
      </c>
      <c r="AI181" s="75">
        <v>0.5463187321517935</v>
      </c>
      <c r="AJ181" s="75">
        <v>0.41731465704895965</v>
      </c>
      <c r="AK181" s="75">
        <v>0.63825858174949379</v>
      </c>
      <c r="AL181" s="75">
        <v>0.3694998883583277</v>
      </c>
      <c r="AM181" s="75">
        <v>0.39030610414077005</v>
      </c>
      <c r="AN181" s="75">
        <v>0.32659727205028644</v>
      </c>
      <c r="AO181" s="75">
        <v>0.53345148327947267</v>
      </c>
      <c r="AP181" s="75">
        <v>0.37446744478604227</v>
      </c>
      <c r="AQ181" s="75">
        <v>0.34671529796289763</v>
      </c>
      <c r="AR181" s="75">
        <v>9.9615889233019145E-2</v>
      </c>
      <c r="AS181" s="75">
        <v>0.60780498174900122</v>
      </c>
      <c r="AT181" s="75">
        <v>0.44725926656826503</v>
      </c>
      <c r="AU181" s="75">
        <v>0.39288642004976021</v>
      </c>
      <c r="AV181" s="75">
        <v>0.25407782750476038</v>
      </c>
      <c r="AW181" s="75">
        <v>0.59369398733738554</v>
      </c>
      <c r="AX181" s="75">
        <v>0.44235207908477753</v>
      </c>
      <c r="AY181" s="75">
        <v>0.37198706484320659</v>
      </c>
      <c r="AZ181" s="75">
        <v>0.2970436828578768</v>
      </c>
      <c r="BA181" s="75">
        <v>0.67062740585052372</v>
      </c>
      <c r="BB181" s="75">
        <v>0.53874279423750604</v>
      </c>
      <c r="BC181" s="75">
        <v>0.5919209698302389</v>
      </c>
      <c r="BD181" s="75">
        <v>0.48432168843253437</v>
      </c>
      <c r="BE181" s="75">
        <v>0.69298023063383918</v>
      </c>
      <c r="BF181" s="75">
        <v>0.57363243794341257</v>
      </c>
      <c r="BG181" s="75"/>
    </row>
    <row r="182" spans="1:102" hidden="1" outlineLevel="1" x14ac:dyDescent="0.25">
      <c r="B182" s="37" t="s">
        <v>111</v>
      </c>
      <c r="C182" s="37"/>
      <c r="D182" s="37"/>
      <c r="E182" s="37"/>
      <c r="F182" s="37"/>
      <c r="G182" s="37"/>
      <c r="H182" s="37"/>
      <c r="I182" s="37"/>
      <c r="J182" s="37"/>
      <c r="K182" s="37"/>
      <c r="L182" s="37"/>
      <c r="M182" s="37"/>
      <c r="N182" s="37"/>
      <c r="O182" s="37"/>
      <c r="P182" s="37"/>
      <c r="Q182" s="37"/>
      <c r="R182" s="37"/>
      <c r="AA182" s="75">
        <v>0</v>
      </c>
      <c r="AB182" s="75">
        <v>0.32753611591330484</v>
      </c>
      <c r="AC182" s="75">
        <v>0.24077259768153306</v>
      </c>
      <c r="AD182" s="75">
        <v>9.6311602117865505E-2</v>
      </c>
      <c r="AE182" s="75">
        <v>4.4138470009861798E-2</v>
      </c>
      <c r="AF182" s="75">
        <v>0.27099433073101742</v>
      </c>
      <c r="AG182" s="75">
        <v>0.13174733030978242</v>
      </c>
      <c r="AH182" s="75">
        <v>0.12955227739941264</v>
      </c>
      <c r="AI182" s="75">
        <v>7.4663644978106278E-2</v>
      </c>
      <c r="AJ182" s="75">
        <v>0.26438510789126957</v>
      </c>
      <c r="AK182" s="75">
        <v>0.12656580246324398</v>
      </c>
      <c r="AL182" s="75">
        <v>8.5765768782120555E-2</v>
      </c>
      <c r="AM182" s="75">
        <v>4.4410585779383713E-2</v>
      </c>
      <c r="AN182" s="75">
        <v>0.21263189595113199</v>
      </c>
      <c r="AO182" s="75">
        <v>0.13101100555905143</v>
      </c>
      <c r="AP182" s="75">
        <v>0.13706408045825511</v>
      </c>
      <c r="AQ182" s="75">
        <v>0.10193195373315303</v>
      </c>
      <c r="AR182" s="75">
        <v>0.23992252290698693</v>
      </c>
      <c r="AS182" s="75">
        <v>0.10593991650569198</v>
      </c>
      <c r="AT182" s="75">
        <v>0.11035100185398145</v>
      </c>
      <c r="AU182" s="75">
        <v>5.8191613203578768E-2</v>
      </c>
      <c r="AV182" s="75">
        <v>0.11307553820490435</v>
      </c>
      <c r="AW182" s="75">
        <v>0.10351173383704206</v>
      </c>
      <c r="AX182" s="75">
        <v>0.10408785731257549</v>
      </c>
      <c r="AY182" s="75">
        <v>7.2474347557942742E-2</v>
      </c>
      <c r="AZ182" s="75">
        <v>0.13188581192043927</v>
      </c>
      <c r="BA182" s="75">
        <v>9.7459998780246429E-2</v>
      </c>
      <c r="BB182" s="75">
        <v>0.10958951855609859</v>
      </c>
      <c r="BC182" s="75">
        <v>5.0729214052283318E-2</v>
      </c>
      <c r="BD182" s="75">
        <v>0.1158115819124083</v>
      </c>
      <c r="BE182" s="75">
        <v>9.6051132082048268E-2</v>
      </c>
      <c r="BF182" s="75">
        <v>0.13775177018214579</v>
      </c>
      <c r="BG182" s="75"/>
    </row>
    <row r="183" spans="1:102" hidden="1" outlineLevel="1" x14ac:dyDescent="0.25">
      <c r="B183" s="37" t="s">
        <v>211</v>
      </c>
      <c r="C183" s="37"/>
      <c r="D183" s="37"/>
      <c r="E183" s="37"/>
      <c r="F183" s="37"/>
      <c r="G183" s="37"/>
      <c r="H183" s="37"/>
      <c r="I183" s="37"/>
      <c r="J183" s="37"/>
      <c r="K183" s="37"/>
      <c r="L183" s="37"/>
      <c r="M183" s="37"/>
      <c r="N183" s="37"/>
      <c r="O183" s="37"/>
      <c r="P183" s="37"/>
      <c r="Q183" s="37"/>
      <c r="R183" s="37"/>
      <c r="AA183" s="75">
        <v>0.36628800311398951</v>
      </c>
      <c r="AB183" s="75">
        <v>0.26550342563190032</v>
      </c>
      <c r="AC183" s="75">
        <v>0.24289023921766531</v>
      </c>
      <c r="AD183" s="75">
        <v>0.1774334578233546</v>
      </c>
      <c r="AE183" s="75">
        <v>0.21184484823823585</v>
      </c>
      <c r="AF183" s="75">
        <v>0.20837980165254494</v>
      </c>
      <c r="AG183" s="75">
        <v>0.17706708039631291</v>
      </c>
      <c r="AH183" s="75">
        <v>0.24852925041586732</v>
      </c>
      <c r="AI183" s="75">
        <v>0.31034707319259613</v>
      </c>
      <c r="AJ183" s="75">
        <v>0.26116412862507998</v>
      </c>
      <c r="AK183" s="75">
        <v>0.20571465341705861</v>
      </c>
      <c r="AL183" s="75">
        <v>0.18493949341256799</v>
      </c>
      <c r="AM183" s="75">
        <v>0.35911579707937219</v>
      </c>
      <c r="AN183" s="75">
        <v>0.24127188212367046</v>
      </c>
      <c r="AO183" s="75">
        <v>0.19270321062869927</v>
      </c>
      <c r="AP183" s="75">
        <v>0.28669412559156338</v>
      </c>
      <c r="AQ183" s="75">
        <v>0.35947141531984483</v>
      </c>
      <c r="AR183" s="75">
        <v>0.37208076297693432</v>
      </c>
      <c r="AS183" s="75">
        <v>0.15313054718012023</v>
      </c>
      <c r="AT183" s="75">
        <v>0.16231412592600422</v>
      </c>
      <c r="AU183" s="75">
        <v>0.22685463717004783</v>
      </c>
      <c r="AV183" s="75">
        <v>0.26274612179793416</v>
      </c>
      <c r="AW183" s="75">
        <v>0.11063904908750337</v>
      </c>
      <c r="AX183" s="75">
        <v>0.17121359346174558</v>
      </c>
      <c r="AY183" s="75">
        <v>0.22181211532019554</v>
      </c>
      <c r="AZ183" s="75">
        <v>0.24908357317425997</v>
      </c>
      <c r="BA183" s="75">
        <v>0.11670215632759758</v>
      </c>
      <c r="BB183" s="75">
        <v>0.18104836502810767</v>
      </c>
      <c r="BC183" s="75">
        <v>0.18409266068710028</v>
      </c>
      <c r="BD183" s="75">
        <v>0.21880951351607084</v>
      </c>
      <c r="BE183" s="75">
        <v>0.13181088683111922</v>
      </c>
      <c r="BF183" s="75">
        <v>0.15248502711569942</v>
      </c>
      <c r="BG183" s="75"/>
    </row>
    <row r="184" spans="1:102" hidden="1" outlineLevel="1" x14ac:dyDescent="0.25">
      <c r="B184" s="37" t="s">
        <v>152</v>
      </c>
      <c r="C184" s="37"/>
      <c r="D184" s="37"/>
      <c r="E184" s="37"/>
      <c r="F184" s="37"/>
      <c r="G184" s="37"/>
      <c r="H184" s="37"/>
      <c r="I184" s="37"/>
      <c r="J184" s="37"/>
      <c r="K184" s="37"/>
      <c r="L184" s="37"/>
      <c r="M184" s="37"/>
      <c r="N184" s="37"/>
      <c r="O184" s="37"/>
      <c r="P184" s="37"/>
      <c r="Q184" s="37"/>
      <c r="R184" s="37"/>
      <c r="AA184" s="75">
        <v>0</v>
      </c>
      <c r="AB184" s="75">
        <v>0</v>
      </c>
      <c r="AC184" s="75">
        <v>0</v>
      </c>
      <c r="AD184" s="75">
        <v>0</v>
      </c>
      <c r="AE184" s="75">
        <v>0</v>
      </c>
      <c r="AF184" s="75">
        <v>0</v>
      </c>
      <c r="AG184" s="75">
        <v>0</v>
      </c>
      <c r="AH184" s="75">
        <v>0</v>
      </c>
      <c r="AI184" s="75">
        <v>7.6059452963221806E-5</v>
      </c>
      <c r="AJ184" s="75">
        <v>1.8015714238672897E-4</v>
      </c>
      <c r="AK184" s="75">
        <v>0</v>
      </c>
      <c r="AL184" s="75">
        <v>0.31706905732309715</v>
      </c>
      <c r="AM184" s="75">
        <v>0.14542885414614057</v>
      </c>
      <c r="AN184" s="75">
        <v>0.18602995589110768</v>
      </c>
      <c r="AO184" s="75">
        <v>0.1071429152399585</v>
      </c>
      <c r="AP184" s="75">
        <v>0.16114199154678291</v>
      </c>
      <c r="AQ184" s="75">
        <v>0.15363961251556221</v>
      </c>
      <c r="AR184" s="75">
        <v>0.22760539698018339</v>
      </c>
      <c r="AS184" s="75">
        <v>0.10876660662684511</v>
      </c>
      <c r="AT184" s="75">
        <v>0.24621102990175736</v>
      </c>
      <c r="AU184" s="75">
        <v>0.2820350317084459</v>
      </c>
      <c r="AV184" s="75">
        <v>0.33800252110624907</v>
      </c>
      <c r="AW184" s="75">
        <v>0.16448089751629774</v>
      </c>
      <c r="AX184" s="75">
        <v>0.2485710282340759</v>
      </c>
      <c r="AY184" s="75">
        <v>0.29773882358741477</v>
      </c>
      <c r="AZ184" s="75">
        <v>0.28961275614790633</v>
      </c>
      <c r="BA184" s="75">
        <v>8.9223485128261212E-2</v>
      </c>
      <c r="BB184" s="75">
        <v>0.14189720021212146</v>
      </c>
      <c r="BC184" s="75">
        <v>0.12870020931158466</v>
      </c>
      <c r="BD184" s="75">
        <v>0.15114574814150303</v>
      </c>
      <c r="BE184" s="75">
        <v>5.4216038856542664E-2</v>
      </c>
      <c r="BF184" s="75">
        <v>0.10235600051509258</v>
      </c>
      <c r="BG184" s="75"/>
    </row>
    <row r="185" spans="1:102" hidden="1" outlineLevel="1" x14ac:dyDescent="0.25">
      <c r="B185" s="37" t="s">
        <v>72</v>
      </c>
      <c r="C185" s="37"/>
      <c r="D185" s="37"/>
      <c r="E185" s="37"/>
      <c r="F185" s="37"/>
      <c r="G185" s="37"/>
      <c r="H185" s="37"/>
      <c r="I185" s="37"/>
      <c r="J185" s="37"/>
      <c r="K185" s="37"/>
      <c r="L185" s="37"/>
      <c r="M185" s="37"/>
      <c r="N185" s="37"/>
      <c r="O185" s="37"/>
      <c r="P185" s="37"/>
      <c r="Q185" s="37"/>
      <c r="R185" s="37"/>
      <c r="AA185" s="75">
        <v>3.3711979399546288E-2</v>
      </c>
      <c r="AB185" s="75">
        <v>3.3674253931971994E-2</v>
      </c>
      <c r="AC185" s="75">
        <v>9.4938535769664059E-2</v>
      </c>
      <c r="AD185" s="75">
        <v>0.15125413965863518</v>
      </c>
      <c r="AE185" s="75">
        <v>0.1115857459126559</v>
      </c>
      <c r="AF185" s="75">
        <v>0.10048267862363378</v>
      </c>
      <c r="AG185" s="75">
        <v>2.9020166360222231E-2</v>
      </c>
      <c r="AH185" s="75">
        <v>2.66128743093524E-2</v>
      </c>
      <c r="AI185" s="75">
        <v>2.278483468908276E-2</v>
      </c>
      <c r="AJ185" s="75">
        <v>1.2587586334290629E-2</v>
      </c>
      <c r="AK185" s="75">
        <v>4.9398783651979968E-3</v>
      </c>
      <c r="AL185" s="75">
        <v>3.9126870307848137E-3</v>
      </c>
      <c r="AM185" s="75">
        <v>1.9108749498428338E-2</v>
      </c>
      <c r="AN185" s="75">
        <v>9.1019430850672999E-3</v>
      </c>
      <c r="AO185" s="75">
        <v>5.5581126687640949E-3</v>
      </c>
      <c r="AP185" s="75">
        <v>5.0921654459631354E-3</v>
      </c>
      <c r="AQ185" s="75">
        <v>4.7081047748862674E-3</v>
      </c>
      <c r="AR185" s="75">
        <v>7.1679574022727654E-3</v>
      </c>
      <c r="AS185" s="75">
        <v>3.0586854586553565E-3</v>
      </c>
      <c r="AT185" s="75">
        <v>4.2286568359545668E-3</v>
      </c>
      <c r="AU185" s="75">
        <v>1.05097641890795E-2</v>
      </c>
      <c r="AV185" s="75">
        <v>6.3131272042790051E-3</v>
      </c>
      <c r="AW185" s="75">
        <v>4.6141845868826409E-3</v>
      </c>
      <c r="AX185" s="75">
        <v>3.0392301041121126E-3</v>
      </c>
      <c r="AY185" s="75">
        <v>6.8139571283545525E-3</v>
      </c>
      <c r="AZ185" s="75">
        <v>9.3549993259875262E-3</v>
      </c>
      <c r="BA185" s="75">
        <v>5.2288506969017379E-3</v>
      </c>
      <c r="BB185" s="75">
        <v>6.7502078547558662E-3</v>
      </c>
      <c r="BC185" s="75">
        <v>1.20425438253416E-2</v>
      </c>
      <c r="BD185" s="75">
        <v>7.63820209989499E-3</v>
      </c>
      <c r="BE185" s="75">
        <v>6.0532410112821228E-3</v>
      </c>
      <c r="BF185" s="75">
        <v>7.5268156356291614E-3</v>
      </c>
      <c r="BG185" s="75"/>
    </row>
    <row r="186" spans="1:102" hidden="1" outlineLevel="1" x14ac:dyDescent="0.25">
      <c r="B186" s="37" t="s">
        <v>135</v>
      </c>
      <c r="C186" s="37"/>
      <c r="D186" s="37"/>
      <c r="E186" s="37"/>
      <c r="F186" s="37"/>
      <c r="G186" s="37"/>
      <c r="H186" s="37"/>
      <c r="I186" s="37"/>
      <c r="J186" s="37"/>
      <c r="K186" s="37"/>
      <c r="L186" s="37"/>
      <c r="M186" s="37"/>
      <c r="N186" s="37"/>
      <c r="O186" s="37"/>
      <c r="P186" s="37"/>
      <c r="Q186" s="37"/>
      <c r="R186" s="37"/>
      <c r="AA186" s="75">
        <v>0.12819265676921135</v>
      </c>
      <c r="AB186" s="75">
        <v>0.10854575506159264</v>
      </c>
      <c r="AC186" s="75">
        <v>6.139166391376067E-2</v>
      </c>
      <c r="AD186" s="75">
        <v>2.9709376468686599E-2</v>
      </c>
      <c r="AE186" s="75">
        <v>2.0036334792726859E-2</v>
      </c>
      <c r="AF186" s="75">
        <v>1.2709771126011318E-2</v>
      </c>
      <c r="AG186" s="75">
        <v>7.7213656222813974E-3</v>
      </c>
      <c r="AH186" s="75">
        <v>6.231346820623266E-3</v>
      </c>
      <c r="AI186" s="75">
        <v>6.9507159402863042E-3</v>
      </c>
      <c r="AJ186" s="75">
        <v>6.2339759518010036E-3</v>
      </c>
      <c r="AK186" s="75">
        <v>3.5675901968505834E-3</v>
      </c>
      <c r="AL186" s="75">
        <v>2.4656767352921908E-3</v>
      </c>
      <c r="AM186" s="75">
        <v>5.8638980006626472E-3</v>
      </c>
      <c r="AN186" s="75">
        <v>3.1872930280608482E-3</v>
      </c>
      <c r="AO186" s="75">
        <v>1.3597821011438476E-2</v>
      </c>
      <c r="AP186" s="75">
        <v>1.2110542785222521E-2</v>
      </c>
      <c r="AQ186" s="75">
        <v>7.9930823920622233E-3</v>
      </c>
      <c r="AR186" s="75">
        <v>1.3413242501655024E-2</v>
      </c>
      <c r="AS186" s="75">
        <v>4.4006435083931298E-3</v>
      </c>
      <c r="AT186" s="75">
        <v>7.0232733654136898E-3</v>
      </c>
      <c r="AU186" s="75">
        <v>6.4436529560370406E-3</v>
      </c>
      <c r="AV186" s="75">
        <v>7.8887584005642598E-3</v>
      </c>
      <c r="AW186" s="75">
        <v>3.6180469698742918E-3</v>
      </c>
      <c r="AX186" s="75">
        <v>7.2152831916120815E-3</v>
      </c>
      <c r="AY186" s="75">
        <v>9.557153424034277E-3</v>
      </c>
      <c r="AZ186" s="75">
        <v>7.9864224271967536E-3</v>
      </c>
      <c r="BA186" s="75">
        <v>4.0891512590805522E-3</v>
      </c>
      <c r="BB186" s="75">
        <v>3.9504166451248754E-3</v>
      </c>
      <c r="BC186" s="75">
        <v>1.3510742540212305E-2</v>
      </c>
      <c r="BD186" s="75">
        <v>7.0415585389466059E-3</v>
      </c>
      <c r="BE186" s="75">
        <v>3.9210986462526595E-3</v>
      </c>
      <c r="BF186" s="75">
        <v>6.6533984713892319E-3</v>
      </c>
      <c r="BG186" s="75"/>
    </row>
    <row r="187" spans="1:102" hidden="1" outlineLevel="1" x14ac:dyDescent="0.25">
      <c r="B187" s="22"/>
      <c r="C187" s="22"/>
      <c r="D187" s="22"/>
      <c r="E187" s="22"/>
      <c r="F187" s="22"/>
      <c r="G187" s="22"/>
      <c r="H187" s="22"/>
      <c r="I187" s="22"/>
      <c r="J187" s="22"/>
      <c r="K187" s="22"/>
      <c r="L187" s="22"/>
      <c r="M187" s="22"/>
      <c r="N187" s="22"/>
      <c r="O187" s="22"/>
      <c r="P187" s="22"/>
      <c r="Q187" s="22"/>
      <c r="R187" s="22"/>
    </row>
    <row r="188" spans="1:102" s="52" customFormat="1" hidden="1" outlineLevel="1" x14ac:dyDescent="0.25">
      <c r="B188" s="131" t="s">
        <v>210</v>
      </c>
      <c r="C188" s="131"/>
      <c r="D188" s="131"/>
      <c r="E188" s="131"/>
      <c r="F188" s="131"/>
      <c r="G188" s="131"/>
      <c r="H188" s="131"/>
      <c r="I188" s="131"/>
      <c r="J188" s="131"/>
      <c r="K188" s="131"/>
      <c r="L188" s="131"/>
      <c r="M188" s="131"/>
      <c r="N188" s="131"/>
      <c r="O188" s="131"/>
      <c r="P188" s="131"/>
      <c r="Q188" s="131"/>
      <c r="R188" s="131"/>
      <c r="AA188" s="54">
        <f>+SUM(AA189:AA194)</f>
        <v>322.01262793752926</v>
      </c>
      <c r="AB188" s="54">
        <f t="shared" ref="AB188:BF188" si="224">+SUM(AB189:AB194)</f>
        <v>236.83907923860909</v>
      </c>
      <c r="AC188" s="54">
        <f t="shared" si="224"/>
        <v>533.83133374393765</v>
      </c>
      <c r="AD188" s="54">
        <f t="shared" si="224"/>
        <v>489.90460262405742</v>
      </c>
      <c r="AE188" s="54">
        <f t="shared" si="224"/>
        <v>394.57172097144274</v>
      </c>
      <c r="AF188" s="54">
        <f t="shared" si="224"/>
        <v>291.66905383312223</v>
      </c>
      <c r="AG188" s="54">
        <f t="shared" si="224"/>
        <v>757.19885685840245</v>
      </c>
      <c r="AH188" s="54">
        <f t="shared" si="224"/>
        <v>644.78919945664848</v>
      </c>
      <c r="AI188" s="54">
        <f t="shared" si="224"/>
        <v>447.89173414865002</v>
      </c>
      <c r="AJ188" s="54">
        <f t="shared" si="224"/>
        <v>327.99617403088155</v>
      </c>
      <c r="AK188" s="54">
        <f t="shared" si="224"/>
        <v>823.37811170734153</v>
      </c>
      <c r="AL188" s="54">
        <f t="shared" si="224"/>
        <v>845.12330533020111</v>
      </c>
      <c r="AM188" s="54">
        <f t="shared" si="224"/>
        <v>497.54473814069479</v>
      </c>
      <c r="AN188" s="54">
        <f t="shared" si="224"/>
        <v>499.1983234859556</v>
      </c>
      <c r="AO188" s="54">
        <f t="shared" si="224"/>
        <v>1038.5385630970777</v>
      </c>
      <c r="AP188" s="54">
        <f t="shared" si="224"/>
        <v>779.30313978983588</v>
      </c>
      <c r="AQ188" s="54">
        <f t="shared" si="224"/>
        <v>854.60095229450235</v>
      </c>
      <c r="AR188" s="54">
        <f t="shared" si="224"/>
        <v>453.02832438449633</v>
      </c>
      <c r="AS188" s="54">
        <f t="shared" si="224"/>
        <v>1328.1699657697832</v>
      </c>
      <c r="AT188" s="54">
        <f t="shared" si="224"/>
        <v>1083.9225760865763</v>
      </c>
      <c r="AU188" s="54">
        <f t="shared" si="224"/>
        <v>763.9523152745744</v>
      </c>
      <c r="AV188" s="54">
        <f t="shared" si="224"/>
        <v>860.3230113355736</v>
      </c>
      <c r="AW188" s="54">
        <f t="shared" si="224"/>
        <v>1330.6170693975755</v>
      </c>
      <c r="AX188" s="54">
        <f t="shared" si="224"/>
        <v>1134.6686809539001</v>
      </c>
      <c r="AY188" s="54">
        <f t="shared" si="224"/>
        <v>803.91443872614184</v>
      </c>
      <c r="AZ188" s="54">
        <f t="shared" si="224"/>
        <v>810.62804333756753</v>
      </c>
      <c r="BA188" s="54">
        <f t="shared" si="224"/>
        <v>1329.4635769536103</v>
      </c>
      <c r="BB188" s="54">
        <f t="shared" si="224"/>
        <v>1267.7342467710253</v>
      </c>
      <c r="BC188" s="54">
        <f t="shared" si="224"/>
        <v>857.39080137566918</v>
      </c>
      <c r="BD188" s="54">
        <f t="shared" si="224"/>
        <v>837.05304874515434</v>
      </c>
      <c r="BE188" s="54">
        <f t="shared" si="224"/>
        <v>1383.9708424258231</v>
      </c>
      <c r="BF188" s="54">
        <f t="shared" si="224"/>
        <v>1087.269643898476</v>
      </c>
      <c r="CE188"/>
    </row>
    <row r="189" spans="1:102" s="52" customFormat="1" hidden="1" outlineLevel="1" x14ac:dyDescent="0.25">
      <c r="B189" s="41" t="s">
        <v>154</v>
      </c>
      <c r="C189" s="41"/>
      <c r="D189" s="41"/>
      <c r="E189" s="41"/>
      <c r="F189" s="41"/>
      <c r="G189" s="41"/>
      <c r="H189" s="41"/>
      <c r="I189" s="41"/>
      <c r="J189" s="41"/>
      <c r="K189" s="41"/>
      <c r="L189" s="41"/>
      <c r="M189" s="41"/>
      <c r="N189" s="41"/>
      <c r="O189" s="41"/>
      <c r="P189" s="41"/>
      <c r="Q189" s="41"/>
      <c r="R189" s="41"/>
      <c r="AA189" s="52">
        <f>+AA181*AA$180</f>
        <v>140.84255266354697</v>
      </c>
      <c r="AB189" s="52">
        <f t="shared" ref="AB189:BF194" si="225">+AB181*AB$180</f>
        <v>49.347893851222793</v>
      </c>
      <c r="AC189" s="52">
        <f t="shared" si="225"/>
        <v>172.2352680747556</v>
      </c>
      <c r="AD189" s="52">
        <f t="shared" si="225"/>
        <v>253.91085164448421</v>
      </c>
      <c r="AE189" s="52">
        <f t="shared" si="225"/>
        <v>232.16505880993444</v>
      </c>
      <c r="AF189" s="52">
        <f t="shared" si="225"/>
        <v>110.93624628249394</v>
      </c>
      <c r="AG189" s="52">
        <f t="shared" si="225"/>
        <v>486.62855373322947</v>
      </c>
      <c r="AH189" s="52">
        <f t="shared" si="225"/>
        <v>366.59246742071053</v>
      </c>
      <c r="AI189" s="52">
        <f t="shared" si="225"/>
        <v>254.58452918273576</v>
      </c>
      <c r="AJ189" s="52">
        <f t="shared" si="225"/>
        <v>142.30429805369525</v>
      </c>
      <c r="AK189" s="52">
        <f t="shared" si="225"/>
        <v>536.77546725132424</v>
      </c>
      <c r="AL189" s="52">
        <f t="shared" si="225"/>
        <v>324.05140209025342</v>
      </c>
      <c r="AM189" s="52">
        <f t="shared" si="225"/>
        <v>201.39794973663734</v>
      </c>
      <c r="AN189" s="52">
        <f t="shared" si="225"/>
        <v>166.56460874564607</v>
      </c>
      <c r="AO189" s="52">
        <f t="shared" si="225"/>
        <v>563.32476634312309</v>
      </c>
      <c r="AP189" s="52">
        <f t="shared" si="225"/>
        <v>298.82502093926172</v>
      </c>
      <c r="AQ189" s="52">
        <f t="shared" si="225"/>
        <v>304.06931631346123</v>
      </c>
      <c r="AR189" s="52">
        <f t="shared" si="225"/>
        <v>47.018699717985037</v>
      </c>
      <c r="AS189" s="52">
        <f t="shared" si="225"/>
        <v>821.14453034290068</v>
      </c>
      <c r="AT189" s="52">
        <f t="shared" si="225"/>
        <v>496.01052662420591</v>
      </c>
      <c r="AU189" s="52">
        <f t="shared" si="225"/>
        <v>307.23718047891248</v>
      </c>
      <c r="AV189" s="52">
        <f t="shared" si="225"/>
        <v>222.5721768941701</v>
      </c>
      <c r="AW189" s="52">
        <f t="shared" si="225"/>
        <v>805.6427408168322</v>
      </c>
      <c r="AX189" s="52">
        <f t="shared" si="225"/>
        <v>514.01311589651152</v>
      </c>
      <c r="AY189" s="52">
        <f t="shared" si="225"/>
        <v>305.02939317142943</v>
      </c>
      <c r="AZ189" s="52">
        <f t="shared" si="225"/>
        <v>244.46695099203259</v>
      </c>
      <c r="BA189" s="52">
        <f t="shared" si="225"/>
        <v>906.68825270990806</v>
      </c>
      <c r="BB189" s="52">
        <f t="shared" si="225"/>
        <v>695.51694736062029</v>
      </c>
      <c r="BC189" s="52">
        <f t="shared" si="225"/>
        <v>517.33892763162885</v>
      </c>
      <c r="BD189" s="52">
        <f t="shared" si="225"/>
        <v>411.67343516765419</v>
      </c>
      <c r="BE189" s="52">
        <f t="shared" si="225"/>
        <v>973.63722404054408</v>
      </c>
      <c r="BF189" s="52">
        <f t="shared" si="225"/>
        <v>636.15837367924451</v>
      </c>
      <c r="CE189"/>
    </row>
    <row r="190" spans="1:102" s="52" customFormat="1" hidden="1" outlineLevel="1" x14ac:dyDescent="0.25">
      <c r="B190" s="41" t="s">
        <v>111</v>
      </c>
      <c r="C190" s="41"/>
      <c r="D190" s="41"/>
      <c r="E190" s="41"/>
      <c r="F190" s="41"/>
      <c r="G190" s="41"/>
      <c r="H190" s="41"/>
      <c r="I190" s="41"/>
      <c r="J190" s="41"/>
      <c r="K190" s="41"/>
      <c r="L190" s="41"/>
      <c r="M190" s="41"/>
      <c r="N190" s="41"/>
      <c r="O190" s="41"/>
      <c r="P190" s="41"/>
      <c r="Q190" s="41"/>
      <c r="R190" s="41"/>
      <c r="AA190" s="52">
        <f t="shared" ref="AA190:AP194" si="226">+AA182*AA$180</f>
        <v>0</v>
      </c>
      <c r="AB190" s="52">
        <f t="shared" si="226"/>
        <v>83.521709557892734</v>
      </c>
      <c r="AC190" s="52">
        <f t="shared" si="226"/>
        <v>136.03651769006618</v>
      </c>
      <c r="AD190" s="52">
        <f t="shared" si="226"/>
        <v>49.9857214991722</v>
      </c>
      <c r="AE190" s="52">
        <f t="shared" si="226"/>
        <v>18.494018934132093</v>
      </c>
      <c r="AF190" s="52">
        <f t="shared" si="226"/>
        <v>82.653270872960306</v>
      </c>
      <c r="AG190" s="52">
        <f t="shared" si="226"/>
        <v>103.15815963255963</v>
      </c>
      <c r="AH190" s="52">
        <f t="shared" si="226"/>
        <v>87.706891799402356</v>
      </c>
      <c r="AI190" s="52">
        <f t="shared" si="226"/>
        <v>34.793258559797522</v>
      </c>
      <c r="AJ190" s="52">
        <f t="shared" si="226"/>
        <v>90.155321790922926</v>
      </c>
      <c r="AK190" s="52">
        <f t="shared" si="226"/>
        <v>106.44183987158819</v>
      </c>
      <c r="AL190" s="52">
        <f t="shared" si="226"/>
        <v>75.21657922191973</v>
      </c>
      <c r="AM190" s="52">
        <f t="shared" si="226"/>
        <v>22.915862262161994</v>
      </c>
      <c r="AN190" s="52">
        <f t="shared" si="226"/>
        <v>108.44226693507731</v>
      </c>
      <c r="AO190" s="52">
        <f t="shared" si="226"/>
        <v>138.3476218703583</v>
      </c>
      <c r="AP190" s="52">
        <f t="shared" si="226"/>
        <v>109.37713620568758</v>
      </c>
      <c r="AQ190" s="52">
        <f t="shared" si="225"/>
        <v>89.394323423975209</v>
      </c>
      <c r="AR190" s="52">
        <f t="shared" si="225"/>
        <v>113.24343081209783</v>
      </c>
      <c r="AS190" s="52">
        <f t="shared" si="225"/>
        <v>143.12482719918987</v>
      </c>
      <c r="AT190" s="52">
        <f t="shared" si="225"/>
        <v>122.37926105606542</v>
      </c>
      <c r="AU190" s="52">
        <f t="shared" si="225"/>
        <v>45.505841525198598</v>
      </c>
      <c r="AV190" s="52">
        <f t="shared" si="225"/>
        <v>99.054171467496204</v>
      </c>
      <c r="AW190" s="52">
        <f t="shared" si="225"/>
        <v>140.46542281686607</v>
      </c>
      <c r="AX190" s="52">
        <f t="shared" si="225"/>
        <v>120.95009019721272</v>
      </c>
      <c r="AY190" s="52">
        <f t="shared" si="225"/>
        <v>59.428964997513049</v>
      </c>
      <c r="AZ190" s="52">
        <f t="shared" si="225"/>
        <v>108.54202321052152</v>
      </c>
      <c r="BA190" s="52">
        <f t="shared" si="225"/>
        <v>131.76591835089317</v>
      </c>
      <c r="BB190" s="52">
        <f t="shared" si="225"/>
        <v>141.48006845592329</v>
      </c>
      <c r="BC190" s="52">
        <f t="shared" si="225"/>
        <v>44.337333081695618</v>
      </c>
      <c r="BD190" s="52">
        <f t="shared" si="225"/>
        <v>98.439844625547053</v>
      </c>
      <c r="BE190" s="52">
        <f t="shared" si="225"/>
        <v>134.95184057527783</v>
      </c>
      <c r="BF190" s="52">
        <f t="shared" si="225"/>
        <v>152.76671313199969</v>
      </c>
      <c r="CE190"/>
    </row>
    <row r="191" spans="1:102" s="52" customFormat="1" hidden="1" outlineLevel="1" x14ac:dyDescent="0.25">
      <c r="B191" s="41" t="s">
        <v>211</v>
      </c>
      <c r="C191" s="41"/>
      <c r="D191" s="41"/>
      <c r="E191" s="41"/>
      <c r="F191" s="41"/>
      <c r="G191" s="41"/>
      <c r="H191" s="41"/>
      <c r="I191" s="41"/>
      <c r="J191" s="41"/>
      <c r="K191" s="41"/>
      <c r="L191" s="41"/>
      <c r="M191" s="41"/>
      <c r="N191" s="41"/>
      <c r="O191" s="41"/>
      <c r="P191" s="41"/>
      <c r="Q191" s="41"/>
      <c r="R191" s="41"/>
      <c r="AA191" s="52">
        <f t="shared" si="226"/>
        <v>125.6367850680984</v>
      </c>
      <c r="AB191" s="52">
        <f t="shared" si="225"/>
        <v>67.703373536134578</v>
      </c>
      <c r="AC191" s="52">
        <f t="shared" si="225"/>
        <v>137.23298515798089</v>
      </c>
      <c r="AD191" s="52">
        <f t="shared" si="225"/>
        <v>92.087964610321038</v>
      </c>
      <c r="AE191" s="52">
        <f t="shared" si="225"/>
        <v>88.762991411820821</v>
      </c>
      <c r="AF191" s="52">
        <f t="shared" si="225"/>
        <v>63.555839504026203</v>
      </c>
      <c r="AG191" s="52">
        <f t="shared" si="225"/>
        <v>138.64352395031301</v>
      </c>
      <c r="AH191" s="52">
        <f t="shared" si="225"/>
        <v>168.25430253154218</v>
      </c>
      <c r="AI191" s="52">
        <f t="shared" si="225"/>
        <v>144.6217361077498</v>
      </c>
      <c r="AJ191" s="52">
        <f t="shared" si="225"/>
        <v>89.056967861152273</v>
      </c>
      <c r="AK191" s="52">
        <f t="shared" si="225"/>
        <v>173.00602352374628</v>
      </c>
      <c r="AL191" s="52">
        <f t="shared" si="225"/>
        <v>162.19193572282214</v>
      </c>
      <c r="AM191" s="52">
        <f t="shared" si="225"/>
        <v>185.30375129295604</v>
      </c>
      <c r="AN191" s="52">
        <f t="shared" si="225"/>
        <v>123.04865988307193</v>
      </c>
      <c r="AO191" s="52">
        <f t="shared" si="225"/>
        <v>203.49459042390643</v>
      </c>
      <c r="AP191" s="52">
        <f t="shared" si="225"/>
        <v>228.78191222206758</v>
      </c>
      <c r="AQ191" s="52">
        <f t="shared" si="225"/>
        <v>315.2564312355039</v>
      </c>
      <c r="AR191" s="52">
        <f t="shared" si="225"/>
        <v>175.62212012511299</v>
      </c>
      <c r="AS191" s="52">
        <f t="shared" si="225"/>
        <v>206.87936924034244</v>
      </c>
      <c r="AT191" s="52">
        <f t="shared" si="225"/>
        <v>180.00636565193869</v>
      </c>
      <c r="AU191" s="52">
        <f t="shared" si="225"/>
        <v>177.4003262669774</v>
      </c>
      <c r="AV191" s="52">
        <f t="shared" si="225"/>
        <v>230.16560269499033</v>
      </c>
      <c r="AW191" s="52">
        <f t="shared" si="225"/>
        <v>150.13718961174206</v>
      </c>
      <c r="AX191" s="52">
        <f t="shared" si="225"/>
        <v>198.95019560254838</v>
      </c>
      <c r="AY191" s="52">
        <f t="shared" si="225"/>
        <v>181.88593456256035</v>
      </c>
      <c r="AZ191" s="52">
        <f t="shared" si="225"/>
        <v>204.99578072241596</v>
      </c>
      <c r="BA191" s="52">
        <f t="shared" si="225"/>
        <v>157.78131535491192</v>
      </c>
      <c r="BB191" s="52">
        <f t="shared" si="225"/>
        <v>233.733439251287</v>
      </c>
      <c r="BC191" s="52">
        <f t="shared" si="225"/>
        <v>160.89698544052564</v>
      </c>
      <c r="BD191" s="52">
        <f t="shared" si="225"/>
        <v>185.9880864886602</v>
      </c>
      <c r="BE191" s="52">
        <f t="shared" si="225"/>
        <v>185.19429599772249</v>
      </c>
      <c r="BF191" s="52">
        <f t="shared" si="225"/>
        <v>169.10589507131064</v>
      </c>
      <c r="CE191"/>
    </row>
    <row r="192" spans="1:102" s="52" customFormat="1" hidden="1" outlineLevel="1" x14ac:dyDescent="0.25">
      <c r="B192" s="41" t="s">
        <v>152</v>
      </c>
      <c r="C192" s="41"/>
      <c r="D192" s="41"/>
      <c r="E192" s="41"/>
      <c r="F192" s="41"/>
      <c r="G192" s="41"/>
      <c r="H192" s="41"/>
      <c r="I192" s="41"/>
      <c r="J192" s="41"/>
      <c r="K192" s="41"/>
      <c r="L192" s="41"/>
      <c r="M192" s="41"/>
      <c r="N192" s="41"/>
      <c r="O192" s="41"/>
      <c r="P192" s="41"/>
      <c r="Q192" s="41"/>
      <c r="R192" s="41"/>
      <c r="AA192" s="52">
        <f t="shared" si="226"/>
        <v>0</v>
      </c>
      <c r="AB192" s="52">
        <f t="shared" si="225"/>
        <v>0</v>
      </c>
      <c r="AC192" s="52">
        <f t="shared" si="225"/>
        <v>0</v>
      </c>
      <c r="AD192" s="52">
        <f t="shared" si="225"/>
        <v>0</v>
      </c>
      <c r="AE192" s="52">
        <f t="shared" si="225"/>
        <v>0</v>
      </c>
      <c r="AF192" s="52">
        <f t="shared" si="225"/>
        <v>0</v>
      </c>
      <c r="AG192" s="52">
        <f t="shared" si="225"/>
        <v>0</v>
      </c>
      <c r="AH192" s="52">
        <f t="shared" si="225"/>
        <v>0</v>
      </c>
      <c r="AI192" s="52">
        <f t="shared" si="225"/>
        <v>3.5443705080861365E-2</v>
      </c>
      <c r="AJ192" s="52">
        <f t="shared" si="225"/>
        <v>6.1433585553874577E-2</v>
      </c>
      <c r="AK192" s="52">
        <f t="shared" si="225"/>
        <v>0</v>
      </c>
      <c r="AL192" s="52">
        <f t="shared" si="225"/>
        <v>278.06956327235622</v>
      </c>
      <c r="AM192" s="52">
        <f t="shared" si="225"/>
        <v>75.041288739408529</v>
      </c>
      <c r="AN192" s="52">
        <f t="shared" si="225"/>
        <v>94.875277504464918</v>
      </c>
      <c r="AO192" s="52">
        <f t="shared" si="225"/>
        <v>113.14291849339618</v>
      </c>
      <c r="AP192" s="52">
        <f t="shared" si="225"/>
        <v>128.59130925433277</v>
      </c>
      <c r="AQ192" s="52">
        <f t="shared" si="225"/>
        <v>134.74194017614806</v>
      </c>
      <c r="AR192" s="52">
        <f t="shared" si="225"/>
        <v>107.42974737464657</v>
      </c>
      <c r="AS192" s="52">
        <f t="shared" si="225"/>
        <v>146.94368555286775</v>
      </c>
      <c r="AT192" s="52">
        <f t="shared" si="225"/>
        <v>273.04803216104892</v>
      </c>
      <c r="AU192" s="52">
        <f t="shared" si="225"/>
        <v>220.5513947960047</v>
      </c>
      <c r="AV192" s="52">
        <f t="shared" si="225"/>
        <v>296.0902084890742</v>
      </c>
      <c r="AW192" s="52">
        <f t="shared" si="225"/>
        <v>223.20057792961603</v>
      </c>
      <c r="AX192" s="52">
        <f t="shared" si="225"/>
        <v>288.83953480799619</v>
      </c>
      <c r="AY192" s="52">
        <f t="shared" si="225"/>
        <v>244.14583534168011</v>
      </c>
      <c r="AZ192" s="52">
        <f t="shared" si="225"/>
        <v>238.3512983097269</v>
      </c>
      <c r="BA192" s="52">
        <f t="shared" si="225"/>
        <v>120.63015189340916</v>
      </c>
      <c r="BB192" s="52">
        <f t="shared" si="225"/>
        <v>183.1892854738488</v>
      </c>
      <c r="BC192" s="52">
        <f t="shared" si="225"/>
        <v>112.48398293832498</v>
      </c>
      <c r="BD192" s="52">
        <f t="shared" si="225"/>
        <v>128.47388592027758</v>
      </c>
      <c r="BE192" s="52">
        <f t="shared" si="225"/>
        <v>76.17353459344244</v>
      </c>
      <c r="BF192" s="52">
        <f t="shared" si="225"/>
        <v>113.51280457123768</v>
      </c>
      <c r="CE192"/>
    </row>
    <row r="193" spans="2:83" s="52" customFormat="1" hidden="1" outlineLevel="1" x14ac:dyDescent="0.25">
      <c r="B193" s="41" t="s">
        <v>72</v>
      </c>
      <c r="C193" s="41"/>
      <c r="D193" s="41"/>
      <c r="E193" s="41"/>
      <c r="F193" s="41"/>
      <c r="G193" s="41"/>
      <c r="H193" s="41"/>
      <c r="I193" s="41"/>
      <c r="J193" s="41"/>
      <c r="K193" s="41"/>
      <c r="L193" s="41"/>
      <c r="M193" s="41"/>
      <c r="N193" s="41"/>
      <c r="O193" s="41"/>
      <c r="P193" s="41"/>
      <c r="Q193" s="41"/>
      <c r="R193" s="41"/>
      <c r="AA193" s="52">
        <f t="shared" si="226"/>
        <v>11.563208934044377</v>
      </c>
      <c r="AB193" s="52">
        <f t="shared" si="225"/>
        <v>8.5869347526528585</v>
      </c>
      <c r="AC193" s="52">
        <f t="shared" si="225"/>
        <v>53.640272709860191</v>
      </c>
      <c r="AD193" s="52">
        <f t="shared" si="225"/>
        <v>78.500898482831658</v>
      </c>
      <c r="AE193" s="52">
        <f t="shared" si="225"/>
        <v>46.754427537402819</v>
      </c>
      <c r="AF193" s="52">
        <f t="shared" si="225"/>
        <v>30.647216980208302</v>
      </c>
      <c r="AG193" s="52">
        <f t="shared" si="225"/>
        <v>22.722790260054005</v>
      </c>
      <c r="AH193" s="52">
        <f t="shared" si="225"/>
        <v>18.016915907431574</v>
      </c>
      <c r="AI193" s="52">
        <f t="shared" si="225"/>
        <v>10.617732965112566</v>
      </c>
      <c r="AJ193" s="52">
        <f t="shared" si="225"/>
        <v>4.292366939993105</v>
      </c>
      <c r="AK193" s="52">
        <f t="shared" si="225"/>
        <v>4.1544377051315156</v>
      </c>
      <c r="AL193" s="52">
        <f t="shared" si="225"/>
        <v>3.4314265259982815</v>
      </c>
      <c r="AM193" s="52">
        <f t="shared" si="225"/>
        <v>9.8601147411890224</v>
      </c>
      <c r="AN193" s="52">
        <f t="shared" si="225"/>
        <v>4.6419909733843232</v>
      </c>
      <c r="AO193" s="52">
        <f t="shared" si="225"/>
        <v>5.8693669782148845</v>
      </c>
      <c r="AP193" s="52">
        <f t="shared" si="225"/>
        <v>4.0635480258785819</v>
      </c>
      <c r="AQ193" s="52">
        <f t="shared" si="225"/>
        <v>4.1290078875752565</v>
      </c>
      <c r="AR193" s="52">
        <f t="shared" si="225"/>
        <v>3.3832758938727454</v>
      </c>
      <c r="AS193" s="52">
        <f t="shared" si="225"/>
        <v>4.132284054643387</v>
      </c>
      <c r="AT193" s="52">
        <f t="shared" si="225"/>
        <v>4.6895804310736144</v>
      </c>
      <c r="AU193" s="52">
        <f t="shared" si="225"/>
        <v>8.2186355958601691</v>
      </c>
      <c r="AV193" s="52">
        <f t="shared" si="225"/>
        <v>5.5302994309484088</v>
      </c>
      <c r="AW193" s="52">
        <f t="shared" si="225"/>
        <v>6.261448484399744</v>
      </c>
      <c r="AX193" s="52">
        <f t="shared" si="225"/>
        <v>3.5315853809782749</v>
      </c>
      <c r="AY193" s="52">
        <f t="shared" si="225"/>
        <v>5.587444845250733</v>
      </c>
      <c r="AZ193" s="52">
        <f t="shared" si="225"/>
        <v>7.6991644452877344</v>
      </c>
      <c r="BA193" s="52">
        <f t="shared" si="225"/>
        <v>7.0694061422111494</v>
      </c>
      <c r="BB193" s="52">
        <f t="shared" si="225"/>
        <v>8.714518340489823</v>
      </c>
      <c r="BC193" s="52">
        <f t="shared" si="225"/>
        <v>10.525183303348559</v>
      </c>
      <c r="BD193" s="52">
        <f t="shared" si="225"/>
        <v>6.4924717849107418</v>
      </c>
      <c r="BE193" s="52">
        <f t="shared" si="225"/>
        <v>8.5048036208513818</v>
      </c>
      <c r="BF193" s="52">
        <f t="shared" si="225"/>
        <v>8.3472385399127393</v>
      </c>
      <c r="CE193"/>
    </row>
    <row r="194" spans="2:83" s="52" customFormat="1" hidden="1" outlineLevel="1" x14ac:dyDescent="0.25">
      <c r="B194" s="41" t="s">
        <v>135</v>
      </c>
      <c r="C194" s="41"/>
      <c r="D194" s="41"/>
      <c r="E194" s="41"/>
      <c r="F194" s="41"/>
      <c r="G194" s="41"/>
      <c r="H194" s="41"/>
      <c r="I194" s="41"/>
      <c r="J194" s="41"/>
      <c r="K194" s="41"/>
      <c r="L194" s="41"/>
      <c r="M194" s="41"/>
      <c r="N194" s="41"/>
      <c r="O194" s="41"/>
      <c r="P194" s="41"/>
      <c r="Q194" s="41"/>
      <c r="R194" s="41"/>
      <c r="AA194" s="52">
        <f t="shared" si="226"/>
        <v>43.97008127183949</v>
      </c>
      <c r="AB194" s="52">
        <f t="shared" si="225"/>
        <v>27.679167540706125</v>
      </c>
      <c r="AC194" s="52">
        <f t="shared" si="225"/>
        <v>34.686290111274779</v>
      </c>
      <c r="AD194" s="52">
        <f t="shared" si="225"/>
        <v>15.419166387248344</v>
      </c>
      <c r="AE194" s="52">
        <f t="shared" si="225"/>
        <v>8.3952242781525541</v>
      </c>
      <c r="AF194" s="52">
        <f t="shared" si="225"/>
        <v>3.8764801934334518</v>
      </c>
      <c r="AG194" s="52">
        <f t="shared" si="225"/>
        <v>6.0458292822463342</v>
      </c>
      <c r="AH194" s="52">
        <f t="shared" si="225"/>
        <v>4.2186217975619513</v>
      </c>
      <c r="AI194" s="52">
        <f t="shared" si="225"/>
        <v>3.2390336281734178</v>
      </c>
      <c r="AJ194" s="52">
        <f t="shared" si="225"/>
        <v>2.125785799564142</v>
      </c>
      <c r="AK194" s="52">
        <f t="shared" si="225"/>
        <v>3.0003433555513408</v>
      </c>
      <c r="AL194" s="52">
        <f t="shared" si="225"/>
        <v>2.1623984968512513</v>
      </c>
      <c r="AM194" s="52">
        <f t="shared" si="225"/>
        <v>3.0257713683419261</v>
      </c>
      <c r="AN194" s="52">
        <f t="shared" si="225"/>
        <v>1.6255194443110326</v>
      </c>
      <c r="AO194" s="52">
        <f t="shared" si="225"/>
        <v>14.359298988079031</v>
      </c>
      <c r="AP194" s="52">
        <f t="shared" si="225"/>
        <v>9.6642131426075721</v>
      </c>
      <c r="AQ194" s="52">
        <f t="shared" si="225"/>
        <v>7.0099332578385702</v>
      </c>
      <c r="AR194" s="52">
        <f t="shared" si="225"/>
        <v>6.3310504607811708</v>
      </c>
      <c r="AS194" s="52">
        <f t="shared" si="225"/>
        <v>5.9452693798391181</v>
      </c>
      <c r="AT194" s="52">
        <f t="shared" si="225"/>
        <v>7.7888101622437818</v>
      </c>
      <c r="AU194" s="52">
        <f t="shared" si="225"/>
        <v>5.038936611620966</v>
      </c>
      <c r="AV194" s="52">
        <f t="shared" si="225"/>
        <v>6.9105523588942912</v>
      </c>
      <c r="AW194" s="52">
        <f t="shared" si="225"/>
        <v>4.9096897381194138</v>
      </c>
      <c r="AX194" s="52">
        <f t="shared" si="225"/>
        <v>8.3841590686532381</v>
      </c>
      <c r="AY194" s="52">
        <f t="shared" si="225"/>
        <v>7.836865807708107</v>
      </c>
      <c r="AZ194" s="52">
        <f t="shared" si="225"/>
        <v>6.5728256575829285</v>
      </c>
      <c r="BA194" s="52">
        <f t="shared" si="225"/>
        <v>5.5285325022769065</v>
      </c>
      <c r="BB194" s="52">
        <f t="shared" si="225"/>
        <v>5.099987888856214</v>
      </c>
      <c r="BC194" s="52">
        <f t="shared" si="225"/>
        <v>11.808388980145555</v>
      </c>
      <c r="BD194" s="52">
        <f t="shared" si="225"/>
        <v>5.985324758104615</v>
      </c>
      <c r="BE194" s="52">
        <f t="shared" si="225"/>
        <v>5.5091435979849868</v>
      </c>
      <c r="BF194" s="52">
        <f t="shared" si="225"/>
        <v>7.3786189047706578</v>
      </c>
      <c r="CE194"/>
    </row>
    <row r="195" spans="2:83" s="52" customFormat="1" hidden="1" outlineLevel="1" x14ac:dyDescent="0.25">
      <c r="B195" s="132"/>
      <c r="C195" s="132"/>
      <c r="D195" s="132"/>
      <c r="E195" s="132"/>
      <c r="F195" s="132"/>
      <c r="G195" s="132"/>
      <c r="H195" s="132"/>
      <c r="I195" s="132"/>
      <c r="J195" s="132"/>
      <c r="K195" s="132"/>
      <c r="L195" s="132"/>
      <c r="M195" s="132"/>
      <c r="N195" s="132"/>
      <c r="O195" s="132"/>
      <c r="P195" s="132"/>
      <c r="Q195" s="132"/>
      <c r="R195" s="132"/>
      <c r="CE195"/>
    </row>
    <row r="196" spans="2:83" s="54" customFormat="1" hidden="1" outlineLevel="1" x14ac:dyDescent="0.25">
      <c r="B196" s="131" t="s">
        <v>212</v>
      </c>
      <c r="C196" s="131"/>
      <c r="D196" s="131"/>
      <c r="E196" s="131"/>
      <c r="F196" s="131"/>
      <c r="G196" s="131"/>
      <c r="H196" s="131"/>
      <c r="I196" s="131"/>
      <c r="J196" s="131"/>
      <c r="K196" s="131"/>
      <c r="L196" s="131"/>
      <c r="M196" s="131"/>
      <c r="N196" s="131"/>
      <c r="O196" s="131"/>
      <c r="P196" s="131"/>
      <c r="Q196" s="131"/>
      <c r="R196" s="131"/>
      <c r="AM196" s="54">
        <f>+SUM(AM197:AM200)</f>
        <v>9.9786479688360856</v>
      </c>
      <c r="AN196" s="54">
        <f t="shared" ref="AN196:BF196" si="227">+SUM(AN197:AN200)</f>
        <v>238.20043693173977</v>
      </c>
      <c r="AO196" s="54">
        <f t="shared" si="227"/>
        <v>208.39010286921604</v>
      </c>
      <c r="AP196" s="54">
        <f t="shared" si="227"/>
        <v>68.255871378650369</v>
      </c>
      <c r="AQ196" s="54">
        <f t="shared" si="227"/>
        <v>-156.92574178705109</v>
      </c>
      <c r="AR196" s="54">
        <f t="shared" si="227"/>
        <v>256.04535560628256</v>
      </c>
      <c r="AS196" s="54">
        <f t="shared" si="227"/>
        <v>-50.336597160714263</v>
      </c>
      <c r="AT196" s="54">
        <f t="shared" si="227"/>
        <v>-86.489623666007731</v>
      </c>
      <c r="AU196" s="54">
        <f t="shared" si="227"/>
        <v>-33.678858845512678</v>
      </c>
      <c r="AV196" s="54">
        <f t="shared" si="227"/>
        <v>78.181593029748313</v>
      </c>
      <c r="AW196" s="54">
        <f t="shared" si="227"/>
        <v>241.27560413604894</v>
      </c>
      <c r="AX196" s="54">
        <f t="shared" si="227"/>
        <v>-25.221459864730861</v>
      </c>
      <c r="AY196" s="54">
        <f t="shared" si="227"/>
        <v>-38.434276495340939</v>
      </c>
      <c r="AZ196" s="54">
        <f t="shared" si="227"/>
        <v>35.986517054407784</v>
      </c>
      <c r="BA196" s="54">
        <f t="shared" si="227"/>
        <v>396.11471376753826</v>
      </c>
      <c r="BB196" s="54">
        <f t="shared" si="227"/>
        <v>35.074041529835569</v>
      </c>
      <c r="BC196" s="54">
        <f t="shared" si="227"/>
        <v>-7.1301937277224141</v>
      </c>
      <c r="BD196" s="54">
        <f t="shared" si="227"/>
        <v>124.03358845166073</v>
      </c>
      <c r="BE196" s="54">
        <f t="shared" si="227"/>
        <v>369.42247447350667</v>
      </c>
      <c r="BF196" s="54">
        <f t="shared" si="227"/>
        <v>235.75287336289784</v>
      </c>
      <c r="CE196"/>
    </row>
    <row r="197" spans="2:83" s="52" customFormat="1" hidden="1" outlineLevel="1" x14ac:dyDescent="0.25">
      <c r="B197" s="41" t="s">
        <v>154</v>
      </c>
      <c r="C197" s="41"/>
      <c r="D197" s="41"/>
      <c r="E197" s="41"/>
      <c r="F197" s="41"/>
      <c r="G197" s="41"/>
      <c r="H197" s="41"/>
      <c r="I197" s="41"/>
      <c r="J197" s="41"/>
      <c r="K197" s="41"/>
      <c r="L197" s="41"/>
      <c r="M197" s="41"/>
      <c r="N197" s="41"/>
      <c r="O197" s="41"/>
      <c r="P197" s="41"/>
      <c r="Q197" s="41"/>
      <c r="R197" s="41"/>
      <c r="AM197" s="52">
        <f t="shared" ref="AM197:BF197" si="228">(+AM189-AM81)*-1</f>
        <v>46.693716930029325</v>
      </c>
      <c r="AN197" s="52">
        <f t="shared" si="228"/>
        <v>219.4562245876873</v>
      </c>
      <c r="AO197" s="52">
        <f t="shared" si="228"/>
        <v>151.14190032354361</v>
      </c>
      <c r="AP197" s="52">
        <f t="shared" si="228"/>
        <v>81.595812394071629</v>
      </c>
      <c r="AQ197" s="52">
        <f t="shared" si="228"/>
        <v>15.054863261230309</v>
      </c>
      <c r="AR197" s="52">
        <f t="shared" si="228"/>
        <v>297.05953603943163</v>
      </c>
      <c r="AS197" s="52">
        <f t="shared" si="228"/>
        <v>-157.37398689317638</v>
      </c>
      <c r="AT197" s="52">
        <f t="shared" si="228"/>
        <v>-75.983485406038426</v>
      </c>
      <c r="AU197" s="52">
        <f t="shared" si="228"/>
        <v>14.378240891525991</v>
      </c>
      <c r="AV197" s="52">
        <f t="shared" si="228"/>
        <v>121.50605886324658</v>
      </c>
      <c r="AW197" s="52">
        <f t="shared" si="228"/>
        <v>114.3572591831678</v>
      </c>
      <c r="AX197" s="52">
        <f t="shared" si="228"/>
        <v>40.986884103488478</v>
      </c>
      <c r="AY197" s="52">
        <f t="shared" si="228"/>
        <v>19.102182412713432</v>
      </c>
      <c r="AZ197" s="52">
        <f t="shared" si="228"/>
        <v>103.63363183810657</v>
      </c>
      <c r="BA197" s="52">
        <f t="shared" si="228"/>
        <v>168.31174729009194</v>
      </c>
      <c r="BB197" s="52">
        <f t="shared" si="228"/>
        <v>31.533052639379775</v>
      </c>
      <c r="BC197" s="52">
        <f t="shared" si="228"/>
        <v>-89.485247860560264</v>
      </c>
      <c r="BD197" s="52">
        <f t="shared" si="228"/>
        <v>79.148386622841997</v>
      </c>
      <c r="BE197" s="52">
        <f t="shared" si="228"/>
        <v>176.61277595945592</v>
      </c>
      <c r="BF197" s="52">
        <f t="shared" si="228"/>
        <v>130.04162632075554</v>
      </c>
      <c r="CE197"/>
    </row>
    <row r="198" spans="2:83" s="52" customFormat="1" hidden="1" outlineLevel="1" x14ac:dyDescent="0.25">
      <c r="B198" s="41" t="s">
        <v>111</v>
      </c>
      <c r="C198" s="41"/>
      <c r="D198" s="41"/>
      <c r="E198" s="41"/>
      <c r="F198" s="41"/>
      <c r="G198" s="41"/>
      <c r="H198" s="41"/>
      <c r="I198" s="41"/>
      <c r="J198" s="41"/>
      <c r="K198" s="41"/>
      <c r="L198" s="41"/>
      <c r="M198" s="41"/>
      <c r="N198" s="41"/>
      <c r="O198" s="41"/>
      <c r="P198" s="41"/>
      <c r="Q198" s="41"/>
      <c r="R198" s="41"/>
      <c r="AM198" s="52">
        <f t="shared" ref="AM198:BF198" si="229">(+AM190-AM143)*-1</f>
        <v>83.629971071171326</v>
      </c>
      <c r="AN198" s="52">
        <f t="shared" si="229"/>
        <v>86.668149731589338</v>
      </c>
      <c r="AO198" s="52">
        <f t="shared" si="229"/>
        <v>148.88571146297505</v>
      </c>
      <c r="AP198" s="52">
        <f t="shared" si="229"/>
        <v>64.033280460979086</v>
      </c>
      <c r="AQ198" s="52">
        <f t="shared" si="229"/>
        <v>53.017766363370555</v>
      </c>
      <c r="AR198" s="52">
        <f t="shared" si="229"/>
        <v>63.037687066610474</v>
      </c>
      <c r="AS198" s="52">
        <f t="shared" si="229"/>
        <v>155.86044452567231</v>
      </c>
      <c r="AT198" s="52">
        <f t="shared" si="229"/>
        <v>71.548259553018312</v>
      </c>
      <c r="AU198" s="52">
        <f t="shared" si="229"/>
        <v>59.89462132594344</v>
      </c>
      <c r="AV198" s="52">
        <f t="shared" si="229"/>
        <v>112.93134535056627</v>
      </c>
      <c r="AW198" s="52">
        <f t="shared" si="229"/>
        <v>170.25611249423923</v>
      </c>
      <c r="AX198" s="52">
        <f t="shared" si="229"/>
        <v>81.581386442325226</v>
      </c>
      <c r="AY198" s="52">
        <f t="shared" si="229"/>
        <v>50.69531099618608</v>
      </c>
      <c r="AZ198" s="52">
        <f t="shared" si="229"/>
        <v>110.69996424844406</v>
      </c>
      <c r="BA198" s="52">
        <f t="shared" si="229"/>
        <v>191.21443372576738</v>
      </c>
      <c r="BB198" s="52">
        <f t="shared" si="229"/>
        <v>70.063713615591581</v>
      </c>
      <c r="BC198" s="52">
        <f t="shared" si="229"/>
        <v>70.736022511688475</v>
      </c>
      <c r="BD198" s="52">
        <f t="shared" si="229"/>
        <v>139.34717423775652</v>
      </c>
      <c r="BE198" s="52">
        <f t="shared" si="229"/>
        <v>204.17752910521577</v>
      </c>
      <c r="BF198" s="52">
        <f t="shared" si="229"/>
        <v>71.529946684690913</v>
      </c>
      <c r="CE198"/>
    </row>
    <row r="199" spans="2:83" s="52" customFormat="1" hidden="1" outlineLevel="1" x14ac:dyDescent="0.25">
      <c r="B199" s="41" t="s">
        <v>211</v>
      </c>
      <c r="C199" s="41"/>
      <c r="D199" s="41"/>
      <c r="E199" s="41"/>
      <c r="F199" s="41"/>
      <c r="G199" s="41"/>
      <c r="H199" s="41"/>
      <c r="I199" s="41"/>
      <c r="J199" s="41"/>
      <c r="K199" s="41"/>
      <c r="L199" s="41"/>
      <c r="M199" s="41"/>
      <c r="N199" s="41"/>
      <c r="O199" s="41"/>
      <c r="P199" s="41"/>
      <c r="Q199" s="41"/>
      <c r="R199" s="41"/>
      <c r="AM199" s="52">
        <f t="shared" ref="AM199:BF199" si="230">(+AM191-AM116)*-1</f>
        <v>-115.30375129295604</v>
      </c>
      <c r="AN199" s="52">
        <f t="shared" si="230"/>
        <v>-73.048659883071934</v>
      </c>
      <c r="AO199" s="52">
        <f t="shared" si="230"/>
        <v>-103.49459042390643</v>
      </c>
      <c r="AP199" s="52">
        <f t="shared" si="230"/>
        <v>-78.781912222067575</v>
      </c>
      <c r="AQ199" s="52">
        <f t="shared" si="230"/>
        <v>-175.2564312355039</v>
      </c>
      <c r="AR199" s="52">
        <f t="shared" si="230"/>
        <v>-120.62212012511299</v>
      </c>
      <c r="AS199" s="52">
        <f t="shared" si="230"/>
        <v>-101.87936924034244</v>
      </c>
      <c r="AT199" s="52">
        <f t="shared" si="230"/>
        <v>-25.006365651938694</v>
      </c>
      <c r="AU199" s="52">
        <f t="shared" si="230"/>
        <v>-77.400326266977402</v>
      </c>
      <c r="AV199" s="52">
        <f t="shared" si="230"/>
        <v>-170.16560269499033</v>
      </c>
      <c r="AW199" s="52">
        <f t="shared" si="230"/>
        <v>-40.137189611742059</v>
      </c>
      <c r="AX199" s="52">
        <f t="shared" si="230"/>
        <v>-38.950195602548376</v>
      </c>
      <c r="AY199" s="52">
        <f t="shared" si="230"/>
        <v>-76.885934562560351</v>
      </c>
      <c r="AZ199" s="52">
        <f t="shared" si="230"/>
        <v>-139.99578072241596</v>
      </c>
      <c r="BA199" s="52">
        <f t="shared" si="230"/>
        <v>-42.781315354911925</v>
      </c>
      <c r="BB199" s="52">
        <f t="shared" si="230"/>
        <v>-68.733439251286995</v>
      </c>
      <c r="BC199" s="52">
        <f t="shared" si="230"/>
        <v>-50.89698544052564</v>
      </c>
      <c r="BD199" s="52">
        <f t="shared" si="230"/>
        <v>-115.9880864886602</v>
      </c>
      <c r="BE199" s="52">
        <f t="shared" si="230"/>
        <v>-65.194295997722492</v>
      </c>
      <c r="BF199" s="52">
        <f t="shared" si="230"/>
        <v>0.89410492868935876</v>
      </c>
      <c r="CE199"/>
    </row>
    <row r="200" spans="2:83" s="52" customFormat="1" hidden="1" outlineLevel="1" x14ac:dyDescent="0.25">
      <c r="B200" s="41" t="s">
        <v>152</v>
      </c>
      <c r="C200" s="41"/>
      <c r="D200" s="41"/>
      <c r="E200" s="41"/>
      <c r="F200" s="41"/>
      <c r="G200" s="41"/>
      <c r="H200" s="41"/>
      <c r="I200" s="41"/>
      <c r="J200" s="41"/>
      <c r="K200" s="41"/>
      <c r="L200" s="41"/>
      <c r="M200" s="41"/>
      <c r="N200" s="41"/>
      <c r="O200" s="41"/>
      <c r="P200" s="41"/>
      <c r="Q200" s="41"/>
      <c r="R200" s="41"/>
      <c r="AM200" s="52">
        <f t="shared" ref="AM200:BF200" si="231">(+AM192-AM108)*-1</f>
        <v>-5.0412887394085288</v>
      </c>
      <c r="AN200" s="52">
        <f t="shared" si="231"/>
        <v>5.1247224955350816</v>
      </c>
      <c r="AO200" s="52">
        <f t="shared" si="231"/>
        <v>11.857081506603819</v>
      </c>
      <c r="AP200" s="52">
        <f t="shared" si="231"/>
        <v>1.4086907456672293</v>
      </c>
      <c r="AQ200" s="52">
        <f t="shared" si="231"/>
        <v>-49.741940176148063</v>
      </c>
      <c r="AR200" s="52">
        <f t="shared" si="231"/>
        <v>16.570252625353433</v>
      </c>
      <c r="AS200" s="52">
        <f t="shared" si="231"/>
        <v>53.056314447132252</v>
      </c>
      <c r="AT200" s="52">
        <f t="shared" si="231"/>
        <v>-57.048032161048923</v>
      </c>
      <c r="AU200" s="52">
        <f t="shared" si="231"/>
        <v>-30.551394796004701</v>
      </c>
      <c r="AV200" s="52">
        <f t="shared" si="231"/>
        <v>13.9097915109258</v>
      </c>
      <c r="AW200" s="52">
        <f t="shared" si="231"/>
        <v>-3.2005779296160313</v>
      </c>
      <c r="AX200" s="52">
        <f t="shared" si="231"/>
        <v>-108.83953480799619</v>
      </c>
      <c r="AY200" s="52">
        <f t="shared" si="231"/>
        <v>-31.3458353416801</v>
      </c>
      <c r="AZ200" s="52">
        <f t="shared" si="231"/>
        <v>-38.3512983097269</v>
      </c>
      <c r="BA200" s="52">
        <f t="shared" si="231"/>
        <v>79.369848106590837</v>
      </c>
      <c r="BB200" s="52">
        <f t="shared" si="231"/>
        <v>2.2107145261512073</v>
      </c>
      <c r="BC200" s="52">
        <f t="shared" si="231"/>
        <v>62.516017061675015</v>
      </c>
      <c r="BD200" s="52">
        <f t="shared" si="231"/>
        <v>21.526114079722419</v>
      </c>
      <c r="BE200" s="52">
        <f t="shared" si="231"/>
        <v>53.82646540655756</v>
      </c>
      <c r="BF200" s="52">
        <f t="shared" si="231"/>
        <v>33.287195428762047</v>
      </c>
      <c r="CE200"/>
    </row>
    <row r="201" spans="2:83" hidden="1" outlineLevel="1" x14ac:dyDescent="0.25">
      <c r="B201" s="22"/>
      <c r="C201" s="22"/>
      <c r="D201" s="22"/>
      <c r="E201" s="22"/>
      <c r="F201" s="22"/>
      <c r="G201" s="22"/>
      <c r="H201" s="22"/>
      <c r="I201" s="22"/>
      <c r="J201" s="22"/>
      <c r="K201" s="22"/>
      <c r="L201" s="22"/>
      <c r="M201" s="22"/>
      <c r="N201" s="22"/>
      <c r="O201" s="22"/>
      <c r="P201" s="22"/>
      <c r="Q201" s="22"/>
      <c r="R201" s="22"/>
    </row>
    <row r="202" spans="2:83" hidden="1" outlineLevel="1" x14ac:dyDescent="0.25">
      <c r="B202" s="22" t="s">
        <v>213</v>
      </c>
      <c r="C202" s="22"/>
      <c r="D202" s="22"/>
      <c r="E202" s="22"/>
      <c r="F202" s="22"/>
      <c r="G202" s="22"/>
      <c r="H202" s="22"/>
      <c r="I202" s="22"/>
      <c r="J202" s="22"/>
      <c r="K202" s="22"/>
      <c r="L202" s="22"/>
      <c r="M202" s="22"/>
      <c r="N202" s="22"/>
      <c r="O202" s="22"/>
      <c r="P202" s="22"/>
      <c r="Q202" s="22"/>
      <c r="R202" s="22"/>
      <c r="BA202" s="5" t="s">
        <v>214</v>
      </c>
    </row>
    <row r="203" spans="2:83" s="10" customFormat="1" hidden="1" outlineLevel="1" x14ac:dyDescent="0.25">
      <c r="B203" s="57" t="s">
        <v>210</v>
      </c>
      <c r="C203" s="57"/>
      <c r="D203" s="57"/>
      <c r="E203" s="57"/>
      <c r="F203" s="57"/>
      <c r="G203" s="57"/>
      <c r="H203" s="57"/>
      <c r="I203" s="57"/>
      <c r="J203" s="57"/>
      <c r="K203" s="57"/>
      <c r="L203" s="57"/>
      <c r="M203" s="57"/>
      <c r="N203" s="57"/>
      <c r="O203" s="57"/>
      <c r="P203" s="57"/>
      <c r="Q203" s="57"/>
      <c r="R203" s="57"/>
      <c r="W203" s="133">
        <f t="shared" ref="W203:BF203" si="232">+W180/S180-1</f>
        <v>0.10652920962199319</v>
      </c>
      <c r="X203" s="133">
        <f t="shared" si="232"/>
        <v>0.15289256198347112</v>
      </c>
      <c r="Y203" s="133">
        <f t="shared" si="232"/>
        <v>8.4541062801932298E-2</v>
      </c>
      <c r="Z203" s="133">
        <f t="shared" si="232"/>
        <v>0.20238095238095233</v>
      </c>
      <c r="AA203" s="133">
        <f t="shared" si="232"/>
        <v>6.5217391304347894E-2</v>
      </c>
      <c r="AB203" s="133">
        <f t="shared" si="232"/>
        <v>-8.6021505376344121E-2</v>
      </c>
      <c r="AC203" s="133">
        <f t="shared" si="232"/>
        <v>0.25835189309576845</v>
      </c>
      <c r="AD203" s="133">
        <f t="shared" si="232"/>
        <v>0.28465346534653468</v>
      </c>
      <c r="AE203" s="133">
        <f t="shared" si="232"/>
        <v>0.22157434402332354</v>
      </c>
      <c r="AF203" s="133">
        <f t="shared" si="232"/>
        <v>0.19607843137254899</v>
      </c>
      <c r="AG203" s="133">
        <f t="shared" si="232"/>
        <v>0.38584070796460179</v>
      </c>
      <c r="AH203" s="133">
        <f t="shared" si="232"/>
        <v>0.3044315992292872</v>
      </c>
      <c r="AI203" s="133">
        <f t="shared" si="232"/>
        <v>0.11217183770883055</v>
      </c>
      <c r="AJ203" s="133">
        <f t="shared" si="232"/>
        <v>0.11803278688524599</v>
      </c>
      <c r="AK203" s="133">
        <f t="shared" si="232"/>
        <v>7.4074074074074181E-2</v>
      </c>
      <c r="AL203" s="133">
        <f t="shared" si="232"/>
        <v>0.29542097488921715</v>
      </c>
      <c r="AM203" s="133">
        <f t="shared" si="232"/>
        <v>0.10729613733905574</v>
      </c>
      <c r="AN203" s="133">
        <f t="shared" si="232"/>
        <v>0.49560117302052786</v>
      </c>
      <c r="AO203" s="133">
        <f t="shared" si="232"/>
        <v>0.25564803804994063</v>
      </c>
      <c r="AP203" s="133">
        <f t="shared" si="232"/>
        <v>-9.0079817559863162E-2</v>
      </c>
      <c r="AQ203" s="133">
        <f t="shared" si="232"/>
        <v>0.6996124031007751</v>
      </c>
      <c r="AR203" s="133">
        <f t="shared" si="232"/>
        <v>-7.4509803921568585E-2</v>
      </c>
      <c r="AS203" s="133">
        <f t="shared" si="232"/>
        <v>0.27935606060606055</v>
      </c>
      <c r="AT203" s="133">
        <f t="shared" si="232"/>
        <v>0.38972431077694236</v>
      </c>
      <c r="AU203" s="133">
        <f t="shared" si="232"/>
        <v>-0.10832383124287348</v>
      </c>
      <c r="AV203" s="133">
        <f t="shared" si="232"/>
        <v>0.85593220338983045</v>
      </c>
      <c r="AW203" s="133">
        <f t="shared" si="232"/>
        <v>4.4411547002221052E-3</v>
      </c>
      <c r="AX203" s="133">
        <f t="shared" si="232"/>
        <v>4.779080252479706E-2</v>
      </c>
      <c r="AY203" s="133">
        <f t="shared" si="232"/>
        <v>4.8593350383631773E-2</v>
      </c>
      <c r="AZ203" s="133">
        <f t="shared" si="232"/>
        <v>-6.0502283105022814E-2</v>
      </c>
      <c r="BA203" s="133">
        <f t="shared" si="232"/>
        <v>-3.6845983787766601E-3</v>
      </c>
      <c r="BB203" s="133">
        <f t="shared" si="232"/>
        <v>0.11101549053356274</v>
      </c>
      <c r="BC203" s="133">
        <f t="shared" si="232"/>
        <v>6.5853658536585424E-2</v>
      </c>
      <c r="BD203" s="133">
        <f t="shared" si="232"/>
        <v>3.2806804374240661E-2</v>
      </c>
      <c r="BE203" s="133">
        <f t="shared" si="232"/>
        <v>3.9201183431952558E-2</v>
      </c>
      <c r="BF203" s="133">
        <f t="shared" si="232"/>
        <v>-0.14097598760650654</v>
      </c>
      <c r="CE203"/>
    </row>
    <row r="204" spans="2:83" hidden="1" outlineLevel="1" x14ac:dyDescent="0.25">
      <c r="B204" s="37" t="s">
        <v>154</v>
      </c>
      <c r="C204" s="37"/>
      <c r="D204" s="37"/>
      <c r="E204" s="37"/>
      <c r="F204" s="37"/>
      <c r="G204" s="37"/>
      <c r="H204" s="37"/>
      <c r="I204" s="37"/>
      <c r="J204" s="37"/>
      <c r="K204" s="37"/>
      <c r="L204" s="37"/>
      <c r="M204" s="37"/>
      <c r="N204" s="37"/>
      <c r="O204" s="37"/>
      <c r="P204" s="37"/>
      <c r="Q204" s="37"/>
      <c r="R204" s="37"/>
      <c r="AE204" s="75">
        <v>3.421520005140879</v>
      </c>
      <c r="AF204" s="75">
        <v>4.0789235830777955</v>
      </c>
      <c r="AG204" s="75">
        <v>5.4820570160580866</v>
      </c>
      <c r="AH204" s="75">
        <v>0.28616239191450643</v>
      </c>
      <c r="AI204" s="75">
        <v>0.13903473749725559</v>
      </c>
      <c r="AJ204" s="75">
        <v>0.52750417144519024</v>
      </c>
      <c r="AK204" s="75">
        <v>0.19682714609806884</v>
      </c>
      <c r="AL204" s="75">
        <v>0.4289555761321151</v>
      </c>
      <c r="AM204" s="75">
        <v>0.10529163680279585</v>
      </c>
      <c r="AN204" s="75">
        <v>0.47045306392189001</v>
      </c>
      <c r="AO204" s="75">
        <v>0.24862532919606806</v>
      </c>
      <c r="AP204" s="75">
        <v>0.15845706906068258</v>
      </c>
      <c r="AQ204" s="75">
        <v>1.1151502772926918</v>
      </c>
      <c r="AR204" s="75">
        <v>-0.73805195336846707</v>
      </c>
      <c r="AS204" s="75">
        <v>0.85380133040089712</v>
      </c>
      <c r="AT204" s="75">
        <v>0.82926000001822375</v>
      </c>
      <c r="AU204" s="75">
        <v>0.11354964714106086</v>
      </c>
      <c r="AV204" s="75">
        <v>4.7780001009386197</v>
      </c>
      <c r="AW204" s="75">
        <v>0.14513474562914808</v>
      </c>
      <c r="AX204" s="75">
        <v>0.14447603562145228</v>
      </c>
      <c r="AY204" s="75">
        <v>7.281038073924706E-2</v>
      </c>
      <c r="AZ204" s="75">
        <v>0.33710139849970688</v>
      </c>
      <c r="BA204" s="75">
        <v>0.34771347966294841</v>
      </c>
      <c r="BB204" s="75">
        <v>0.66065411628929538</v>
      </c>
      <c r="BC204" s="75">
        <v>1.1241994796642736</v>
      </c>
      <c r="BD204" s="75">
        <v>0.98032858780441634</v>
      </c>
      <c r="BE204" s="75">
        <v>0.32823736554169014</v>
      </c>
      <c r="BF204" s="75">
        <v>6.1342001514559374E-2</v>
      </c>
      <c r="BG204" s="75"/>
    </row>
    <row r="205" spans="2:83" hidden="1" outlineLevel="1" x14ac:dyDescent="0.25">
      <c r="B205" s="37" t="s">
        <v>111</v>
      </c>
      <c r="C205" s="37"/>
      <c r="D205" s="37"/>
      <c r="E205" s="37"/>
      <c r="F205" s="37"/>
      <c r="G205" s="37"/>
      <c r="H205" s="37"/>
      <c r="I205" s="37"/>
      <c r="J205" s="37"/>
      <c r="K205" s="37"/>
      <c r="L205" s="37"/>
      <c r="M205" s="37"/>
      <c r="N205" s="37"/>
      <c r="O205" s="37"/>
      <c r="P205" s="37"/>
      <c r="Q205" s="37"/>
      <c r="R205" s="37"/>
      <c r="AE205" s="75" t="s">
        <v>215</v>
      </c>
      <c r="AF205" s="75">
        <v>1.2357719511384198</v>
      </c>
      <c r="AG205" s="75">
        <v>0.73974430388999801</v>
      </c>
      <c r="AH205" s="75">
        <v>0.56308029056102749</v>
      </c>
      <c r="AI205" s="75">
        <v>0.95418477533039314</v>
      </c>
      <c r="AJ205" s="75">
        <v>0.29888044164802641</v>
      </c>
      <c r="AK205" s="75">
        <v>0.11955426311561368</v>
      </c>
      <c r="AL205" s="75">
        <v>0.3863350944713555</v>
      </c>
      <c r="AM205" s="75">
        <v>-7.9773053816920902E-2</v>
      </c>
      <c r="AN205" s="75">
        <v>0.51110163291899391</v>
      </c>
      <c r="AO205" s="75">
        <v>0.54641224334184324</v>
      </c>
      <c r="AP205" s="75">
        <v>0.82679519333539808</v>
      </c>
      <c r="AQ205" s="75">
        <v>4.4650912106475165</v>
      </c>
      <c r="AR205" s="75">
        <v>-3.095998928472754E-2</v>
      </c>
      <c r="AS205" s="75">
        <v>0.31566616919414692</v>
      </c>
      <c r="AT205" s="75">
        <v>0.23305594496390092</v>
      </c>
      <c r="AU205" s="75">
        <v>-0.43899643691281631</v>
      </c>
      <c r="AV205" s="75">
        <v>6.7669994967604286E-2</v>
      </c>
      <c r="AW205" s="75">
        <v>0.14548169582309578</v>
      </c>
      <c r="AX205" s="75">
        <v>9.1495038527660943E-2</v>
      </c>
      <c r="AY205" s="75">
        <v>0.41119186440207023</v>
      </c>
      <c r="AZ205" s="75">
        <v>0.33395200255557977</v>
      </c>
      <c r="BA205" s="75">
        <v>0.1233516923066349</v>
      </c>
      <c r="BB205" s="75">
        <v>0.43560424942041309</v>
      </c>
      <c r="BC205" s="75">
        <v>-6.559913869645928E-2</v>
      </c>
      <c r="BD205" s="75">
        <v>6.6541052464087036E-2</v>
      </c>
      <c r="BE205" s="75">
        <v>0.26681218469209855</v>
      </c>
      <c r="BF205" s="75">
        <v>0.25294293980909233</v>
      </c>
      <c r="BG205" s="75"/>
    </row>
    <row r="206" spans="2:83" hidden="1" outlineLevel="1" x14ac:dyDescent="0.25">
      <c r="B206" s="37" t="s">
        <v>211</v>
      </c>
      <c r="C206" s="37"/>
      <c r="D206" s="37"/>
      <c r="E206" s="37"/>
      <c r="F206" s="37"/>
      <c r="G206" s="37"/>
      <c r="H206" s="37"/>
      <c r="I206" s="37"/>
      <c r="J206" s="37"/>
      <c r="K206" s="37"/>
      <c r="L206" s="37"/>
      <c r="M206" s="37"/>
      <c r="N206" s="37"/>
      <c r="O206" s="37"/>
      <c r="P206" s="37"/>
      <c r="Q206" s="37"/>
      <c r="R206" s="37"/>
      <c r="AE206" s="75">
        <v>0.89506337829422633</v>
      </c>
      <c r="AF206" s="75">
        <v>1.1208599158912538</v>
      </c>
      <c r="AG206" s="75">
        <v>1.3178131465916718</v>
      </c>
      <c r="AH206" s="75">
        <v>0.62763431045079088</v>
      </c>
      <c r="AI206" s="75">
        <v>0.69240172611466755</v>
      </c>
      <c r="AJ206" s="75">
        <v>0.66859254585622363</v>
      </c>
      <c r="AK206" s="75">
        <v>0.35393556541374371</v>
      </c>
      <c r="AL206" s="75">
        <v>0.55830131820532936</v>
      </c>
      <c r="AM206" s="75">
        <v>0.79021209917463264</v>
      </c>
      <c r="AN206" s="75">
        <v>0.73578303198919826</v>
      </c>
      <c r="AO206" s="75">
        <v>0.39945068354465008</v>
      </c>
      <c r="AP206" s="75">
        <v>0.77202285459040132</v>
      </c>
      <c r="AQ206" s="75">
        <v>1.3834355880390738</v>
      </c>
      <c r="AR206" s="75">
        <v>0.3244318191104878</v>
      </c>
      <c r="AS206" s="75">
        <v>0.29290538722679638</v>
      </c>
      <c r="AT206" s="75">
        <v>-0.13290300537054889</v>
      </c>
      <c r="AU206" s="75">
        <v>-0.3798469690565025</v>
      </c>
      <c r="AV206" s="75">
        <v>0.59969980275510348</v>
      </c>
      <c r="AW206" s="75">
        <v>-0.15295828866669126</v>
      </c>
      <c r="AX206" s="75">
        <v>0.22061837318875965</v>
      </c>
      <c r="AY206" s="75">
        <v>0.10789792515579077</v>
      </c>
      <c r="AZ206" s="75">
        <v>8.4225362736668474E-2</v>
      </c>
      <c r="BA206" s="75">
        <v>0.25848884853065401</v>
      </c>
      <c r="BB206" s="75">
        <v>0.44185686487885278</v>
      </c>
      <c r="BC206" s="75">
        <v>0.10792566200242093</v>
      </c>
      <c r="BD206" s="75">
        <v>6.695173379513264E-2</v>
      </c>
      <c r="BE206" s="75">
        <v>0.45180586640786458</v>
      </c>
      <c r="BF206" s="75">
        <v>-0.16047097052769244</v>
      </c>
      <c r="BG206" s="75"/>
    </row>
    <row r="207" spans="2:83" hidden="1" outlineLevel="1" x14ac:dyDescent="0.25">
      <c r="B207" s="37" t="s">
        <v>152</v>
      </c>
      <c r="C207" s="37"/>
      <c r="D207" s="37"/>
      <c r="E207" s="37"/>
      <c r="F207" s="37"/>
      <c r="G207" s="37"/>
      <c r="H207" s="37"/>
      <c r="I207" s="37"/>
      <c r="J207" s="37"/>
      <c r="K207" s="37"/>
      <c r="L207" s="37"/>
      <c r="M207" s="37"/>
      <c r="N207" s="37"/>
      <c r="O207" s="37"/>
      <c r="P207" s="37"/>
      <c r="Q207" s="37"/>
      <c r="R207" s="37"/>
      <c r="AE207" s="75" t="s">
        <v>215</v>
      </c>
      <c r="AF207" s="75" t="s">
        <v>215</v>
      </c>
      <c r="AG207" s="75" t="s">
        <v>215</v>
      </c>
      <c r="AH207" s="75" t="s">
        <v>215</v>
      </c>
      <c r="AI207" s="75" t="s">
        <v>215</v>
      </c>
      <c r="AJ207" s="75" t="s">
        <v>215</v>
      </c>
      <c r="AK207" s="75" t="s">
        <v>215</v>
      </c>
      <c r="AL207" s="75" t="s">
        <v>215</v>
      </c>
      <c r="AM207" s="75">
        <v>2957.1147507910555</v>
      </c>
      <c r="AN207" s="75">
        <v>1939.142595603538</v>
      </c>
      <c r="AO207" s="75" t="s">
        <v>215</v>
      </c>
      <c r="AP207" s="75">
        <v>-0.41905495265379045</v>
      </c>
      <c r="AQ207" s="75">
        <v>1.5155108140160611</v>
      </c>
      <c r="AR207" s="75">
        <v>5.074848811785837E-2</v>
      </c>
      <c r="AS207" s="75">
        <v>0.6516802724602746</v>
      </c>
      <c r="AT207" s="75">
        <v>1.3400704684625295</v>
      </c>
      <c r="AU207" s="75">
        <v>0.80391231503470761</v>
      </c>
      <c r="AV207" s="75">
        <v>2.3641610450912345</v>
      </c>
      <c r="AW207" s="75">
        <v>0.77287487282549927</v>
      </c>
      <c r="AX207" s="75">
        <v>0.16826396685539513</v>
      </c>
      <c r="AY207" s="75">
        <v>0.19617455306034937</v>
      </c>
      <c r="AZ207" s="75">
        <v>-2.0039576689943162E-2</v>
      </c>
      <c r="BA207" s="134">
        <v>-0.35279384117152768</v>
      </c>
      <c r="BB207" s="75">
        <v>-0.22162459928805522</v>
      </c>
      <c r="BC207" s="75">
        <v>-0.42296361856821185</v>
      </c>
      <c r="BD207" s="75">
        <v>-0.36612750389285253</v>
      </c>
      <c r="BE207" s="75">
        <v>-0.2189393717089041</v>
      </c>
      <c r="BF207" s="75">
        <v>-0.28097729397752991</v>
      </c>
      <c r="BG207" s="75"/>
    </row>
    <row r="208" spans="2:83" hidden="1" outlineLevel="1" x14ac:dyDescent="0.25">
      <c r="B208" s="37" t="s">
        <v>72</v>
      </c>
      <c r="C208" s="37"/>
      <c r="D208" s="37"/>
      <c r="E208" s="37"/>
      <c r="F208" s="37"/>
      <c r="G208" s="37"/>
      <c r="H208" s="37"/>
      <c r="I208" s="37"/>
      <c r="J208" s="37"/>
      <c r="K208" s="37"/>
      <c r="L208" s="37"/>
      <c r="M208" s="37"/>
      <c r="N208" s="37"/>
      <c r="O208" s="37"/>
      <c r="P208" s="37"/>
      <c r="Q208" s="37"/>
      <c r="R208" s="37"/>
      <c r="AE208" s="75">
        <v>9.84558530546113</v>
      </c>
      <c r="AF208" s="75">
        <v>7.0634280278418444</v>
      </c>
      <c r="AG208" s="75">
        <v>-2.8130335549150454E-2</v>
      </c>
      <c r="AH208" s="75">
        <v>-0.79554423745339453</v>
      </c>
      <c r="AI208" s="75">
        <v>-0.76410927034413856</v>
      </c>
      <c r="AJ208" s="75">
        <v>-0.83322012179156157</v>
      </c>
      <c r="AK208" s="75">
        <v>-0.80162499430584289</v>
      </c>
      <c r="AL208" s="75">
        <v>-0.69211919578192016</v>
      </c>
      <c r="AM208" s="75">
        <v>0.29748999464330361</v>
      </c>
      <c r="AN208" s="75">
        <v>0.35860717976747547</v>
      </c>
      <c r="AO208" s="75">
        <v>0.68091195959853357</v>
      </c>
      <c r="AP208" s="75">
        <v>0.48767334950703023</v>
      </c>
      <c r="AQ208" s="75">
        <v>-0.41333872778901859</v>
      </c>
      <c r="AR208" s="75">
        <v>-0.32366727564844067</v>
      </c>
      <c r="AS208" s="75">
        <v>-0.10463248534998648</v>
      </c>
      <c r="AT208" s="75">
        <v>0.27183301647735614</v>
      </c>
      <c r="AU208" s="75">
        <v>1.193625185101105</v>
      </c>
      <c r="AV208" s="75">
        <v>0.99520956535512672</v>
      </c>
      <c r="AW208" s="75">
        <v>0.76855407272710008</v>
      </c>
      <c r="AX208" s="75">
        <v>-0.16831452378583434</v>
      </c>
      <c r="AY208" s="75">
        <v>-0.26537014863943176</v>
      </c>
      <c r="AZ208" s="75">
        <v>0.69476704319458626</v>
      </c>
      <c r="BA208" s="75">
        <v>0.35204206157839146</v>
      </c>
      <c r="BB208" s="75">
        <v>2.0284426120023413</v>
      </c>
      <c r="BC208" s="75">
        <v>1.3592732810222183</v>
      </c>
      <c r="BD208" s="75">
        <v>-8.3211640504463613E-3</v>
      </c>
      <c r="BE208" s="75">
        <v>0.48805118529165203</v>
      </c>
      <c r="BF208" s="75">
        <v>0.11146874905256032</v>
      </c>
      <c r="BG208" s="75"/>
    </row>
    <row r="209" spans="2:83" hidden="1" outlineLevel="1" x14ac:dyDescent="0.25">
      <c r="B209" s="37" t="s">
        <v>135</v>
      </c>
      <c r="C209" s="37"/>
      <c r="D209" s="37"/>
      <c r="E209" s="37"/>
      <c r="F209" s="37"/>
      <c r="G209" s="37"/>
      <c r="H209" s="37"/>
      <c r="I209" s="37"/>
      <c r="J209" s="37"/>
      <c r="K209" s="37"/>
      <c r="L209" s="37"/>
      <c r="M209" s="37"/>
      <c r="N209" s="37"/>
      <c r="O209" s="37"/>
      <c r="P209" s="37"/>
      <c r="Q209" s="37"/>
      <c r="R209" s="37"/>
      <c r="AE209" s="75">
        <v>-0.48786594218539392</v>
      </c>
      <c r="AF209" s="75">
        <v>-0.68358914185410025</v>
      </c>
      <c r="AG209" s="75">
        <v>-0.60011476274604236</v>
      </c>
      <c r="AH209" s="75">
        <v>-0.75627323227789356</v>
      </c>
      <c r="AI209" s="75">
        <v>-0.59923944158787079</v>
      </c>
      <c r="AJ209" s="75">
        <v>-0.3469900683669549</v>
      </c>
      <c r="AK209" s="75">
        <v>-0.46154248972133838</v>
      </c>
      <c r="AL209" s="75">
        <v>-0.17138365052821458</v>
      </c>
      <c r="AM209" s="75">
        <v>0.30519228942343557</v>
      </c>
      <c r="AN209" s="75">
        <v>-3.9363415199544449E-2</v>
      </c>
      <c r="AO209" s="75">
        <v>4.6941412325784126</v>
      </c>
      <c r="AP209" s="75">
        <v>4.6144556963919525</v>
      </c>
      <c r="AQ209" s="75">
        <v>2.2456482428350966</v>
      </c>
      <c r="AR209" s="75">
        <v>2.614189207283677</v>
      </c>
      <c r="AS209" s="75">
        <v>-0.47344865170431438</v>
      </c>
      <c r="AT209" s="75">
        <v>-0.11180950302054915</v>
      </c>
      <c r="AU209" s="75">
        <v>-0.20780258051864431</v>
      </c>
      <c r="AV209" s="75">
        <v>0.33233756566565198</v>
      </c>
      <c r="AW209" s="75">
        <v>-3.6135002330766497E-2</v>
      </c>
      <c r="AX209" s="75">
        <v>0.18880818462977755</v>
      </c>
      <c r="AY209" s="75">
        <v>0.68057756886530529</v>
      </c>
      <c r="AZ209" s="75">
        <v>0.15785562966382649</v>
      </c>
      <c r="BA209" s="75">
        <v>0.348459478573107</v>
      </c>
      <c r="BB209" s="75">
        <v>-0.25345617794355912</v>
      </c>
      <c r="BC209" s="75">
        <v>0.88716585805085124</v>
      </c>
      <c r="BD209" s="75">
        <v>7.0878443684193604E-2</v>
      </c>
      <c r="BE209" s="75">
        <v>0.23256757438958897</v>
      </c>
      <c r="BF209" s="75">
        <v>0.67881853499203348</v>
      </c>
      <c r="BG209" s="75"/>
    </row>
    <row r="210" spans="2:83" hidden="1" outlineLevel="1" x14ac:dyDescent="0.25">
      <c r="B210" s="22"/>
      <c r="C210" s="22"/>
      <c r="D210" s="22"/>
      <c r="E210" s="22"/>
      <c r="F210" s="22"/>
      <c r="G210" s="22"/>
      <c r="H210" s="22"/>
      <c r="I210" s="22"/>
      <c r="J210" s="22"/>
      <c r="K210" s="22"/>
      <c r="L210" s="22"/>
      <c r="M210" s="22"/>
      <c r="N210" s="22"/>
      <c r="O210" s="22"/>
      <c r="P210" s="22"/>
      <c r="Q210" s="22"/>
      <c r="R210" s="22"/>
      <c r="AF210" s="133"/>
      <c r="AG210" s="133"/>
      <c r="AH210" s="133"/>
      <c r="AI210" s="133"/>
      <c r="AJ210" s="133"/>
      <c r="AK210" s="133"/>
      <c r="AL210" s="133"/>
      <c r="AM210" s="133"/>
      <c r="AN210" s="133"/>
      <c r="AO210" s="133"/>
      <c r="AP210" s="133"/>
      <c r="AQ210" s="133"/>
      <c r="AR210" s="133"/>
      <c r="AS210" s="133"/>
      <c r="AT210" s="133"/>
      <c r="AU210" s="133"/>
      <c r="AV210" s="133"/>
      <c r="AW210" s="133"/>
      <c r="AX210" s="133"/>
      <c r="AY210" s="133"/>
      <c r="AZ210" s="133"/>
      <c r="BA210" s="133"/>
      <c r="BB210" s="133"/>
      <c r="BC210" s="133"/>
      <c r="BD210" s="133"/>
      <c r="BE210" s="133"/>
      <c r="BF210" s="133"/>
    </row>
    <row r="211" spans="2:83" s="10" customFormat="1" hidden="1" outlineLevel="1" x14ac:dyDescent="0.25">
      <c r="B211" s="57" t="s">
        <v>157</v>
      </c>
      <c r="C211" s="57"/>
      <c r="D211" s="57"/>
      <c r="E211" s="57"/>
      <c r="F211" s="57"/>
      <c r="G211" s="57"/>
      <c r="H211" s="57"/>
      <c r="I211" s="57"/>
      <c r="J211" s="57"/>
      <c r="K211" s="57"/>
      <c r="L211" s="57"/>
      <c r="M211" s="57"/>
      <c r="N211" s="57"/>
      <c r="O211" s="57"/>
      <c r="P211" s="57"/>
      <c r="Q211" s="57"/>
      <c r="R211" s="57"/>
      <c r="S211" s="61">
        <f>+S252</f>
        <v>71</v>
      </c>
      <c r="T211" s="61">
        <f t="shared" ref="T211:BF211" si="233">+T252</f>
        <v>94</v>
      </c>
      <c r="U211" s="61">
        <f t="shared" si="233"/>
        <v>140</v>
      </c>
      <c r="V211" s="61">
        <f t="shared" si="233"/>
        <v>114</v>
      </c>
      <c r="W211" s="61">
        <f t="shared" si="233"/>
        <v>84</v>
      </c>
      <c r="X211" s="61">
        <f t="shared" si="233"/>
        <v>89</v>
      </c>
      <c r="Y211" s="61">
        <f t="shared" si="233"/>
        <v>195</v>
      </c>
      <c r="Z211" s="61">
        <f t="shared" si="233"/>
        <v>134</v>
      </c>
      <c r="AA211" s="61">
        <f t="shared" si="233"/>
        <v>84</v>
      </c>
      <c r="AB211" s="61">
        <f t="shared" si="233"/>
        <v>93</v>
      </c>
      <c r="AC211" s="61">
        <f t="shared" si="233"/>
        <v>355</v>
      </c>
      <c r="AD211" s="61">
        <f t="shared" si="233"/>
        <v>192</v>
      </c>
      <c r="AE211" s="61">
        <f t="shared" si="233"/>
        <v>111</v>
      </c>
      <c r="AF211" s="61">
        <f t="shared" si="233"/>
        <v>119</v>
      </c>
      <c r="AG211" s="61">
        <f t="shared" si="233"/>
        <v>260</v>
      </c>
      <c r="AH211" s="61">
        <f t="shared" si="233"/>
        <v>193</v>
      </c>
      <c r="AI211" s="61">
        <f t="shared" si="233"/>
        <v>96</v>
      </c>
      <c r="AJ211" s="61">
        <f t="shared" si="233"/>
        <v>157</v>
      </c>
      <c r="AK211" s="61">
        <f t="shared" si="233"/>
        <v>273</v>
      </c>
      <c r="AL211" s="61">
        <f t="shared" si="233"/>
        <v>214</v>
      </c>
      <c r="AM211" s="61">
        <f t="shared" si="233"/>
        <v>76</v>
      </c>
      <c r="AN211" s="61">
        <f t="shared" si="233"/>
        <v>176</v>
      </c>
      <c r="AO211" s="61">
        <f t="shared" si="233"/>
        <v>317</v>
      </c>
      <c r="AP211" s="61">
        <f t="shared" si="233"/>
        <v>190</v>
      </c>
      <c r="AQ211" s="61">
        <f t="shared" si="233"/>
        <v>218</v>
      </c>
      <c r="AR211" s="61">
        <f t="shared" si="233"/>
        <v>161</v>
      </c>
      <c r="AS211" s="61">
        <f t="shared" si="233"/>
        <v>400</v>
      </c>
      <c r="AT211" s="61">
        <f t="shared" si="233"/>
        <v>166</v>
      </c>
      <c r="AU211" s="61">
        <f t="shared" si="233"/>
        <v>227.99999999999997</v>
      </c>
      <c r="AV211" s="61">
        <f t="shared" si="233"/>
        <v>372</v>
      </c>
      <c r="AW211" s="61">
        <f t="shared" si="233"/>
        <v>579</v>
      </c>
      <c r="AX211" s="61">
        <f t="shared" si="233"/>
        <v>209</v>
      </c>
      <c r="AY211" s="61">
        <f t="shared" si="233"/>
        <v>126</v>
      </c>
      <c r="AZ211" s="61">
        <f t="shared" si="233"/>
        <v>345</v>
      </c>
      <c r="BA211" s="61">
        <f t="shared" si="233"/>
        <v>468</v>
      </c>
      <c r="BB211" s="61">
        <f t="shared" si="233"/>
        <v>250</v>
      </c>
      <c r="BC211" s="61">
        <f t="shared" si="233"/>
        <v>280</v>
      </c>
      <c r="BD211" s="61">
        <f t="shared" si="233"/>
        <v>370</v>
      </c>
      <c r="BE211" s="61">
        <f t="shared" si="233"/>
        <v>463</v>
      </c>
      <c r="BF211" s="61">
        <f t="shared" si="233"/>
        <v>228</v>
      </c>
      <c r="CE211"/>
    </row>
    <row r="212" spans="2:83" hidden="1" outlineLevel="1" x14ac:dyDescent="0.25">
      <c r="B212" s="37" t="s">
        <v>154</v>
      </c>
      <c r="C212" s="37"/>
      <c r="D212" s="37"/>
      <c r="E212" s="37"/>
      <c r="F212" s="37"/>
      <c r="G212" s="37"/>
      <c r="H212" s="37"/>
      <c r="I212" s="37"/>
      <c r="J212" s="37"/>
      <c r="K212" s="37"/>
      <c r="L212" s="37"/>
      <c r="M212" s="37"/>
      <c r="N212" s="37"/>
      <c r="O212" s="37"/>
      <c r="P212" s="37"/>
      <c r="Q212" s="37"/>
      <c r="R212" s="37"/>
      <c r="AA212" s="75">
        <v>8.1944543320945751E-2</v>
      </c>
      <c r="AB212" s="75">
        <v>0.21987509870572797</v>
      </c>
      <c r="AC212" s="75">
        <v>6.6787521412807777E-2</v>
      </c>
      <c r="AD212" s="75">
        <v>8.4551376037083292E-2</v>
      </c>
      <c r="AE212" s="75">
        <v>0.14653113525773964</v>
      </c>
      <c r="AF212" s="75">
        <v>0.41792780903995863</v>
      </c>
      <c r="AG212" s="75">
        <v>0.20057845515608702</v>
      </c>
      <c r="AH212" s="75">
        <v>0.13114650049942767</v>
      </c>
      <c r="AI212" s="75">
        <v>0.1972736227129003</v>
      </c>
      <c r="AJ212" s="75">
        <v>0.41105531073492396</v>
      </c>
      <c r="AK212" s="75">
        <v>0.28103051794980832</v>
      </c>
      <c r="AL212" s="75">
        <v>0.11371736319423817</v>
      </c>
      <c r="AM212" s="75">
        <v>0.18606367027211512</v>
      </c>
      <c r="AN212" s="75">
        <v>0.42569746040623718</v>
      </c>
      <c r="AO212" s="75">
        <v>0.1711761493613658</v>
      </c>
      <c r="AP212" s="75">
        <v>0.18144286592458042</v>
      </c>
      <c r="AQ212" s="75">
        <v>0.17821025142731811</v>
      </c>
      <c r="AR212" s="75">
        <v>0.19131448167066609</v>
      </c>
      <c r="AS212" s="75">
        <v>0.45780784850229461</v>
      </c>
      <c r="AT212" s="75">
        <v>0.20035247842566381</v>
      </c>
      <c r="AU212" s="75">
        <v>7.6862697452703022E-2</v>
      </c>
      <c r="AV212" s="75">
        <v>0.43543915235915709</v>
      </c>
      <c r="AW212" s="75">
        <v>0.27663923680578506</v>
      </c>
      <c r="AX212" s="75">
        <v>0.24503069593529728</v>
      </c>
      <c r="AY212" s="75">
        <v>0.14468501052495253</v>
      </c>
      <c r="AZ212" s="75">
        <v>0.5168797645322567</v>
      </c>
      <c r="BA212" s="75">
        <v>0.47299513069276561</v>
      </c>
      <c r="BB212" s="75">
        <v>0.21455690609247705</v>
      </c>
      <c r="BC212" s="75">
        <v>9.3488808413526359E-2</v>
      </c>
      <c r="BD212" s="75">
        <v>0.54807783983895408</v>
      </c>
      <c r="BE212" s="75">
        <v>0.39960705846843947</v>
      </c>
      <c r="BF212" s="75">
        <v>0.2444075521327648</v>
      </c>
      <c r="BG212" s="75"/>
    </row>
    <row r="213" spans="2:83" hidden="1" outlineLevel="1" x14ac:dyDescent="0.25">
      <c r="B213" s="37" t="s">
        <v>111</v>
      </c>
      <c r="C213" s="37"/>
      <c r="D213" s="37"/>
      <c r="E213" s="37"/>
      <c r="F213" s="37"/>
      <c r="G213" s="37"/>
      <c r="H213" s="37"/>
      <c r="I213" s="37"/>
      <c r="J213" s="37"/>
      <c r="K213" s="37"/>
      <c r="L213" s="37"/>
      <c r="M213" s="37"/>
      <c r="N213" s="37"/>
      <c r="O213" s="37"/>
      <c r="P213" s="37"/>
      <c r="Q213" s="37"/>
      <c r="R213" s="37"/>
      <c r="AA213" s="75">
        <v>3.6926696375634102E-2</v>
      </c>
      <c r="AB213" s="75">
        <v>0.31651058386469805</v>
      </c>
      <c r="AC213" s="75">
        <v>4.929750806264388E-2</v>
      </c>
      <c r="AD213" s="75">
        <v>5.7368139842785125E-2</v>
      </c>
      <c r="AE213" s="75">
        <v>5.5107393218153604E-2</v>
      </c>
      <c r="AF213" s="75">
        <v>0.25620782054007363</v>
      </c>
      <c r="AG213" s="75">
        <v>7.8991976337858941E-2</v>
      </c>
      <c r="AH213" s="75">
        <v>7.143280983795941E-2</v>
      </c>
      <c r="AI213" s="75">
        <v>4.2263666798637967E-2</v>
      </c>
      <c r="AJ213" s="75">
        <v>0.2612708535026052</v>
      </c>
      <c r="AK213" s="75">
        <v>0.10386367889089164</v>
      </c>
      <c r="AL213" s="75">
        <v>6.6193630138520185E-2</v>
      </c>
      <c r="AM213" s="75">
        <v>7.9576915643803023E-2</v>
      </c>
      <c r="AN213" s="75">
        <v>0.32453634239790846</v>
      </c>
      <c r="AO213" s="75">
        <v>9.3406941853983197E-2</v>
      </c>
      <c r="AP213" s="75">
        <v>8.9930485697949342E-2</v>
      </c>
      <c r="AQ213" s="75">
        <v>8.3836310935966177E-2</v>
      </c>
      <c r="AR213" s="75">
        <v>0.36049986636538939</v>
      </c>
      <c r="AS213" s="75">
        <v>0.11328163075078708</v>
      </c>
      <c r="AT213" s="75">
        <v>0.11569265539196213</v>
      </c>
      <c r="AU213" s="75">
        <v>2.6979884530433478E-2</v>
      </c>
      <c r="AV213" s="75">
        <v>0.21202979953194415</v>
      </c>
      <c r="AW213" s="75">
        <v>9.3112615191466491E-2</v>
      </c>
      <c r="AX213" s="75">
        <v>0.1255159965132189</v>
      </c>
      <c r="AY213" s="75">
        <v>7.381219918882892E-2</v>
      </c>
      <c r="AZ213" s="75">
        <v>0.25508037148734242</v>
      </c>
      <c r="BA213" s="75">
        <v>0.14495109530309999</v>
      </c>
      <c r="BB213" s="75">
        <v>0.10567582821950339</v>
      </c>
      <c r="BC213" s="75">
        <v>3.3929025649335719E-2</v>
      </c>
      <c r="BD213" s="75">
        <v>0.25473036484083322</v>
      </c>
      <c r="BE213" s="75">
        <v>0.16636421495033143</v>
      </c>
      <c r="BF213" s="75">
        <v>0.16716047173909168</v>
      </c>
      <c r="BG213" s="75"/>
    </row>
    <row r="214" spans="2:83" hidden="1" outlineLevel="1" x14ac:dyDescent="0.25">
      <c r="B214" s="37" t="s">
        <v>211</v>
      </c>
      <c r="C214" s="37"/>
      <c r="D214" s="37"/>
      <c r="E214" s="37"/>
      <c r="F214" s="37"/>
      <c r="G214" s="37"/>
      <c r="H214" s="37"/>
      <c r="I214" s="37"/>
      <c r="J214" s="37"/>
      <c r="K214" s="37"/>
      <c r="L214" s="37"/>
      <c r="M214" s="37"/>
      <c r="N214" s="37"/>
      <c r="O214" s="37"/>
      <c r="P214" s="37"/>
      <c r="Q214" s="37"/>
      <c r="R214" s="37"/>
      <c r="AA214" s="75">
        <v>0.14423646843875615</v>
      </c>
      <c r="AB214" s="75">
        <v>6.0158155025978391E-2</v>
      </c>
      <c r="AC214" s="75">
        <v>3.4536865992085802E-2</v>
      </c>
      <c r="AD214" s="75">
        <v>7.2121523385971997E-2</v>
      </c>
      <c r="AE214" s="75">
        <v>9.9659571931012936E-2</v>
      </c>
      <c r="AF214" s="75">
        <v>4.6843287270597812E-2</v>
      </c>
      <c r="AG214" s="75">
        <v>0.11331770438784185</v>
      </c>
      <c r="AH214" s="75">
        <v>0.14276356681197463</v>
      </c>
      <c r="AI214" s="75">
        <v>0.11763181059806596</v>
      </c>
      <c r="AJ214" s="75">
        <v>4.3969588969443071E-2</v>
      </c>
      <c r="AK214" s="75">
        <v>5.9568220181988832E-2</v>
      </c>
      <c r="AL214" s="75">
        <v>7.3145736048583695E-2</v>
      </c>
      <c r="AM214" s="75">
        <v>0.10734017958206837</v>
      </c>
      <c r="AN214" s="75">
        <v>2.8849520031634813E-2</v>
      </c>
      <c r="AO214" s="75">
        <v>3.1225595528104978E-2</v>
      </c>
      <c r="AP214" s="75">
        <v>0.14865574358017822</v>
      </c>
      <c r="AQ214" s="75">
        <v>0.10815793477357739</v>
      </c>
      <c r="AR214" s="75">
        <v>3.7798440959978814E-2</v>
      </c>
      <c r="AS214" s="75">
        <v>3.1065283743230896E-2</v>
      </c>
      <c r="AT214" s="75">
        <v>6.3898685781605902E-2</v>
      </c>
      <c r="AU214" s="75">
        <v>3.8963802099698235E-2</v>
      </c>
      <c r="AV214" s="75">
        <v>1.9556147330825228E-2</v>
      </c>
      <c r="AW214" s="75">
        <v>1.7583632252752609E-2</v>
      </c>
      <c r="AX214" s="75">
        <v>6.067542550653536E-2</v>
      </c>
      <c r="AY214" s="75">
        <v>7.2368367539593054E-2</v>
      </c>
      <c r="AZ214" s="75">
        <v>1.9293585406994506E-2</v>
      </c>
      <c r="BA214" s="75">
        <v>3.2706685480071726E-3</v>
      </c>
      <c r="BB214" s="75">
        <v>1.614761195606174E-3</v>
      </c>
      <c r="BC214" s="75">
        <v>1.298230133033795E-3</v>
      </c>
      <c r="BD214" s="75">
        <v>6.3357676633658984E-4</v>
      </c>
      <c r="BE214" s="75">
        <v>9.5080485157307787E-4</v>
      </c>
      <c r="BF214" s="75">
        <v>3.5958899645706171E-3</v>
      </c>
      <c r="BG214" s="75"/>
    </row>
    <row r="215" spans="2:83" hidden="1" outlineLevel="1" x14ac:dyDescent="0.25">
      <c r="B215" s="37" t="s">
        <v>152</v>
      </c>
      <c r="C215" s="37"/>
      <c r="D215" s="37"/>
      <c r="E215" s="37"/>
      <c r="F215" s="37"/>
      <c r="G215" s="37"/>
      <c r="H215" s="37"/>
      <c r="I215" s="37"/>
      <c r="J215" s="37"/>
      <c r="K215" s="37"/>
      <c r="L215" s="37"/>
      <c r="M215" s="37"/>
      <c r="N215" s="37"/>
      <c r="O215" s="37"/>
      <c r="P215" s="37"/>
      <c r="Q215" s="37"/>
      <c r="R215" s="37"/>
      <c r="AA215" s="75">
        <v>0</v>
      </c>
      <c r="AB215" s="75">
        <v>0</v>
      </c>
      <c r="AC215" s="75">
        <v>0</v>
      </c>
      <c r="AD215" s="75">
        <v>0</v>
      </c>
      <c r="AE215" s="75">
        <v>0</v>
      </c>
      <c r="AF215" s="75">
        <v>0</v>
      </c>
      <c r="AG215" s="75">
        <v>0</v>
      </c>
      <c r="AH215" s="75">
        <v>0</v>
      </c>
      <c r="AI215" s="75">
        <v>0</v>
      </c>
      <c r="AJ215" s="75">
        <v>0</v>
      </c>
      <c r="AK215" s="75">
        <v>0</v>
      </c>
      <c r="AL215" s="75">
        <v>5.1766865692758459E-4</v>
      </c>
      <c r="AM215" s="75">
        <v>1.9204062824229162E-4</v>
      </c>
      <c r="AN215" s="75">
        <v>4.8350857461530052E-5</v>
      </c>
      <c r="AO215" s="75">
        <v>4.500773489841328E-5</v>
      </c>
      <c r="AP215" s="75">
        <v>8.7312268679143746E-5</v>
      </c>
      <c r="AQ215" s="75">
        <v>5.80313678010669E-5</v>
      </c>
      <c r="AR215" s="75">
        <v>3.2755386220686272E-5</v>
      </c>
      <c r="AS215" s="75">
        <v>2.8676927282345623E-5</v>
      </c>
      <c r="AT215" s="75">
        <v>8.3633363872534646E-5</v>
      </c>
      <c r="AU215" s="75">
        <v>6.0368272228009194E-5</v>
      </c>
      <c r="AV215" s="75">
        <v>1.957666759801707E-5</v>
      </c>
      <c r="AW215" s="75">
        <v>1.8612860500771675E-5</v>
      </c>
      <c r="AX215" s="75">
        <v>6.8031405615536614E-5</v>
      </c>
      <c r="AY215" s="75">
        <v>1.1694118509136079E-4</v>
      </c>
      <c r="AZ215" s="75">
        <v>2.3137344429435916E-5</v>
      </c>
      <c r="BA215" s="75">
        <v>1.298434559855662E-5</v>
      </c>
      <c r="BB215" s="75">
        <v>1.6360879399829882E-5</v>
      </c>
      <c r="BC215" s="75">
        <v>1.9854251243993234E-5</v>
      </c>
      <c r="BD215" s="75">
        <v>8.3374135706588628E-6</v>
      </c>
      <c r="BE215" s="75">
        <v>6.4389540559426685E-5</v>
      </c>
      <c r="BF215" s="75">
        <v>3.9389166505901249E-5</v>
      </c>
      <c r="BG215" s="75"/>
    </row>
    <row r="216" spans="2:83" hidden="1" outlineLevel="1" x14ac:dyDescent="0.25">
      <c r="B216" s="37" t="s">
        <v>72</v>
      </c>
      <c r="C216" s="37"/>
      <c r="D216" s="37"/>
      <c r="E216" s="37"/>
      <c r="F216" s="37"/>
      <c r="G216" s="37"/>
      <c r="H216" s="37"/>
      <c r="I216" s="37"/>
      <c r="J216" s="37"/>
      <c r="K216" s="37"/>
      <c r="L216" s="37"/>
      <c r="M216" s="37"/>
      <c r="N216" s="37"/>
      <c r="O216" s="37"/>
      <c r="P216" s="37"/>
      <c r="Q216" s="37"/>
      <c r="R216" s="37"/>
      <c r="AA216" s="75">
        <v>0.22309281665752193</v>
      </c>
      <c r="AB216" s="75">
        <v>0.17040201161027624</v>
      </c>
      <c r="AC216" s="75">
        <v>0.55514804456661115</v>
      </c>
      <c r="AD216" s="75">
        <v>0.20793673627411732</v>
      </c>
      <c r="AE216" s="75">
        <v>0.17652188883992659</v>
      </c>
      <c r="AF216" s="75">
        <v>4.8052705359243081E-2</v>
      </c>
      <c r="AG216" s="75">
        <v>4.4925691501993277E-2</v>
      </c>
      <c r="AH216" s="75">
        <v>8.9648677674413743E-2</v>
      </c>
      <c r="AI216" s="75">
        <v>0.17033237660720593</v>
      </c>
      <c r="AJ216" s="75">
        <v>0.10775441765969247</v>
      </c>
      <c r="AK216" s="75">
        <v>0.3466283639561808</v>
      </c>
      <c r="AL216" s="75">
        <v>0.12857804739311152</v>
      </c>
      <c r="AM216" s="75">
        <v>0.14658174266864235</v>
      </c>
      <c r="AN216" s="75">
        <v>3.1725568419141502E-2</v>
      </c>
      <c r="AO216" s="75">
        <v>2.6233398631970578E-2</v>
      </c>
      <c r="AP216" s="75">
        <v>4.5111090019258594E-2</v>
      </c>
      <c r="AQ216" s="75">
        <v>4.207176560940698E-2</v>
      </c>
      <c r="AR216" s="75">
        <v>2.3708693231794829E-2</v>
      </c>
      <c r="AS216" s="75">
        <v>2.1369504586655718E-2</v>
      </c>
      <c r="AT216" s="75">
        <v>4.6143517096990383E-2</v>
      </c>
      <c r="AU216" s="75">
        <v>0.128070807402449</v>
      </c>
      <c r="AV216" s="75">
        <v>0.11242357946291966</v>
      </c>
      <c r="AW216" s="75">
        <v>0.42650276391786895</v>
      </c>
      <c r="AX216" s="75">
        <v>9.4847237032596107E-2</v>
      </c>
      <c r="AY216" s="75">
        <v>6.3382768562165431E-2</v>
      </c>
      <c r="AZ216" s="75">
        <v>2.1598972489728693E-2</v>
      </c>
      <c r="BA216" s="75">
        <v>2.9327430120587115E-2</v>
      </c>
      <c r="BB216" s="75">
        <v>2.8510434970292677E-2</v>
      </c>
      <c r="BC216" s="75">
        <v>1.754341203630513E-2</v>
      </c>
      <c r="BD216" s="75">
        <v>9.5096974480469824E-3</v>
      </c>
      <c r="BE216" s="75">
        <v>2.6401272881643255E-2</v>
      </c>
      <c r="BF216" s="75">
        <v>4.562056416195176E-2</v>
      </c>
      <c r="BG216" s="75"/>
    </row>
    <row r="217" spans="2:83" hidden="1" outlineLevel="1" x14ac:dyDescent="0.25">
      <c r="B217" s="37" t="s">
        <v>135</v>
      </c>
      <c r="C217" s="37"/>
      <c r="D217" s="37"/>
      <c r="E217" s="37"/>
      <c r="F217" s="37"/>
      <c r="G217" s="37"/>
      <c r="H217" s="37"/>
      <c r="I217" s="37"/>
      <c r="J217" s="37"/>
      <c r="K217" s="37"/>
      <c r="L217" s="37"/>
      <c r="M217" s="37"/>
      <c r="N217" s="37"/>
      <c r="O217" s="37"/>
      <c r="P217" s="37"/>
      <c r="Q217" s="37"/>
      <c r="R217" s="37"/>
      <c r="AA217" s="75">
        <v>8.1157651791520402E-2</v>
      </c>
      <c r="AB217" s="75">
        <v>2.8362417394318752E-2</v>
      </c>
      <c r="AC217" s="75">
        <v>2.7485553971863558E-2</v>
      </c>
      <c r="AD217" s="75">
        <v>3.7969456539019023E-2</v>
      </c>
      <c r="AE217" s="75">
        <v>0.10985638119861153</v>
      </c>
      <c r="AF217" s="75">
        <v>5.6301442693923689E-2</v>
      </c>
      <c r="AG217" s="75">
        <v>0.30814088169638226</v>
      </c>
      <c r="AH217" s="75">
        <v>0.11842168293191638</v>
      </c>
      <c r="AI217" s="75">
        <v>7.1616643151350468E-2</v>
      </c>
      <c r="AJ217" s="75">
        <v>2.1145422280498212E-2</v>
      </c>
      <c r="AK217" s="75">
        <v>2.5872288665391225E-2</v>
      </c>
      <c r="AL217" s="75">
        <v>2.3701994513100007E-2</v>
      </c>
      <c r="AM217" s="75">
        <v>9.5171215619863733E-2</v>
      </c>
      <c r="AN217" s="75">
        <v>2.2142288117685188E-2</v>
      </c>
      <c r="AO217" s="75">
        <v>0.44249057304627809</v>
      </c>
      <c r="AP217" s="75">
        <v>0.2448889367880592</v>
      </c>
      <c r="AQ217" s="75">
        <v>0.22213483170336465</v>
      </c>
      <c r="AR217" s="75">
        <v>8.8394027866139716E-2</v>
      </c>
      <c r="AS217" s="75">
        <v>0.19412950745006113</v>
      </c>
      <c r="AT217" s="75">
        <v>0.15506454687232082</v>
      </c>
      <c r="AU217" s="75">
        <v>5.1108794874191302E-2</v>
      </c>
      <c r="AV217" s="75">
        <v>1.7575237290255754E-2</v>
      </c>
      <c r="AW217" s="75">
        <v>2.1652257257209588E-2</v>
      </c>
      <c r="AX217" s="75">
        <v>7.9453469187959563E-2</v>
      </c>
      <c r="AY217" s="75">
        <v>0.11620330128506169</v>
      </c>
      <c r="AZ217" s="75">
        <v>1.7835773480002204E-2</v>
      </c>
      <c r="BA217" s="75">
        <v>3.9073733668271979E-2</v>
      </c>
      <c r="BB217" s="75">
        <v>9.8522216116793807E-2</v>
      </c>
      <c r="BC217" s="75">
        <v>0.548260511449713</v>
      </c>
      <c r="BD217" s="75">
        <v>4.5033737536382554E-2</v>
      </c>
      <c r="BE217" s="75">
        <v>8.1206861077474643E-2</v>
      </c>
      <c r="BF217" s="75">
        <v>0.12399008967809455</v>
      </c>
      <c r="BG217" s="75"/>
    </row>
    <row r="218" spans="2:83" hidden="1" outlineLevel="1" x14ac:dyDescent="0.25">
      <c r="B218" s="22"/>
      <c r="C218" s="22"/>
      <c r="D218" s="22"/>
      <c r="E218" s="22"/>
      <c r="F218" s="22"/>
      <c r="G218" s="22"/>
      <c r="H218" s="22"/>
      <c r="I218" s="22"/>
      <c r="J218" s="22"/>
      <c r="K218" s="22"/>
      <c r="L218" s="22"/>
      <c r="M218" s="22"/>
      <c r="N218" s="22"/>
      <c r="O218" s="22"/>
      <c r="P218" s="22"/>
      <c r="Q218" s="22"/>
      <c r="R218" s="22"/>
    </row>
    <row r="219" spans="2:83" hidden="1" outlineLevel="1" x14ac:dyDescent="0.25">
      <c r="B219" s="22" t="s">
        <v>213</v>
      </c>
      <c r="C219" s="22"/>
      <c r="D219" s="22"/>
      <c r="E219" s="22"/>
      <c r="F219" s="22"/>
      <c r="G219" s="22"/>
      <c r="H219" s="22"/>
      <c r="I219" s="22"/>
      <c r="J219" s="22"/>
      <c r="K219" s="22"/>
      <c r="L219" s="22"/>
      <c r="M219" s="22"/>
      <c r="N219" s="22"/>
      <c r="O219" s="22"/>
      <c r="P219" s="22"/>
      <c r="Q219" s="22"/>
      <c r="R219" s="22"/>
    </row>
    <row r="220" spans="2:83" s="10" customFormat="1" hidden="1" outlineLevel="1" x14ac:dyDescent="0.25">
      <c r="B220" s="57" t="s">
        <v>210</v>
      </c>
      <c r="C220" s="57"/>
      <c r="D220" s="57"/>
      <c r="E220" s="57"/>
      <c r="F220" s="57"/>
      <c r="G220" s="57"/>
      <c r="H220" s="57"/>
      <c r="I220" s="57"/>
      <c r="J220" s="57"/>
      <c r="K220" s="57"/>
      <c r="L220" s="57"/>
      <c r="M220" s="57"/>
      <c r="N220" s="57"/>
      <c r="O220" s="57"/>
      <c r="P220" s="57"/>
      <c r="Q220" s="57"/>
      <c r="R220" s="57"/>
      <c r="W220" s="133">
        <f t="shared" ref="W220:BF220" si="234">+W211/S211-1</f>
        <v>0.18309859154929575</v>
      </c>
      <c r="X220" s="133">
        <f t="shared" si="234"/>
        <v>-5.3191489361702149E-2</v>
      </c>
      <c r="Y220" s="133">
        <f t="shared" si="234"/>
        <v>0.39285714285714279</v>
      </c>
      <c r="Z220" s="133">
        <f t="shared" si="234"/>
        <v>0.17543859649122817</v>
      </c>
      <c r="AA220" s="133">
        <f t="shared" si="234"/>
        <v>0</v>
      </c>
      <c r="AB220" s="133">
        <f t="shared" si="234"/>
        <v>4.4943820224719211E-2</v>
      </c>
      <c r="AC220" s="133">
        <f t="shared" si="234"/>
        <v>0.82051282051282048</v>
      </c>
      <c r="AD220" s="133">
        <f t="shared" si="234"/>
        <v>0.43283582089552231</v>
      </c>
      <c r="AE220" s="133">
        <f t="shared" si="234"/>
        <v>0.3214285714285714</v>
      </c>
      <c r="AF220" s="133">
        <f t="shared" si="234"/>
        <v>0.27956989247311825</v>
      </c>
      <c r="AG220" s="133">
        <f t="shared" si="234"/>
        <v>-0.26760563380281688</v>
      </c>
      <c r="AH220" s="133">
        <f t="shared" si="234"/>
        <v>5.2083333333332593E-3</v>
      </c>
      <c r="AI220" s="133">
        <f t="shared" si="234"/>
        <v>-0.13513513513513509</v>
      </c>
      <c r="AJ220" s="133">
        <f t="shared" si="234"/>
        <v>0.31932773109243695</v>
      </c>
      <c r="AK220" s="133">
        <f t="shared" si="234"/>
        <v>5.0000000000000044E-2</v>
      </c>
      <c r="AL220" s="133">
        <f t="shared" si="234"/>
        <v>0.10880829015544036</v>
      </c>
      <c r="AM220" s="133">
        <f t="shared" si="234"/>
        <v>-0.20833333333333337</v>
      </c>
      <c r="AN220" s="133">
        <f t="shared" si="234"/>
        <v>0.12101910828025475</v>
      </c>
      <c r="AO220" s="133">
        <f t="shared" si="234"/>
        <v>0.16117216117216127</v>
      </c>
      <c r="AP220" s="133">
        <f t="shared" si="234"/>
        <v>-0.11214953271028039</v>
      </c>
      <c r="AQ220" s="133">
        <f t="shared" si="234"/>
        <v>1.8684210526315788</v>
      </c>
      <c r="AR220" s="133">
        <f t="shared" si="234"/>
        <v>-8.5227272727272707E-2</v>
      </c>
      <c r="AS220" s="133">
        <f t="shared" si="234"/>
        <v>0.26182965299684535</v>
      </c>
      <c r="AT220" s="133">
        <f t="shared" si="234"/>
        <v>-0.12631578947368416</v>
      </c>
      <c r="AU220" s="133">
        <f t="shared" si="234"/>
        <v>4.587155963302747E-2</v>
      </c>
      <c r="AV220" s="133">
        <f t="shared" si="234"/>
        <v>1.31055900621118</v>
      </c>
      <c r="AW220" s="133">
        <f t="shared" si="234"/>
        <v>0.44750000000000001</v>
      </c>
      <c r="AX220" s="133">
        <f t="shared" si="234"/>
        <v>0.25903614457831314</v>
      </c>
      <c r="AY220" s="133">
        <f t="shared" si="234"/>
        <v>-0.44736842105263153</v>
      </c>
      <c r="AZ220" s="133">
        <f t="shared" si="234"/>
        <v>-7.2580645161290369E-2</v>
      </c>
      <c r="BA220" s="133">
        <f t="shared" si="234"/>
        <v>-0.19170984455958551</v>
      </c>
      <c r="BB220" s="133">
        <f t="shared" si="234"/>
        <v>0.19617224880382778</v>
      </c>
      <c r="BC220" s="133">
        <f t="shared" si="234"/>
        <v>1.2222222222222223</v>
      </c>
      <c r="BD220" s="133">
        <f t="shared" si="234"/>
        <v>7.2463768115942129E-2</v>
      </c>
      <c r="BE220" s="133">
        <f t="shared" si="234"/>
        <v>-1.0683760683760646E-2</v>
      </c>
      <c r="BF220" s="133">
        <f t="shared" si="234"/>
        <v>-8.7999999999999967E-2</v>
      </c>
      <c r="CE220"/>
    </row>
    <row r="221" spans="2:83" hidden="1" outlineLevel="1" x14ac:dyDescent="0.25">
      <c r="B221" s="37" t="s">
        <v>154</v>
      </c>
      <c r="C221" s="37"/>
      <c r="D221" s="37"/>
      <c r="E221" s="37"/>
      <c r="F221" s="37"/>
      <c r="G221" s="37"/>
      <c r="H221" s="37"/>
      <c r="I221" s="37"/>
      <c r="J221" s="37"/>
      <c r="K221" s="37"/>
      <c r="L221" s="37"/>
      <c r="M221" s="37"/>
      <c r="N221" s="37"/>
      <c r="O221" s="37"/>
      <c r="P221" s="37"/>
      <c r="Q221" s="37"/>
      <c r="R221" s="37"/>
      <c r="AE221" s="75">
        <v>2.1832326776219988</v>
      </c>
      <c r="AF221" s="75">
        <v>3.2584520703984943</v>
      </c>
      <c r="AG221" s="75">
        <v>2.4226769330688547</v>
      </c>
      <c r="AH221" s="75">
        <v>0.44486079541817114</v>
      </c>
      <c r="AI221" s="75">
        <v>0.69897172179606093</v>
      </c>
      <c r="AJ221" s="75">
        <v>0.24183882081554042</v>
      </c>
      <c r="AK221" s="75">
        <v>0.33120367392686534</v>
      </c>
      <c r="AL221" s="75">
        <v>0.23394095726734632</v>
      </c>
      <c r="AM221" s="75">
        <v>-0.13830354526703736</v>
      </c>
      <c r="AN221" s="75">
        <v>0.21547267187578178</v>
      </c>
      <c r="AO221" s="75">
        <v>1.9432636276327075E-2</v>
      </c>
      <c r="AP221" s="75">
        <v>0.61763412972557785</v>
      </c>
      <c r="AQ221" s="75">
        <v>1.6363777600537328</v>
      </c>
      <c r="AR221" s="75">
        <v>-0.49088753984859046</v>
      </c>
      <c r="AS221" s="75">
        <v>2.7358078430777217</v>
      </c>
      <c r="AT221" s="75">
        <v>0.35749205743247403</v>
      </c>
      <c r="AU221" s="75">
        <v>-0.40371077384191201</v>
      </c>
      <c r="AV221" s="75">
        <v>3.8468428500833847</v>
      </c>
      <c r="AW221" s="75">
        <v>-4.8077872117132325E-2</v>
      </c>
      <c r="AX221" s="75">
        <v>0.27675958807477152</v>
      </c>
      <c r="AY221" s="75">
        <v>0.10079692237117444</v>
      </c>
      <c r="AZ221" s="75">
        <v>0.31124144154003752</v>
      </c>
      <c r="BA221" s="75">
        <v>0.42748129233750332</v>
      </c>
      <c r="BB221" s="75">
        <v>0.41883925324450511</v>
      </c>
      <c r="BC221" s="75">
        <v>0.90729248768421722</v>
      </c>
      <c r="BD221" s="75">
        <v>0.34162221407223581</v>
      </c>
      <c r="BE221" s="75">
        <v>-0.13531558480234529</v>
      </c>
      <c r="BF221" s="75">
        <v>-5.05714765105576E-2</v>
      </c>
      <c r="BG221" s="75"/>
    </row>
    <row r="222" spans="2:83" hidden="1" outlineLevel="1" x14ac:dyDescent="0.25">
      <c r="B222" s="37" t="s">
        <v>111</v>
      </c>
      <c r="C222" s="37"/>
      <c r="D222" s="37"/>
      <c r="E222" s="37"/>
      <c r="F222" s="37"/>
      <c r="G222" s="37"/>
      <c r="H222" s="37"/>
      <c r="I222" s="37"/>
      <c r="J222" s="37"/>
      <c r="K222" s="37"/>
      <c r="L222" s="37"/>
      <c r="M222" s="37"/>
      <c r="N222" s="37"/>
      <c r="O222" s="37"/>
      <c r="P222" s="37"/>
      <c r="Q222" s="37"/>
      <c r="R222" s="37"/>
      <c r="AE222" s="75">
        <v>1.6566107251282434</v>
      </c>
      <c r="AF222" s="75">
        <v>0.81355481122001705</v>
      </c>
      <c r="AG222" s="75">
        <v>0.82614376743571905</v>
      </c>
      <c r="AH222" s="75">
        <v>0.15989037920626736</v>
      </c>
      <c r="AI222" s="75">
        <v>-3.2158253791543023E-2</v>
      </c>
      <c r="AJ222" s="75">
        <v>0.28755212695691412</v>
      </c>
      <c r="AK222" s="75">
        <v>0.24926918445871515</v>
      </c>
      <c r="AL222" s="75">
        <v>0.31869017501427876</v>
      </c>
      <c r="AM222" s="75">
        <v>0.72021080381865121</v>
      </c>
      <c r="AN222" s="75">
        <v>0.45786320962350113</v>
      </c>
      <c r="AO222" s="75">
        <v>0.50516536505475229</v>
      </c>
      <c r="AP222" s="75">
        <v>0.37739317041672171</v>
      </c>
      <c r="AQ222" s="75">
        <v>1.8998904890387913</v>
      </c>
      <c r="AR222" s="75">
        <v>0.25837102819705948</v>
      </c>
      <c r="AS222" s="75">
        <v>0.69404478376771461</v>
      </c>
      <c r="AT222" s="75">
        <v>0.58154416907382855</v>
      </c>
      <c r="AU222" s="75">
        <v>-0.55507997737381065</v>
      </c>
      <c r="AV222" s="75">
        <v>0.2524808748500289</v>
      </c>
      <c r="AW222" s="75">
        <v>0.29485134006357017</v>
      </c>
      <c r="AX222" s="75">
        <v>0.13260022324419585</v>
      </c>
      <c r="AY222" s="75">
        <v>0.59987976887119965</v>
      </c>
      <c r="AZ222" s="75">
        <v>0.32892585317996592</v>
      </c>
      <c r="BA222" s="75">
        <v>0.2996921927409073</v>
      </c>
      <c r="BB222" s="75">
        <v>0.36423055503985635</v>
      </c>
      <c r="BC222" s="75">
        <v>0.35682693700809986</v>
      </c>
      <c r="BD222" s="75">
        <v>0.26351733522680276</v>
      </c>
      <c r="BE222" s="75">
        <v>0.17467997176265238</v>
      </c>
      <c r="BF222" s="75">
        <v>0.31840268709905151</v>
      </c>
      <c r="BG222" s="75"/>
    </row>
    <row r="223" spans="2:83" hidden="1" outlineLevel="1" x14ac:dyDescent="0.25">
      <c r="B223" s="37" t="s">
        <v>211</v>
      </c>
      <c r="C223" s="37"/>
      <c r="D223" s="37"/>
      <c r="E223" s="37"/>
      <c r="F223" s="37"/>
      <c r="G223" s="37"/>
      <c r="H223" s="37"/>
      <c r="I223" s="37"/>
      <c r="J223" s="37"/>
      <c r="K223" s="37"/>
      <c r="L223" s="37"/>
      <c r="M223" s="37"/>
      <c r="N223" s="37"/>
      <c r="O223" s="37"/>
      <c r="P223" s="37"/>
      <c r="Q223" s="37"/>
      <c r="R223" s="37"/>
      <c r="AE223" s="75">
        <v>0.22999245212424513</v>
      </c>
      <c r="AF223" s="75">
        <v>0.74453383417722963</v>
      </c>
      <c r="AG223" s="75">
        <v>2.7393127879182466</v>
      </c>
      <c r="AH223" s="75">
        <v>0.84392171585065534</v>
      </c>
      <c r="AI223" s="75">
        <v>0.48954219125182408</v>
      </c>
      <c r="AJ223" s="75">
        <v>0.18514443090168786</v>
      </c>
      <c r="AK223" s="75">
        <v>-0.50054983372493378</v>
      </c>
      <c r="AL223" s="75">
        <v>-0.27088517343487739</v>
      </c>
      <c r="AM223" s="75">
        <v>-0.16632020068636255</v>
      </c>
      <c r="AN223" s="75">
        <v>-0.22992931776682213</v>
      </c>
      <c r="AO223" s="75">
        <v>-0.12266618232237592</v>
      </c>
      <c r="AP223" s="75">
        <v>1.0604394877467764</v>
      </c>
      <c r="AQ223" s="75">
        <v>1.7735283438810709</v>
      </c>
      <c r="AR223" s="75">
        <v>0.48423351853648389</v>
      </c>
      <c r="AS223" s="75">
        <v>0.38966187578395339</v>
      </c>
      <c r="AT223" s="75">
        <v>-0.47156362156217435</v>
      </c>
      <c r="AU223" s="75">
        <v>-0.50194538738372507</v>
      </c>
      <c r="AV223" s="75">
        <v>0.10176436481787676</v>
      </c>
      <c r="AW223" s="75">
        <v>-0.10833001908637763</v>
      </c>
      <c r="AX223" s="75">
        <v>-8.7019354481283617E-3</v>
      </c>
      <c r="AY223" s="75">
        <v>8.614231923972282E-2</v>
      </c>
      <c r="AZ223" s="75">
        <v>8.9808657674872228E-2</v>
      </c>
      <c r="BA223" s="75">
        <v>-0.84470571422785767</v>
      </c>
      <c r="BB223" s="75">
        <v>-0.95687722859812485</v>
      </c>
      <c r="BC223" s="75">
        <v>-0.94704778600242778</v>
      </c>
      <c r="BD223" s="75">
        <v>-0.95845068874718342</v>
      </c>
      <c r="BE223" s="75">
        <v>-0.70246640824415041</v>
      </c>
      <c r="BF223" s="75">
        <v>0.85604388683861399</v>
      </c>
      <c r="BG223" s="75"/>
    </row>
    <row r="224" spans="2:83" hidden="1" outlineLevel="1" x14ac:dyDescent="0.25">
      <c r="B224" s="37" t="s">
        <v>152</v>
      </c>
      <c r="C224" s="37"/>
      <c r="D224" s="37"/>
      <c r="E224" s="37"/>
      <c r="F224" s="37"/>
      <c r="G224" s="37"/>
      <c r="H224" s="37"/>
      <c r="I224" s="37"/>
      <c r="J224" s="37"/>
      <c r="K224" s="37"/>
      <c r="L224" s="37"/>
      <c r="M224" s="37"/>
      <c r="N224" s="37"/>
      <c r="O224" s="37"/>
      <c r="P224" s="37"/>
      <c r="Q224" s="37"/>
      <c r="R224" s="37"/>
      <c r="AE224" s="75" t="s">
        <v>215</v>
      </c>
      <c r="AF224" s="75" t="s">
        <v>215</v>
      </c>
      <c r="AG224" s="75" t="s">
        <v>215</v>
      </c>
      <c r="AH224" s="75" t="s">
        <v>215</v>
      </c>
      <c r="AI224" s="75" t="s">
        <v>215</v>
      </c>
      <c r="AJ224" s="75" t="s">
        <v>215</v>
      </c>
      <c r="AK224" s="75" t="s">
        <v>215</v>
      </c>
      <c r="AL224" s="75" t="s">
        <v>215</v>
      </c>
      <c r="AM224" s="75" t="s">
        <v>215</v>
      </c>
      <c r="AN224" s="75" t="s">
        <v>215</v>
      </c>
      <c r="AO224" s="75" t="s">
        <v>215</v>
      </c>
      <c r="AP224" s="75">
        <v>-0.82900217461287296</v>
      </c>
      <c r="AQ224" s="75">
        <v>-0.16822429906542069</v>
      </c>
      <c r="AR224" s="75">
        <v>-0.2325581395348838</v>
      </c>
      <c r="AS224" s="75">
        <v>-0.1100000000000001</v>
      </c>
      <c r="AT224" s="75">
        <v>0.17757009345794406</v>
      </c>
      <c r="AU224" s="75">
        <v>0.43820224719101142</v>
      </c>
      <c r="AV224" s="75">
        <v>0.27272727272727271</v>
      </c>
      <c r="AW224" s="75">
        <v>2.2471910112359605E-2</v>
      </c>
      <c r="AX224" s="75">
        <v>-0.15079365079365081</v>
      </c>
      <c r="AY224" s="75">
        <v>0.1328125</v>
      </c>
      <c r="AZ224" s="75">
        <v>0.3055555555555558</v>
      </c>
      <c r="BA224" s="75">
        <v>-0.41758241758241754</v>
      </c>
      <c r="BB224" s="75">
        <v>-0.61031975487700629</v>
      </c>
      <c r="BC224" s="75">
        <v>-0.49885057471264371</v>
      </c>
      <c r="BD224" s="75">
        <v>-0.54407294832826758</v>
      </c>
      <c r="BE224" s="75">
        <v>4.0754716981132084</v>
      </c>
      <c r="BF224" s="75">
        <v>1.0065976501520009</v>
      </c>
      <c r="BG224" s="75"/>
    </row>
    <row r="225" spans="1:111" hidden="1" outlineLevel="1" x14ac:dyDescent="0.25">
      <c r="B225" s="37" t="s">
        <v>72</v>
      </c>
      <c r="C225" s="37"/>
      <c r="D225" s="37"/>
      <c r="E225" s="37"/>
      <c r="F225" s="37"/>
      <c r="G225" s="37"/>
      <c r="H225" s="37"/>
      <c r="I225" s="37"/>
      <c r="J225" s="37"/>
      <c r="K225" s="37"/>
      <c r="L225" s="37"/>
      <c r="M225" s="37"/>
      <c r="N225" s="37"/>
      <c r="O225" s="37"/>
      <c r="P225" s="37"/>
      <c r="Q225" s="37"/>
      <c r="R225" s="37"/>
      <c r="AE225" s="75">
        <v>0.40854747201268804</v>
      </c>
      <c r="AF225" s="75">
        <v>-0.36821448170000515</v>
      </c>
      <c r="AG225" s="75">
        <v>-0.90777197503579732</v>
      </c>
      <c r="AH225" s="75">
        <v>-0.59839173152389613</v>
      </c>
      <c r="AI225" s="75">
        <v>0.21771508174611731</v>
      </c>
      <c r="AJ225" s="75">
        <v>1.8312842921279007</v>
      </c>
      <c r="AK225" s="75">
        <v>6.330686255056106</v>
      </c>
      <c r="AL225" s="75">
        <v>1.0410199193537766</v>
      </c>
      <c r="AM225" s="75">
        <v>-0.21377940292114617</v>
      </c>
      <c r="AN225" s="75">
        <v>-0.6544437671014447</v>
      </c>
      <c r="AO225" s="75">
        <v>-0.87333424224404566</v>
      </c>
      <c r="AP225" s="75">
        <v>-0.64430015154342368</v>
      </c>
      <c r="AQ225" s="75">
        <v>-0.20996306097833506</v>
      </c>
      <c r="AR225" s="75">
        <v>-0.15342557288722714</v>
      </c>
      <c r="AS225" s="75">
        <v>0.13784850607331456</v>
      </c>
      <c r="AT225" s="75">
        <v>0.25750536836941618</v>
      </c>
      <c r="AU225" s="75">
        <v>3.2085591258389545</v>
      </c>
      <c r="AV225" s="75">
        <v>9.0978542918993668</v>
      </c>
      <c r="AW225" s="75">
        <v>30.441139268588117</v>
      </c>
      <c r="AX225" s="75">
        <v>1.1458400365455037</v>
      </c>
      <c r="AY225" s="75">
        <v>-0.7105854600186714</v>
      </c>
      <c r="AZ225" s="75">
        <v>-0.78777512088358659</v>
      </c>
      <c r="BA225" s="75">
        <v>-0.94259103833213942</v>
      </c>
      <c r="BB225" s="75">
        <v>-0.51293115671211442</v>
      </c>
      <c r="BC225" s="75">
        <v>-0.18299620774993663</v>
      </c>
      <c r="BD225" s="75">
        <v>-0.44292824820988463</v>
      </c>
      <c r="BE225" s="75">
        <v>-7.8634369475907961E-2</v>
      </c>
      <c r="BF225" s="75">
        <v>0.33366563315565978</v>
      </c>
      <c r="BG225" s="75"/>
    </row>
    <row r="226" spans="1:111" hidden="1" outlineLevel="1" x14ac:dyDescent="0.25">
      <c r="B226" s="37" t="s">
        <v>135</v>
      </c>
      <c r="C226" s="37"/>
      <c r="D226" s="37"/>
      <c r="E226" s="37"/>
      <c r="F226" s="37"/>
      <c r="G226" s="37"/>
      <c r="H226" s="37"/>
      <c r="I226" s="37"/>
      <c r="J226" s="37"/>
      <c r="K226" s="37"/>
      <c r="L226" s="37"/>
      <c r="M226" s="37"/>
      <c r="N226" s="37"/>
      <c r="O226" s="37"/>
      <c r="P226" s="37"/>
      <c r="Q226" s="37"/>
      <c r="R226" s="37"/>
      <c r="AE226" s="75">
        <v>1.4096519929087989</v>
      </c>
      <c r="AF226" s="75">
        <v>3.4473654752663929</v>
      </c>
      <c r="AG226" s="75">
        <v>11.77679064256608</v>
      </c>
      <c r="AH226" s="75">
        <v>1.9052721992415997</v>
      </c>
      <c r="AI226" s="75">
        <v>-0.177310950319852</v>
      </c>
      <c r="AJ226" s="75">
        <v>-0.5257983314957424</v>
      </c>
      <c r="AK226" s="75">
        <v>-0.92022609841578562</v>
      </c>
      <c r="AL226" s="75">
        <v>-0.71517508946150421</v>
      </c>
      <c r="AM226" s="75">
        <v>0.21409703487129406</v>
      </c>
      <c r="AN226" s="75">
        <v>0.22899619430111295</v>
      </c>
      <c r="AO226" s="75">
        <v>27.624501946188357</v>
      </c>
      <c r="AP226" s="75">
        <v>9.4749379184038371</v>
      </c>
      <c r="AQ226" s="75">
        <v>5.4246220889588352</v>
      </c>
      <c r="AR226" s="75">
        <v>3.5223832759932785</v>
      </c>
      <c r="AS226" s="75">
        <v>-0.38718120263626266</v>
      </c>
      <c r="AT226" s="75">
        <v>-0.22155878142420826</v>
      </c>
      <c r="AU226" s="75">
        <v>-0.68190781366358999</v>
      </c>
      <c r="AV226" s="75">
        <v>-0.57659344069212159</v>
      </c>
      <c r="AW226" s="75">
        <v>-0.8242956538655275</v>
      </c>
      <c r="AX226" s="75">
        <v>-0.46508632116080706</v>
      </c>
      <c r="AY226" s="75">
        <v>0.32960339066187272</v>
      </c>
      <c r="AZ226" s="75">
        <v>0.12101484304840415</v>
      </c>
      <c r="BA226" s="75">
        <v>0.50663921401718581</v>
      </c>
      <c r="BB226" s="75">
        <v>1.0092431575397605</v>
      </c>
      <c r="BC226" s="75">
        <v>12.92674791387935</v>
      </c>
      <c r="BD226" s="75">
        <v>2.1946521158965249</v>
      </c>
      <c r="BE226" s="75">
        <v>1.1271051663142324</v>
      </c>
      <c r="BF226" s="75">
        <v>4.8921418656333815E-2</v>
      </c>
      <c r="BG226" s="75"/>
    </row>
    <row r="227" spans="1:111" hidden="1" outlineLevel="1" x14ac:dyDescent="0.25">
      <c r="B227" s="22"/>
      <c r="C227" s="22"/>
      <c r="D227" s="22"/>
      <c r="E227" s="22"/>
      <c r="F227" s="22"/>
      <c r="G227" s="22"/>
      <c r="H227" s="22"/>
      <c r="I227" s="22"/>
      <c r="J227" s="22"/>
      <c r="K227" s="22"/>
      <c r="L227" s="22"/>
      <c r="M227" s="22"/>
      <c r="N227" s="22"/>
      <c r="O227" s="22"/>
      <c r="P227" s="22"/>
      <c r="Q227" s="22"/>
      <c r="R227" s="22"/>
      <c r="AF227" s="133"/>
      <c r="AG227" s="133"/>
      <c r="AH227" s="133"/>
      <c r="AI227" s="133"/>
      <c r="AJ227" s="133"/>
      <c r="AK227" s="133"/>
      <c r="AL227" s="133"/>
      <c r="AM227" s="133"/>
      <c r="AN227" s="133"/>
      <c r="AO227" s="133"/>
      <c r="AP227" s="133"/>
      <c r="AQ227" s="133"/>
      <c r="AR227" s="133"/>
      <c r="AS227" s="133"/>
      <c r="AT227" s="133"/>
      <c r="AU227" s="133"/>
      <c r="AV227" s="133"/>
      <c r="AW227" s="133"/>
      <c r="AX227" s="133"/>
      <c r="AY227" s="133"/>
      <c r="AZ227" s="133"/>
      <c r="BA227" s="133"/>
      <c r="BB227" s="133"/>
      <c r="BC227" s="133"/>
      <c r="BD227" s="133"/>
      <c r="BE227" s="133"/>
      <c r="BF227" s="133"/>
    </row>
    <row r="228" spans="1:111" ht="15" customHeight="1" collapsed="1" x14ac:dyDescent="0.25">
      <c r="A228" s="1" t="s">
        <v>18</v>
      </c>
      <c r="B228" s="16" t="s">
        <v>216</v>
      </c>
      <c r="C228" s="17"/>
      <c r="D228" s="17"/>
      <c r="E228" s="17"/>
      <c r="F228" s="17"/>
      <c r="G228" s="17"/>
      <c r="H228" s="17"/>
      <c r="I228" s="17"/>
      <c r="J228" s="17"/>
      <c r="K228" s="17"/>
      <c r="L228" s="17"/>
      <c r="M228" s="17"/>
      <c r="N228" s="17"/>
      <c r="O228" s="17"/>
      <c r="P228" s="17"/>
      <c r="Q228" s="17"/>
      <c r="R228" s="17"/>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35" t="s">
        <v>217</v>
      </c>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F228" s="19" t="str">
        <f>+B228</f>
        <v>INCOME STATEMENT</v>
      </c>
      <c r="CG228" s="20"/>
      <c r="CH228" s="20"/>
      <c r="CI228" s="20"/>
      <c r="CJ228" s="20"/>
      <c r="CK228" s="20"/>
      <c r="CL228" s="20"/>
      <c r="CM228" s="21" t="str">
        <f>+B228</f>
        <v>INCOME STATEMENT</v>
      </c>
      <c r="CN228" s="20"/>
      <c r="CO228" s="20"/>
      <c r="CP228" s="20"/>
      <c r="CQ228" s="136"/>
      <c r="CR228" s="20"/>
      <c r="CS228" s="20"/>
      <c r="CT228" s="20"/>
      <c r="CU228" s="20"/>
      <c r="CV228" s="20"/>
      <c r="CW228" s="20"/>
      <c r="CX228" s="20"/>
    </row>
    <row r="229" spans="1:111" ht="15" customHeight="1" x14ac:dyDescent="0.25">
      <c r="B229" t="s">
        <v>177</v>
      </c>
      <c r="S229" s="87">
        <f t="shared" ref="S229:BF229" si="235">+S516</f>
        <v>120</v>
      </c>
      <c r="T229" s="87">
        <f t="shared" si="235"/>
        <v>117</v>
      </c>
      <c r="U229" s="87">
        <f t="shared" si="235"/>
        <v>139</v>
      </c>
      <c r="V229" s="87">
        <f t="shared" si="235"/>
        <v>152</v>
      </c>
      <c r="W229" s="87">
        <f t="shared" si="235"/>
        <v>126</v>
      </c>
      <c r="X229" s="87">
        <f t="shared" si="235"/>
        <v>112</v>
      </c>
      <c r="Y229" s="87">
        <f t="shared" si="235"/>
        <v>163</v>
      </c>
      <c r="Z229" s="87">
        <f t="shared" si="235"/>
        <v>174</v>
      </c>
      <c r="AA229" s="87">
        <f t="shared" si="235"/>
        <v>141</v>
      </c>
      <c r="AB229" s="87">
        <f t="shared" si="235"/>
        <v>138</v>
      </c>
      <c r="AC229" s="87">
        <f t="shared" si="235"/>
        <v>175</v>
      </c>
      <c r="AD229" s="87">
        <f t="shared" si="235"/>
        <v>174</v>
      </c>
      <c r="AE229" s="87">
        <f t="shared" si="235"/>
        <v>151</v>
      </c>
      <c r="AF229" s="87">
        <f t="shared" si="235"/>
        <v>155</v>
      </c>
      <c r="AG229" s="87">
        <f t="shared" si="235"/>
        <v>187</v>
      </c>
      <c r="AH229" s="87">
        <f t="shared" si="235"/>
        <v>178</v>
      </c>
      <c r="AI229" s="87">
        <f t="shared" si="235"/>
        <v>191</v>
      </c>
      <c r="AJ229" s="87">
        <f t="shared" si="235"/>
        <v>196</v>
      </c>
      <c r="AK229" s="87">
        <f t="shared" si="235"/>
        <v>192</v>
      </c>
      <c r="AL229" s="87">
        <f t="shared" si="235"/>
        <v>188</v>
      </c>
      <c r="AM229" s="87">
        <f t="shared" si="235"/>
        <v>171</v>
      </c>
      <c r="AN229" s="87">
        <f t="shared" si="235"/>
        <v>166</v>
      </c>
      <c r="AO229" s="87">
        <f t="shared" si="235"/>
        <v>185</v>
      </c>
      <c r="AP229" s="87">
        <f t="shared" si="235"/>
        <v>190</v>
      </c>
      <c r="AQ229" s="87">
        <f t="shared" si="235"/>
        <v>226</v>
      </c>
      <c r="AR229" s="87">
        <f t="shared" si="235"/>
        <v>172</v>
      </c>
      <c r="AS229" s="87">
        <f t="shared" si="235"/>
        <v>191</v>
      </c>
      <c r="AT229" s="87">
        <f t="shared" si="235"/>
        <v>194</v>
      </c>
      <c r="AU229" s="87">
        <f t="shared" si="235"/>
        <v>272</v>
      </c>
      <c r="AV229" s="87">
        <f t="shared" si="235"/>
        <v>279</v>
      </c>
      <c r="AW229" s="87">
        <f t="shared" si="235"/>
        <v>320</v>
      </c>
      <c r="AX229" s="87">
        <f t="shared" si="235"/>
        <v>322</v>
      </c>
      <c r="AY229" s="87">
        <f t="shared" si="235"/>
        <v>314</v>
      </c>
      <c r="AZ229" s="87">
        <f t="shared" si="235"/>
        <v>296</v>
      </c>
      <c r="BA229" s="87">
        <f t="shared" si="235"/>
        <v>303</v>
      </c>
      <c r="BB229" s="87">
        <f t="shared" si="235"/>
        <v>331</v>
      </c>
      <c r="BC229" s="87">
        <f t="shared" si="235"/>
        <v>303</v>
      </c>
      <c r="BD229" s="87">
        <f t="shared" si="235"/>
        <v>279</v>
      </c>
      <c r="BE229" s="87">
        <f t="shared" si="235"/>
        <v>307</v>
      </c>
      <c r="BF229" s="87">
        <f t="shared" si="235"/>
        <v>298</v>
      </c>
      <c r="BG229" s="74">
        <v>290</v>
      </c>
      <c r="BH229" s="74">
        <v>287</v>
      </c>
      <c r="BI229" s="24">
        <f t="shared" ref="BI229:CD229" si="236">+BE229*(1+BI230)</f>
        <v>291.64999999999998</v>
      </c>
      <c r="BJ229" s="24">
        <f t="shared" si="236"/>
        <v>283.09999999999997</v>
      </c>
      <c r="BK229" s="24">
        <f t="shared" si="236"/>
        <v>287.10000000000002</v>
      </c>
      <c r="BL229" s="24">
        <f t="shared" si="236"/>
        <v>287</v>
      </c>
      <c r="BM229" s="24">
        <f t="shared" si="236"/>
        <v>300.39949999999999</v>
      </c>
      <c r="BN229" s="24">
        <f t="shared" si="236"/>
        <v>294.42399999999998</v>
      </c>
      <c r="BO229" s="24">
        <f t="shared" si="236"/>
        <v>301.45500000000004</v>
      </c>
      <c r="BP229" s="24">
        <f t="shared" si="236"/>
        <v>301.35000000000002</v>
      </c>
      <c r="BQ229" s="24">
        <f t="shared" si="236"/>
        <v>315.41947499999998</v>
      </c>
      <c r="BR229" s="24">
        <f t="shared" si="236"/>
        <v>309.14519999999999</v>
      </c>
      <c r="BS229" s="24">
        <f t="shared" si="236"/>
        <v>316.52775000000008</v>
      </c>
      <c r="BT229" s="24">
        <f t="shared" si="236"/>
        <v>316.41750000000002</v>
      </c>
      <c r="BU229" s="24">
        <f t="shared" si="236"/>
        <v>331.19044874999997</v>
      </c>
      <c r="BV229" s="24">
        <f t="shared" si="236"/>
        <v>324.60246000000001</v>
      </c>
      <c r="BW229" s="24">
        <f t="shared" si="236"/>
        <v>332.35413750000009</v>
      </c>
      <c r="BX229" s="24">
        <f t="shared" si="236"/>
        <v>332.23837500000002</v>
      </c>
      <c r="BY229" s="24">
        <f t="shared" si="236"/>
        <v>347.74997118749997</v>
      </c>
      <c r="BZ229" s="24">
        <f t="shared" si="236"/>
        <v>340.832583</v>
      </c>
      <c r="CA229" s="24">
        <f t="shared" si="236"/>
        <v>348.9718443750001</v>
      </c>
      <c r="CB229" s="24">
        <f t="shared" si="236"/>
        <v>348.85029375000005</v>
      </c>
      <c r="CC229" s="24">
        <f t="shared" si="236"/>
        <v>365.13746974687496</v>
      </c>
      <c r="CD229" s="24">
        <f t="shared" si="236"/>
        <v>357.87421215000001</v>
      </c>
      <c r="CG229" s="29"/>
      <c r="CH229" s="29"/>
      <c r="CI229" s="29">
        <f t="shared" ref="CI229:CP229" si="237">+SUMIFS($S229:$CD229,$S$5:$CD$5,"&lt;="&amp;CI$5,$S$5:$CD$5,"&gt;"&amp;CH$5)</f>
        <v>0</v>
      </c>
      <c r="CJ229" s="29">
        <f t="shared" si="237"/>
        <v>528</v>
      </c>
      <c r="CK229" s="29">
        <f t="shared" si="237"/>
        <v>575</v>
      </c>
      <c r="CL229" s="29">
        <f t="shared" si="237"/>
        <v>628</v>
      </c>
      <c r="CM229" s="29">
        <f t="shared" si="237"/>
        <v>671</v>
      </c>
      <c r="CN229" s="29">
        <f t="shared" si="237"/>
        <v>767</v>
      </c>
      <c r="CO229" s="29">
        <f t="shared" si="237"/>
        <v>712</v>
      </c>
      <c r="CP229" s="29">
        <f t="shared" si="237"/>
        <v>783</v>
      </c>
      <c r="CQ229" s="29">
        <f>+SUMIFS($S229:$CD229,$S$5:$CD$5,"&lt;="&amp;CQ$5,$S$5:$CD$5,"&gt;"&amp;CP$5)</f>
        <v>1193</v>
      </c>
      <c r="CR229" s="29">
        <f t="shared" ref="CR229:CX229" si="238">+SUMIFS($S229:$CD229,$S$5:$CD$5,"&lt;="&amp;CR$5,$S$5:$CD$5,"&gt;"&amp;CQ$5)</f>
        <v>1244</v>
      </c>
      <c r="CS229" s="29">
        <f t="shared" si="238"/>
        <v>1187</v>
      </c>
      <c r="CT229" s="97">
        <f t="shared" si="238"/>
        <v>1151.75</v>
      </c>
      <c r="CU229" s="97">
        <f t="shared" si="238"/>
        <v>1168.9234999999999</v>
      </c>
      <c r="CV229" s="97">
        <f t="shared" si="238"/>
        <v>1227.3696749999999</v>
      </c>
      <c r="CW229" s="97">
        <f t="shared" si="238"/>
        <v>1288.7381587500001</v>
      </c>
      <c r="CX229" s="97">
        <f t="shared" si="238"/>
        <v>1353.1750666875</v>
      </c>
    </row>
    <row r="230" spans="1:111" ht="15" customHeight="1" x14ac:dyDescent="0.25">
      <c r="B230" s="37" t="s">
        <v>170</v>
      </c>
      <c r="C230" s="37"/>
      <c r="D230" s="37"/>
      <c r="E230" s="37"/>
      <c r="F230" s="37"/>
      <c r="G230" s="37"/>
      <c r="H230" s="37"/>
      <c r="I230" s="37"/>
      <c r="J230" s="37"/>
      <c r="K230" s="37"/>
      <c r="L230" s="37"/>
      <c r="M230" s="37"/>
      <c r="N230" s="37"/>
      <c r="O230" s="37"/>
      <c r="P230" s="37"/>
      <c r="Q230" s="37"/>
      <c r="R230" s="37"/>
      <c r="S230" s="82"/>
      <c r="T230" s="82"/>
      <c r="U230" s="82"/>
      <c r="V230" s="82"/>
      <c r="W230" s="82">
        <f t="shared" ref="W230:BB230" si="239">+IFERROR(W229/S229-1,"")</f>
        <v>5.0000000000000044E-2</v>
      </c>
      <c r="X230" s="82">
        <f t="shared" si="239"/>
        <v>-4.2735042735042694E-2</v>
      </c>
      <c r="Y230" s="82">
        <f t="shared" si="239"/>
        <v>0.17266187050359716</v>
      </c>
      <c r="Z230" s="82">
        <f t="shared" si="239"/>
        <v>0.14473684210526305</v>
      </c>
      <c r="AA230" s="82">
        <f t="shared" si="239"/>
        <v>0.11904761904761907</v>
      </c>
      <c r="AB230" s="82">
        <f t="shared" si="239"/>
        <v>0.23214285714285721</v>
      </c>
      <c r="AC230" s="82">
        <f t="shared" si="239"/>
        <v>7.361963190184051E-2</v>
      </c>
      <c r="AD230" s="82">
        <f t="shared" si="239"/>
        <v>0</v>
      </c>
      <c r="AE230" s="82">
        <f t="shared" si="239"/>
        <v>7.0921985815602939E-2</v>
      </c>
      <c r="AF230" s="82">
        <f t="shared" si="239"/>
        <v>0.12318840579710155</v>
      </c>
      <c r="AG230" s="82">
        <f t="shared" si="239"/>
        <v>6.8571428571428505E-2</v>
      </c>
      <c r="AH230" s="82">
        <f t="shared" si="239"/>
        <v>2.2988505747126409E-2</v>
      </c>
      <c r="AI230" s="82">
        <f t="shared" si="239"/>
        <v>0.26490066225165565</v>
      </c>
      <c r="AJ230" s="82">
        <f t="shared" si="239"/>
        <v>0.26451612903225796</v>
      </c>
      <c r="AK230" s="82">
        <f t="shared" si="239"/>
        <v>2.673796791443861E-2</v>
      </c>
      <c r="AL230" s="82">
        <f t="shared" si="239"/>
        <v>5.6179775280898792E-2</v>
      </c>
      <c r="AM230" s="82">
        <f t="shared" si="239"/>
        <v>-0.10471204188481675</v>
      </c>
      <c r="AN230" s="82">
        <f t="shared" si="239"/>
        <v>-0.15306122448979587</v>
      </c>
      <c r="AO230" s="82">
        <f t="shared" si="239"/>
        <v>-3.645833333333337E-2</v>
      </c>
      <c r="AP230" s="82">
        <f t="shared" si="239"/>
        <v>1.0638297872340496E-2</v>
      </c>
      <c r="AQ230" s="82">
        <f t="shared" si="239"/>
        <v>0.32163742690058483</v>
      </c>
      <c r="AR230" s="82">
        <f t="shared" si="239"/>
        <v>3.6144578313253017E-2</v>
      </c>
      <c r="AS230" s="82">
        <f t="shared" si="239"/>
        <v>3.2432432432432323E-2</v>
      </c>
      <c r="AT230" s="82">
        <f t="shared" si="239"/>
        <v>2.1052631578947434E-2</v>
      </c>
      <c r="AU230" s="82">
        <f t="shared" si="239"/>
        <v>0.20353982300884965</v>
      </c>
      <c r="AV230" s="82">
        <f t="shared" si="239"/>
        <v>0.62209302325581395</v>
      </c>
      <c r="AW230" s="82">
        <f t="shared" si="239"/>
        <v>0.67539267015706805</v>
      </c>
      <c r="AX230" s="82">
        <f t="shared" si="239"/>
        <v>0.65979381443298979</v>
      </c>
      <c r="AY230" s="82">
        <f t="shared" si="239"/>
        <v>0.15441176470588225</v>
      </c>
      <c r="AZ230" s="82">
        <f t="shared" si="239"/>
        <v>6.0931899641577081E-2</v>
      </c>
      <c r="BA230" s="82">
        <f t="shared" si="239"/>
        <v>-5.3124999999999978E-2</v>
      </c>
      <c r="BB230" s="82">
        <f t="shared" si="239"/>
        <v>2.7950310559006208E-2</v>
      </c>
      <c r="BC230" s="82">
        <f>+IFERROR(BC229/AY229-1,"")</f>
        <v>-3.5031847133757954E-2</v>
      </c>
      <c r="BD230" s="82">
        <f t="shared" ref="BD230:BH230" si="240">+IFERROR(BD229/AZ229-1,"")</f>
        <v>-5.7432432432432456E-2</v>
      </c>
      <c r="BE230" s="82">
        <f t="shared" si="240"/>
        <v>1.3201320132013139E-2</v>
      </c>
      <c r="BF230" s="82">
        <f t="shared" si="240"/>
        <v>-9.9697885196374569E-2</v>
      </c>
      <c r="BG230" s="82">
        <f t="shared" si="240"/>
        <v>-4.2904290429042868E-2</v>
      </c>
      <c r="BH230" s="82">
        <f t="shared" si="240"/>
        <v>2.8673835125448077E-2</v>
      </c>
      <c r="BI230" s="102">
        <v>-0.05</v>
      </c>
      <c r="BJ230" s="102">
        <v>-0.05</v>
      </c>
      <c r="BK230" s="102">
        <v>-0.01</v>
      </c>
      <c r="BL230" s="102">
        <v>0</v>
      </c>
      <c r="BM230" s="102">
        <v>0.03</v>
      </c>
      <c r="BN230" s="102">
        <v>0.04</v>
      </c>
      <c r="BO230" s="102">
        <v>0.05</v>
      </c>
      <c r="BP230" s="102">
        <v>0.05</v>
      </c>
      <c r="BQ230" s="102">
        <v>0.05</v>
      </c>
      <c r="BR230" s="102">
        <v>0.05</v>
      </c>
      <c r="BS230" s="102">
        <v>0.05</v>
      </c>
      <c r="BT230" s="102">
        <v>0.05</v>
      </c>
      <c r="BU230" s="102">
        <v>0.05</v>
      </c>
      <c r="BV230" s="102">
        <v>0.05</v>
      </c>
      <c r="BW230" s="102">
        <v>0.05</v>
      </c>
      <c r="BX230" s="102">
        <v>0.05</v>
      </c>
      <c r="BY230" s="102">
        <v>0.05</v>
      </c>
      <c r="BZ230" s="102">
        <v>0.05</v>
      </c>
      <c r="CA230" s="102">
        <v>0.05</v>
      </c>
      <c r="CB230" s="102">
        <v>0.05</v>
      </c>
      <c r="CC230" s="102">
        <v>0.05</v>
      </c>
      <c r="CD230" s="102">
        <v>0.05</v>
      </c>
      <c r="CG230" s="82"/>
      <c r="CH230" s="82"/>
      <c r="CI230" s="82" t="str">
        <f t="shared" ref="CI230:CP230" si="241">+IFERROR(CI229/CH229-1,"")</f>
        <v/>
      </c>
      <c r="CJ230" s="82" t="str">
        <f t="shared" si="241"/>
        <v/>
      </c>
      <c r="CK230" s="82">
        <f t="shared" si="241"/>
        <v>8.9015151515151603E-2</v>
      </c>
      <c r="CL230" s="82">
        <f t="shared" si="241"/>
        <v>9.2173913043478217E-2</v>
      </c>
      <c r="CM230" s="82">
        <f t="shared" si="241"/>
        <v>6.8471337579617764E-2</v>
      </c>
      <c r="CN230" s="82">
        <f t="shared" si="241"/>
        <v>0.14307004470938889</v>
      </c>
      <c r="CO230" s="82">
        <f t="shared" si="241"/>
        <v>-7.1707953063885221E-2</v>
      </c>
      <c r="CP230" s="82">
        <f t="shared" si="241"/>
        <v>9.971910112359561E-2</v>
      </c>
      <c r="CQ230" s="82">
        <f>+IFERROR(CQ229/CP229-1,"")</f>
        <v>0.52362707535121333</v>
      </c>
      <c r="CR230" s="82">
        <f>+IFERROR(CR229/CQ229-1,"")</f>
        <v>4.2749371332774455E-2</v>
      </c>
      <c r="CS230" s="82">
        <f t="shared" ref="CS230:CX230" si="242">+IFERROR(CS229/CR229-1,"")</f>
        <v>-4.581993569131837E-2</v>
      </c>
      <c r="CT230" s="108">
        <f t="shared" si="242"/>
        <v>-2.9696714406065694E-2</v>
      </c>
      <c r="CU230" s="108">
        <f t="shared" si="242"/>
        <v>1.4910787931408542E-2</v>
      </c>
      <c r="CV230" s="108">
        <f t="shared" si="242"/>
        <v>5.0000000000000044E-2</v>
      </c>
      <c r="CW230" s="108">
        <f t="shared" si="242"/>
        <v>5.0000000000000266E-2</v>
      </c>
      <c r="CX230" s="108">
        <f t="shared" si="242"/>
        <v>4.9999999999999822E-2</v>
      </c>
    </row>
    <row r="231" spans="1:111" ht="15" customHeight="1" x14ac:dyDescent="0.25">
      <c r="B231" s="37" t="s">
        <v>218</v>
      </c>
      <c r="C231" s="37"/>
      <c r="D231" s="37"/>
      <c r="E231" s="37"/>
      <c r="F231" s="37"/>
      <c r="G231" s="37"/>
      <c r="H231" s="37"/>
      <c r="I231" s="37"/>
      <c r="J231" s="37"/>
      <c r="K231" s="37"/>
      <c r="L231" s="37"/>
      <c r="M231" s="37"/>
      <c r="N231" s="37"/>
      <c r="O231" s="37"/>
      <c r="P231" s="37"/>
      <c r="Q231" s="37"/>
      <c r="R231" s="37"/>
      <c r="T231" s="82">
        <f t="shared" ref="T231:BV231" si="243">+IFERROR(T229/S229-1,"")</f>
        <v>-2.5000000000000022E-2</v>
      </c>
      <c r="U231" s="82">
        <f t="shared" si="243"/>
        <v>0.18803418803418803</v>
      </c>
      <c r="V231" s="82">
        <f t="shared" si="243"/>
        <v>9.3525179856115193E-2</v>
      </c>
      <c r="W231" s="82">
        <f t="shared" si="243"/>
        <v>-0.17105263157894735</v>
      </c>
      <c r="X231" s="82">
        <f t="shared" si="243"/>
        <v>-0.11111111111111116</v>
      </c>
      <c r="Y231" s="82">
        <f t="shared" si="243"/>
        <v>0.45535714285714279</v>
      </c>
      <c r="Z231" s="82">
        <f t="shared" si="243"/>
        <v>6.7484662576687171E-2</v>
      </c>
      <c r="AA231" s="82">
        <f t="shared" si="243"/>
        <v>-0.18965517241379315</v>
      </c>
      <c r="AB231" s="82">
        <f t="shared" si="243"/>
        <v>-2.1276595744680882E-2</v>
      </c>
      <c r="AC231" s="82">
        <f t="shared" si="243"/>
        <v>0.26811594202898559</v>
      </c>
      <c r="AD231" s="82">
        <f t="shared" si="243"/>
        <v>-5.7142857142856718E-3</v>
      </c>
      <c r="AE231" s="82">
        <f t="shared" si="243"/>
        <v>-0.13218390804597702</v>
      </c>
      <c r="AF231" s="82">
        <f t="shared" si="243"/>
        <v>2.6490066225165476E-2</v>
      </c>
      <c r="AG231" s="82">
        <f t="shared" si="243"/>
        <v>0.20645161290322589</v>
      </c>
      <c r="AH231" s="82">
        <f t="shared" si="243"/>
        <v>-4.8128342245989275E-2</v>
      </c>
      <c r="AI231" s="82">
        <f t="shared" si="243"/>
        <v>7.3033707865168607E-2</v>
      </c>
      <c r="AJ231" s="82">
        <f t="shared" si="243"/>
        <v>2.6178010471204161E-2</v>
      </c>
      <c r="AK231" s="82">
        <f t="shared" si="243"/>
        <v>-2.0408163265306145E-2</v>
      </c>
      <c r="AL231" s="82">
        <f t="shared" si="243"/>
        <v>-2.083333333333337E-2</v>
      </c>
      <c r="AM231" s="82">
        <f t="shared" si="243"/>
        <v>-9.0425531914893664E-2</v>
      </c>
      <c r="AN231" s="82">
        <f t="shared" si="243"/>
        <v>-2.9239766081871399E-2</v>
      </c>
      <c r="AO231" s="82">
        <f t="shared" si="243"/>
        <v>0.1144578313253013</v>
      </c>
      <c r="AP231" s="82">
        <f t="shared" si="243"/>
        <v>2.7027027027026973E-2</v>
      </c>
      <c r="AQ231" s="82">
        <f t="shared" si="243"/>
        <v>0.18947368421052624</v>
      </c>
      <c r="AR231" s="82">
        <f t="shared" si="243"/>
        <v>-0.23893805309734517</v>
      </c>
      <c r="AS231" s="82">
        <f t="shared" si="243"/>
        <v>0.11046511627906974</v>
      </c>
      <c r="AT231" s="82">
        <f t="shared" si="243"/>
        <v>1.5706806282722585E-2</v>
      </c>
      <c r="AU231" s="82">
        <f t="shared" si="243"/>
        <v>0.402061855670103</v>
      </c>
      <c r="AV231" s="82">
        <f t="shared" si="243"/>
        <v>2.5735294117646967E-2</v>
      </c>
      <c r="AW231" s="82">
        <f t="shared" si="243"/>
        <v>0.14695340501792109</v>
      </c>
      <c r="AX231" s="82">
        <f t="shared" si="243"/>
        <v>6.2500000000000888E-3</v>
      </c>
      <c r="AY231" s="82">
        <f t="shared" si="243"/>
        <v>-2.4844720496894457E-2</v>
      </c>
      <c r="AZ231" s="82">
        <f t="shared" si="243"/>
        <v>-5.7324840764331197E-2</v>
      </c>
      <c r="BA231" s="82">
        <f t="shared" si="243"/>
        <v>2.3648648648648685E-2</v>
      </c>
      <c r="BB231" s="82">
        <f t="shared" si="243"/>
        <v>9.2409240924092417E-2</v>
      </c>
      <c r="BC231" s="82">
        <f t="shared" si="243"/>
        <v>-8.4592145015105702E-2</v>
      </c>
      <c r="BD231" s="82">
        <f t="shared" si="243"/>
        <v>-7.9207920792079167E-2</v>
      </c>
      <c r="BE231" s="82">
        <f t="shared" si="243"/>
        <v>0.10035842293906816</v>
      </c>
      <c r="BF231" s="82">
        <f t="shared" si="243"/>
        <v>-2.931596091205213E-2</v>
      </c>
      <c r="BG231" s="82">
        <f t="shared" si="243"/>
        <v>-2.6845637583892579E-2</v>
      </c>
      <c r="BH231" s="82">
        <f t="shared" si="243"/>
        <v>-1.0344827586206917E-2</v>
      </c>
      <c r="BI231" s="82">
        <f t="shared" si="243"/>
        <v>1.6202090592334351E-2</v>
      </c>
      <c r="BJ231" s="82">
        <f t="shared" si="243"/>
        <v>-2.931596091205213E-2</v>
      </c>
      <c r="BK231" s="82">
        <f t="shared" si="243"/>
        <v>1.4129282938891041E-2</v>
      </c>
      <c r="BL231" s="82">
        <f t="shared" si="243"/>
        <v>-3.4831069313834284E-4</v>
      </c>
      <c r="BM231" s="82">
        <f t="shared" si="243"/>
        <v>4.6688153310104452E-2</v>
      </c>
      <c r="BN231" s="82">
        <f t="shared" si="243"/>
        <v>-1.9891844027703165E-2</v>
      </c>
      <c r="BO231" s="82">
        <f t="shared" si="243"/>
        <v>2.3880526044072647E-2</v>
      </c>
      <c r="BP231" s="82">
        <f t="shared" si="243"/>
        <v>-3.4831069313834284E-4</v>
      </c>
      <c r="BQ231" s="82">
        <f t="shared" si="243"/>
        <v>4.6688153310104452E-2</v>
      </c>
      <c r="BR231" s="82">
        <f t="shared" si="243"/>
        <v>-1.9891844027703054E-2</v>
      </c>
      <c r="BS231" s="82">
        <f t="shared" si="243"/>
        <v>2.3880526044072869E-2</v>
      </c>
      <c r="BT231" s="82">
        <f t="shared" si="243"/>
        <v>-3.4831069313845386E-4</v>
      </c>
      <c r="BU231" s="82">
        <f t="shared" si="243"/>
        <v>4.6688153310104452E-2</v>
      </c>
      <c r="BV231" s="82">
        <f t="shared" si="243"/>
        <v>-1.9891844027703054E-2</v>
      </c>
      <c r="BW231" s="82">
        <f>+IFERROR(BW229/BR229-1,"")</f>
        <v>7.5074552346276358E-2</v>
      </c>
      <c r="BX231" s="82">
        <f>+IFERROR(BX229/BW229-1,"")</f>
        <v>-3.4831069313845386E-4</v>
      </c>
      <c r="BY231" s="82">
        <f>+IFERROR(BY229/BX229-1,"")</f>
        <v>4.6688153310104452E-2</v>
      </c>
      <c r="BZ231" s="82">
        <f>+IFERROR(BZ229/BY229-1,"")</f>
        <v>-1.9891844027703054E-2</v>
      </c>
      <c r="CA231" s="82">
        <f>+IFERROR(CA229/BV229-1,"")</f>
        <v>7.5074552346276358E-2</v>
      </c>
      <c r="CB231" s="82">
        <f>+IFERROR(CB229/CA229-1,"")</f>
        <v>-3.4831069313845386E-4</v>
      </c>
      <c r="CC231" s="82">
        <f>+IFERROR(CC229/CB229-1,"")</f>
        <v>4.668815331010423E-2</v>
      </c>
      <c r="CD231" s="82">
        <f>+IFERROR(CD229/CC229-1,"")</f>
        <v>-1.9891844027702943E-2</v>
      </c>
      <c r="CG231" s="82"/>
      <c r="CH231" s="82"/>
      <c r="CI231" s="82"/>
      <c r="CJ231" s="82"/>
      <c r="CK231" s="82"/>
      <c r="CL231" s="82"/>
      <c r="CM231" s="82"/>
      <c r="CN231" s="82"/>
      <c r="CO231" s="82"/>
      <c r="CP231" s="82"/>
      <c r="CQ231" s="82"/>
      <c r="CR231" s="82"/>
      <c r="CS231" s="137"/>
      <c r="CT231" s="108"/>
      <c r="CU231" s="108"/>
      <c r="CV231" s="108"/>
      <c r="CW231" s="108"/>
      <c r="CX231" s="108"/>
    </row>
    <row r="232" spans="1:111" ht="15" customHeight="1" x14ac:dyDescent="0.25">
      <c r="B232" s="37"/>
      <c r="C232" s="37"/>
      <c r="D232" s="37"/>
      <c r="E232" s="37"/>
      <c r="F232" s="37"/>
      <c r="G232" s="37"/>
      <c r="H232" s="37"/>
      <c r="I232" s="37"/>
      <c r="J232" s="37"/>
      <c r="K232" s="37"/>
      <c r="L232" s="37"/>
      <c r="M232" s="37"/>
      <c r="N232" s="37"/>
      <c r="O232" s="37"/>
      <c r="P232" s="37"/>
      <c r="Q232" s="37"/>
      <c r="R232" s="37"/>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c r="BE232" s="82"/>
      <c r="BF232" s="82"/>
      <c r="BG232" s="82"/>
      <c r="BH232" s="82"/>
      <c r="BI232" s="82"/>
      <c r="BJ232" s="82"/>
      <c r="BK232" s="82"/>
      <c r="BL232" s="82"/>
      <c r="BM232" s="82"/>
      <c r="BN232" s="82"/>
      <c r="BO232" s="82"/>
      <c r="BP232" s="82"/>
      <c r="BQ232" s="82"/>
      <c r="BR232" s="82"/>
      <c r="BS232" s="82"/>
      <c r="BT232" s="82"/>
      <c r="BU232" s="82"/>
      <c r="BV232" s="82"/>
      <c r="BW232" s="82"/>
      <c r="BX232" s="82"/>
      <c r="BY232" s="82"/>
      <c r="BZ232" s="82"/>
      <c r="CA232" s="82"/>
      <c r="CB232" s="82"/>
      <c r="CC232" s="82"/>
      <c r="CD232" s="82"/>
      <c r="CG232" s="82"/>
      <c r="CH232" s="82"/>
      <c r="CI232" s="82"/>
      <c r="CJ232" s="82"/>
      <c r="CK232" s="82"/>
      <c r="CL232" s="82"/>
      <c r="CM232" s="82"/>
      <c r="CN232" s="82"/>
      <c r="CO232" s="82"/>
      <c r="CP232" s="82"/>
      <c r="CQ232" s="82"/>
      <c r="CR232" s="82"/>
      <c r="CS232" s="137"/>
      <c r="CT232" s="108"/>
      <c r="CU232" s="108"/>
      <c r="CV232" s="108"/>
      <c r="CW232" s="108"/>
      <c r="CX232" s="108"/>
    </row>
    <row r="233" spans="1:111" s="138" customFormat="1" ht="15" customHeight="1" x14ac:dyDescent="0.25">
      <c r="B233" s="139" t="s">
        <v>219</v>
      </c>
      <c r="C233" s="140"/>
      <c r="D233" s="140"/>
      <c r="E233" s="140"/>
      <c r="F233" s="140"/>
      <c r="G233" s="140"/>
      <c r="H233" s="140"/>
      <c r="I233" s="140"/>
      <c r="J233" s="140"/>
      <c r="K233" s="140"/>
      <c r="L233" s="140"/>
      <c r="M233" s="140"/>
      <c r="N233" s="140"/>
      <c r="O233" s="140"/>
      <c r="P233" s="140"/>
      <c r="Q233" s="140"/>
      <c r="R233" s="140"/>
      <c r="T233" s="141"/>
      <c r="U233" s="141"/>
      <c r="V233" s="141"/>
      <c r="W233" s="141"/>
      <c r="X233" s="141"/>
      <c r="Y233" s="141"/>
      <c r="Z233" s="141"/>
      <c r="AA233" s="141"/>
      <c r="AB233" s="141"/>
      <c r="AC233" s="141"/>
      <c r="AD233" s="141"/>
      <c r="AE233" s="141"/>
      <c r="AF233" s="141"/>
      <c r="AG233" s="141"/>
      <c r="AH233" s="141"/>
      <c r="AI233" s="141"/>
      <c r="AJ233" s="141"/>
      <c r="AK233" s="141"/>
      <c r="AL233" s="141"/>
      <c r="AM233" s="141"/>
      <c r="AN233" s="141"/>
      <c r="AO233" s="141"/>
      <c r="AP233" s="141"/>
      <c r="AQ233" s="141"/>
      <c r="AR233" s="141"/>
      <c r="AS233" s="141"/>
      <c r="AT233" s="141"/>
      <c r="AU233" s="141"/>
      <c r="AV233" s="141"/>
      <c r="AW233" s="141"/>
      <c r="AX233" s="141"/>
      <c r="AY233" s="141"/>
      <c r="AZ233" s="141"/>
      <c r="BA233" s="141"/>
      <c r="BB233" s="141"/>
      <c r="BC233" s="142"/>
      <c r="BD233" s="142"/>
      <c r="BE233" s="142"/>
      <c r="BF233" s="142"/>
      <c r="BG233" s="142"/>
      <c r="BH233" s="142" t="e">
        <f t="shared" ref="BH233:CD233" si="244">+BH516</f>
        <v>#NAME?</v>
      </c>
      <c r="BI233" s="142" t="e">
        <f>+BI516</f>
        <v>#NAME?</v>
      </c>
      <c r="BJ233" s="142" t="e">
        <f t="shared" si="244"/>
        <v>#NAME?</v>
      </c>
      <c r="BK233" s="142" t="e">
        <f t="shared" si="244"/>
        <v>#NAME?</v>
      </c>
      <c r="BL233" s="142" t="e">
        <f t="shared" si="244"/>
        <v>#NAME?</v>
      </c>
      <c r="BM233" s="142" t="e">
        <f t="shared" si="244"/>
        <v>#NAME?</v>
      </c>
      <c r="BN233" s="142" t="e">
        <f t="shared" si="244"/>
        <v>#NAME?</v>
      </c>
      <c r="BO233" s="142" t="e">
        <f t="shared" si="244"/>
        <v>#NAME?</v>
      </c>
      <c r="BP233" s="142" t="e">
        <f t="shared" si="244"/>
        <v>#NAME?</v>
      </c>
      <c r="BQ233" s="142" t="e">
        <f t="shared" si="244"/>
        <v>#NAME?</v>
      </c>
      <c r="BR233" s="142" t="e">
        <f t="shared" si="244"/>
        <v>#NAME?</v>
      </c>
      <c r="BS233" s="142" t="e">
        <f t="shared" si="244"/>
        <v>#NAME?</v>
      </c>
      <c r="BT233" s="142" t="e">
        <f t="shared" si="244"/>
        <v>#NAME?</v>
      </c>
      <c r="BU233" s="142" t="e">
        <f t="shared" si="244"/>
        <v>#NAME?</v>
      </c>
      <c r="BV233" s="142" t="e">
        <f t="shared" si="244"/>
        <v>#NAME?</v>
      </c>
      <c r="BW233" s="142" t="e">
        <f t="shared" si="244"/>
        <v>#NAME?</v>
      </c>
      <c r="BX233" s="142" t="e">
        <f t="shared" si="244"/>
        <v>#NAME?</v>
      </c>
      <c r="BY233" s="142" t="e">
        <f t="shared" si="244"/>
        <v>#NAME?</v>
      </c>
      <c r="BZ233" s="142" t="e">
        <f t="shared" si="244"/>
        <v>#NAME?</v>
      </c>
      <c r="CA233" s="142" t="e">
        <f t="shared" si="244"/>
        <v>#NAME?</v>
      </c>
      <c r="CB233" s="142" t="e">
        <f t="shared" si="244"/>
        <v>#NAME?</v>
      </c>
      <c r="CC233" s="142" t="e">
        <f t="shared" si="244"/>
        <v>#NAME?</v>
      </c>
      <c r="CD233" s="142" t="e">
        <f t="shared" si="244"/>
        <v>#NAME?</v>
      </c>
      <c r="CE233" s="142"/>
      <c r="CG233" s="141"/>
      <c r="CH233" s="141"/>
      <c r="CI233" s="141"/>
      <c r="CJ233" s="141"/>
      <c r="CK233" s="141"/>
      <c r="CL233" s="141"/>
      <c r="CM233" s="141"/>
      <c r="CN233" s="141"/>
      <c r="CO233" s="141"/>
      <c r="CP233" s="141"/>
      <c r="CQ233" s="141"/>
      <c r="CR233" s="141"/>
      <c r="CS233" s="141"/>
      <c r="CT233" s="142" t="e">
        <f t="shared" ref="CT233:CX233" si="245">+CT516</f>
        <v>#NAME?</v>
      </c>
      <c r="CU233" s="142" t="e">
        <f t="shared" si="245"/>
        <v>#NAME?</v>
      </c>
      <c r="CV233" s="142" t="e">
        <f t="shared" si="245"/>
        <v>#NAME?</v>
      </c>
      <c r="CW233" s="142" t="e">
        <f t="shared" si="245"/>
        <v>#NAME?</v>
      </c>
      <c r="CX233" s="142" t="e">
        <f t="shared" si="245"/>
        <v>#NAME?</v>
      </c>
    </row>
    <row r="234" spans="1:111" s="138" customFormat="1" ht="15" customHeight="1" x14ac:dyDescent="0.25">
      <c r="B234" s="37" t="s">
        <v>220</v>
      </c>
      <c r="C234" s="140"/>
      <c r="D234" s="140"/>
      <c r="E234" s="140"/>
      <c r="F234" s="140"/>
      <c r="G234" s="140"/>
      <c r="H234" s="140"/>
      <c r="I234" s="140"/>
      <c r="J234" s="140"/>
      <c r="K234" s="140"/>
      <c r="L234" s="140"/>
      <c r="M234" s="140"/>
      <c r="N234" s="140"/>
      <c r="O234" s="140"/>
      <c r="P234" s="140"/>
      <c r="Q234" s="140"/>
      <c r="R234" s="140"/>
      <c r="T234" s="141"/>
      <c r="U234" s="141"/>
      <c r="V234" s="141"/>
      <c r="W234" s="141"/>
      <c r="X234" s="141"/>
      <c r="Y234" s="141"/>
      <c r="Z234" s="141"/>
      <c r="AA234" s="141"/>
      <c r="AB234" s="141"/>
      <c r="AC234" s="141"/>
      <c r="AD234" s="141"/>
      <c r="AE234" s="141"/>
      <c r="AF234" s="141"/>
      <c r="AG234" s="141"/>
      <c r="AH234" s="141"/>
      <c r="AI234" s="141"/>
      <c r="AJ234" s="141"/>
      <c r="AK234" s="141"/>
      <c r="AL234" s="141"/>
      <c r="AM234" s="141"/>
      <c r="AN234" s="141"/>
      <c r="AO234" s="141"/>
      <c r="AP234" s="141"/>
      <c r="AQ234" s="141"/>
      <c r="AR234" s="141"/>
      <c r="AS234" s="141"/>
      <c r="AT234" s="141"/>
      <c r="AU234" s="141"/>
      <c r="AV234" s="141"/>
      <c r="AW234" s="141"/>
      <c r="AX234" s="141"/>
      <c r="AY234" s="141"/>
      <c r="AZ234" s="141"/>
      <c r="BA234" s="141"/>
      <c r="BB234" s="141"/>
      <c r="BC234" s="142"/>
      <c r="BD234" s="142"/>
      <c r="BE234" s="142"/>
      <c r="BF234" s="142"/>
      <c r="BG234" s="142"/>
      <c r="BH234" s="86" t="e">
        <f>+BH229-BH233</f>
        <v>#NAME?</v>
      </c>
      <c r="BI234" s="86" t="e">
        <f t="shared" ref="BI234:CD234" si="246">+BI229-BI233</f>
        <v>#NAME?</v>
      </c>
      <c r="BJ234" s="86" t="e">
        <f t="shared" si="246"/>
        <v>#NAME?</v>
      </c>
      <c r="BK234" s="86" t="e">
        <f t="shared" si="246"/>
        <v>#NAME?</v>
      </c>
      <c r="BL234" s="86" t="e">
        <f t="shared" si="246"/>
        <v>#NAME?</v>
      </c>
      <c r="BM234" s="86" t="e">
        <f t="shared" si="246"/>
        <v>#NAME?</v>
      </c>
      <c r="BN234" s="86" t="e">
        <f t="shared" si="246"/>
        <v>#NAME?</v>
      </c>
      <c r="BO234" s="86" t="e">
        <f t="shared" si="246"/>
        <v>#NAME?</v>
      </c>
      <c r="BP234" s="86" t="e">
        <f t="shared" si="246"/>
        <v>#NAME?</v>
      </c>
      <c r="BQ234" s="86" t="e">
        <f t="shared" si="246"/>
        <v>#NAME?</v>
      </c>
      <c r="BR234" s="86" t="e">
        <f t="shared" si="246"/>
        <v>#NAME?</v>
      </c>
      <c r="BS234" s="86" t="e">
        <f t="shared" si="246"/>
        <v>#NAME?</v>
      </c>
      <c r="BT234" s="86" t="e">
        <f t="shared" si="246"/>
        <v>#NAME?</v>
      </c>
      <c r="BU234" s="86" t="e">
        <f t="shared" si="246"/>
        <v>#NAME?</v>
      </c>
      <c r="BV234" s="86" t="e">
        <f t="shared" si="246"/>
        <v>#NAME?</v>
      </c>
      <c r="BW234" s="86" t="e">
        <f t="shared" si="246"/>
        <v>#NAME?</v>
      </c>
      <c r="BX234" s="86" t="e">
        <f t="shared" si="246"/>
        <v>#NAME?</v>
      </c>
      <c r="BY234" s="86" t="e">
        <f t="shared" si="246"/>
        <v>#NAME?</v>
      </c>
      <c r="BZ234" s="86" t="e">
        <f t="shared" si="246"/>
        <v>#NAME?</v>
      </c>
      <c r="CA234" s="86" t="e">
        <f t="shared" si="246"/>
        <v>#NAME?</v>
      </c>
      <c r="CB234" s="86" t="e">
        <f t="shared" si="246"/>
        <v>#NAME?</v>
      </c>
      <c r="CC234" s="86" t="e">
        <f t="shared" si="246"/>
        <v>#NAME?</v>
      </c>
      <c r="CD234" s="86" t="e">
        <f t="shared" si="246"/>
        <v>#NAME?</v>
      </c>
      <c r="CE234" s="86"/>
      <c r="CG234" s="141"/>
      <c r="CH234" s="141"/>
      <c r="CI234" s="141"/>
      <c r="CJ234" s="141"/>
      <c r="CK234" s="141"/>
      <c r="CL234" s="141"/>
      <c r="CM234" s="141"/>
      <c r="CN234" s="141"/>
      <c r="CO234" s="141"/>
      <c r="CP234" s="141"/>
      <c r="CQ234" s="141"/>
      <c r="CR234" s="141"/>
      <c r="CS234" s="141"/>
      <c r="CT234" s="86" t="e">
        <f t="shared" ref="CT234:CX234" si="247">+CT229-CT233</f>
        <v>#NAME?</v>
      </c>
      <c r="CU234" s="86" t="e">
        <f t="shared" si="247"/>
        <v>#NAME?</v>
      </c>
      <c r="CV234" s="86" t="e">
        <f t="shared" si="247"/>
        <v>#NAME?</v>
      </c>
      <c r="CW234" s="86" t="e">
        <f t="shared" si="247"/>
        <v>#NAME?</v>
      </c>
      <c r="CX234" s="86" t="e">
        <f t="shared" si="247"/>
        <v>#NAME?</v>
      </c>
    </row>
    <row r="235" spans="1:111" ht="15" customHeight="1" x14ac:dyDescent="0.25">
      <c r="B235" s="37" t="s">
        <v>221</v>
      </c>
      <c r="C235" s="37"/>
      <c r="D235" s="37"/>
      <c r="E235" s="37"/>
      <c r="F235" s="37"/>
      <c r="G235" s="37"/>
      <c r="H235" s="37"/>
      <c r="I235" s="37"/>
      <c r="J235" s="37"/>
      <c r="K235" s="37"/>
      <c r="L235" s="37"/>
      <c r="M235" s="37"/>
      <c r="N235" s="37"/>
      <c r="O235" s="37"/>
      <c r="P235" s="37"/>
      <c r="Q235" s="37"/>
      <c r="R235" s="37"/>
      <c r="S235" s="82"/>
      <c r="T235" s="82"/>
      <c r="U235" s="82"/>
      <c r="V235" s="82"/>
      <c r="W235" s="82" t="str">
        <f t="shared" ref="W235:AL235" si="248">+IFERROR(W233/S233-1,"")</f>
        <v/>
      </c>
      <c r="X235" s="82" t="str">
        <f t="shared" si="248"/>
        <v/>
      </c>
      <c r="Y235" s="82" t="str">
        <f t="shared" si="248"/>
        <v/>
      </c>
      <c r="Z235" s="82" t="str">
        <f t="shared" si="248"/>
        <v/>
      </c>
      <c r="AA235" s="82" t="str">
        <f t="shared" si="248"/>
        <v/>
      </c>
      <c r="AB235" s="82" t="str">
        <f t="shared" si="248"/>
        <v/>
      </c>
      <c r="AC235" s="82" t="str">
        <f t="shared" si="248"/>
        <v/>
      </c>
      <c r="AD235" s="82" t="str">
        <f t="shared" si="248"/>
        <v/>
      </c>
      <c r="AE235" s="82" t="str">
        <f t="shared" si="248"/>
        <v/>
      </c>
      <c r="AF235" s="82" t="str">
        <f t="shared" si="248"/>
        <v/>
      </c>
      <c r="AG235" s="82" t="str">
        <f t="shared" si="248"/>
        <v/>
      </c>
      <c r="AH235" s="82" t="str">
        <f t="shared" si="248"/>
        <v/>
      </c>
      <c r="AI235" s="82" t="str">
        <f t="shared" si="248"/>
        <v/>
      </c>
      <c r="AJ235" s="82" t="str">
        <f t="shared" si="248"/>
        <v/>
      </c>
      <c r="AK235" s="82" t="str">
        <f t="shared" si="248"/>
        <v/>
      </c>
      <c r="AL235" s="82" t="str">
        <f t="shared" si="248"/>
        <v/>
      </c>
      <c r="AM235" s="82"/>
      <c r="AN235" s="82"/>
      <c r="AO235" s="82"/>
      <c r="AP235" s="82"/>
      <c r="AQ235" s="82"/>
      <c r="AR235" s="82"/>
      <c r="AS235" s="82"/>
      <c r="AT235" s="82"/>
      <c r="AU235" s="82"/>
      <c r="AV235" s="82"/>
      <c r="AW235" s="82"/>
      <c r="AX235" s="82"/>
      <c r="AY235" s="82"/>
      <c r="AZ235" s="82"/>
      <c r="BA235" s="82"/>
      <c r="BB235" s="82"/>
      <c r="BC235" s="82"/>
      <c r="BD235" s="82"/>
      <c r="BE235" s="82"/>
      <c r="BF235" s="82"/>
      <c r="BG235" s="82"/>
      <c r="BH235" s="82" t="e">
        <f>+BH229/BH233-1</f>
        <v>#NAME?</v>
      </c>
      <c r="BI235" s="82" t="e">
        <f>+BI229/BI233-1</f>
        <v>#NAME?</v>
      </c>
      <c r="BJ235" s="82" t="e">
        <f t="shared" ref="BJ235:CD235" si="249">+BJ229/BJ233-1</f>
        <v>#NAME?</v>
      </c>
      <c r="BK235" s="82" t="e">
        <f t="shared" si="249"/>
        <v>#NAME?</v>
      </c>
      <c r="BL235" s="82" t="e">
        <f t="shared" si="249"/>
        <v>#NAME?</v>
      </c>
      <c r="BM235" s="82" t="e">
        <f t="shared" si="249"/>
        <v>#NAME?</v>
      </c>
      <c r="BN235" s="82" t="e">
        <f t="shared" si="249"/>
        <v>#NAME?</v>
      </c>
      <c r="BO235" s="82" t="e">
        <f t="shared" si="249"/>
        <v>#NAME?</v>
      </c>
      <c r="BP235" s="82" t="e">
        <f t="shared" si="249"/>
        <v>#NAME?</v>
      </c>
      <c r="BQ235" s="82" t="e">
        <f t="shared" si="249"/>
        <v>#NAME?</v>
      </c>
      <c r="BR235" s="82" t="e">
        <f t="shared" si="249"/>
        <v>#NAME?</v>
      </c>
      <c r="BS235" s="82" t="e">
        <f t="shared" si="249"/>
        <v>#NAME?</v>
      </c>
      <c r="BT235" s="82" t="e">
        <f t="shared" si="249"/>
        <v>#NAME?</v>
      </c>
      <c r="BU235" s="82" t="e">
        <f t="shared" si="249"/>
        <v>#NAME?</v>
      </c>
      <c r="BV235" s="82" t="e">
        <f t="shared" si="249"/>
        <v>#NAME?</v>
      </c>
      <c r="BW235" s="82" t="e">
        <f t="shared" si="249"/>
        <v>#NAME?</v>
      </c>
      <c r="BX235" s="82" t="e">
        <f t="shared" si="249"/>
        <v>#NAME?</v>
      </c>
      <c r="BY235" s="82" t="e">
        <f t="shared" si="249"/>
        <v>#NAME?</v>
      </c>
      <c r="BZ235" s="82" t="e">
        <f t="shared" si="249"/>
        <v>#NAME?</v>
      </c>
      <c r="CA235" s="82" t="e">
        <f t="shared" si="249"/>
        <v>#NAME?</v>
      </c>
      <c r="CB235" s="82" t="e">
        <f t="shared" si="249"/>
        <v>#NAME?</v>
      </c>
      <c r="CC235" s="82" t="e">
        <f t="shared" si="249"/>
        <v>#NAME?</v>
      </c>
      <c r="CD235" s="82" t="e">
        <f t="shared" si="249"/>
        <v>#NAME?</v>
      </c>
      <c r="CE235" s="82"/>
      <c r="CG235" s="82"/>
      <c r="CH235" s="82"/>
      <c r="CI235" s="82"/>
      <c r="CJ235" s="82"/>
      <c r="CK235" s="82"/>
      <c r="CL235" s="82"/>
      <c r="CM235" s="82"/>
      <c r="CN235" s="82"/>
      <c r="CO235" s="82"/>
      <c r="CP235" s="82"/>
      <c r="CQ235" s="82"/>
      <c r="CR235" s="82"/>
      <c r="CS235" s="82"/>
      <c r="CT235" s="82" t="e">
        <f t="shared" ref="CT235:CX235" si="250">+CT229/CT233-1</f>
        <v>#NAME?</v>
      </c>
      <c r="CU235" s="82" t="e">
        <f t="shared" si="250"/>
        <v>#NAME?</v>
      </c>
      <c r="CV235" s="82" t="e">
        <f t="shared" si="250"/>
        <v>#NAME?</v>
      </c>
      <c r="CW235" s="82" t="e">
        <f t="shared" si="250"/>
        <v>#NAME?</v>
      </c>
      <c r="CX235" s="82" t="e">
        <f t="shared" si="250"/>
        <v>#NAME?</v>
      </c>
      <c r="CY235" s="82"/>
      <c r="CZ235" s="82"/>
      <c r="DA235" s="82"/>
      <c r="DB235" s="82"/>
      <c r="DC235" s="82"/>
      <c r="DD235" s="82"/>
      <c r="DE235" s="82"/>
      <c r="DF235" s="82"/>
      <c r="DG235" s="82"/>
    </row>
    <row r="236" spans="1:111" ht="15" customHeight="1" x14ac:dyDescent="0.25">
      <c r="B236" s="37"/>
      <c r="C236" s="37"/>
      <c r="D236" s="37"/>
      <c r="E236" s="37"/>
      <c r="F236" s="37"/>
      <c r="G236" s="37"/>
      <c r="H236" s="37"/>
      <c r="I236" s="37"/>
      <c r="J236" s="37"/>
      <c r="K236" s="37"/>
      <c r="L236" s="37"/>
      <c r="M236" s="37"/>
      <c r="N236" s="37"/>
      <c r="O236" s="37"/>
      <c r="P236" s="37"/>
      <c r="Q236" s="37"/>
      <c r="R236" s="37"/>
      <c r="T236" s="82"/>
      <c r="U236" s="82"/>
      <c r="V236" s="82"/>
      <c r="W236" s="82"/>
      <c r="X236" s="82"/>
      <c r="Y236" s="82"/>
      <c r="Z236" s="82"/>
      <c r="AA236" s="82"/>
      <c r="AB236" s="82"/>
      <c r="AC236" s="82"/>
      <c r="AD236" s="82"/>
      <c r="AE236" s="82"/>
      <c r="AF236" s="82"/>
      <c r="AG236" s="82"/>
      <c r="AH236" s="82"/>
      <c r="AI236" s="82"/>
      <c r="AJ236" s="82"/>
      <c r="AK236" s="82"/>
      <c r="AL236" s="82"/>
      <c r="AM236" s="82"/>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2"/>
      <c r="BK236" s="82"/>
      <c r="BL236" s="82"/>
      <c r="BM236" s="82"/>
      <c r="BN236" s="82"/>
      <c r="BO236" s="82"/>
      <c r="BP236" s="82"/>
      <c r="BQ236" s="82"/>
      <c r="BR236" s="82"/>
      <c r="BS236" s="82"/>
      <c r="BT236" s="82"/>
      <c r="BU236" s="82"/>
      <c r="BV236" s="82"/>
      <c r="BW236" s="82"/>
      <c r="BX236" s="82"/>
      <c r="BY236" s="82"/>
      <c r="BZ236" s="82"/>
      <c r="CA236" s="82"/>
      <c r="CB236" s="82"/>
      <c r="CC236" s="82"/>
      <c r="CD236" s="82"/>
      <c r="CG236" s="82"/>
      <c r="CH236" s="82"/>
      <c r="CI236" s="82"/>
      <c r="CJ236" s="82"/>
      <c r="CK236" s="82"/>
      <c r="CL236" s="82"/>
      <c r="CM236" s="82"/>
      <c r="CN236" s="82"/>
      <c r="CO236" s="82"/>
      <c r="CP236" s="82"/>
      <c r="CQ236" s="82"/>
      <c r="CR236" s="82"/>
      <c r="CS236" s="82"/>
      <c r="CT236" s="108"/>
      <c r="CU236" s="108"/>
      <c r="CV236" s="108"/>
      <c r="CW236" s="108"/>
      <c r="CX236" s="108"/>
    </row>
    <row r="237" spans="1:111" s="60" customFormat="1" ht="15" customHeight="1" x14ac:dyDescent="0.25">
      <c r="B237" s="24" t="s">
        <v>210</v>
      </c>
      <c r="C237" s="24"/>
      <c r="D237" s="24"/>
      <c r="E237" s="24"/>
      <c r="F237" s="24"/>
      <c r="G237" s="24"/>
      <c r="H237" s="24"/>
      <c r="I237" s="24"/>
      <c r="J237" s="24"/>
      <c r="K237" s="24"/>
      <c r="L237" s="24"/>
      <c r="M237" s="24"/>
      <c r="N237" s="24"/>
      <c r="O237" s="24"/>
      <c r="P237" s="24"/>
      <c r="Q237" s="24"/>
      <c r="R237" s="24"/>
      <c r="S237" s="24">
        <f t="shared" ref="S237:BH237" si="251">+S244-S229</f>
        <v>291</v>
      </c>
      <c r="T237" s="24">
        <f t="shared" si="251"/>
        <v>242</v>
      </c>
      <c r="U237" s="24">
        <f t="shared" si="251"/>
        <v>414</v>
      </c>
      <c r="V237" s="24">
        <f t="shared" si="251"/>
        <v>336</v>
      </c>
      <c r="W237" s="24">
        <f t="shared" si="251"/>
        <v>322</v>
      </c>
      <c r="X237" s="24">
        <f t="shared" si="251"/>
        <v>279</v>
      </c>
      <c r="Y237" s="24">
        <f t="shared" si="251"/>
        <v>449</v>
      </c>
      <c r="Z237" s="24">
        <f t="shared" si="251"/>
        <v>404</v>
      </c>
      <c r="AA237" s="24">
        <f t="shared" si="251"/>
        <v>343</v>
      </c>
      <c r="AB237" s="24">
        <f t="shared" si="251"/>
        <v>255</v>
      </c>
      <c r="AC237" s="24">
        <f t="shared" si="251"/>
        <v>565</v>
      </c>
      <c r="AD237" s="24">
        <f t="shared" si="251"/>
        <v>519</v>
      </c>
      <c r="AE237" s="24">
        <f t="shared" si="251"/>
        <v>419</v>
      </c>
      <c r="AF237" s="24">
        <f t="shared" si="251"/>
        <v>305</v>
      </c>
      <c r="AG237" s="24">
        <f t="shared" si="251"/>
        <v>783</v>
      </c>
      <c r="AH237" s="24">
        <f t="shared" si="251"/>
        <v>677</v>
      </c>
      <c r="AI237" s="24">
        <f t="shared" si="251"/>
        <v>466</v>
      </c>
      <c r="AJ237" s="24">
        <f t="shared" si="251"/>
        <v>341</v>
      </c>
      <c r="AK237" s="24">
        <f t="shared" si="251"/>
        <v>841</v>
      </c>
      <c r="AL237" s="24">
        <f t="shared" si="251"/>
        <v>877</v>
      </c>
      <c r="AM237" s="24">
        <f t="shared" si="251"/>
        <v>516</v>
      </c>
      <c r="AN237" s="24">
        <f t="shared" si="251"/>
        <v>510</v>
      </c>
      <c r="AO237" s="24">
        <f t="shared" si="251"/>
        <v>1056</v>
      </c>
      <c r="AP237" s="24">
        <f t="shared" si="251"/>
        <v>798</v>
      </c>
      <c r="AQ237" s="24">
        <f t="shared" si="251"/>
        <v>877</v>
      </c>
      <c r="AR237" s="24">
        <f t="shared" si="251"/>
        <v>472</v>
      </c>
      <c r="AS237" s="24">
        <f t="shared" si="251"/>
        <v>1351</v>
      </c>
      <c r="AT237" s="24">
        <f t="shared" si="251"/>
        <v>1109</v>
      </c>
      <c r="AU237" s="24">
        <f t="shared" si="251"/>
        <v>782</v>
      </c>
      <c r="AV237" s="24">
        <f t="shared" si="251"/>
        <v>876</v>
      </c>
      <c r="AW237" s="24">
        <f t="shared" si="251"/>
        <v>1357</v>
      </c>
      <c r="AX237" s="24">
        <f t="shared" si="251"/>
        <v>1162</v>
      </c>
      <c r="AY237" s="24">
        <f t="shared" si="251"/>
        <v>820</v>
      </c>
      <c r="AZ237" s="24">
        <f t="shared" si="251"/>
        <v>823</v>
      </c>
      <c r="BA237" s="24">
        <f t="shared" si="251"/>
        <v>1352</v>
      </c>
      <c r="BB237" s="24">
        <f t="shared" si="251"/>
        <v>1291</v>
      </c>
      <c r="BC237" s="24">
        <f t="shared" si="251"/>
        <v>874</v>
      </c>
      <c r="BD237" s="24">
        <f t="shared" si="251"/>
        <v>850</v>
      </c>
      <c r="BE237" s="24">
        <f t="shared" si="251"/>
        <v>1405</v>
      </c>
      <c r="BF237" s="24">
        <f t="shared" si="251"/>
        <v>1109</v>
      </c>
      <c r="BG237" s="24">
        <f t="shared" si="251"/>
        <v>804</v>
      </c>
      <c r="BH237" s="24">
        <f t="shared" si="251"/>
        <v>960</v>
      </c>
      <c r="BI237" s="24">
        <f t="shared" ref="BI237:CD237" si="252">+BI51</f>
        <v>1345.1022879244197</v>
      </c>
      <c r="BJ237" s="24">
        <f t="shared" si="252"/>
        <v>1058.8503509008269</v>
      </c>
      <c r="BK237" s="24">
        <f t="shared" si="252"/>
        <v>770.50707621807817</v>
      </c>
      <c r="BL237" s="24">
        <f t="shared" si="252"/>
        <v>1010.286141010764</v>
      </c>
      <c r="BM237" s="24">
        <f t="shared" si="252"/>
        <v>1357.8522879244197</v>
      </c>
      <c r="BN237" s="24">
        <f t="shared" si="252"/>
        <v>1068.0468684458683</v>
      </c>
      <c r="BO237" s="24">
        <f t="shared" si="252"/>
        <v>808.42317483919533</v>
      </c>
      <c r="BP237" s="24">
        <f t="shared" si="252"/>
        <v>1061.8332345963508</v>
      </c>
      <c r="BQ237" s="24">
        <f t="shared" si="252"/>
        <v>1444.5614023206406</v>
      </c>
      <c r="BR237" s="24">
        <f t="shared" si="252"/>
        <v>1110.2190118681615</v>
      </c>
      <c r="BS237" s="24">
        <f t="shared" si="252"/>
        <v>795.96612570745162</v>
      </c>
      <c r="BT237" s="24">
        <f t="shared" si="252"/>
        <v>1071.00308987364</v>
      </c>
      <c r="BU237" s="24">
        <f t="shared" si="252"/>
        <v>1444.0664224366726</v>
      </c>
      <c r="BV237" s="24">
        <f t="shared" si="252"/>
        <v>1102.5003724615699</v>
      </c>
      <c r="BW237" s="24">
        <f t="shared" si="252"/>
        <v>824.10864449282428</v>
      </c>
      <c r="BX237" s="24">
        <f t="shared" si="252"/>
        <v>1114.1970568673221</v>
      </c>
      <c r="BY237" s="24">
        <f t="shared" si="252"/>
        <v>1507.2943810585061</v>
      </c>
      <c r="BZ237" s="24">
        <f t="shared" si="252"/>
        <v>1147.4901355846484</v>
      </c>
      <c r="CA237" s="24">
        <f t="shared" si="252"/>
        <v>854.24107859246544</v>
      </c>
      <c r="CB237" s="24">
        <f t="shared" si="252"/>
        <v>1160.0685315856883</v>
      </c>
      <c r="CC237" s="24">
        <f t="shared" si="252"/>
        <v>1574.1325057364318</v>
      </c>
      <c r="CD237" s="24">
        <f t="shared" si="252"/>
        <v>1195.2361496388808</v>
      </c>
      <c r="CE237"/>
      <c r="CG237" s="97"/>
      <c r="CH237" s="97"/>
      <c r="CI237" s="97">
        <f t="shared" ref="CI237:CP237" si="253">+SUMIFS($S237:$CD237,$S$5:$CD$5,"&lt;="&amp;CI$5,$S$5:$CD$5,"&gt;"&amp;CH$5)</f>
        <v>0</v>
      </c>
      <c r="CJ237" s="97">
        <f t="shared" si="253"/>
        <v>1283</v>
      </c>
      <c r="CK237" s="97">
        <f t="shared" si="253"/>
        <v>1454</v>
      </c>
      <c r="CL237" s="97">
        <f t="shared" si="253"/>
        <v>1682</v>
      </c>
      <c r="CM237" s="97">
        <f t="shared" si="253"/>
        <v>2184</v>
      </c>
      <c r="CN237" s="97">
        <f t="shared" si="253"/>
        <v>2525</v>
      </c>
      <c r="CO237" s="97">
        <f t="shared" si="253"/>
        <v>2880</v>
      </c>
      <c r="CP237" s="97">
        <f t="shared" si="253"/>
        <v>3809</v>
      </c>
      <c r="CQ237" s="97">
        <f>+SUMIFS($S237:$CD237,$S$5:$CD$5,"&lt;="&amp;CQ$5,$S$5:$CD$5,"&gt;"&amp;CP$5)</f>
        <v>4177</v>
      </c>
      <c r="CR237" s="97">
        <f t="shared" ref="CR237:CX237" si="254">+SUMIFS($S237:$CD237,$S$5:$CD$5,"&lt;="&amp;CR$5,$S$5:$CD$5,"&gt;"&amp;CQ$5)</f>
        <v>4286</v>
      </c>
      <c r="CS237" s="97">
        <f t="shared" si="254"/>
        <v>4238</v>
      </c>
      <c r="CT237" s="97">
        <f t="shared" si="254"/>
        <v>4167.952638825247</v>
      </c>
      <c r="CU237" s="97">
        <f t="shared" si="254"/>
        <v>4206.6923735991304</v>
      </c>
      <c r="CV237" s="97">
        <f t="shared" si="254"/>
        <v>4425.0368236243485</v>
      </c>
      <c r="CW237" s="97">
        <f t="shared" si="254"/>
        <v>4413.5360104793344</v>
      </c>
      <c r="CX237" s="97">
        <f t="shared" si="254"/>
        <v>4593.0902180033008</v>
      </c>
    </row>
    <row r="238" spans="1:111" ht="15" customHeight="1" x14ac:dyDescent="0.25">
      <c r="B238" s="37" t="s">
        <v>170</v>
      </c>
      <c r="C238" s="37"/>
      <c r="D238" s="37"/>
      <c r="E238" s="37"/>
      <c r="F238" s="37"/>
      <c r="G238" s="37"/>
      <c r="H238" s="37"/>
      <c r="I238" s="37"/>
      <c r="J238" s="37"/>
      <c r="K238" s="37"/>
      <c r="L238" s="37"/>
      <c r="M238" s="37"/>
      <c r="N238" s="37"/>
      <c r="O238" s="37"/>
      <c r="P238" s="37"/>
      <c r="Q238" s="37"/>
      <c r="R238" s="37"/>
      <c r="S238" s="82"/>
      <c r="T238" s="82"/>
      <c r="U238" s="82"/>
      <c r="V238" s="82"/>
      <c r="W238" s="82">
        <f t="shared" ref="W238:BB238" si="255">+IFERROR(W237/S237-1,"")</f>
        <v>0.10652920962199319</v>
      </c>
      <c r="X238" s="82">
        <f t="shared" si="255"/>
        <v>0.15289256198347112</v>
      </c>
      <c r="Y238" s="82">
        <f t="shared" si="255"/>
        <v>8.4541062801932298E-2</v>
      </c>
      <c r="Z238" s="82">
        <f t="shared" si="255"/>
        <v>0.20238095238095233</v>
      </c>
      <c r="AA238" s="82">
        <f t="shared" si="255"/>
        <v>6.5217391304347894E-2</v>
      </c>
      <c r="AB238" s="82">
        <f t="shared" si="255"/>
        <v>-8.6021505376344121E-2</v>
      </c>
      <c r="AC238" s="82">
        <f t="shared" si="255"/>
        <v>0.25835189309576845</v>
      </c>
      <c r="AD238" s="82">
        <f t="shared" si="255"/>
        <v>0.28465346534653468</v>
      </c>
      <c r="AE238" s="82">
        <f t="shared" si="255"/>
        <v>0.22157434402332354</v>
      </c>
      <c r="AF238" s="82">
        <f t="shared" si="255"/>
        <v>0.19607843137254899</v>
      </c>
      <c r="AG238" s="82">
        <f t="shared" si="255"/>
        <v>0.38584070796460179</v>
      </c>
      <c r="AH238" s="82">
        <f t="shared" si="255"/>
        <v>0.3044315992292872</v>
      </c>
      <c r="AI238" s="82">
        <f t="shared" si="255"/>
        <v>0.11217183770883055</v>
      </c>
      <c r="AJ238" s="82">
        <f t="shared" si="255"/>
        <v>0.11803278688524599</v>
      </c>
      <c r="AK238" s="82">
        <f t="shared" si="255"/>
        <v>7.4074074074074181E-2</v>
      </c>
      <c r="AL238" s="82">
        <f t="shared" si="255"/>
        <v>0.29542097488921715</v>
      </c>
      <c r="AM238" s="82">
        <f t="shared" si="255"/>
        <v>0.10729613733905574</v>
      </c>
      <c r="AN238" s="82">
        <f t="shared" si="255"/>
        <v>0.49560117302052786</v>
      </c>
      <c r="AO238" s="82">
        <f t="shared" si="255"/>
        <v>0.25564803804994063</v>
      </c>
      <c r="AP238" s="82">
        <f t="shared" si="255"/>
        <v>-9.0079817559863162E-2</v>
      </c>
      <c r="AQ238" s="82">
        <f t="shared" si="255"/>
        <v>0.6996124031007751</v>
      </c>
      <c r="AR238" s="82">
        <f t="shared" si="255"/>
        <v>-7.4509803921568585E-2</v>
      </c>
      <c r="AS238" s="82">
        <f t="shared" si="255"/>
        <v>0.27935606060606055</v>
      </c>
      <c r="AT238" s="82">
        <f t="shared" si="255"/>
        <v>0.38972431077694236</v>
      </c>
      <c r="AU238" s="82">
        <f t="shared" si="255"/>
        <v>-0.10832383124287348</v>
      </c>
      <c r="AV238" s="82">
        <f t="shared" si="255"/>
        <v>0.85593220338983045</v>
      </c>
      <c r="AW238" s="82">
        <f t="shared" si="255"/>
        <v>4.4411547002221052E-3</v>
      </c>
      <c r="AX238" s="82">
        <f t="shared" si="255"/>
        <v>4.779080252479706E-2</v>
      </c>
      <c r="AY238" s="82">
        <f t="shared" si="255"/>
        <v>4.8593350383631773E-2</v>
      </c>
      <c r="AZ238" s="82">
        <f t="shared" si="255"/>
        <v>-6.0502283105022814E-2</v>
      </c>
      <c r="BA238" s="82">
        <f t="shared" si="255"/>
        <v>-3.6845983787766601E-3</v>
      </c>
      <c r="BB238" s="82">
        <f t="shared" si="255"/>
        <v>0.11101549053356274</v>
      </c>
      <c r="BC238" s="82">
        <f>+IFERROR(BC237/AY237-1,"")</f>
        <v>6.5853658536585424E-2</v>
      </c>
      <c r="BD238" s="82">
        <f t="shared" ref="BD238:BF238" si="256">+IFERROR(BD237/AZ237-1,"")</f>
        <v>3.2806804374240661E-2</v>
      </c>
      <c r="BE238" s="82">
        <f t="shared" si="256"/>
        <v>3.9201183431952558E-2</v>
      </c>
      <c r="BF238" s="82">
        <f t="shared" si="256"/>
        <v>-0.14097598760650654</v>
      </c>
      <c r="BG238" s="82">
        <f>+IFERROR(BG237/BC237-1,"")</f>
        <v>-8.0091533180777996E-2</v>
      </c>
      <c r="BH238" s="82">
        <f t="shared" ref="BH238:BV238" si="257">+IFERROR(BH237/BD237-1,"")</f>
        <v>0.12941176470588234</v>
      </c>
      <c r="BI238" s="82">
        <f t="shared" si="257"/>
        <v>-4.2631823541338321E-2</v>
      </c>
      <c r="BJ238" s="82">
        <f t="shared" si="257"/>
        <v>-4.5220603335593412E-2</v>
      </c>
      <c r="BK238" s="82">
        <f t="shared" si="257"/>
        <v>-4.1657865400400285E-2</v>
      </c>
      <c r="BL238" s="82">
        <f t="shared" si="257"/>
        <v>5.2381396886212572E-2</v>
      </c>
      <c r="BM238" s="82">
        <f t="shared" si="257"/>
        <v>9.4788330333406279E-3</v>
      </c>
      <c r="BN238" s="82">
        <f t="shared" si="257"/>
        <v>8.685379890762901E-3</v>
      </c>
      <c r="BO238" s="82">
        <f t="shared" si="257"/>
        <v>4.9209280214820073E-2</v>
      </c>
      <c r="BP238" s="82">
        <f t="shared" si="257"/>
        <v>5.1022271308220901E-2</v>
      </c>
      <c r="BQ238" s="82">
        <f t="shared" si="257"/>
        <v>6.3857545601489818E-2</v>
      </c>
      <c r="BR238" s="82">
        <f t="shared" si="257"/>
        <v>3.9485292891367596E-2</v>
      </c>
      <c r="BS238" s="82">
        <f t="shared" si="257"/>
        <v>-1.5409069803350883E-2</v>
      </c>
      <c r="BT238" s="82">
        <f t="shared" si="257"/>
        <v>8.6358714141914206E-3</v>
      </c>
      <c r="BU238" s="82">
        <f t="shared" si="257"/>
        <v>-3.4265063649963068E-4</v>
      </c>
      <c r="BV238" s="82">
        <f t="shared" si="257"/>
        <v>-6.9523574394600995E-3</v>
      </c>
      <c r="BW238" s="82">
        <f t="shared" ref="BW238:CD238" si="258">+IFERROR(BW237/BO237-1,"")</f>
        <v>1.9402548246775453E-2</v>
      </c>
      <c r="BX238" s="82">
        <f t="shared" si="258"/>
        <v>4.9314544473527455E-2</v>
      </c>
      <c r="BY238" s="82">
        <f t="shared" si="258"/>
        <v>4.3427007420444141E-2</v>
      </c>
      <c r="BZ238" s="82">
        <f t="shared" si="258"/>
        <v>3.3570965114145368E-2</v>
      </c>
      <c r="CA238" s="82">
        <f t="shared" si="258"/>
        <v>7.3212855425498491E-2</v>
      </c>
      <c r="CB238" s="82">
        <f t="shared" si="258"/>
        <v>8.3160770080090485E-2</v>
      </c>
      <c r="CC238" s="82">
        <f t="shared" si="258"/>
        <v>9.0069321797739521E-2</v>
      </c>
      <c r="CD238" s="82">
        <f t="shared" si="258"/>
        <v>8.4114055190982251E-2</v>
      </c>
      <c r="CG238" s="82"/>
      <c r="CH238" s="82"/>
      <c r="CI238" s="82" t="str">
        <f t="shared" ref="CI238:CP238" si="259">+IFERROR(CI237/CH237-1,"")</f>
        <v/>
      </c>
      <c r="CJ238" s="82" t="str">
        <f t="shared" si="259"/>
        <v/>
      </c>
      <c r="CK238" s="82">
        <f t="shared" si="259"/>
        <v>0.13328137178487909</v>
      </c>
      <c r="CL238" s="82">
        <f t="shared" si="259"/>
        <v>0.15680880330123803</v>
      </c>
      <c r="CM238" s="82">
        <f t="shared" si="259"/>
        <v>0.29845422116527942</v>
      </c>
      <c r="CN238" s="82">
        <f t="shared" si="259"/>
        <v>0.15613553113553102</v>
      </c>
      <c r="CO238" s="82">
        <f t="shared" si="259"/>
        <v>0.1405940594059405</v>
      </c>
      <c r="CP238" s="82">
        <f t="shared" si="259"/>
        <v>0.32256944444444446</v>
      </c>
      <c r="CQ238" s="82">
        <f>+IFERROR(CQ237/CP237-1,"")</f>
        <v>9.6613284326594995E-2</v>
      </c>
      <c r="CR238" s="82">
        <f>+IFERROR(CR237/CQ237-1,"")</f>
        <v>2.6095283696432769E-2</v>
      </c>
      <c r="CS238" s="82">
        <f t="shared" ref="CS238:CX238" si="260">+IFERROR(CS237/CR237-1,"")</f>
        <v>-1.1199253383107788E-2</v>
      </c>
      <c r="CT238" s="108">
        <f t="shared" si="260"/>
        <v>-1.6528400465963378E-2</v>
      </c>
      <c r="CU238" s="108">
        <f t="shared" si="260"/>
        <v>9.2946677015990353E-3</v>
      </c>
      <c r="CV238" s="108">
        <f t="shared" si="260"/>
        <v>5.1904068715727947E-2</v>
      </c>
      <c r="CW238" s="108">
        <f t="shared" si="260"/>
        <v>-2.5990321896562918E-3</v>
      </c>
      <c r="CX238" s="108">
        <f t="shared" si="260"/>
        <v>4.0682619808162901E-2</v>
      </c>
    </row>
    <row r="239" spans="1:111" ht="15" customHeight="1" x14ac:dyDescent="0.25">
      <c r="B239" s="37"/>
      <c r="C239" s="37"/>
      <c r="D239" s="37"/>
      <c r="E239" s="37"/>
      <c r="F239" s="37"/>
      <c r="G239" s="37"/>
      <c r="H239" s="37"/>
      <c r="I239" s="37"/>
      <c r="J239" s="37"/>
      <c r="K239" s="37"/>
      <c r="L239" s="37"/>
      <c r="M239" s="37"/>
      <c r="N239" s="37"/>
      <c r="O239" s="37"/>
      <c r="P239" s="37"/>
      <c r="Q239" s="37"/>
      <c r="R239" s="37"/>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c r="AP239" s="143" t="s">
        <v>222</v>
      </c>
      <c r="AQ239" s="82"/>
      <c r="AR239" s="82"/>
      <c r="AS239" s="82"/>
      <c r="AT239" s="82"/>
      <c r="AU239" s="82"/>
      <c r="AV239" s="82"/>
      <c r="AW239" s="82"/>
      <c r="AX239" s="82"/>
      <c r="AY239" s="82"/>
      <c r="AZ239" s="82"/>
      <c r="BA239" s="82"/>
      <c r="BB239" s="82"/>
      <c r="BC239" s="82"/>
      <c r="BD239" s="82"/>
      <c r="BE239" s="82"/>
      <c r="BF239" s="82"/>
      <c r="BG239" s="82"/>
      <c r="BH239" s="82"/>
      <c r="BI239" s="82"/>
      <c r="BJ239" s="82"/>
      <c r="BK239" s="82"/>
      <c r="BL239" s="82"/>
      <c r="BM239" s="82"/>
      <c r="BN239" s="82"/>
      <c r="BO239" s="82"/>
      <c r="BP239" s="82"/>
      <c r="BQ239" s="82"/>
      <c r="BR239" s="82"/>
      <c r="BS239" s="82"/>
      <c r="BT239" s="82"/>
      <c r="BU239" s="82"/>
      <c r="BV239" s="82"/>
      <c r="BW239" s="82"/>
      <c r="BX239" s="82"/>
      <c r="BY239" s="82"/>
      <c r="BZ239" s="82"/>
      <c r="CA239" s="82"/>
      <c r="CB239" s="82"/>
      <c r="CC239" s="82"/>
      <c r="CD239" s="82"/>
      <c r="CG239" s="82"/>
      <c r="CH239" s="82"/>
      <c r="CI239" s="82"/>
      <c r="CJ239" s="82"/>
      <c r="CK239" s="82"/>
      <c r="CL239" s="82"/>
      <c r="CM239" s="82"/>
      <c r="CN239" s="82"/>
      <c r="CO239" s="82"/>
      <c r="CP239" s="82"/>
      <c r="CQ239" s="82"/>
      <c r="CR239" s="82"/>
      <c r="CS239" s="82"/>
      <c r="CT239" s="108"/>
      <c r="CU239" s="108"/>
      <c r="CV239" s="108"/>
      <c r="CW239" s="108"/>
      <c r="CX239" s="108"/>
    </row>
    <row r="240" spans="1:111" s="138" customFormat="1" ht="15" customHeight="1" x14ac:dyDescent="0.25">
      <c r="B240" s="139" t="s">
        <v>223</v>
      </c>
      <c r="C240" s="140"/>
      <c r="D240" s="140"/>
      <c r="E240" s="140"/>
      <c r="F240" s="140"/>
      <c r="G240" s="140"/>
      <c r="H240" s="140"/>
      <c r="I240" s="140"/>
      <c r="J240" s="140"/>
      <c r="K240" s="140"/>
      <c r="L240" s="140"/>
      <c r="M240" s="140"/>
      <c r="N240" s="140"/>
      <c r="O240" s="140"/>
      <c r="P240" s="140"/>
      <c r="Q240" s="140"/>
      <c r="R240" s="140"/>
      <c r="T240" s="141"/>
      <c r="U240" s="141"/>
      <c r="V240" s="141"/>
      <c r="W240" s="141"/>
      <c r="X240" s="141"/>
      <c r="Y240" s="141"/>
      <c r="Z240" s="141"/>
      <c r="AA240" s="141"/>
      <c r="AB240" s="141"/>
      <c r="AC240" s="141"/>
      <c r="AD240" s="141"/>
      <c r="AE240" s="141"/>
      <c r="AF240" s="141"/>
      <c r="AG240" s="141"/>
      <c r="AH240" s="141"/>
      <c r="AI240" s="141"/>
      <c r="AJ240" s="141"/>
      <c r="AK240" s="141"/>
      <c r="AL240" s="141"/>
      <c r="AM240" s="141"/>
      <c r="AN240" s="141"/>
      <c r="AO240" s="141"/>
      <c r="AP240" s="141"/>
      <c r="AQ240" s="141"/>
      <c r="AR240" s="141"/>
      <c r="AS240" s="141"/>
      <c r="AT240" s="141"/>
      <c r="AU240" s="141"/>
      <c r="AV240" s="141"/>
      <c r="AW240" s="141"/>
      <c r="AX240" s="141"/>
      <c r="AY240" s="141"/>
      <c r="AZ240" s="141"/>
      <c r="BA240" s="141"/>
      <c r="BB240" s="141"/>
      <c r="BC240" s="142"/>
      <c r="BD240" s="142"/>
      <c r="BE240" s="142"/>
      <c r="BF240" s="142"/>
      <c r="BG240" s="142"/>
      <c r="BH240" s="142" t="e">
        <f>+BH248-BH233</f>
        <v>#NAME?</v>
      </c>
      <c r="BI240" s="142" t="e">
        <f t="shared" ref="BI240:CD240" si="261">+BI248-BI233</f>
        <v>#NAME?</v>
      </c>
      <c r="BJ240" s="142" t="e">
        <f t="shared" si="261"/>
        <v>#NAME?</v>
      </c>
      <c r="BK240" s="142" t="e">
        <f t="shared" si="261"/>
        <v>#NAME?</v>
      </c>
      <c r="BL240" s="142" t="e">
        <f t="shared" si="261"/>
        <v>#NAME?</v>
      </c>
      <c r="BM240" s="142" t="e">
        <f t="shared" si="261"/>
        <v>#NAME?</v>
      </c>
      <c r="BN240" s="142" t="e">
        <f t="shared" si="261"/>
        <v>#NAME?</v>
      </c>
      <c r="BO240" s="142" t="e">
        <f t="shared" si="261"/>
        <v>#NAME?</v>
      </c>
      <c r="BP240" s="142" t="e">
        <f t="shared" si="261"/>
        <v>#NAME?</v>
      </c>
      <c r="BQ240" s="142" t="e">
        <f t="shared" si="261"/>
        <v>#NAME?</v>
      </c>
      <c r="BR240" s="142" t="e">
        <f t="shared" si="261"/>
        <v>#NAME?</v>
      </c>
      <c r="BS240" s="142" t="e">
        <f t="shared" si="261"/>
        <v>#NAME?</v>
      </c>
      <c r="BT240" s="142" t="e">
        <f t="shared" si="261"/>
        <v>#NAME?</v>
      </c>
      <c r="BU240" s="142" t="e">
        <f t="shared" si="261"/>
        <v>#NAME?</v>
      </c>
      <c r="BV240" s="142" t="e">
        <f t="shared" si="261"/>
        <v>#NAME?</v>
      </c>
      <c r="BW240" s="142" t="e">
        <f t="shared" si="261"/>
        <v>#NAME?</v>
      </c>
      <c r="BX240" s="142" t="e">
        <f t="shared" si="261"/>
        <v>#NAME?</v>
      </c>
      <c r="BY240" s="142" t="e">
        <f t="shared" si="261"/>
        <v>#NAME?</v>
      </c>
      <c r="BZ240" s="142" t="e">
        <f t="shared" si="261"/>
        <v>#NAME?</v>
      </c>
      <c r="CA240" s="142" t="e">
        <f t="shared" si="261"/>
        <v>#NAME?</v>
      </c>
      <c r="CB240" s="142" t="e">
        <f t="shared" si="261"/>
        <v>#NAME?</v>
      </c>
      <c r="CC240" s="142" t="e">
        <f t="shared" si="261"/>
        <v>#NAME?</v>
      </c>
      <c r="CD240" s="142" t="e">
        <f t="shared" si="261"/>
        <v>#NAME?</v>
      </c>
      <c r="CE240" s="142"/>
      <c r="CG240" s="141"/>
      <c r="CH240" s="141"/>
      <c r="CI240" s="141"/>
      <c r="CJ240" s="141"/>
      <c r="CK240" s="141"/>
      <c r="CL240" s="141"/>
      <c r="CM240" s="141"/>
      <c r="CN240" s="141"/>
      <c r="CO240" s="141"/>
      <c r="CP240" s="141"/>
      <c r="CQ240" s="141"/>
      <c r="CR240" s="141"/>
      <c r="CS240" s="141"/>
      <c r="CT240" s="142" t="e">
        <f t="shared" ref="CT240:CX240" si="262">+CT248-CT233</f>
        <v>#NAME?</v>
      </c>
      <c r="CU240" s="142" t="e">
        <f t="shared" si="262"/>
        <v>#NAME?</v>
      </c>
      <c r="CV240" s="142" t="e">
        <f t="shared" si="262"/>
        <v>#NAME?</v>
      </c>
      <c r="CW240" s="142" t="e">
        <f t="shared" si="262"/>
        <v>#NAME?</v>
      </c>
      <c r="CX240" s="142" t="e">
        <f t="shared" si="262"/>
        <v>#NAME?</v>
      </c>
    </row>
    <row r="241" spans="2:111" s="138" customFormat="1" ht="15" customHeight="1" x14ac:dyDescent="0.25">
      <c r="B241" s="37" t="s">
        <v>220</v>
      </c>
      <c r="C241" s="140"/>
      <c r="D241" s="140"/>
      <c r="E241" s="140"/>
      <c r="F241" s="140"/>
      <c r="G241" s="140"/>
      <c r="H241" s="140"/>
      <c r="I241" s="140"/>
      <c r="J241" s="140"/>
      <c r="K241" s="140"/>
      <c r="L241" s="140"/>
      <c r="M241" s="140"/>
      <c r="N241" s="140"/>
      <c r="O241" s="140"/>
      <c r="P241" s="140"/>
      <c r="Q241" s="140"/>
      <c r="R241" s="140"/>
      <c r="T241" s="141"/>
      <c r="U241" s="141"/>
      <c r="V241" s="141"/>
      <c r="W241" s="141"/>
      <c r="X241" s="141"/>
      <c r="Y241" s="141"/>
      <c r="Z241" s="141"/>
      <c r="AA241" s="141"/>
      <c r="AB241" s="141"/>
      <c r="AC241" s="141"/>
      <c r="AD241" s="141"/>
      <c r="AE241" s="141"/>
      <c r="AF241" s="141"/>
      <c r="AG241" s="141"/>
      <c r="AH241" s="141"/>
      <c r="AI241" s="141"/>
      <c r="AJ241" s="141"/>
      <c r="AK241" s="141"/>
      <c r="AL241" s="141"/>
      <c r="AM241" s="141"/>
      <c r="AN241" s="141"/>
      <c r="AO241" s="141"/>
      <c r="AP241" s="141"/>
      <c r="AQ241" s="141"/>
      <c r="AR241" s="141"/>
      <c r="AS241" s="141"/>
      <c r="AT241" s="141"/>
      <c r="AU241" s="141"/>
      <c r="AV241" s="141"/>
      <c r="AW241" s="141"/>
      <c r="AX241" s="141"/>
      <c r="AY241" s="141"/>
      <c r="AZ241" s="141"/>
      <c r="BA241" s="141"/>
      <c r="BB241" s="141"/>
      <c r="BC241" s="142"/>
      <c r="BD241" s="142"/>
      <c r="BE241" s="142"/>
      <c r="BF241" s="142"/>
      <c r="BG241" s="142"/>
      <c r="BH241" s="86" t="e">
        <f>+BH237-BH240</f>
        <v>#NAME?</v>
      </c>
      <c r="BI241" s="86" t="e">
        <f t="shared" ref="BI241:BR241" si="263">+BI237-BI240</f>
        <v>#NAME?</v>
      </c>
      <c r="BJ241" s="86" t="e">
        <f t="shared" si="263"/>
        <v>#NAME?</v>
      </c>
      <c r="BK241" s="86" t="e">
        <f t="shared" si="263"/>
        <v>#NAME?</v>
      </c>
      <c r="BL241" s="86" t="e">
        <f t="shared" si="263"/>
        <v>#NAME?</v>
      </c>
      <c r="BM241" s="86" t="e">
        <f t="shared" si="263"/>
        <v>#NAME?</v>
      </c>
      <c r="BN241" s="86" t="e">
        <f t="shared" si="263"/>
        <v>#NAME?</v>
      </c>
      <c r="BO241" s="86" t="e">
        <f t="shared" si="263"/>
        <v>#NAME?</v>
      </c>
      <c r="BP241" s="86" t="e">
        <f t="shared" si="263"/>
        <v>#NAME?</v>
      </c>
      <c r="BQ241" s="86" t="e">
        <f t="shared" si="263"/>
        <v>#NAME?</v>
      </c>
      <c r="BR241" s="86" t="e">
        <f t="shared" si="263"/>
        <v>#NAME?</v>
      </c>
      <c r="BS241" s="86" t="e">
        <f t="shared" ref="BS241:CD241" si="264">+BS236-BS240</f>
        <v>#NAME?</v>
      </c>
      <c r="BT241" s="86" t="e">
        <f t="shared" si="264"/>
        <v>#NAME?</v>
      </c>
      <c r="BU241" s="86" t="e">
        <f t="shared" si="264"/>
        <v>#NAME?</v>
      </c>
      <c r="BV241" s="86" t="e">
        <f t="shared" si="264"/>
        <v>#NAME?</v>
      </c>
      <c r="BW241" s="86" t="e">
        <f t="shared" si="264"/>
        <v>#NAME?</v>
      </c>
      <c r="BX241" s="86" t="e">
        <f t="shared" si="264"/>
        <v>#NAME?</v>
      </c>
      <c r="BY241" s="86" t="e">
        <f t="shared" si="264"/>
        <v>#NAME?</v>
      </c>
      <c r="BZ241" s="86" t="e">
        <f t="shared" si="264"/>
        <v>#NAME?</v>
      </c>
      <c r="CA241" s="86" t="e">
        <f t="shared" si="264"/>
        <v>#NAME?</v>
      </c>
      <c r="CB241" s="86" t="e">
        <f t="shared" si="264"/>
        <v>#NAME?</v>
      </c>
      <c r="CC241" s="86" t="e">
        <f t="shared" si="264"/>
        <v>#NAME?</v>
      </c>
      <c r="CD241" s="86" t="e">
        <f t="shared" si="264"/>
        <v>#NAME?</v>
      </c>
      <c r="CE241" s="86"/>
      <c r="CG241" s="141"/>
      <c r="CH241" s="141"/>
      <c r="CI241" s="141"/>
      <c r="CJ241" s="141"/>
      <c r="CK241" s="141"/>
      <c r="CL241" s="141"/>
      <c r="CM241" s="141"/>
      <c r="CN241" s="141"/>
      <c r="CO241" s="141"/>
      <c r="CP241" s="141"/>
      <c r="CQ241" s="141"/>
      <c r="CR241" s="141"/>
      <c r="CS241" s="141"/>
      <c r="CT241" s="86" t="e">
        <f>+CT237-CT240</f>
        <v>#NAME?</v>
      </c>
      <c r="CU241" s="86" t="e">
        <f t="shared" ref="CU241:CX241" si="265">+CU237-CU240</f>
        <v>#NAME?</v>
      </c>
      <c r="CV241" s="86" t="e">
        <f t="shared" si="265"/>
        <v>#NAME?</v>
      </c>
      <c r="CW241" s="86" t="e">
        <f t="shared" si="265"/>
        <v>#NAME?</v>
      </c>
      <c r="CX241" s="86" t="e">
        <f t="shared" si="265"/>
        <v>#NAME?</v>
      </c>
    </row>
    <row r="242" spans="2:111" ht="15" customHeight="1" x14ac:dyDescent="0.25">
      <c r="B242" s="37" t="s">
        <v>221</v>
      </c>
      <c r="C242" s="37"/>
      <c r="D242" s="37"/>
      <c r="E242" s="37"/>
      <c r="F242" s="37"/>
      <c r="G242" s="37"/>
      <c r="H242" s="37"/>
      <c r="I242" s="37"/>
      <c r="J242" s="37"/>
      <c r="K242" s="37"/>
      <c r="L242" s="37"/>
      <c r="M242" s="37"/>
      <c r="N242" s="37"/>
      <c r="O242" s="37"/>
      <c r="P242" s="37"/>
      <c r="Q242" s="37"/>
      <c r="R242" s="37"/>
      <c r="S242" s="82"/>
      <c r="T242" s="82"/>
      <c r="U242" s="82"/>
      <c r="V242" s="82"/>
      <c r="W242" s="82" t="str">
        <f t="shared" ref="W242:AL242" si="266">+IFERROR(W240/S240-1,"")</f>
        <v/>
      </c>
      <c r="X242" s="82" t="str">
        <f t="shared" si="266"/>
        <v/>
      </c>
      <c r="Y242" s="82" t="str">
        <f t="shared" si="266"/>
        <v/>
      </c>
      <c r="Z242" s="82" t="str">
        <f t="shared" si="266"/>
        <v/>
      </c>
      <c r="AA242" s="82" t="str">
        <f t="shared" si="266"/>
        <v/>
      </c>
      <c r="AB242" s="82" t="str">
        <f t="shared" si="266"/>
        <v/>
      </c>
      <c r="AC242" s="82" t="str">
        <f t="shared" si="266"/>
        <v/>
      </c>
      <c r="AD242" s="82" t="str">
        <f t="shared" si="266"/>
        <v/>
      </c>
      <c r="AE242" s="82" t="str">
        <f t="shared" si="266"/>
        <v/>
      </c>
      <c r="AF242" s="82" t="str">
        <f t="shared" si="266"/>
        <v/>
      </c>
      <c r="AG242" s="82" t="str">
        <f t="shared" si="266"/>
        <v/>
      </c>
      <c r="AH242" s="82" t="str">
        <f t="shared" si="266"/>
        <v/>
      </c>
      <c r="AI242" s="82" t="str">
        <f t="shared" si="266"/>
        <v/>
      </c>
      <c r="AJ242" s="82" t="str">
        <f t="shared" si="266"/>
        <v/>
      </c>
      <c r="AK242" s="82" t="str">
        <f t="shared" si="266"/>
        <v/>
      </c>
      <c r="AL242" s="82" t="str">
        <f t="shared" si="266"/>
        <v/>
      </c>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t="e">
        <f>+BH237/BH240-1</f>
        <v>#NAME?</v>
      </c>
      <c r="BI242" s="82" t="e">
        <f t="shared" ref="BI242:BR242" si="267">+BI237/BI240-1</f>
        <v>#NAME?</v>
      </c>
      <c r="BJ242" s="82" t="e">
        <f t="shared" si="267"/>
        <v>#NAME?</v>
      </c>
      <c r="BK242" s="82" t="e">
        <f t="shared" si="267"/>
        <v>#NAME?</v>
      </c>
      <c r="BL242" s="82" t="e">
        <f t="shared" si="267"/>
        <v>#NAME?</v>
      </c>
      <c r="BM242" s="82" t="e">
        <f t="shared" si="267"/>
        <v>#NAME?</v>
      </c>
      <c r="BN242" s="82" t="e">
        <f t="shared" si="267"/>
        <v>#NAME?</v>
      </c>
      <c r="BO242" s="82" t="e">
        <f t="shared" si="267"/>
        <v>#NAME?</v>
      </c>
      <c r="BP242" s="82" t="e">
        <f t="shared" si="267"/>
        <v>#NAME?</v>
      </c>
      <c r="BQ242" s="82" t="e">
        <f t="shared" si="267"/>
        <v>#NAME?</v>
      </c>
      <c r="BR242" s="82" t="e">
        <f t="shared" si="267"/>
        <v>#NAME?</v>
      </c>
      <c r="BS242" s="82" t="e">
        <f t="shared" ref="BS242:CD242" si="268">+BS236/BS240-1</f>
        <v>#NAME?</v>
      </c>
      <c r="BT242" s="82" t="e">
        <f t="shared" si="268"/>
        <v>#NAME?</v>
      </c>
      <c r="BU242" s="82" t="e">
        <f t="shared" si="268"/>
        <v>#NAME?</v>
      </c>
      <c r="BV242" s="82" t="e">
        <f t="shared" si="268"/>
        <v>#NAME?</v>
      </c>
      <c r="BW242" s="82" t="e">
        <f t="shared" si="268"/>
        <v>#NAME?</v>
      </c>
      <c r="BX242" s="82" t="e">
        <f t="shared" si="268"/>
        <v>#NAME?</v>
      </c>
      <c r="BY242" s="82" t="e">
        <f t="shared" si="268"/>
        <v>#NAME?</v>
      </c>
      <c r="BZ242" s="82" t="e">
        <f t="shared" si="268"/>
        <v>#NAME?</v>
      </c>
      <c r="CA242" s="82" t="e">
        <f t="shared" si="268"/>
        <v>#NAME?</v>
      </c>
      <c r="CB242" s="82" t="e">
        <f t="shared" si="268"/>
        <v>#NAME?</v>
      </c>
      <c r="CC242" s="82" t="e">
        <f t="shared" si="268"/>
        <v>#NAME?</v>
      </c>
      <c r="CD242" s="82" t="e">
        <f t="shared" si="268"/>
        <v>#NAME?</v>
      </c>
      <c r="CE242" s="82"/>
      <c r="CG242" s="82"/>
      <c r="CH242" s="82"/>
      <c r="CI242" s="82"/>
      <c r="CJ242" s="82"/>
      <c r="CK242" s="82"/>
      <c r="CL242" s="82"/>
      <c r="CM242" s="82"/>
      <c r="CN242" s="82"/>
      <c r="CO242" s="82"/>
      <c r="CP242" s="82"/>
      <c r="CQ242" s="82"/>
      <c r="CR242" s="82"/>
      <c r="CS242" s="82"/>
      <c r="CT242" s="82" t="e">
        <f>+CT237/CT240-1</f>
        <v>#NAME?</v>
      </c>
      <c r="CU242" s="82" t="e">
        <f t="shared" ref="CU242:CX242" si="269">+CU237/CU240-1</f>
        <v>#NAME?</v>
      </c>
      <c r="CV242" s="82" t="e">
        <f t="shared" si="269"/>
        <v>#NAME?</v>
      </c>
      <c r="CW242" s="82" t="e">
        <f t="shared" si="269"/>
        <v>#NAME?</v>
      </c>
      <c r="CX242" s="82" t="e">
        <f t="shared" si="269"/>
        <v>#NAME?</v>
      </c>
      <c r="CY242" s="82"/>
      <c r="CZ242" s="82"/>
      <c r="DA242" s="82"/>
      <c r="DB242" s="82"/>
      <c r="DC242" s="82"/>
      <c r="DD242" s="82"/>
      <c r="DE242" s="82"/>
      <c r="DF242" s="82"/>
      <c r="DG242" s="82"/>
    </row>
    <row r="243" spans="2:111" ht="15" customHeight="1" x14ac:dyDescent="0.25">
      <c r="B243" s="37"/>
      <c r="C243" s="37"/>
      <c r="D243" s="37"/>
      <c r="E243" s="37"/>
      <c r="F243" s="37"/>
      <c r="G243" s="37"/>
      <c r="H243" s="37"/>
      <c r="I243" s="37"/>
      <c r="J243" s="37"/>
      <c r="K243" s="37"/>
      <c r="L243" s="37"/>
      <c r="M243" s="37"/>
      <c r="N243" s="37"/>
      <c r="O243" s="37"/>
      <c r="P243" s="37"/>
      <c r="Q243" s="37"/>
      <c r="R243" s="37"/>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2"/>
      <c r="BK243" s="82"/>
      <c r="BL243" s="82"/>
      <c r="BM243" s="82"/>
      <c r="BN243" s="82"/>
      <c r="BO243" s="82"/>
      <c r="BP243" s="82"/>
      <c r="BQ243" s="82"/>
      <c r="BR243" s="82"/>
      <c r="BS243" s="82"/>
      <c r="BT243" s="82"/>
      <c r="BU243" s="82"/>
      <c r="BV243" s="82"/>
      <c r="BW243" s="82"/>
      <c r="BX243" s="82"/>
      <c r="BY243" s="82"/>
      <c r="BZ243" s="82"/>
      <c r="CA243" s="82"/>
      <c r="CB243" s="82"/>
      <c r="CC243" s="82"/>
      <c r="CD243" s="82"/>
      <c r="CG243" s="82"/>
      <c r="CH243" s="82"/>
      <c r="CI243" s="82"/>
      <c r="CJ243" s="82"/>
      <c r="CK243" s="82"/>
      <c r="CL243" s="82"/>
      <c r="CM243" s="82"/>
      <c r="CN243" s="82"/>
      <c r="CO243" s="82"/>
      <c r="CP243" s="82"/>
      <c r="CQ243" s="82"/>
      <c r="CR243" s="82"/>
      <c r="CS243" s="82"/>
      <c r="CT243" s="108"/>
      <c r="CU243" s="108"/>
      <c r="CV243" s="108"/>
      <c r="CW243" s="108"/>
      <c r="CX243" s="108"/>
    </row>
    <row r="244" spans="2:111" s="10" customFormat="1" ht="15" customHeight="1" x14ac:dyDescent="0.25">
      <c r="B244" s="10" t="s">
        <v>205</v>
      </c>
      <c r="S244" s="61">
        <f t="shared" ref="S244:BF244" si="270">+S519</f>
        <v>411</v>
      </c>
      <c r="T244" s="61">
        <f t="shared" si="270"/>
        <v>359</v>
      </c>
      <c r="U244" s="61">
        <f t="shared" si="270"/>
        <v>553</v>
      </c>
      <c r="V244" s="61">
        <f t="shared" si="270"/>
        <v>488</v>
      </c>
      <c r="W244" s="61">
        <f t="shared" si="270"/>
        <v>448</v>
      </c>
      <c r="X244" s="61">
        <f t="shared" si="270"/>
        <v>391</v>
      </c>
      <c r="Y244" s="61">
        <f t="shared" si="270"/>
        <v>612</v>
      </c>
      <c r="Z244" s="61">
        <f t="shared" si="270"/>
        <v>578</v>
      </c>
      <c r="AA244" s="61">
        <f t="shared" si="270"/>
        <v>484</v>
      </c>
      <c r="AB244" s="61">
        <f t="shared" si="270"/>
        <v>393</v>
      </c>
      <c r="AC244" s="61">
        <f t="shared" si="270"/>
        <v>740</v>
      </c>
      <c r="AD244" s="61">
        <f t="shared" si="270"/>
        <v>693</v>
      </c>
      <c r="AE244" s="61">
        <f t="shared" si="270"/>
        <v>570</v>
      </c>
      <c r="AF244" s="61">
        <f t="shared" si="270"/>
        <v>460</v>
      </c>
      <c r="AG244" s="61">
        <f t="shared" si="270"/>
        <v>970</v>
      </c>
      <c r="AH244" s="61">
        <f t="shared" si="270"/>
        <v>855</v>
      </c>
      <c r="AI244" s="61">
        <f t="shared" si="270"/>
        <v>657</v>
      </c>
      <c r="AJ244" s="61">
        <f t="shared" si="270"/>
        <v>537</v>
      </c>
      <c r="AK244" s="61">
        <f t="shared" si="270"/>
        <v>1033</v>
      </c>
      <c r="AL244" s="61">
        <f t="shared" si="270"/>
        <v>1065</v>
      </c>
      <c r="AM244" s="61">
        <f t="shared" si="270"/>
        <v>687</v>
      </c>
      <c r="AN244" s="61">
        <f t="shared" si="270"/>
        <v>676</v>
      </c>
      <c r="AO244" s="61">
        <f t="shared" si="270"/>
        <v>1241</v>
      </c>
      <c r="AP244" s="61">
        <f t="shared" si="270"/>
        <v>988</v>
      </c>
      <c r="AQ244" s="61">
        <f t="shared" si="270"/>
        <v>1103</v>
      </c>
      <c r="AR244" s="61">
        <f t="shared" si="270"/>
        <v>644</v>
      </c>
      <c r="AS244" s="61">
        <f t="shared" si="270"/>
        <v>1542</v>
      </c>
      <c r="AT244" s="61">
        <f t="shared" si="270"/>
        <v>1303</v>
      </c>
      <c r="AU244" s="61">
        <f t="shared" si="270"/>
        <v>1054</v>
      </c>
      <c r="AV244" s="61">
        <f t="shared" si="270"/>
        <v>1155</v>
      </c>
      <c r="AW244" s="61">
        <f t="shared" si="270"/>
        <v>1677</v>
      </c>
      <c r="AX244" s="61">
        <f t="shared" si="270"/>
        <v>1484</v>
      </c>
      <c r="AY244" s="61">
        <f t="shared" si="270"/>
        <v>1134</v>
      </c>
      <c r="AZ244" s="61">
        <f t="shared" si="270"/>
        <v>1119</v>
      </c>
      <c r="BA244" s="61">
        <f t="shared" si="270"/>
        <v>1655</v>
      </c>
      <c r="BB244" s="61">
        <f t="shared" si="270"/>
        <v>1622</v>
      </c>
      <c r="BC244" s="61">
        <f t="shared" si="270"/>
        <v>1177</v>
      </c>
      <c r="BD244" s="61">
        <f t="shared" si="270"/>
        <v>1129</v>
      </c>
      <c r="BE244" s="61">
        <f t="shared" si="270"/>
        <v>1712</v>
      </c>
      <c r="BF244" s="61">
        <f t="shared" si="270"/>
        <v>1407</v>
      </c>
      <c r="BG244" s="144">
        <v>1094</v>
      </c>
      <c r="BH244" s="144">
        <f>1309-62</f>
        <v>1247</v>
      </c>
      <c r="BI244" s="57">
        <f t="shared" ref="BI244:CD244" si="271">+BI237+BI229</f>
        <v>1636.7522879244198</v>
      </c>
      <c r="BJ244" s="57">
        <f t="shared" si="271"/>
        <v>1341.9503509008268</v>
      </c>
      <c r="BK244" s="57">
        <f t="shared" si="271"/>
        <v>1057.6070762180782</v>
      </c>
      <c r="BL244" s="57">
        <f t="shared" si="271"/>
        <v>1297.2861410107639</v>
      </c>
      <c r="BM244" s="57">
        <f t="shared" si="271"/>
        <v>1658.2517879244197</v>
      </c>
      <c r="BN244" s="57">
        <f t="shared" si="271"/>
        <v>1362.4708684458683</v>
      </c>
      <c r="BO244" s="57">
        <f t="shared" si="271"/>
        <v>1109.8781748391953</v>
      </c>
      <c r="BP244" s="57">
        <f t="shared" si="271"/>
        <v>1363.1832345963508</v>
      </c>
      <c r="BQ244" s="57">
        <f t="shared" si="271"/>
        <v>1759.9808773206405</v>
      </c>
      <c r="BR244" s="57">
        <f t="shared" si="271"/>
        <v>1419.3642118681614</v>
      </c>
      <c r="BS244" s="57">
        <f t="shared" si="271"/>
        <v>1112.4938757074517</v>
      </c>
      <c r="BT244" s="57">
        <f t="shared" si="271"/>
        <v>1387.42058987364</v>
      </c>
      <c r="BU244" s="57">
        <f t="shared" si="271"/>
        <v>1775.2568711866725</v>
      </c>
      <c r="BV244" s="57">
        <f t="shared" si="271"/>
        <v>1427.10283246157</v>
      </c>
      <c r="BW244" s="57">
        <f t="shared" si="271"/>
        <v>1156.4627819928244</v>
      </c>
      <c r="BX244" s="57">
        <f t="shared" si="271"/>
        <v>1446.4354318673222</v>
      </c>
      <c r="BY244" s="57">
        <f t="shared" si="271"/>
        <v>1855.0443522460062</v>
      </c>
      <c r="BZ244" s="57">
        <f t="shared" si="271"/>
        <v>1488.3227185846486</v>
      </c>
      <c r="CA244" s="57">
        <f t="shared" si="271"/>
        <v>1203.2129229674656</v>
      </c>
      <c r="CB244" s="57">
        <f t="shared" si="271"/>
        <v>1508.9188253356883</v>
      </c>
      <c r="CC244" s="57">
        <f t="shared" si="271"/>
        <v>1939.2699754833068</v>
      </c>
      <c r="CD244" s="57">
        <f t="shared" si="271"/>
        <v>1553.1103617888807</v>
      </c>
      <c r="CE244"/>
      <c r="CG244" s="46"/>
      <c r="CH244" s="46"/>
      <c r="CI244" s="46">
        <f t="shared" ref="CI244:CP244" si="272">+SUMIFS($S244:$CD244,$S$5:$CD$5,"&lt;="&amp;CI$5,$S$5:$CD$5,"&gt;"&amp;CH$5)</f>
        <v>0</v>
      </c>
      <c r="CJ244" s="46">
        <f t="shared" si="272"/>
        <v>1811</v>
      </c>
      <c r="CK244" s="46">
        <f t="shared" si="272"/>
        <v>2029</v>
      </c>
      <c r="CL244" s="46">
        <f t="shared" si="272"/>
        <v>2310</v>
      </c>
      <c r="CM244" s="46">
        <f t="shared" si="272"/>
        <v>2855</v>
      </c>
      <c r="CN244" s="46">
        <f t="shared" si="272"/>
        <v>3292</v>
      </c>
      <c r="CO244" s="46">
        <f t="shared" si="272"/>
        <v>3592</v>
      </c>
      <c r="CP244" s="46">
        <f t="shared" si="272"/>
        <v>4592</v>
      </c>
      <c r="CQ244" s="46">
        <f>+SUMIFS($S244:$CD244,$S$5:$CD$5,"&lt;="&amp;CQ$5,$S$5:$CD$5,"&gt;"&amp;CP$5)</f>
        <v>5370</v>
      </c>
      <c r="CR244" s="46">
        <f t="shared" ref="CR244:CX244" si="273">+SUMIFS($S244:$CD244,$S$5:$CD$5,"&lt;="&amp;CR$5,$S$5:$CD$5,"&gt;"&amp;CQ$5)</f>
        <v>5530</v>
      </c>
      <c r="CS244" s="46">
        <f t="shared" si="273"/>
        <v>5425</v>
      </c>
      <c r="CT244" s="47">
        <f t="shared" si="273"/>
        <v>5319.702638825247</v>
      </c>
      <c r="CU244" s="47">
        <f t="shared" si="273"/>
        <v>5375.6158735991303</v>
      </c>
      <c r="CV244" s="47">
        <f t="shared" si="273"/>
        <v>5652.4064986243484</v>
      </c>
      <c r="CW244" s="47">
        <f t="shared" si="273"/>
        <v>5702.2741692293339</v>
      </c>
      <c r="CX244" s="47">
        <f t="shared" si="273"/>
        <v>5946.2652846908022</v>
      </c>
    </row>
    <row r="245" spans="2:111" ht="15" customHeight="1" x14ac:dyDescent="0.25">
      <c r="B245" s="37" t="s">
        <v>170</v>
      </c>
      <c r="C245" s="37"/>
      <c r="D245" s="37"/>
      <c r="E245" s="37"/>
      <c r="F245" s="37"/>
      <c r="G245" s="37"/>
      <c r="H245" s="37"/>
      <c r="I245" s="37"/>
      <c r="J245" s="37"/>
      <c r="K245" s="37"/>
      <c r="L245" s="37"/>
      <c r="M245" s="37"/>
      <c r="N245" s="37"/>
      <c r="O245" s="37"/>
      <c r="P245" s="37"/>
      <c r="Q245" s="37"/>
      <c r="R245" s="37"/>
      <c r="S245" s="82"/>
      <c r="T245" s="82"/>
      <c r="U245" s="82"/>
      <c r="V245" s="82"/>
      <c r="W245" s="82">
        <f t="shared" ref="W245:BB245" si="274">+IFERROR(W244/S244-1,"")</f>
        <v>9.002433090024331E-2</v>
      </c>
      <c r="X245" s="82">
        <f t="shared" si="274"/>
        <v>8.9136490250696365E-2</v>
      </c>
      <c r="Y245" s="82">
        <f t="shared" si="274"/>
        <v>0.10669077757685352</v>
      </c>
      <c r="Z245" s="82">
        <f t="shared" si="274"/>
        <v>0.18442622950819665</v>
      </c>
      <c r="AA245" s="82">
        <f t="shared" si="274"/>
        <v>8.0357142857142794E-2</v>
      </c>
      <c r="AB245" s="82">
        <f t="shared" si="274"/>
        <v>5.1150895140665842E-3</v>
      </c>
      <c r="AC245" s="82">
        <f t="shared" si="274"/>
        <v>0.20915032679738554</v>
      </c>
      <c r="AD245" s="82">
        <f t="shared" si="274"/>
        <v>0.19896193771626303</v>
      </c>
      <c r="AE245" s="82">
        <f t="shared" si="274"/>
        <v>0.1776859504132231</v>
      </c>
      <c r="AF245" s="82">
        <f t="shared" si="274"/>
        <v>0.17048346055979646</v>
      </c>
      <c r="AG245" s="82">
        <f t="shared" si="274"/>
        <v>0.31081081081081074</v>
      </c>
      <c r="AH245" s="82">
        <f t="shared" si="274"/>
        <v>0.23376623376623384</v>
      </c>
      <c r="AI245" s="82">
        <f t="shared" si="274"/>
        <v>0.15263157894736845</v>
      </c>
      <c r="AJ245" s="82">
        <f t="shared" si="274"/>
        <v>0.16739130434782612</v>
      </c>
      <c r="AK245" s="82">
        <f t="shared" si="274"/>
        <v>6.4948453608247414E-2</v>
      </c>
      <c r="AL245" s="82">
        <f t="shared" si="274"/>
        <v>0.2456140350877194</v>
      </c>
      <c r="AM245" s="82">
        <f t="shared" si="274"/>
        <v>4.5662100456621113E-2</v>
      </c>
      <c r="AN245" s="82">
        <f t="shared" si="274"/>
        <v>0.25884543761638734</v>
      </c>
      <c r="AO245" s="82">
        <f t="shared" si="274"/>
        <v>0.20135527589545021</v>
      </c>
      <c r="AP245" s="82">
        <f t="shared" si="274"/>
        <v>-7.2300469483568053E-2</v>
      </c>
      <c r="AQ245" s="82">
        <f t="shared" si="274"/>
        <v>0.6055312954876273</v>
      </c>
      <c r="AR245" s="82">
        <f t="shared" si="274"/>
        <v>-4.7337278106508895E-2</v>
      </c>
      <c r="AS245" s="82">
        <f t="shared" si="274"/>
        <v>0.24254633360193401</v>
      </c>
      <c r="AT245" s="82">
        <f t="shared" si="274"/>
        <v>0.31882591093117418</v>
      </c>
      <c r="AU245" s="82">
        <f t="shared" si="274"/>
        <v>-4.4424297370806887E-2</v>
      </c>
      <c r="AV245" s="82">
        <f t="shared" si="274"/>
        <v>0.79347826086956519</v>
      </c>
      <c r="AW245" s="82">
        <f t="shared" si="274"/>
        <v>8.7548638132295631E-2</v>
      </c>
      <c r="AX245" s="82">
        <f t="shared" si="274"/>
        <v>0.13891020721412128</v>
      </c>
      <c r="AY245" s="82">
        <f t="shared" si="274"/>
        <v>7.5901328273244806E-2</v>
      </c>
      <c r="AZ245" s="82">
        <f t="shared" si="274"/>
        <v>-3.1168831168831179E-2</v>
      </c>
      <c r="BA245" s="82">
        <f t="shared" si="274"/>
        <v>-1.3118664281455028E-2</v>
      </c>
      <c r="BB245" s="82">
        <f t="shared" si="274"/>
        <v>9.2991913746630628E-2</v>
      </c>
      <c r="BC245" s="82">
        <f>+IFERROR(BC244/AY244-1,"")</f>
        <v>3.79188712522045E-2</v>
      </c>
      <c r="BD245" s="82">
        <f t="shared" ref="BD245:BV245" si="275">+IFERROR(BD244/AZ244-1,"")</f>
        <v>8.936550491510209E-3</v>
      </c>
      <c r="BE245" s="82">
        <f t="shared" si="275"/>
        <v>3.4441087613293009E-2</v>
      </c>
      <c r="BF245" s="82">
        <f t="shared" si="275"/>
        <v>-0.13255240443896421</v>
      </c>
      <c r="BG245" s="82">
        <f>+IFERROR(BG244/BC244-1,"")</f>
        <v>-7.051826677994899E-2</v>
      </c>
      <c r="BH245" s="82">
        <f t="shared" si="275"/>
        <v>0.10451727192205484</v>
      </c>
      <c r="BI245" s="82">
        <f t="shared" si="275"/>
        <v>-4.3953102847885672E-2</v>
      </c>
      <c r="BJ245" s="82">
        <f t="shared" si="275"/>
        <v>-4.6232870717251684E-2</v>
      </c>
      <c r="BK245" s="82">
        <f t="shared" si="275"/>
        <v>-3.3265926674517221E-2</v>
      </c>
      <c r="BL245" s="82">
        <f t="shared" si="275"/>
        <v>4.0325694475352059E-2</v>
      </c>
      <c r="BM245" s="82">
        <f t="shared" si="275"/>
        <v>1.3135463538751946E-2</v>
      </c>
      <c r="BN245" s="82">
        <f t="shared" si="275"/>
        <v>1.5291562412325099E-2</v>
      </c>
      <c r="BO245" s="82">
        <f t="shared" si="275"/>
        <v>4.9423930490361867E-2</v>
      </c>
      <c r="BP245" s="82">
        <f t="shared" si="275"/>
        <v>5.0796113133717791E-2</v>
      </c>
      <c r="BQ245" s="82">
        <f t="shared" si="275"/>
        <v>6.1347191142517632E-2</v>
      </c>
      <c r="BR245" s="82">
        <f t="shared" si="275"/>
        <v>4.1757475143075817E-2</v>
      </c>
      <c r="BS245" s="82">
        <f t="shared" si="275"/>
        <v>2.3567459272144653E-3</v>
      </c>
      <c r="BT245" s="82">
        <f t="shared" si="275"/>
        <v>1.7779968724795925E-2</v>
      </c>
      <c r="BU245" s="82">
        <f t="shared" si="275"/>
        <v>8.6796362749621547E-3</v>
      </c>
      <c r="BV245" s="82">
        <f t="shared" si="275"/>
        <v>5.4521739583830442E-3</v>
      </c>
      <c r="BW245" s="82">
        <f t="shared" ref="BW245:CD245" si="276">+IFERROR(BW244/BO244-1,"")</f>
        <v>4.1972721159579951E-2</v>
      </c>
      <c r="BX245" s="82">
        <f t="shared" si="276"/>
        <v>6.1071905198146759E-2</v>
      </c>
      <c r="BY245" s="82">
        <f t="shared" si="276"/>
        <v>5.4013924895643495E-2</v>
      </c>
      <c r="BZ245" s="82">
        <f t="shared" si="276"/>
        <v>4.8584081618997743E-2</v>
      </c>
      <c r="CA245" s="82">
        <f t="shared" si="276"/>
        <v>8.1545659927632741E-2</v>
      </c>
      <c r="CB245" s="82">
        <f t="shared" si="276"/>
        <v>8.7571307755432537E-2</v>
      </c>
      <c r="CC245" s="82">
        <f t="shared" si="276"/>
        <v>9.2388378807963578E-2</v>
      </c>
      <c r="CD245" s="82">
        <f t="shared" si="276"/>
        <v>8.8296040384114427E-2</v>
      </c>
      <c r="CG245" s="82"/>
      <c r="CH245" s="82"/>
      <c r="CI245" s="82" t="str">
        <f t="shared" ref="CI245:CX245" si="277">+IFERROR(CI244/CH244-1,"")</f>
        <v/>
      </c>
      <c r="CJ245" s="82" t="str">
        <f t="shared" si="277"/>
        <v/>
      </c>
      <c r="CK245" s="82">
        <f t="shared" si="277"/>
        <v>0.12037548315847602</v>
      </c>
      <c r="CL245" s="82">
        <f t="shared" si="277"/>
        <v>0.13849186791522916</v>
      </c>
      <c r="CM245" s="82">
        <f t="shared" si="277"/>
        <v>0.23593073593073588</v>
      </c>
      <c r="CN245" s="82">
        <f t="shared" si="277"/>
        <v>0.15306479859894928</v>
      </c>
      <c r="CO245" s="82">
        <f t="shared" si="277"/>
        <v>9.1130012150668183E-2</v>
      </c>
      <c r="CP245" s="82">
        <f t="shared" si="277"/>
        <v>0.27839643652561241</v>
      </c>
      <c r="CQ245" s="82">
        <f>+IFERROR(CQ244/CP244-1,"")</f>
        <v>0.16942508710801385</v>
      </c>
      <c r="CR245" s="82">
        <f>+IFERROR(CR244/CQ244-1,"")</f>
        <v>2.9795158286778367E-2</v>
      </c>
      <c r="CS245" s="82">
        <f t="shared" si="277"/>
        <v>-1.8987341772151889E-2</v>
      </c>
      <c r="CT245" s="108">
        <f t="shared" si="277"/>
        <v>-1.9409651829447538E-2</v>
      </c>
      <c r="CU245" s="108">
        <f t="shared" si="277"/>
        <v>1.0510594025652242E-2</v>
      </c>
      <c r="CV245" s="108">
        <f t="shared" si="277"/>
        <v>5.1490030451133872E-2</v>
      </c>
      <c r="CW245" s="108">
        <f t="shared" si="277"/>
        <v>8.8223786836849616E-3</v>
      </c>
      <c r="CX245" s="108">
        <f t="shared" si="277"/>
        <v>4.2788387268029915E-2</v>
      </c>
      <c r="CY245" s="2"/>
    </row>
    <row r="246" spans="2:111" ht="15" customHeight="1" x14ac:dyDescent="0.25">
      <c r="B246" s="37" t="s">
        <v>224</v>
      </c>
      <c r="C246" s="37"/>
      <c r="D246" s="37"/>
      <c r="E246" s="37"/>
      <c r="F246" s="37"/>
      <c r="G246" s="37"/>
      <c r="H246" s="37"/>
      <c r="I246" s="37"/>
      <c r="J246" s="37"/>
      <c r="K246" s="37"/>
      <c r="L246" s="37"/>
      <c r="M246" s="37"/>
      <c r="N246" s="37"/>
      <c r="O246" s="37"/>
      <c r="P246" s="37"/>
      <c r="Q246" s="37"/>
      <c r="R246" s="37"/>
      <c r="S246" s="87"/>
      <c r="T246" s="87"/>
      <c r="U246" s="87"/>
      <c r="V246" s="87"/>
      <c r="W246" s="87"/>
      <c r="X246" s="87"/>
      <c r="Y246" s="87"/>
      <c r="Z246" s="87"/>
      <c r="AA246" s="87"/>
      <c r="AB246" s="87"/>
      <c r="AC246" s="87"/>
      <c r="AD246" s="87"/>
      <c r="AE246" s="87"/>
      <c r="AF246" s="87"/>
      <c r="AG246" s="87"/>
      <c r="AH246" s="87"/>
      <c r="AI246" s="87"/>
      <c r="AJ246" s="87"/>
      <c r="AK246" s="87"/>
      <c r="AL246" s="87"/>
      <c r="AM246" s="87"/>
      <c r="AN246" s="87"/>
      <c r="AO246" s="87"/>
      <c r="AP246" s="87"/>
      <c r="AQ246" s="87"/>
      <c r="AR246" s="87"/>
      <c r="AS246" s="87"/>
      <c r="AT246" s="87"/>
      <c r="AU246" s="87"/>
      <c r="AV246" s="87"/>
      <c r="AW246" s="87"/>
      <c r="AX246" s="87"/>
      <c r="AY246" s="87"/>
      <c r="AZ246" s="87"/>
      <c r="BA246" s="87"/>
      <c r="BB246" s="87"/>
      <c r="BC246" s="87"/>
      <c r="BD246" s="87"/>
      <c r="BE246" s="87"/>
      <c r="BF246" s="87"/>
      <c r="BG246" s="87"/>
      <c r="BH246" s="87"/>
      <c r="BI246" s="87"/>
      <c r="BJ246" s="87"/>
      <c r="BK246" s="87"/>
      <c r="BL246" s="87"/>
      <c r="BM246" s="87"/>
      <c r="BN246" s="87"/>
      <c r="BO246" s="87"/>
      <c r="BP246" s="87"/>
      <c r="BQ246" s="87"/>
      <c r="BR246" s="87"/>
      <c r="BS246" s="87"/>
      <c r="BT246" s="87"/>
      <c r="BU246" s="87"/>
      <c r="BV246" s="87"/>
      <c r="BW246" s="87"/>
      <c r="BX246" s="87"/>
      <c r="BY246" s="87"/>
      <c r="BZ246" s="87"/>
      <c r="CA246" s="87"/>
      <c r="CB246" s="87"/>
      <c r="CC246" s="87"/>
      <c r="CD246" s="87"/>
      <c r="CG246" s="29"/>
      <c r="CH246" s="29"/>
      <c r="CI246" s="29"/>
      <c r="CJ246" s="29"/>
      <c r="CK246" s="29"/>
      <c r="CL246" s="29"/>
      <c r="CM246" s="145">
        <v>2083</v>
      </c>
      <c r="CN246" s="145">
        <v>2216</v>
      </c>
      <c r="CO246" s="145">
        <v>2813</v>
      </c>
      <c r="CP246" s="29"/>
      <c r="CQ246" s="29"/>
      <c r="CR246" s="29"/>
      <c r="CS246" s="29"/>
      <c r="CT246" s="97"/>
      <c r="CU246" s="97"/>
      <c r="CV246" s="97"/>
      <c r="CW246" s="97"/>
      <c r="CX246" s="97"/>
      <c r="CY246" s="2"/>
    </row>
    <row r="247" spans="2:111" ht="15" customHeight="1" x14ac:dyDescent="0.25">
      <c r="B247" s="37"/>
      <c r="C247" s="37"/>
      <c r="D247" s="37"/>
      <c r="E247" s="37"/>
      <c r="F247" s="37"/>
      <c r="G247" s="37"/>
      <c r="H247" s="37"/>
      <c r="I247" s="37"/>
      <c r="J247" s="37"/>
      <c r="K247" s="37"/>
      <c r="L247" s="37"/>
      <c r="M247" s="37"/>
      <c r="N247" s="37"/>
      <c r="O247" s="37"/>
      <c r="P247" s="37"/>
      <c r="Q247" s="37"/>
      <c r="R247" s="37"/>
      <c r="S247" s="82"/>
      <c r="T247" s="82"/>
      <c r="U247" s="82"/>
      <c r="V247" s="82"/>
      <c r="W247" s="82"/>
      <c r="X247" s="82"/>
      <c r="Y247" s="82"/>
      <c r="Z247" s="82"/>
      <c r="AA247" s="82"/>
      <c r="AB247" s="82"/>
      <c r="AC247" s="82"/>
      <c r="AD247" s="82"/>
      <c r="AE247" s="82"/>
      <c r="AF247" s="82"/>
      <c r="AG247" s="82"/>
      <c r="AH247" s="82"/>
      <c r="AI247" s="82"/>
      <c r="AJ247" s="82"/>
      <c r="AK247" s="82"/>
      <c r="AL247" s="82"/>
      <c r="AM247" s="82"/>
      <c r="AN247" s="82"/>
      <c r="AO247" s="82"/>
      <c r="AP247" s="82"/>
      <c r="AQ247" s="82"/>
      <c r="AR247" s="82"/>
      <c r="AS247" s="82"/>
      <c r="AT247" s="82"/>
      <c r="AU247" s="82"/>
      <c r="AV247" s="82"/>
      <c r="AW247" s="82"/>
      <c r="AX247" s="82"/>
      <c r="AY247" s="82"/>
      <c r="AZ247" s="82"/>
      <c r="BA247" s="82"/>
      <c r="BB247" s="82"/>
      <c r="BC247" s="82"/>
      <c r="BD247" s="82"/>
      <c r="BE247" s="82"/>
      <c r="BF247" s="82"/>
      <c r="BG247" s="82"/>
      <c r="BH247" s="82"/>
      <c r="BI247" s="82"/>
      <c r="BJ247" s="82"/>
      <c r="BK247" s="82"/>
      <c r="BL247" s="82"/>
      <c r="BM247" s="82"/>
      <c r="BN247" s="82"/>
      <c r="BO247" s="82"/>
      <c r="BP247" s="82"/>
      <c r="BQ247" s="82"/>
      <c r="BR247" s="82"/>
      <c r="BS247" s="82"/>
      <c r="BT247" s="82"/>
      <c r="BU247" s="82"/>
      <c r="BV247" s="82"/>
      <c r="BW247" s="82"/>
      <c r="BX247" s="82"/>
      <c r="BY247" s="82"/>
      <c r="BZ247" s="82"/>
      <c r="CA247" s="82"/>
      <c r="CB247" s="82"/>
      <c r="CC247" s="82"/>
      <c r="CD247" s="82"/>
      <c r="CG247" s="82"/>
      <c r="CH247" s="82"/>
      <c r="CI247" s="82"/>
      <c r="CJ247" s="82"/>
      <c r="CK247" s="82"/>
      <c r="CL247" s="82"/>
      <c r="CM247" s="82"/>
      <c r="CN247" s="82"/>
      <c r="CO247" s="82"/>
      <c r="CP247" s="82"/>
      <c r="CQ247" s="82"/>
      <c r="CR247" s="82"/>
      <c r="CS247" s="82"/>
      <c r="CT247" s="108"/>
      <c r="CU247" s="108"/>
      <c r="CV247" s="108"/>
      <c r="CW247" s="108"/>
      <c r="CX247" s="108"/>
      <c r="CY247" s="2"/>
    </row>
    <row r="248" spans="2:111" s="138" customFormat="1" ht="15" customHeight="1" x14ac:dyDescent="0.25">
      <c r="B248" s="139" t="s">
        <v>225</v>
      </c>
      <c r="C248" s="140"/>
      <c r="D248" s="140"/>
      <c r="E248" s="140"/>
      <c r="F248" s="140"/>
      <c r="G248" s="140"/>
      <c r="H248" s="140"/>
      <c r="I248" s="140"/>
      <c r="J248" s="140"/>
      <c r="K248" s="140"/>
      <c r="L248" s="140"/>
      <c r="M248" s="140"/>
      <c r="N248" s="140"/>
      <c r="O248" s="140"/>
      <c r="P248" s="140"/>
      <c r="Q248" s="140"/>
      <c r="R248" s="140"/>
      <c r="T248" s="141"/>
      <c r="U248" s="141"/>
      <c r="V248" s="141"/>
      <c r="W248" s="141"/>
      <c r="X248" s="141"/>
      <c r="Y248" s="141"/>
      <c r="Z248" s="141"/>
      <c r="AA248" s="141"/>
      <c r="AB248" s="141"/>
      <c r="AC248" s="141"/>
      <c r="AD248" s="141"/>
      <c r="AE248" s="141"/>
      <c r="AF248" s="141"/>
      <c r="AG248" s="141"/>
      <c r="AH248" s="141"/>
      <c r="AI248" s="141"/>
      <c r="AJ248" s="141"/>
      <c r="AK248" s="141"/>
      <c r="AL248" s="141"/>
      <c r="AM248" s="141"/>
      <c r="AN248" s="141"/>
      <c r="AO248" s="141"/>
      <c r="AP248" s="141"/>
      <c r="AQ248" s="141"/>
      <c r="AR248" s="141"/>
      <c r="AS248" s="141"/>
      <c r="AT248" s="141"/>
      <c r="AU248" s="141"/>
      <c r="AV248" s="141"/>
      <c r="AW248" s="141"/>
      <c r="AX248" s="141"/>
      <c r="AY248" s="141"/>
      <c r="AZ248" s="141"/>
      <c r="BA248" s="141"/>
      <c r="BB248" s="141"/>
      <c r="BC248" s="142"/>
      <c r="BD248" s="142"/>
      <c r="BE248" s="142"/>
      <c r="BF248" s="142"/>
      <c r="BG248" s="142"/>
      <c r="BH248" s="142" t="e">
        <f t="shared" ref="BH248:CD248" si="278">+BH519</f>
        <v>#NAME?</v>
      </c>
      <c r="BI248" s="142" t="e">
        <f>+BI519</f>
        <v>#NAME?</v>
      </c>
      <c r="BJ248" s="142" t="e">
        <f t="shared" si="278"/>
        <v>#NAME?</v>
      </c>
      <c r="BK248" s="142" t="e">
        <f t="shared" si="278"/>
        <v>#NAME?</v>
      </c>
      <c r="BL248" s="142" t="e">
        <f t="shared" si="278"/>
        <v>#NAME?</v>
      </c>
      <c r="BM248" s="142" t="e">
        <f t="shared" si="278"/>
        <v>#NAME?</v>
      </c>
      <c r="BN248" s="142" t="e">
        <f t="shared" si="278"/>
        <v>#NAME?</v>
      </c>
      <c r="BO248" s="142" t="e">
        <f t="shared" si="278"/>
        <v>#NAME?</v>
      </c>
      <c r="BP248" s="142" t="e">
        <f t="shared" si="278"/>
        <v>#NAME?</v>
      </c>
      <c r="BQ248" s="142" t="e">
        <f t="shared" si="278"/>
        <v>#NAME?</v>
      </c>
      <c r="BR248" s="142" t="e">
        <f t="shared" si="278"/>
        <v>#NAME?</v>
      </c>
      <c r="BS248" s="142" t="e">
        <f t="shared" si="278"/>
        <v>#NAME?</v>
      </c>
      <c r="BT248" s="142" t="e">
        <f t="shared" si="278"/>
        <v>#NAME?</v>
      </c>
      <c r="BU248" s="142" t="e">
        <f t="shared" si="278"/>
        <v>#NAME?</v>
      </c>
      <c r="BV248" s="142" t="e">
        <f t="shared" si="278"/>
        <v>#NAME?</v>
      </c>
      <c r="BW248" s="142" t="e">
        <f t="shared" si="278"/>
        <v>#NAME?</v>
      </c>
      <c r="BX248" s="142" t="e">
        <f t="shared" si="278"/>
        <v>#NAME?</v>
      </c>
      <c r="BY248" s="142" t="e">
        <f t="shared" si="278"/>
        <v>#NAME?</v>
      </c>
      <c r="BZ248" s="142" t="e">
        <f t="shared" si="278"/>
        <v>#NAME?</v>
      </c>
      <c r="CA248" s="142" t="e">
        <f t="shared" si="278"/>
        <v>#NAME?</v>
      </c>
      <c r="CB248" s="142" t="e">
        <f t="shared" si="278"/>
        <v>#NAME?</v>
      </c>
      <c r="CC248" s="142" t="e">
        <f t="shared" si="278"/>
        <v>#NAME?</v>
      </c>
      <c r="CD248" s="142" t="e">
        <f t="shared" si="278"/>
        <v>#NAME?</v>
      </c>
      <c r="CE248" s="142"/>
      <c r="CF248" s="146"/>
      <c r="CG248" s="141"/>
      <c r="CH248" s="141"/>
      <c r="CI248" s="141"/>
      <c r="CJ248" s="141"/>
      <c r="CK248" s="141"/>
      <c r="CL248" s="141"/>
      <c r="CM248" s="141"/>
      <c r="CN248" s="141"/>
      <c r="CO248" s="141"/>
      <c r="CP248" s="141"/>
      <c r="CQ248" s="141"/>
      <c r="CR248" s="141"/>
      <c r="CS248" s="141"/>
      <c r="CT248" s="142" t="e">
        <f>+CT519</f>
        <v>#NAME?</v>
      </c>
      <c r="CU248" s="142" t="e">
        <f>+CU519</f>
        <v>#NAME?</v>
      </c>
      <c r="CV248" s="142" t="e">
        <f>+CV519</f>
        <v>#NAME?</v>
      </c>
      <c r="CW248" s="142" t="e">
        <f>+CW519</f>
        <v>#NAME?</v>
      </c>
      <c r="CX248" s="142" t="e">
        <f>+CX519</f>
        <v>#NAME?</v>
      </c>
    </row>
    <row r="249" spans="2:111" s="138" customFormat="1" ht="15" customHeight="1" x14ac:dyDescent="0.25">
      <c r="B249" s="37" t="s">
        <v>220</v>
      </c>
      <c r="C249" s="140"/>
      <c r="D249" s="140"/>
      <c r="E249" s="140"/>
      <c r="F249" s="140"/>
      <c r="G249" s="140"/>
      <c r="H249" s="140"/>
      <c r="I249" s="140"/>
      <c r="J249" s="140"/>
      <c r="K249" s="140"/>
      <c r="L249" s="140"/>
      <c r="M249" s="140"/>
      <c r="N249" s="140"/>
      <c r="O249" s="140"/>
      <c r="P249" s="140"/>
      <c r="Q249" s="140"/>
      <c r="R249" s="140"/>
      <c r="T249" s="141"/>
      <c r="U249" s="141"/>
      <c r="V249" s="141"/>
      <c r="W249" s="141"/>
      <c r="X249" s="141"/>
      <c r="Y249" s="141"/>
      <c r="Z249" s="141"/>
      <c r="AA249" s="141"/>
      <c r="AB249" s="141"/>
      <c r="AC249" s="141"/>
      <c r="AD249" s="141"/>
      <c r="AE249" s="141"/>
      <c r="AF249" s="141"/>
      <c r="AG249" s="141"/>
      <c r="AH249" s="141"/>
      <c r="AI249" s="141"/>
      <c r="AJ249" s="141"/>
      <c r="AK249" s="141"/>
      <c r="AL249" s="141"/>
      <c r="AM249" s="141"/>
      <c r="AN249" s="141"/>
      <c r="AO249" s="141"/>
      <c r="AP249" s="141"/>
      <c r="AQ249" s="141"/>
      <c r="AR249" s="141"/>
      <c r="AS249" s="141"/>
      <c r="AT249" s="141"/>
      <c r="AU249" s="141"/>
      <c r="AV249" s="141"/>
      <c r="AW249" s="141"/>
      <c r="AX249" s="141"/>
      <c r="AY249" s="141"/>
      <c r="AZ249" s="141"/>
      <c r="BA249" s="141"/>
      <c r="BB249" s="141"/>
      <c r="BC249" s="142"/>
      <c r="BD249" s="142"/>
      <c r="BE249" s="142"/>
      <c r="BF249" s="142"/>
      <c r="BG249" s="142"/>
      <c r="BH249" s="86" t="e">
        <f>+BH244-BH248</f>
        <v>#NAME?</v>
      </c>
      <c r="BI249" s="86" t="e">
        <f t="shared" ref="BI249:CD249" si="279">+BI244-BI248</f>
        <v>#NAME?</v>
      </c>
      <c r="BJ249" s="86" t="e">
        <f t="shared" si="279"/>
        <v>#NAME?</v>
      </c>
      <c r="BK249" s="86" t="e">
        <f t="shared" si="279"/>
        <v>#NAME?</v>
      </c>
      <c r="BL249" s="86" t="e">
        <f t="shared" si="279"/>
        <v>#NAME?</v>
      </c>
      <c r="BM249" s="86" t="e">
        <f t="shared" si="279"/>
        <v>#NAME?</v>
      </c>
      <c r="BN249" s="86" t="e">
        <f t="shared" si="279"/>
        <v>#NAME?</v>
      </c>
      <c r="BO249" s="86" t="e">
        <f t="shared" si="279"/>
        <v>#NAME?</v>
      </c>
      <c r="BP249" s="86" t="e">
        <f t="shared" si="279"/>
        <v>#NAME?</v>
      </c>
      <c r="BQ249" s="86" t="e">
        <f t="shared" si="279"/>
        <v>#NAME?</v>
      </c>
      <c r="BR249" s="86" t="e">
        <f t="shared" si="279"/>
        <v>#NAME?</v>
      </c>
      <c r="BS249" s="86" t="e">
        <f t="shared" si="279"/>
        <v>#NAME?</v>
      </c>
      <c r="BT249" s="86" t="e">
        <f t="shared" si="279"/>
        <v>#NAME?</v>
      </c>
      <c r="BU249" s="86" t="e">
        <f t="shared" si="279"/>
        <v>#NAME?</v>
      </c>
      <c r="BV249" s="86" t="e">
        <f t="shared" si="279"/>
        <v>#NAME?</v>
      </c>
      <c r="BW249" s="86" t="e">
        <f t="shared" si="279"/>
        <v>#NAME?</v>
      </c>
      <c r="BX249" s="86" t="e">
        <f t="shared" si="279"/>
        <v>#NAME?</v>
      </c>
      <c r="BY249" s="86" t="e">
        <f t="shared" si="279"/>
        <v>#NAME?</v>
      </c>
      <c r="BZ249" s="86" t="e">
        <f t="shared" si="279"/>
        <v>#NAME?</v>
      </c>
      <c r="CA249" s="86" t="e">
        <f t="shared" si="279"/>
        <v>#NAME?</v>
      </c>
      <c r="CB249" s="86" t="e">
        <f t="shared" si="279"/>
        <v>#NAME?</v>
      </c>
      <c r="CC249" s="86" t="e">
        <f t="shared" si="279"/>
        <v>#NAME?</v>
      </c>
      <c r="CD249" s="86" t="e">
        <f t="shared" si="279"/>
        <v>#NAME?</v>
      </c>
      <c r="CE249" s="86"/>
      <c r="CG249" s="141"/>
      <c r="CH249" s="141"/>
      <c r="CI249" s="141"/>
      <c r="CJ249" s="141"/>
      <c r="CK249" s="141"/>
      <c r="CL249" s="141"/>
      <c r="CM249" s="141"/>
      <c r="CN249" s="141"/>
      <c r="CO249" s="141"/>
      <c r="CP249" s="141"/>
      <c r="CQ249" s="141"/>
      <c r="CR249" s="141"/>
      <c r="CS249" s="141"/>
      <c r="CT249" s="86" t="e">
        <f t="shared" ref="CT249:CX249" si="280">+CT244-CT248</f>
        <v>#NAME?</v>
      </c>
      <c r="CU249" s="86" t="e">
        <f t="shared" si="280"/>
        <v>#NAME?</v>
      </c>
      <c r="CV249" s="86" t="e">
        <f t="shared" si="280"/>
        <v>#NAME?</v>
      </c>
      <c r="CW249" s="86" t="e">
        <f t="shared" si="280"/>
        <v>#NAME?</v>
      </c>
      <c r="CX249" s="86" t="e">
        <f t="shared" si="280"/>
        <v>#NAME?</v>
      </c>
    </row>
    <row r="250" spans="2:111" ht="15" customHeight="1" x14ac:dyDescent="0.25">
      <c r="B250" s="37" t="s">
        <v>221</v>
      </c>
      <c r="C250" s="37"/>
      <c r="D250" s="37"/>
      <c r="E250" s="37"/>
      <c r="F250" s="37"/>
      <c r="G250" s="37"/>
      <c r="H250" s="37"/>
      <c r="I250" s="37"/>
      <c r="J250" s="37"/>
      <c r="K250" s="37"/>
      <c r="L250" s="37"/>
      <c r="M250" s="37"/>
      <c r="N250" s="37"/>
      <c r="O250" s="37"/>
      <c r="P250" s="37"/>
      <c r="Q250" s="37"/>
      <c r="R250" s="37"/>
      <c r="S250" s="82"/>
      <c r="T250" s="82"/>
      <c r="U250" s="82"/>
      <c r="V250" s="82"/>
      <c r="W250" s="82" t="str">
        <f t="shared" ref="W250:AL250" si="281">+IFERROR(W248/S248-1,"")</f>
        <v/>
      </c>
      <c r="X250" s="82" t="str">
        <f t="shared" si="281"/>
        <v/>
      </c>
      <c r="Y250" s="82" t="str">
        <f t="shared" si="281"/>
        <v/>
      </c>
      <c r="Z250" s="82" t="str">
        <f t="shared" si="281"/>
        <v/>
      </c>
      <c r="AA250" s="82" t="str">
        <f t="shared" si="281"/>
        <v/>
      </c>
      <c r="AB250" s="82" t="str">
        <f t="shared" si="281"/>
        <v/>
      </c>
      <c r="AC250" s="82" t="str">
        <f t="shared" si="281"/>
        <v/>
      </c>
      <c r="AD250" s="82" t="str">
        <f t="shared" si="281"/>
        <v/>
      </c>
      <c r="AE250" s="82" t="str">
        <f t="shared" si="281"/>
        <v/>
      </c>
      <c r="AF250" s="82" t="str">
        <f t="shared" si="281"/>
        <v/>
      </c>
      <c r="AG250" s="82" t="str">
        <f t="shared" si="281"/>
        <v/>
      </c>
      <c r="AH250" s="82" t="str">
        <f t="shared" si="281"/>
        <v/>
      </c>
      <c r="AI250" s="82" t="str">
        <f t="shared" si="281"/>
        <v/>
      </c>
      <c r="AJ250" s="82" t="str">
        <f t="shared" si="281"/>
        <v/>
      </c>
      <c r="AK250" s="82" t="str">
        <f t="shared" si="281"/>
        <v/>
      </c>
      <c r="AL250" s="82" t="str">
        <f t="shared" si="281"/>
        <v/>
      </c>
      <c r="AM250" s="82"/>
      <c r="AN250" s="82"/>
      <c r="AO250" s="82"/>
      <c r="AP250" s="82"/>
      <c r="AQ250" s="82"/>
      <c r="AR250" s="82"/>
      <c r="AS250" s="82"/>
      <c r="AT250" s="82"/>
      <c r="AU250" s="82"/>
      <c r="AV250" s="82"/>
      <c r="AW250" s="82"/>
      <c r="AX250" s="82"/>
      <c r="AY250" s="137"/>
      <c r="AZ250" s="137"/>
      <c r="BA250" s="82"/>
      <c r="BB250" s="82"/>
      <c r="BC250" s="137"/>
      <c r="BD250" s="137"/>
      <c r="BE250" s="82"/>
      <c r="BF250" s="82"/>
      <c r="BG250" s="82"/>
      <c r="BH250" s="82" t="e">
        <f t="shared" ref="BH250:CD250" si="282">+BH244/BH248-1</f>
        <v>#NAME?</v>
      </c>
      <c r="BI250" s="82" t="e">
        <f t="shared" si="282"/>
        <v>#NAME?</v>
      </c>
      <c r="BJ250" s="82" t="e">
        <f t="shared" si="282"/>
        <v>#NAME?</v>
      </c>
      <c r="BK250" s="82" t="e">
        <f t="shared" si="282"/>
        <v>#NAME?</v>
      </c>
      <c r="BL250" s="82" t="e">
        <f t="shared" si="282"/>
        <v>#NAME?</v>
      </c>
      <c r="BM250" s="82" t="e">
        <f t="shared" si="282"/>
        <v>#NAME?</v>
      </c>
      <c r="BN250" s="82" t="e">
        <f t="shared" si="282"/>
        <v>#NAME?</v>
      </c>
      <c r="BO250" s="82" t="e">
        <f t="shared" si="282"/>
        <v>#NAME?</v>
      </c>
      <c r="BP250" s="82" t="e">
        <f t="shared" si="282"/>
        <v>#NAME?</v>
      </c>
      <c r="BQ250" s="82" t="e">
        <f t="shared" si="282"/>
        <v>#NAME?</v>
      </c>
      <c r="BR250" s="82" t="e">
        <f t="shared" si="282"/>
        <v>#NAME?</v>
      </c>
      <c r="BS250" s="82" t="e">
        <f t="shared" si="282"/>
        <v>#NAME?</v>
      </c>
      <c r="BT250" s="82" t="e">
        <f t="shared" si="282"/>
        <v>#NAME?</v>
      </c>
      <c r="BU250" s="82" t="e">
        <f t="shared" si="282"/>
        <v>#NAME?</v>
      </c>
      <c r="BV250" s="82" t="e">
        <f t="shared" si="282"/>
        <v>#NAME?</v>
      </c>
      <c r="BW250" s="82" t="e">
        <f t="shared" si="282"/>
        <v>#NAME?</v>
      </c>
      <c r="BX250" s="82" t="e">
        <f t="shared" si="282"/>
        <v>#NAME?</v>
      </c>
      <c r="BY250" s="82" t="e">
        <f t="shared" si="282"/>
        <v>#NAME?</v>
      </c>
      <c r="BZ250" s="82" t="e">
        <f t="shared" si="282"/>
        <v>#NAME?</v>
      </c>
      <c r="CA250" s="82" t="e">
        <f t="shared" si="282"/>
        <v>#NAME?</v>
      </c>
      <c r="CB250" s="82" t="e">
        <f t="shared" si="282"/>
        <v>#NAME?</v>
      </c>
      <c r="CC250" s="82" t="e">
        <f t="shared" si="282"/>
        <v>#NAME?</v>
      </c>
      <c r="CD250" s="82" t="e">
        <f t="shared" si="282"/>
        <v>#NAME?</v>
      </c>
      <c r="CE250" s="82"/>
      <c r="CG250" s="82"/>
      <c r="CH250" s="82"/>
      <c r="CI250" s="82"/>
      <c r="CJ250" s="82"/>
      <c r="CK250" s="82"/>
      <c r="CL250" s="82"/>
      <c r="CM250" s="82"/>
      <c r="CN250" s="82"/>
      <c r="CO250" s="82"/>
      <c r="CP250" s="82"/>
      <c r="CQ250" s="82"/>
      <c r="CR250" s="82"/>
      <c r="CS250" s="82"/>
      <c r="CT250" s="82" t="e">
        <f>+CT244/CT248-1</f>
        <v>#NAME?</v>
      </c>
      <c r="CU250" s="82" t="e">
        <f>+CU244/CU248-1</f>
        <v>#NAME?</v>
      </c>
      <c r="CV250" s="82" t="e">
        <f>+CV244/CV248-1</f>
        <v>#NAME?</v>
      </c>
      <c r="CW250" s="82" t="e">
        <f>+CW244/CW248-1</f>
        <v>#NAME?</v>
      </c>
      <c r="CX250" s="82" t="e">
        <f>+CX244/CX248-1</f>
        <v>#NAME?</v>
      </c>
      <c r="CY250" s="82"/>
      <c r="CZ250" s="82"/>
      <c r="DA250" s="82"/>
      <c r="DB250" s="82"/>
      <c r="DC250" s="82"/>
      <c r="DD250" s="82"/>
      <c r="DE250" s="82"/>
      <c r="DF250" s="82"/>
      <c r="DG250" s="82"/>
    </row>
    <row r="251" spans="2:111" ht="15" customHeight="1" x14ac:dyDescent="0.25">
      <c r="B251" s="37"/>
      <c r="C251" s="37"/>
      <c r="D251" s="37"/>
      <c r="E251" s="37"/>
      <c r="F251" s="37"/>
      <c r="G251" s="37"/>
      <c r="H251" s="37"/>
      <c r="I251" s="37"/>
      <c r="J251" s="37"/>
      <c r="K251" s="37"/>
      <c r="L251" s="37"/>
      <c r="M251" s="37"/>
      <c r="N251" s="37"/>
      <c r="O251" s="37"/>
      <c r="P251" s="37"/>
      <c r="Q251" s="37"/>
      <c r="R251" s="37"/>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c r="AQ251" s="82"/>
      <c r="AR251" s="82"/>
      <c r="AS251" s="82"/>
      <c r="AT251" s="82"/>
      <c r="AU251" s="82"/>
      <c r="AV251" s="82"/>
      <c r="AW251" s="82"/>
      <c r="AX251" s="82"/>
      <c r="AY251" s="82"/>
      <c r="AZ251" s="82"/>
      <c r="BA251" s="82"/>
      <c r="BB251" s="82"/>
      <c r="BC251" s="82"/>
      <c r="BD251" s="82"/>
      <c r="BE251" s="82"/>
      <c r="BF251" s="82"/>
      <c r="BG251" s="82"/>
      <c r="BH251" s="82"/>
      <c r="BI251" s="82"/>
      <c r="BJ251" s="82"/>
      <c r="BK251" s="82"/>
      <c r="BL251" s="82"/>
      <c r="BM251" s="82"/>
      <c r="BN251" s="82"/>
      <c r="BO251" s="82"/>
      <c r="BP251" s="82"/>
      <c r="BQ251" s="82"/>
      <c r="BR251" s="82"/>
      <c r="BS251" s="82"/>
      <c r="BT251" s="82"/>
      <c r="BU251" s="82"/>
      <c r="BV251" s="82"/>
      <c r="BW251" s="82"/>
      <c r="BX251" s="82"/>
      <c r="BY251" s="82"/>
      <c r="BZ251" s="82"/>
      <c r="CA251" s="82"/>
      <c r="CB251" s="82"/>
      <c r="CC251" s="82"/>
      <c r="CD251" s="82"/>
      <c r="CG251" s="82"/>
      <c r="CH251" s="82"/>
      <c r="CI251" s="82"/>
      <c r="CJ251" s="82"/>
      <c r="CK251" s="82"/>
      <c r="CL251" s="82"/>
      <c r="CM251" s="82"/>
      <c r="CN251" s="82"/>
      <c r="CO251" s="82"/>
      <c r="CP251" s="82"/>
      <c r="CQ251" s="82"/>
      <c r="CR251" s="82"/>
      <c r="CS251" s="82"/>
      <c r="CT251" s="108"/>
      <c r="CU251" s="108"/>
      <c r="CV251" s="108"/>
      <c r="CW251" s="108"/>
      <c r="CX251" s="108"/>
    </row>
    <row r="252" spans="2:111" ht="15" customHeight="1" x14ac:dyDescent="0.25">
      <c r="B252" t="s">
        <v>157</v>
      </c>
      <c r="S252" s="87">
        <f t="shared" ref="S252:BF252" si="283">+S521</f>
        <v>71</v>
      </c>
      <c r="T252" s="87">
        <f t="shared" si="283"/>
        <v>94</v>
      </c>
      <c r="U252" s="87">
        <f t="shared" si="283"/>
        <v>140</v>
      </c>
      <c r="V252" s="87">
        <f t="shared" si="283"/>
        <v>114</v>
      </c>
      <c r="W252" s="87">
        <f t="shared" si="283"/>
        <v>84</v>
      </c>
      <c r="X252" s="87">
        <f t="shared" si="283"/>
        <v>89</v>
      </c>
      <c r="Y252" s="87">
        <f t="shared" si="283"/>
        <v>195</v>
      </c>
      <c r="Z252" s="87">
        <f t="shared" si="283"/>
        <v>134</v>
      </c>
      <c r="AA252" s="87">
        <f t="shared" si="283"/>
        <v>84</v>
      </c>
      <c r="AB252" s="87">
        <f t="shared" si="283"/>
        <v>93</v>
      </c>
      <c r="AC252" s="87">
        <f t="shared" si="283"/>
        <v>355</v>
      </c>
      <c r="AD252" s="87">
        <f t="shared" si="283"/>
        <v>192</v>
      </c>
      <c r="AE252" s="87">
        <f t="shared" si="283"/>
        <v>111</v>
      </c>
      <c r="AF252" s="87">
        <f t="shared" si="283"/>
        <v>119</v>
      </c>
      <c r="AG252" s="87">
        <f t="shared" si="283"/>
        <v>260</v>
      </c>
      <c r="AH252" s="87">
        <f t="shared" si="283"/>
        <v>193</v>
      </c>
      <c r="AI252" s="87">
        <f t="shared" si="283"/>
        <v>96</v>
      </c>
      <c r="AJ252" s="87">
        <f t="shared" si="283"/>
        <v>157</v>
      </c>
      <c r="AK252" s="87">
        <f t="shared" si="283"/>
        <v>273</v>
      </c>
      <c r="AL252" s="87">
        <f t="shared" si="283"/>
        <v>214</v>
      </c>
      <c r="AM252" s="87">
        <f t="shared" si="283"/>
        <v>76</v>
      </c>
      <c r="AN252" s="87">
        <f t="shared" si="283"/>
        <v>176</v>
      </c>
      <c r="AO252" s="87">
        <f t="shared" si="283"/>
        <v>317</v>
      </c>
      <c r="AP252" s="87">
        <f t="shared" si="283"/>
        <v>190</v>
      </c>
      <c r="AQ252" s="87">
        <f t="shared" si="283"/>
        <v>218</v>
      </c>
      <c r="AR252" s="87">
        <f t="shared" si="283"/>
        <v>161</v>
      </c>
      <c r="AS252" s="87">
        <f t="shared" si="283"/>
        <v>400</v>
      </c>
      <c r="AT252" s="87">
        <f t="shared" si="283"/>
        <v>166</v>
      </c>
      <c r="AU252" s="87">
        <f t="shared" si="283"/>
        <v>227.99999999999997</v>
      </c>
      <c r="AV252" s="87">
        <f t="shared" si="283"/>
        <v>372</v>
      </c>
      <c r="AW252" s="87">
        <f t="shared" si="283"/>
        <v>579</v>
      </c>
      <c r="AX252" s="87">
        <f t="shared" si="283"/>
        <v>209</v>
      </c>
      <c r="AY252" s="87">
        <f t="shared" si="283"/>
        <v>126</v>
      </c>
      <c r="AZ252" s="87">
        <f t="shared" si="283"/>
        <v>345</v>
      </c>
      <c r="BA252" s="87">
        <f t="shared" si="283"/>
        <v>468</v>
      </c>
      <c r="BB252" s="87">
        <f t="shared" si="283"/>
        <v>250</v>
      </c>
      <c r="BC252" s="87">
        <f t="shared" si="283"/>
        <v>280</v>
      </c>
      <c r="BD252" s="87">
        <f t="shared" si="283"/>
        <v>370</v>
      </c>
      <c r="BE252" s="87">
        <f t="shared" si="283"/>
        <v>463</v>
      </c>
      <c r="BF252" s="87">
        <f t="shared" si="283"/>
        <v>228</v>
      </c>
      <c r="BG252" s="74">
        <f>190-47</f>
        <v>143</v>
      </c>
      <c r="BH252" s="74">
        <f>475+70</f>
        <v>545</v>
      </c>
      <c r="BI252" s="24">
        <f t="shared" ref="BI252:CD252" si="284">+BI72*BI254</f>
        <v>502.28053151325753</v>
      </c>
      <c r="BJ252" s="24">
        <f t="shared" si="284"/>
        <v>224.84299339159946</v>
      </c>
      <c r="BK252" s="24">
        <f t="shared" si="284"/>
        <v>145.041313071611</v>
      </c>
      <c r="BL252" s="24">
        <f t="shared" si="284"/>
        <v>562.88506447150939</v>
      </c>
      <c r="BM252" s="24">
        <f t="shared" si="284"/>
        <v>670.78357707986368</v>
      </c>
      <c r="BN252" s="24">
        <f t="shared" si="284"/>
        <v>231.68467825051945</v>
      </c>
      <c r="BO252" s="24">
        <f t="shared" si="284"/>
        <v>401.96474703563155</v>
      </c>
      <c r="BP252" s="24">
        <f t="shared" si="284"/>
        <v>563.17910961538462</v>
      </c>
      <c r="BQ252" s="24">
        <f t="shared" si="284"/>
        <v>517.9551146288245</v>
      </c>
      <c r="BR252" s="24">
        <f t="shared" si="284"/>
        <v>230.5857267302022</v>
      </c>
      <c r="BS252" s="24">
        <f t="shared" si="284"/>
        <v>406.95581606272134</v>
      </c>
      <c r="BT252" s="24">
        <f t="shared" si="284"/>
        <v>573.11505742307691</v>
      </c>
      <c r="BU252" s="24">
        <f t="shared" si="284"/>
        <v>526.71337697559886</v>
      </c>
      <c r="BV252" s="24">
        <f t="shared" si="284"/>
        <v>233.83219946900167</v>
      </c>
      <c r="BW252" s="24">
        <f t="shared" si="284"/>
        <v>411.96307147589005</v>
      </c>
      <c r="BX252" s="24">
        <f t="shared" si="284"/>
        <v>583.12984530692302</v>
      </c>
      <c r="BY252" s="24">
        <f t="shared" si="284"/>
        <v>535.55340514255658</v>
      </c>
      <c r="BZ252" s="24">
        <f t="shared" si="284"/>
        <v>237.10859971668143</v>
      </c>
      <c r="CA252" s="24">
        <f t="shared" si="284"/>
        <v>416.9869243029699</v>
      </c>
      <c r="CB252" s="24">
        <f t="shared" si="284"/>
        <v>593.22552449084617</v>
      </c>
      <c r="CC252" s="24">
        <f t="shared" si="284"/>
        <v>544.47730886850161</v>
      </c>
      <c r="CD252" s="24">
        <f t="shared" si="284"/>
        <v>240.41568416421907</v>
      </c>
      <c r="CG252" s="29"/>
      <c r="CH252" s="29"/>
      <c r="CI252" s="29"/>
      <c r="CJ252" s="29">
        <f t="shared" ref="CJ252:CP252" si="285">+SUMIFS($S252:$CD252,$S$5:$CD$5,"&lt;="&amp;CJ$5,$S$5:$CD$5,"&gt;"&amp;CI$5)</f>
        <v>419</v>
      </c>
      <c r="CK252" s="29">
        <f t="shared" si="285"/>
        <v>502</v>
      </c>
      <c r="CL252" s="29">
        <f t="shared" si="285"/>
        <v>724</v>
      </c>
      <c r="CM252" s="29">
        <f t="shared" si="285"/>
        <v>683</v>
      </c>
      <c r="CN252" s="29">
        <f t="shared" si="285"/>
        <v>740</v>
      </c>
      <c r="CO252" s="29">
        <f t="shared" si="285"/>
        <v>759</v>
      </c>
      <c r="CP252" s="29">
        <f t="shared" si="285"/>
        <v>945</v>
      </c>
      <c r="CQ252" s="29">
        <f>+SUMIFS($S252:$CD252,$S$5:$CD$5,"&lt;="&amp;CQ$5,$S$5:$CD$5,"&gt;"&amp;CP$5)</f>
        <v>1388</v>
      </c>
      <c r="CR252" s="29">
        <f t="shared" ref="CR252:CX252" si="286">+SUMIFS($S252:$CD252,$S$5:$CD$5,"&lt;="&amp;CR$5,$S$5:$CD$5,"&gt;"&amp;CQ$5)</f>
        <v>1189</v>
      </c>
      <c r="CS252" s="29">
        <f t="shared" si="286"/>
        <v>1341</v>
      </c>
      <c r="CT252" s="97">
        <f t="shared" si="286"/>
        <v>1415.123524904857</v>
      </c>
      <c r="CU252" s="97">
        <f t="shared" si="286"/>
        <v>1610.3946328735037</v>
      </c>
      <c r="CV252" s="97">
        <f t="shared" si="286"/>
        <v>1713.6846980100429</v>
      </c>
      <c r="CW252" s="97">
        <f t="shared" si="286"/>
        <v>1740.6164499303989</v>
      </c>
      <c r="CX252" s="97">
        <f t="shared" si="286"/>
        <v>1767.7549216420512</v>
      </c>
      <c r="CY252" s="2"/>
    </row>
    <row r="253" spans="2:111" ht="15" customHeight="1" x14ac:dyDescent="0.25">
      <c r="B253" s="37" t="s">
        <v>170</v>
      </c>
      <c r="C253" s="37"/>
      <c r="D253" s="37"/>
      <c r="E253" s="37"/>
      <c r="F253" s="37"/>
      <c r="G253" s="37"/>
      <c r="H253" s="37"/>
      <c r="I253" s="37"/>
      <c r="J253" s="37"/>
      <c r="K253" s="37"/>
      <c r="L253" s="37"/>
      <c r="M253" s="37"/>
      <c r="N253" s="37"/>
      <c r="O253" s="37"/>
      <c r="P253" s="37"/>
      <c r="Q253" s="37"/>
      <c r="R253" s="37"/>
      <c r="S253" s="82"/>
      <c r="T253" s="82"/>
      <c r="U253" s="82"/>
      <c r="V253" s="82"/>
      <c r="W253" s="82">
        <f t="shared" ref="W253:BB253" si="287">+IFERROR(W252/S252-1,"")</f>
        <v>0.18309859154929575</v>
      </c>
      <c r="X253" s="82">
        <f t="shared" si="287"/>
        <v>-5.3191489361702149E-2</v>
      </c>
      <c r="Y253" s="82">
        <f t="shared" si="287"/>
        <v>0.39285714285714279</v>
      </c>
      <c r="Z253" s="82">
        <f t="shared" si="287"/>
        <v>0.17543859649122817</v>
      </c>
      <c r="AA253" s="82">
        <f t="shared" si="287"/>
        <v>0</v>
      </c>
      <c r="AB253" s="82">
        <f t="shared" si="287"/>
        <v>4.4943820224719211E-2</v>
      </c>
      <c r="AC253" s="82">
        <f t="shared" si="287"/>
        <v>0.82051282051282048</v>
      </c>
      <c r="AD253" s="82">
        <f t="shared" si="287"/>
        <v>0.43283582089552231</v>
      </c>
      <c r="AE253" s="82">
        <f t="shared" si="287"/>
        <v>0.3214285714285714</v>
      </c>
      <c r="AF253" s="82">
        <f t="shared" si="287"/>
        <v>0.27956989247311825</v>
      </c>
      <c r="AG253" s="82">
        <f t="shared" si="287"/>
        <v>-0.26760563380281688</v>
      </c>
      <c r="AH253" s="82">
        <f t="shared" si="287"/>
        <v>5.2083333333332593E-3</v>
      </c>
      <c r="AI253" s="82">
        <f t="shared" si="287"/>
        <v>-0.13513513513513509</v>
      </c>
      <c r="AJ253" s="82">
        <f t="shared" si="287"/>
        <v>0.31932773109243695</v>
      </c>
      <c r="AK253" s="82">
        <f t="shared" si="287"/>
        <v>5.0000000000000044E-2</v>
      </c>
      <c r="AL253" s="82">
        <f t="shared" si="287"/>
        <v>0.10880829015544036</v>
      </c>
      <c r="AM253" s="82">
        <f t="shared" si="287"/>
        <v>-0.20833333333333337</v>
      </c>
      <c r="AN253" s="82">
        <f t="shared" si="287"/>
        <v>0.12101910828025475</v>
      </c>
      <c r="AO253" s="82">
        <f t="shared" si="287"/>
        <v>0.16117216117216127</v>
      </c>
      <c r="AP253" s="82">
        <f t="shared" si="287"/>
        <v>-0.11214953271028039</v>
      </c>
      <c r="AQ253" s="82">
        <f t="shared" si="287"/>
        <v>1.8684210526315788</v>
      </c>
      <c r="AR253" s="82">
        <f t="shared" si="287"/>
        <v>-8.5227272727272707E-2</v>
      </c>
      <c r="AS253" s="82">
        <f t="shared" si="287"/>
        <v>0.26182965299684535</v>
      </c>
      <c r="AT253" s="82">
        <f t="shared" si="287"/>
        <v>-0.12631578947368416</v>
      </c>
      <c r="AU253" s="82">
        <f t="shared" si="287"/>
        <v>4.587155963302747E-2</v>
      </c>
      <c r="AV253" s="82">
        <f t="shared" si="287"/>
        <v>1.31055900621118</v>
      </c>
      <c r="AW253" s="82">
        <f t="shared" si="287"/>
        <v>0.44750000000000001</v>
      </c>
      <c r="AX253" s="82">
        <f t="shared" si="287"/>
        <v>0.25903614457831314</v>
      </c>
      <c r="AY253" s="82">
        <f t="shared" si="287"/>
        <v>-0.44736842105263153</v>
      </c>
      <c r="AZ253" s="82">
        <f t="shared" si="287"/>
        <v>-7.2580645161290369E-2</v>
      </c>
      <c r="BA253" s="82">
        <f t="shared" si="287"/>
        <v>-0.19170984455958551</v>
      </c>
      <c r="BB253" s="82">
        <f t="shared" si="287"/>
        <v>0.19617224880382778</v>
      </c>
      <c r="BC253" s="82">
        <f>+IFERROR(BC252/AY252-1,"")</f>
        <v>1.2222222222222223</v>
      </c>
      <c r="BD253" s="82">
        <f t="shared" ref="BD253:BF253" si="288">+IFERROR(BD252/AZ252-1,"")</f>
        <v>7.2463768115942129E-2</v>
      </c>
      <c r="BE253" s="82">
        <f t="shared" si="288"/>
        <v>-1.0683760683760646E-2</v>
      </c>
      <c r="BF253" s="82">
        <f t="shared" si="288"/>
        <v>-8.7999999999999967E-2</v>
      </c>
      <c r="BG253" s="82">
        <f>+IFERROR(BG252/BC252-1,"")</f>
        <v>-0.48928571428571432</v>
      </c>
      <c r="BH253" s="82">
        <f t="shared" ref="BH253:BV253" si="289">+IFERROR(BH252/BD252-1,"")</f>
        <v>0.47297297297297303</v>
      </c>
      <c r="BI253" s="82">
        <f t="shared" si="289"/>
        <v>8.4839160935761493E-2</v>
      </c>
      <c r="BJ253" s="82">
        <f t="shared" si="289"/>
        <v>-1.3846520212283053E-2</v>
      </c>
      <c r="BK253" s="82">
        <f t="shared" si="289"/>
        <v>1.4274916584692265E-2</v>
      </c>
      <c r="BL253" s="82">
        <f t="shared" si="289"/>
        <v>3.2816632057815376E-2</v>
      </c>
      <c r="BM253" s="82">
        <f t="shared" si="289"/>
        <v>0.33547596411699376</v>
      </c>
      <c r="BN253" s="82">
        <f t="shared" si="289"/>
        <v>3.0428721641346135E-2</v>
      </c>
      <c r="BO253" s="82">
        <f t="shared" si="289"/>
        <v>1.7713810535979508</v>
      </c>
      <c r="BP253" s="82">
        <f t="shared" si="289"/>
        <v>5.2238931610548711E-4</v>
      </c>
      <c r="BQ253" s="82">
        <f t="shared" si="289"/>
        <v>-0.22783572477482317</v>
      </c>
      <c r="BR253" s="82">
        <f t="shared" si="289"/>
        <v>-4.7433068453882621E-3</v>
      </c>
      <c r="BS253" s="82">
        <f t="shared" si="289"/>
        <v>1.2416683462660449E-2</v>
      </c>
      <c r="BT253" s="82">
        <f t="shared" si="289"/>
        <v>1.7642607188462556E-2</v>
      </c>
      <c r="BU253" s="82">
        <f t="shared" si="289"/>
        <v>1.6909307581701727E-2</v>
      </c>
      <c r="BV253" s="82">
        <f t="shared" si="289"/>
        <v>1.4079244126840695E-2</v>
      </c>
      <c r="BW253" s="82">
        <f t="shared" ref="BW253:CD253" si="290">+IFERROR(BW252/BO252-1,"")</f>
        <v>2.487363509858298E-2</v>
      </c>
      <c r="BX253" s="82">
        <f t="shared" si="290"/>
        <v>3.5425205500188905E-2</v>
      </c>
      <c r="BY253" s="82">
        <f t="shared" si="290"/>
        <v>3.3976477916128456E-2</v>
      </c>
      <c r="BZ253" s="82">
        <f t="shared" si="290"/>
        <v>2.8288277331715905E-2</v>
      </c>
      <c r="CA253" s="82">
        <f t="shared" si="290"/>
        <v>2.4649133503727993E-2</v>
      </c>
      <c r="CB253" s="82">
        <f t="shared" si="290"/>
        <v>3.5089755202372119E-2</v>
      </c>
      <c r="CC253" s="82">
        <f t="shared" si="290"/>
        <v>3.3725993432905943E-2</v>
      </c>
      <c r="CD253" s="82">
        <f t="shared" si="290"/>
        <v>2.8154739638798887E-2</v>
      </c>
      <c r="CG253" s="82"/>
      <c r="CH253" s="82"/>
      <c r="CI253" s="82"/>
      <c r="CJ253" s="82" t="str">
        <f t="shared" ref="CJ253:CP253" si="291">+IFERROR(CJ252/CI252-1,"")</f>
        <v/>
      </c>
      <c r="CK253" s="82">
        <f t="shared" si="291"/>
        <v>0.19809069212410502</v>
      </c>
      <c r="CL253" s="82">
        <f t="shared" si="291"/>
        <v>0.44223107569721121</v>
      </c>
      <c r="CM253" s="82">
        <f t="shared" si="291"/>
        <v>-5.6629834254143696E-2</v>
      </c>
      <c r="CN253" s="82">
        <f t="shared" si="291"/>
        <v>8.3455344070278104E-2</v>
      </c>
      <c r="CO253" s="82">
        <f t="shared" si="291"/>
        <v>2.5675675675675746E-2</v>
      </c>
      <c r="CP253" s="82">
        <f t="shared" si="291"/>
        <v>0.24505928853754932</v>
      </c>
      <c r="CQ253" s="82">
        <f>+IFERROR(CQ252/CP252-1,"")</f>
        <v>0.46878306878306875</v>
      </c>
      <c r="CR253" s="82">
        <f>+IFERROR(CR252/CQ252-1,"")</f>
        <v>-0.14337175792507206</v>
      </c>
      <c r="CS253" s="82">
        <f t="shared" ref="CS253:CX253" si="292">+IFERROR(CS252/CR252-1,"")</f>
        <v>0.127838519764508</v>
      </c>
      <c r="CT253" s="108">
        <f t="shared" si="292"/>
        <v>5.5274813501011932E-2</v>
      </c>
      <c r="CU253" s="108">
        <f t="shared" si="292"/>
        <v>0.13798873704807879</v>
      </c>
      <c r="CV253" s="108">
        <f t="shared" si="292"/>
        <v>6.4139598473595072E-2</v>
      </c>
      <c r="CW253" s="108">
        <f t="shared" si="292"/>
        <v>1.5715698431356451E-2</v>
      </c>
      <c r="CX253" s="108">
        <f t="shared" si="292"/>
        <v>1.5591299112873269E-2</v>
      </c>
      <c r="CY253" s="2"/>
    </row>
    <row r="254" spans="2:111" ht="15" customHeight="1" x14ac:dyDescent="0.25">
      <c r="B254" s="37" t="s">
        <v>226</v>
      </c>
      <c r="C254" s="37"/>
      <c r="D254" s="37"/>
      <c r="E254" s="37"/>
      <c r="F254" s="37"/>
      <c r="G254" s="37"/>
      <c r="H254" s="37"/>
      <c r="I254" s="37"/>
      <c r="J254" s="37"/>
      <c r="K254" s="37"/>
      <c r="L254" s="37"/>
      <c r="M254" s="37"/>
      <c r="N254" s="37"/>
      <c r="O254" s="37"/>
      <c r="P254" s="37"/>
      <c r="Q254" s="37"/>
      <c r="R254" s="37"/>
      <c r="S254" s="82">
        <f t="shared" ref="S254:BH254" si="293">+S252/(S252+S256)</f>
        <v>0.19505494505494506</v>
      </c>
      <c r="T254" s="82">
        <f t="shared" si="293"/>
        <v>0.1091753774680604</v>
      </c>
      <c r="U254" s="82">
        <f t="shared" si="293"/>
        <v>0.16</v>
      </c>
      <c r="V254" s="82">
        <f t="shared" si="293"/>
        <v>0.27941176470588236</v>
      </c>
      <c r="W254" s="82">
        <f t="shared" si="293"/>
        <v>0.34285714285714286</v>
      </c>
      <c r="X254" s="82">
        <f t="shared" si="293"/>
        <v>0.11788079470198676</v>
      </c>
      <c r="Y254" s="82">
        <f t="shared" si="293"/>
        <v>0.16372795969773299</v>
      </c>
      <c r="Z254" s="82">
        <f t="shared" si="293"/>
        <v>0.38728323699421963</v>
      </c>
      <c r="AA254" s="82">
        <f t="shared" si="293"/>
        <v>0.42424242424242425</v>
      </c>
      <c r="AB254" s="82">
        <f t="shared" si="293"/>
        <v>0.13191489361702127</v>
      </c>
      <c r="AC254" s="82">
        <f t="shared" si="293"/>
        <v>0.26691729323308272</v>
      </c>
      <c r="AD254" s="82">
        <f t="shared" si="293"/>
        <v>0.48120300751879697</v>
      </c>
      <c r="AE254" s="82">
        <f t="shared" si="293"/>
        <v>0.54146341463414638</v>
      </c>
      <c r="AF254" s="82">
        <f t="shared" si="293"/>
        <v>0.16550764951321278</v>
      </c>
      <c r="AG254" s="82">
        <f t="shared" si="293"/>
        <v>0.25974025974025972</v>
      </c>
      <c r="AH254" s="82">
        <f t="shared" si="293"/>
        <v>0.48249999999999998</v>
      </c>
      <c r="AI254" s="82">
        <f t="shared" si="293"/>
        <v>0.68085106382978722</v>
      </c>
      <c r="AJ254" s="82">
        <f t="shared" si="293"/>
        <v>0.21536351165980797</v>
      </c>
      <c r="AK254" s="82">
        <f t="shared" si="293"/>
        <v>0.4375</v>
      </c>
      <c r="AL254" s="82">
        <f t="shared" si="293"/>
        <v>0.61849710982658956</v>
      </c>
      <c r="AM254" s="82">
        <f t="shared" si="293"/>
        <v>0.8</v>
      </c>
      <c r="AN254" s="82">
        <f t="shared" si="293"/>
        <v>0.27629513343799056</v>
      </c>
      <c r="AO254" s="82">
        <f t="shared" si="293"/>
        <v>0.40641025641025641</v>
      </c>
      <c r="AP254" s="82">
        <f t="shared" si="293"/>
        <v>0.70895522388059706</v>
      </c>
      <c r="AQ254" s="82">
        <f t="shared" si="293"/>
        <v>0.75958188153310102</v>
      </c>
      <c r="AR254" s="82">
        <f t="shared" si="293"/>
        <v>0.60526315789473684</v>
      </c>
      <c r="AS254" s="82">
        <f t="shared" si="293"/>
        <v>0.46620046620046618</v>
      </c>
      <c r="AT254" s="82">
        <f t="shared" si="293"/>
        <v>0.88770053475935828</v>
      </c>
      <c r="AU254" s="82">
        <f t="shared" si="293"/>
        <v>0.80851063829787229</v>
      </c>
      <c r="AV254" s="82">
        <f t="shared" si="293"/>
        <v>0.53448275862068961</v>
      </c>
      <c r="AW254" s="82">
        <f t="shared" si="293"/>
        <v>0.64333333333333331</v>
      </c>
      <c r="AX254" s="82">
        <f t="shared" si="293"/>
        <v>0.78277153558052437</v>
      </c>
      <c r="AY254" s="82">
        <f t="shared" si="293"/>
        <v>0.76363636363636367</v>
      </c>
      <c r="AZ254" s="82">
        <f t="shared" si="293"/>
        <v>0.54330708661417326</v>
      </c>
      <c r="BA254" s="82">
        <f t="shared" si="293"/>
        <v>0.68122270742358082</v>
      </c>
      <c r="BB254" s="82">
        <f t="shared" si="293"/>
        <v>0.77160493827160492</v>
      </c>
      <c r="BC254" s="82">
        <f t="shared" si="293"/>
        <v>0.69825436408977559</v>
      </c>
      <c r="BD254" s="82">
        <f t="shared" si="293"/>
        <v>0.5354558610709117</v>
      </c>
      <c r="BE254" s="82">
        <f t="shared" si="293"/>
        <v>0.70795107033639149</v>
      </c>
      <c r="BF254" s="82">
        <f t="shared" si="293"/>
        <v>0.88030888030888033</v>
      </c>
      <c r="BG254" s="82">
        <f t="shared" si="293"/>
        <v>0.85119047619047616</v>
      </c>
      <c r="BH254" s="82">
        <f t="shared" si="293"/>
        <v>0.65504807692307687</v>
      </c>
      <c r="BI254" s="102">
        <f t="shared" ref="BI254:CD254" si="294">+BE254+1%</f>
        <v>0.71795107033639149</v>
      </c>
      <c r="BJ254" s="102">
        <f t="shared" si="294"/>
        <v>0.89030888030888033</v>
      </c>
      <c r="BK254" s="102">
        <f t="shared" si="294"/>
        <v>0.86119047619047617</v>
      </c>
      <c r="BL254" s="102">
        <f t="shared" si="294"/>
        <v>0.66504807692307688</v>
      </c>
      <c r="BM254" s="102">
        <f t="shared" si="294"/>
        <v>0.7279510703363915</v>
      </c>
      <c r="BN254" s="102">
        <f t="shared" si="294"/>
        <v>0.90030888030888034</v>
      </c>
      <c r="BO254" s="102">
        <f t="shared" si="294"/>
        <v>0.87119047619047618</v>
      </c>
      <c r="BP254" s="102">
        <f t="shared" si="294"/>
        <v>0.67504807692307689</v>
      </c>
      <c r="BQ254" s="102">
        <f t="shared" si="294"/>
        <v>0.73795107033639151</v>
      </c>
      <c r="BR254" s="102">
        <f t="shared" si="294"/>
        <v>0.91030888030888035</v>
      </c>
      <c r="BS254" s="102">
        <f t="shared" si="294"/>
        <v>0.88119047619047619</v>
      </c>
      <c r="BT254" s="102">
        <f t="shared" si="294"/>
        <v>0.6850480769230769</v>
      </c>
      <c r="BU254" s="102">
        <f t="shared" si="294"/>
        <v>0.74795107033639152</v>
      </c>
      <c r="BV254" s="102">
        <f t="shared" si="294"/>
        <v>0.92030888030888036</v>
      </c>
      <c r="BW254" s="102">
        <f t="shared" si="294"/>
        <v>0.8911904761904762</v>
      </c>
      <c r="BX254" s="102">
        <f t="shared" si="294"/>
        <v>0.69504807692307691</v>
      </c>
      <c r="BY254" s="102">
        <f t="shared" si="294"/>
        <v>0.75795107033639153</v>
      </c>
      <c r="BZ254" s="102">
        <f t="shared" si="294"/>
        <v>0.93030888030888037</v>
      </c>
      <c r="CA254" s="102">
        <f t="shared" si="294"/>
        <v>0.90119047619047621</v>
      </c>
      <c r="CB254" s="102">
        <f t="shared" si="294"/>
        <v>0.70504807692307692</v>
      </c>
      <c r="CC254" s="102">
        <f t="shared" si="294"/>
        <v>0.76795107033639154</v>
      </c>
      <c r="CD254" s="102">
        <f t="shared" si="294"/>
        <v>0.94030888030888038</v>
      </c>
      <c r="CG254" s="82"/>
      <c r="CH254" s="82"/>
      <c r="CI254" s="82"/>
      <c r="CJ254" s="82">
        <f t="shared" ref="CJ254:CX254" si="295">+CJ252/(CJ252+CJ256)</f>
        <v>0.16706539074960128</v>
      </c>
      <c r="CK254" s="82">
        <f t="shared" si="295"/>
        <v>0.19787150177374851</v>
      </c>
      <c r="CL254" s="82">
        <f t="shared" si="295"/>
        <v>0.27507598784194531</v>
      </c>
      <c r="CM254" s="82">
        <f t="shared" si="295"/>
        <v>0.29376344086021505</v>
      </c>
      <c r="CN254" s="82">
        <f t="shared" si="295"/>
        <v>0.40217391304347827</v>
      </c>
      <c r="CO254" s="108">
        <f t="shared" si="295"/>
        <v>0.42640449438202249</v>
      </c>
      <c r="CP254" s="108">
        <f t="shared" si="295"/>
        <v>0.59136420525657074</v>
      </c>
      <c r="CQ254" s="108">
        <f t="shared" si="295"/>
        <v>0.64708624708624707</v>
      </c>
      <c r="CR254" s="108">
        <f t="shared" si="295"/>
        <v>0.65654334621755939</v>
      </c>
      <c r="CS254" s="108">
        <f t="shared" si="295"/>
        <v>0.66882793017456355</v>
      </c>
      <c r="CT254" s="108">
        <f t="shared" si="295"/>
        <v>0.72490598511247939</v>
      </c>
      <c r="CU254" s="108">
        <f t="shared" si="295"/>
        <v>0.73413017075656617</v>
      </c>
      <c r="CV254" s="108">
        <f t="shared" si="295"/>
        <v>0.76134503355466243</v>
      </c>
      <c r="CW254" s="108">
        <f t="shared" si="295"/>
        <v>0.77130399478205214</v>
      </c>
      <c r="CX254" s="108">
        <f t="shared" si="295"/>
        <v>0.78126235400955546</v>
      </c>
    </row>
    <row r="255" spans="2:111" ht="15" customHeight="1" x14ac:dyDescent="0.25">
      <c r="B255" s="37"/>
      <c r="C255" s="37"/>
      <c r="D255" s="37"/>
      <c r="E255" s="37"/>
      <c r="F255" s="37"/>
      <c r="G255" s="37"/>
      <c r="H255" s="37"/>
      <c r="I255" s="37"/>
      <c r="J255" s="37"/>
      <c r="K255" s="37"/>
      <c r="L255" s="37"/>
      <c r="M255" s="37"/>
      <c r="N255" s="37"/>
      <c r="O255" s="37"/>
      <c r="P255" s="37"/>
      <c r="Q255" s="37"/>
      <c r="R255" s="37"/>
      <c r="S255" s="82"/>
      <c r="T255" s="82"/>
      <c r="U255" s="82"/>
      <c r="V255" s="82"/>
      <c r="W255" s="82"/>
      <c r="X255" s="82"/>
      <c r="Y255" s="82"/>
      <c r="Z255" s="82"/>
      <c r="AA255" s="82"/>
      <c r="AB255" s="82"/>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147"/>
      <c r="BG255" s="147"/>
      <c r="BH255" s="147"/>
      <c r="BI255" s="147"/>
      <c r="BJ255" s="147"/>
      <c r="BK255" s="147"/>
      <c r="BL255" s="147"/>
      <c r="BM255" s="82"/>
      <c r="BN255" s="82"/>
      <c r="BO255" s="82"/>
      <c r="BP255" s="82"/>
      <c r="BQ255" s="82"/>
      <c r="BR255" s="82"/>
      <c r="BS255" s="82"/>
      <c r="BT255" s="82"/>
      <c r="BU255" s="82"/>
      <c r="BV255" s="82"/>
      <c r="BW255" s="82"/>
      <c r="BX255" s="82"/>
      <c r="BY255" s="82"/>
      <c r="BZ255" s="82"/>
      <c r="CA255" s="82"/>
      <c r="CB255" s="82"/>
      <c r="CC255" s="82"/>
      <c r="CD255" s="82"/>
      <c r="CG255" s="82"/>
      <c r="CH255" s="82"/>
      <c r="CI255" s="82"/>
      <c r="CJ255" s="82"/>
      <c r="CK255" s="82"/>
      <c r="CL255" s="82"/>
      <c r="CM255" s="82"/>
      <c r="CN255" s="82"/>
      <c r="CO255" s="82"/>
      <c r="CP255" s="82"/>
      <c r="CQ255" s="82"/>
      <c r="CR255" s="82"/>
      <c r="CS255" s="82"/>
      <c r="CT255" s="108"/>
      <c r="CU255" s="108"/>
      <c r="CV255" s="108"/>
      <c r="CW255" s="108"/>
      <c r="CX255" s="108"/>
    </row>
    <row r="256" spans="2:111" ht="15" customHeight="1" x14ac:dyDescent="0.25">
      <c r="B256" t="s">
        <v>227</v>
      </c>
      <c r="S256" s="87">
        <f t="shared" ref="S256:BF256" si="296">+S522</f>
        <v>293</v>
      </c>
      <c r="T256" s="87">
        <f t="shared" si="296"/>
        <v>767</v>
      </c>
      <c r="U256" s="87">
        <f t="shared" si="296"/>
        <v>735</v>
      </c>
      <c r="V256" s="87">
        <f t="shared" si="296"/>
        <v>294</v>
      </c>
      <c r="W256" s="87">
        <f t="shared" si="296"/>
        <v>161</v>
      </c>
      <c r="X256" s="87">
        <f t="shared" si="296"/>
        <v>666</v>
      </c>
      <c r="Y256" s="87">
        <f t="shared" si="296"/>
        <v>996</v>
      </c>
      <c r="Z256" s="87">
        <f t="shared" si="296"/>
        <v>212</v>
      </c>
      <c r="AA256" s="87">
        <f t="shared" si="296"/>
        <v>114</v>
      </c>
      <c r="AB256" s="87">
        <f t="shared" si="296"/>
        <v>612</v>
      </c>
      <c r="AC256" s="87">
        <f t="shared" si="296"/>
        <v>975</v>
      </c>
      <c r="AD256" s="87">
        <f t="shared" si="296"/>
        <v>207</v>
      </c>
      <c r="AE256" s="87">
        <f t="shared" si="296"/>
        <v>94</v>
      </c>
      <c r="AF256" s="87">
        <f t="shared" si="296"/>
        <v>600</v>
      </c>
      <c r="AG256" s="87">
        <f t="shared" si="296"/>
        <v>741</v>
      </c>
      <c r="AH256" s="87">
        <f t="shared" si="296"/>
        <v>207</v>
      </c>
      <c r="AI256" s="87">
        <f t="shared" si="296"/>
        <v>45</v>
      </c>
      <c r="AJ256" s="87">
        <f t="shared" si="296"/>
        <v>572</v>
      </c>
      <c r="AK256" s="87">
        <f t="shared" si="296"/>
        <v>351</v>
      </c>
      <c r="AL256" s="87">
        <f t="shared" si="296"/>
        <v>132</v>
      </c>
      <c r="AM256" s="87">
        <f t="shared" si="296"/>
        <v>19</v>
      </c>
      <c r="AN256" s="87">
        <f t="shared" si="296"/>
        <v>461</v>
      </c>
      <c r="AO256" s="87">
        <f t="shared" si="296"/>
        <v>463</v>
      </c>
      <c r="AP256" s="87">
        <f t="shared" si="296"/>
        <v>78</v>
      </c>
      <c r="AQ256" s="87">
        <f t="shared" si="296"/>
        <v>69</v>
      </c>
      <c r="AR256" s="87">
        <f t="shared" si="296"/>
        <v>105</v>
      </c>
      <c r="AS256" s="87">
        <f t="shared" si="296"/>
        <v>458</v>
      </c>
      <c r="AT256" s="87">
        <f t="shared" si="296"/>
        <v>21</v>
      </c>
      <c r="AU256" s="87">
        <f t="shared" si="296"/>
        <v>54</v>
      </c>
      <c r="AV256" s="87">
        <f t="shared" si="296"/>
        <v>324</v>
      </c>
      <c r="AW256" s="87">
        <f t="shared" si="296"/>
        <v>321</v>
      </c>
      <c r="AX256" s="87">
        <f t="shared" si="296"/>
        <v>58</v>
      </c>
      <c r="AY256" s="87">
        <f t="shared" si="296"/>
        <v>39</v>
      </c>
      <c r="AZ256" s="87">
        <f t="shared" si="296"/>
        <v>290</v>
      </c>
      <c r="BA256" s="87">
        <f t="shared" si="296"/>
        <v>219</v>
      </c>
      <c r="BB256" s="87">
        <f t="shared" si="296"/>
        <v>74</v>
      </c>
      <c r="BC256" s="87">
        <f t="shared" si="296"/>
        <v>121</v>
      </c>
      <c r="BD256" s="87">
        <f t="shared" si="296"/>
        <v>321</v>
      </c>
      <c r="BE256" s="87">
        <f t="shared" si="296"/>
        <v>191</v>
      </c>
      <c r="BF256" s="87">
        <f t="shared" si="296"/>
        <v>31</v>
      </c>
      <c r="BG256" s="74">
        <f>168-BG252</f>
        <v>25</v>
      </c>
      <c r="BH256" s="74">
        <f>241+46</f>
        <v>287</v>
      </c>
      <c r="BI256" s="73">
        <f t="shared" ref="BI256:CD256" si="297">+BI72-BI252</f>
        <v>197.32220224674245</v>
      </c>
      <c r="BJ256" s="73">
        <f t="shared" si="297"/>
        <v>27.701936086800544</v>
      </c>
      <c r="BK256" s="73">
        <f t="shared" si="297"/>
        <v>23.378237633604982</v>
      </c>
      <c r="BL256" s="73">
        <f t="shared" si="297"/>
        <v>283.49745132458656</v>
      </c>
      <c r="BM256" s="73">
        <f t="shared" si="297"/>
        <v>250.68436824493631</v>
      </c>
      <c r="BN256" s="73">
        <f t="shared" si="297"/>
        <v>25.654423159912568</v>
      </c>
      <c r="BO256" s="73">
        <f t="shared" si="297"/>
        <v>59.432338930384446</v>
      </c>
      <c r="BP256" s="73">
        <f t="shared" si="297"/>
        <v>271.10089038461535</v>
      </c>
      <c r="BQ256" s="73">
        <f t="shared" si="297"/>
        <v>183.92761913117545</v>
      </c>
      <c r="BR256" s="73">
        <f t="shared" si="297"/>
        <v>22.719202748197802</v>
      </c>
      <c r="BS256" s="73">
        <f t="shared" si="297"/>
        <v>54.869211622614955</v>
      </c>
      <c r="BT256" s="73">
        <f t="shared" si="297"/>
        <v>263.49054257692308</v>
      </c>
      <c r="BU256" s="73">
        <f t="shared" si="297"/>
        <v>177.4949567844011</v>
      </c>
      <c r="BV256" s="73">
        <f t="shared" si="297"/>
        <v>20.247930009398345</v>
      </c>
      <c r="BW256" s="73">
        <f t="shared" si="297"/>
        <v>50.298456763153013</v>
      </c>
      <c r="BX256" s="73">
        <f t="shared" si="297"/>
        <v>255.84786669307698</v>
      </c>
      <c r="BY256" s="73">
        <f t="shared" si="297"/>
        <v>171.02704061744339</v>
      </c>
      <c r="BZ256" s="73">
        <f t="shared" si="297"/>
        <v>17.762233761718591</v>
      </c>
      <c r="CA256" s="73">
        <f t="shared" si="297"/>
        <v>45.719834500854006</v>
      </c>
      <c r="CB256" s="73">
        <f t="shared" si="297"/>
        <v>248.17174174915385</v>
      </c>
      <c r="CC256" s="73">
        <f t="shared" si="297"/>
        <v>164.52269113149839</v>
      </c>
      <c r="CD256" s="73">
        <f t="shared" si="297"/>
        <v>15.261667394180932</v>
      </c>
      <c r="CG256" s="29"/>
      <c r="CH256" s="29"/>
      <c r="CI256" s="29"/>
      <c r="CJ256" s="29">
        <f t="shared" ref="CJ256:CP256" si="298">+SUMIFS($S256:$CD256,$S$5:$CD$5,"&lt;="&amp;CJ$5,$S$5:$CD$5,"&gt;"&amp;CI$5)</f>
        <v>2089</v>
      </c>
      <c r="CK256" s="29">
        <f t="shared" si="298"/>
        <v>2035</v>
      </c>
      <c r="CL256" s="29">
        <f t="shared" si="298"/>
        <v>1908</v>
      </c>
      <c r="CM256" s="29">
        <f t="shared" si="298"/>
        <v>1642</v>
      </c>
      <c r="CN256" s="29">
        <f t="shared" si="298"/>
        <v>1100</v>
      </c>
      <c r="CO256" s="29">
        <f t="shared" si="298"/>
        <v>1021</v>
      </c>
      <c r="CP256" s="29">
        <f t="shared" si="298"/>
        <v>653</v>
      </c>
      <c r="CQ256" s="29">
        <f>+SUMIFS($S256:$CD256,$S$5:$CD$5,"&lt;="&amp;CQ$5,$S$5:$CD$5,"&gt;"&amp;CP$5)</f>
        <v>757</v>
      </c>
      <c r="CR256" s="29">
        <f t="shared" ref="CR256:CX256" si="299">+SUMIFS($S256:$CD256,$S$5:$CD$5,"&lt;="&amp;CR$5,$S$5:$CD$5,"&gt;"&amp;CQ$5)</f>
        <v>622</v>
      </c>
      <c r="CS256" s="29">
        <f t="shared" si="299"/>
        <v>664</v>
      </c>
      <c r="CT256" s="97">
        <f t="shared" si="299"/>
        <v>537.02413833354296</v>
      </c>
      <c r="CU256" s="97">
        <f t="shared" si="299"/>
        <v>583.21448036304037</v>
      </c>
      <c r="CV256" s="97">
        <f t="shared" si="299"/>
        <v>537.18005119437316</v>
      </c>
      <c r="CW256" s="97">
        <f t="shared" si="299"/>
        <v>516.10264099333745</v>
      </c>
      <c r="CX256" s="97">
        <f t="shared" si="299"/>
        <v>494.93559783539195</v>
      </c>
    </row>
    <row r="257" spans="2:102" ht="15" customHeight="1" x14ac:dyDescent="0.25">
      <c r="B257" s="37" t="s">
        <v>170</v>
      </c>
      <c r="C257" s="37"/>
      <c r="D257" s="37"/>
      <c r="E257" s="37"/>
      <c r="F257" s="37"/>
      <c r="G257" s="37"/>
      <c r="H257" s="37"/>
      <c r="I257" s="37"/>
      <c r="J257" s="37"/>
      <c r="K257" s="37"/>
      <c r="L257" s="37"/>
      <c r="M257" s="37"/>
      <c r="N257" s="37"/>
      <c r="O257" s="37"/>
      <c r="P257" s="37"/>
      <c r="Q257" s="37"/>
      <c r="R257" s="37"/>
      <c r="S257" s="82"/>
      <c r="T257" s="82"/>
      <c r="U257" s="82"/>
      <c r="V257" s="82"/>
      <c r="W257" s="82">
        <f t="shared" ref="W257:BB257" si="300">+IFERROR(W256/S256-1,"")</f>
        <v>-0.45051194539249151</v>
      </c>
      <c r="X257" s="82">
        <f t="shared" si="300"/>
        <v>-0.13168187744458926</v>
      </c>
      <c r="Y257" s="82">
        <f t="shared" si="300"/>
        <v>0.35510204081632657</v>
      </c>
      <c r="Z257" s="82">
        <f t="shared" si="300"/>
        <v>-0.27891156462585032</v>
      </c>
      <c r="AA257" s="82">
        <f t="shared" si="300"/>
        <v>-0.29192546583850931</v>
      </c>
      <c r="AB257" s="82">
        <f t="shared" si="300"/>
        <v>-8.108108108108103E-2</v>
      </c>
      <c r="AC257" s="82">
        <f t="shared" si="300"/>
        <v>-2.108433734939763E-2</v>
      </c>
      <c r="AD257" s="82">
        <f t="shared" si="300"/>
        <v>-2.3584905660377409E-2</v>
      </c>
      <c r="AE257" s="82">
        <f t="shared" si="300"/>
        <v>-0.17543859649122806</v>
      </c>
      <c r="AF257" s="82">
        <f t="shared" si="300"/>
        <v>-1.9607843137254943E-2</v>
      </c>
      <c r="AG257" s="82">
        <f t="shared" si="300"/>
        <v>-0.24</v>
      </c>
      <c r="AH257" s="82">
        <f t="shared" si="300"/>
        <v>0</v>
      </c>
      <c r="AI257" s="82">
        <f t="shared" si="300"/>
        <v>-0.52127659574468077</v>
      </c>
      <c r="AJ257" s="82">
        <f t="shared" si="300"/>
        <v>-4.6666666666666634E-2</v>
      </c>
      <c r="AK257" s="82">
        <f t="shared" si="300"/>
        <v>-0.52631578947368429</v>
      </c>
      <c r="AL257" s="82">
        <f t="shared" si="300"/>
        <v>-0.3623188405797102</v>
      </c>
      <c r="AM257" s="82">
        <f t="shared" si="300"/>
        <v>-0.57777777777777772</v>
      </c>
      <c r="AN257" s="82">
        <f t="shared" si="300"/>
        <v>-0.19405594405594406</v>
      </c>
      <c r="AO257" s="82">
        <f t="shared" si="300"/>
        <v>0.31908831908831914</v>
      </c>
      <c r="AP257" s="82">
        <f t="shared" si="300"/>
        <v>-0.40909090909090906</v>
      </c>
      <c r="AQ257" s="82">
        <f t="shared" si="300"/>
        <v>2.6315789473684212</v>
      </c>
      <c r="AR257" s="82">
        <f t="shared" si="300"/>
        <v>-0.77223427331887207</v>
      </c>
      <c r="AS257" s="82">
        <f t="shared" si="300"/>
        <v>-1.0799136069114423E-2</v>
      </c>
      <c r="AT257" s="82">
        <f t="shared" si="300"/>
        <v>-0.73076923076923084</v>
      </c>
      <c r="AU257" s="82">
        <f t="shared" si="300"/>
        <v>-0.21739130434782605</v>
      </c>
      <c r="AV257" s="82">
        <f t="shared" si="300"/>
        <v>2.0857142857142859</v>
      </c>
      <c r="AW257" s="82">
        <f t="shared" si="300"/>
        <v>-0.29912663755458513</v>
      </c>
      <c r="AX257" s="82">
        <f t="shared" si="300"/>
        <v>1.7619047619047619</v>
      </c>
      <c r="AY257" s="82">
        <f t="shared" si="300"/>
        <v>-0.27777777777777779</v>
      </c>
      <c r="AZ257" s="82">
        <f t="shared" si="300"/>
        <v>-0.10493827160493829</v>
      </c>
      <c r="BA257" s="82">
        <f t="shared" si="300"/>
        <v>-0.31775700934579443</v>
      </c>
      <c r="BB257" s="82">
        <f t="shared" si="300"/>
        <v>0.27586206896551735</v>
      </c>
      <c r="BC257" s="82">
        <f>+IFERROR(BC256/AY256-1,"")</f>
        <v>2.1025641025641026</v>
      </c>
      <c r="BD257" s="82">
        <f t="shared" ref="BD257:CD257" si="301">+IFERROR(BD256/AZ256-1,"")</f>
        <v>0.10689655172413803</v>
      </c>
      <c r="BE257" s="82">
        <f t="shared" si="301"/>
        <v>-0.12785388127853881</v>
      </c>
      <c r="BF257" s="82">
        <f t="shared" si="301"/>
        <v>-0.58108108108108114</v>
      </c>
      <c r="BG257" s="82">
        <f t="shared" si="301"/>
        <v>-0.79338842975206614</v>
      </c>
      <c r="BH257" s="82">
        <f t="shared" si="301"/>
        <v>-0.10591900311526481</v>
      </c>
      <c r="BI257" s="82">
        <f t="shared" si="301"/>
        <v>3.3100535323258962E-2</v>
      </c>
      <c r="BJ257" s="82">
        <f t="shared" si="301"/>
        <v>-0.10638915849030506</v>
      </c>
      <c r="BK257" s="82">
        <f t="shared" si="301"/>
        <v>-6.4870494655800748E-2</v>
      </c>
      <c r="BL257" s="82">
        <f t="shared" si="301"/>
        <v>-1.2204002353356946E-2</v>
      </c>
      <c r="BM257" s="82">
        <f t="shared" si="301"/>
        <v>0.27043163612915122</v>
      </c>
      <c r="BN257" s="82">
        <f t="shared" si="301"/>
        <v>-7.3912268098242362E-2</v>
      </c>
      <c r="BO257" s="82">
        <f t="shared" si="301"/>
        <v>1.5422078371277053</v>
      </c>
      <c r="BP257" s="82">
        <f t="shared" si="301"/>
        <v>-4.3727239458593692E-2</v>
      </c>
      <c r="BQ257" s="82">
        <f t="shared" si="301"/>
        <v>-0.26629801284033316</v>
      </c>
      <c r="BR257" s="82">
        <f t="shared" si="301"/>
        <v>-0.11441381446850551</v>
      </c>
      <c r="BS257" s="82">
        <f t="shared" si="301"/>
        <v>-7.6778524787901592E-2</v>
      </c>
      <c r="BT257" s="82">
        <f t="shared" si="301"/>
        <v>-2.8072013326460699E-2</v>
      </c>
      <c r="BU257" s="82">
        <f t="shared" si="301"/>
        <v>-3.4973879274687092E-2</v>
      </c>
      <c r="BV257" s="82">
        <f t="shared" si="301"/>
        <v>-0.1087746241005525</v>
      </c>
      <c r="BW257" s="82">
        <f t="shared" si="301"/>
        <v>-8.3302725231394703E-2</v>
      </c>
      <c r="BX257" s="82">
        <f t="shared" si="301"/>
        <v>-2.9005503609735417E-2</v>
      </c>
      <c r="BY257" s="82">
        <f t="shared" si="301"/>
        <v>-3.6439999671732282E-2</v>
      </c>
      <c r="BZ257" s="82">
        <f t="shared" si="301"/>
        <v>-0.12276298103193695</v>
      </c>
      <c r="CA257" s="82">
        <f t="shared" si="301"/>
        <v>-9.1029080352484137E-2</v>
      </c>
      <c r="CB257" s="82">
        <f t="shared" si="301"/>
        <v>-3.000269278434764E-2</v>
      </c>
      <c r="CC257" s="82">
        <f t="shared" si="301"/>
        <v>-3.8031117549967131E-2</v>
      </c>
      <c r="CD257" s="82">
        <f t="shared" si="301"/>
        <v>-0.14077994924979043</v>
      </c>
      <c r="CG257" s="82"/>
      <c r="CH257" s="82"/>
      <c r="CI257" s="82"/>
      <c r="CJ257" s="82" t="str">
        <f t="shared" ref="CJ257:CP257" si="302">+IFERROR(CJ256/CI256-1,"")</f>
        <v/>
      </c>
      <c r="CK257" s="82">
        <f t="shared" si="302"/>
        <v>-2.5849688846337981E-2</v>
      </c>
      <c r="CL257" s="82">
        <f t="shared" si="302"/>
        <v>-6.2407862407862447E-2</v>
      </c>
      <c r="CM257" s="82">
        <f t="shared" si="302"/>
        <v>-0.13941299790356398</v>
      </c>
      <c r="CN257" s="82">
        <f t="shared" si="302"/>
        <v>-0.33008526187576126</v>
      </c>
      <c r="CO257" s="82">
        <f t="shared" si="302"/>
        <v>-7.1818181818181781E-2</v>
      </c>
      <c r="CP257" s="82">
        <f t="shared" si="302"/>
        <v>-0.36043095004897163</v>
      </c>
      <c r="CQ257" s="82">
        <f>+IFERROR(CQ256/CP256-1,"")</f>
        <v>0.15926493108728934</v>
      </c>
      <c r="CR257" s="82">
        <f>+IFERROR(CR256/CQ256-1,"")</f>
        <v>-0.17833553500660504</v>
      </c>
      <c r="CS257" s="82">
        <f t="shared" ref="CS257:CX257" si="303">+IFERROR(CS256/CR256-1,"")</f>
        <v>6.7524115755627001E-2</v>
      </c>
      <c r="CT257" s="108">
        <f t="shared" si="303"/>
        <v>-0.19122870732900155</v>
      </c>
      <c r="CU257" s="108">
        <f t="shared" si="303"/>
        <v>8.6011668251695594E-2</v>
      </c>
      <c r="CV257" s="108">
        <f t="shared" si="303"/>
        <v>-7.8932246572498643E-2</v>
      </c>
      <c r="CW257" s="108">
        <f t="shared" si="303"/>
        <v>-3.9237142470521569E-2</v>
      </c>
      <c r="CX257" s="108">
        <f t="shared" si="303"/>
        <v>-4.1013243251779352E-2</v>
      </c>
    </row>
    <row r="258" spans="2:102" ht="15" customHeight="1" x14ac:dyDescent="0.25">
      <c r="B258" s="37"/>
      <c r="C258" s="37"/>
      <c r="D258" s="37"/>
      <c r="E258" s="37"/>
      <c r="F258" s="37"/>
      <c r="G258" s="37"/>
      <c r="H258" s="37"/>
      <c r="I258" s="37"/>
      <c r="J258" s="37"/>
      <c r="K258" s="37"/>
      <c r="L258" s="37"/>
      <c r="M258" s="37"/>
      <c r="N258" s="37"/>
      <c r="O258" s="37"/>
      <c r="P258" s="37"/>
      <c r="Q258" s="37"/>
      <c r="R258" s="37"/>
      <c r="S258" s="82"/>
      <c r="T258" s="82"/>
      <c r="U258" s="82"/>
      <c r="V258" s="82"/>
      <c r="W258" s="82"/>
      <c r="X258" s="82"/>
      <c r="Y258" s="82"/>
      <c r="Z258" s="82"/>
      <c r="AA258" s="82"/>
      <c r="AB258" s="82"/>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61"/>
      <c r="BG258" s="61"/>
      <c r="BH258" s="61"/>
      <c r="BI258" s="61"/>
      <c r="BJ258" s="61"/>
      <c r="BK258" s="82"/>
      <c r="BL258" s="82"/>
      <c r="BM258" s="82"/>
      <c r="BN258" s="82"/>
      <c r="BO258" s="82"/>
      <c r="BP258" s="82"/>
      <c r="BQ258" s="82"/>
      <c r="BR258" s="82"/>
      <c r="BS258" s="82"/>
      <c r="BT258" s="82"/>
      <c r="BU258" s="82"/>
      <c r="BV258" s="82"/>
      <c r="BW258" s="82"/>
      <c r="BX258" s="82"/>
      <c r="BY258" s="82"/>
      <c r="BZ258" s="82"/>
      <c r="CA258" s="82"/>
      <c r="CB258" s="82"/>
      <c r="CC258" s="82"/>
      <c r="CD258" s="82"/>
      <c r="CG258" s="82"/>
      <c r="CH258" s="82"/>
      <c r="CI258" s="82"/>
      <c r="CJ258" s="82"/>
      <c r="CK258" s="82"/>
      <c r="CL258" s="82"/>
      <c r="CM258" s="82"/>
      <c r="CN258" s="82"/>
      <c r="CO258" s="82"/>
      <c r="CP258" s="82"/>
      <c r="CQ258" s="82"/>
      <c r="CR258" s="82"/>
      <c r="CS258" s="82"/>
      <c r="CT258" s="108"/>
      <c r="CU258" s="108"/>
      <c r="CV258" s="108"/>
      <c r="CW258" s="108"/>
      <c r="CX258" s="108"/>
    </row>
    <row r="259" spans="2:102" s="10" customFormat="1" ht="15" customHeight="1" x14ac:dyDescent="0.25">
      <c r="B259" s="10" t="s">
        <v>201</v>
      </c>
      <c r="S259" s="61">
        <f t="shared" ref="S259:BF259" si="304">+S534</f>
        <v>775</v>
      </c>
      <c r="T259" s="61">
        <f t="shared" si="304"/>
        <v>1220</v>
      </c>
      <c r="U259" s="61">
        <f t="shared" si="304"/>
        <v>1428</v>
      </c>
      <c r="V259" s="61">
        <f t="shared" si="304"/>
        <v>896</v>
      </c>
      <c r="W259" s="61">
        <f t="shared" si="304"/>
        <v>693</v>
      </c>
      <c r="X259" s="61">
        <f t="shared" si="304"/>
        <v>1146</v>
      </c>
      <c r="Y259" s="61">
        <f t="shared" si="304"/>
        <v>1803</v>
      </c>
      <c r="Z259" s="61">
        <f t="shared" si="304"/>
        <v>924</v>
      </c>
      <c r="AA259" s="61">
        <f t="shared" si="304"/>
        <v>682</v>
      </c>
      <c r="AB259" s="61">
        <f t="shared" si="304"/>
        <v>1098</v>
      </c>
      <c r="AC259" s="61">
        <f t="shared" si="304"/>
        <v>2070</v>
      </c>
      <c r="AD259" s="61">
        <f t="shared" si="304"/>
        <v>1092</v>
      </c>
      <c r="AE259" s="61">
        <f t="shared" si="304"/>
        <v>775</v>
      </c>
      <c r="AF259" s="61">
        <f t="shared" si="304"/>
        <v>1179</v>
      </c>
      <c r="AG259" s="61">
        <f t="shared" si="304"/>
        <v>1971</v>
      </c>
      <c r="AH259" s="61">
        <f t="shared" si="304"/>
        <v>1255</v>
      </c>
      <c r="AI259" s="61">
        <f t="shared" si="304"/>
        <v>798</v>
      </c>
      <c r="AJ259" s="61">
        <f t="shared" si="304"/>
        <v>1266</v>
      </c>
      <c r="AK259" s="61">
        <f t="shared" si="304"/>
        <v>1657</v>
      </c>
      <c r="AL259" s="61">
        <f t="shared" si="304"/>
        <v>1411</v>
      </c>
      <c r="AM259" s="61">
        <f t="shared" si="304"/>
        <v>782</v>
      </c>
      <c r="AN259" s="61">
        <f t="shared" si="304"/>
        <v>1313</v>
      </c>
      <c r="AO259" s="61">
        <f t="shared" si="304"/>
        <v>2021</v>
      </c>
      <c r="AP259" s="61">
        <f t="shared" si="304"/>
        <v>1256</v>
      </c>
      <c r="AQ259" s="61">
        <f t="shared" si="304"/>
        <v>1390</v>
      </c>
      <c r="AR259" s="61">
        <f t="shared" si="304"/>
        <v>910</v>
      </c>
      <c r="AS259" s="61">
        <f t="shared" si="304"/>
        <v>2400</v>
      </c>
      <c r="AT259" s="61">
        <f t="shared" si="304"/>
        <v>1490</v>
      </c>
      <c r="AU259" s="61">
        <f t="shared" si="304"/>
        <v>1336</v>
      </c>
      <c r="AV259" s="61">
        <f t="shared" si="304"/>
        <v>1851</v>
      </c>
      <c r="AW259" s="61">
        <f t="shared" si="304"/>
        <v>2577</v>
      </c>
      <c r="AX259" s="61">
        <f t="shared" si="304"/>
        <v>1751</v>
      </c>
      <c r="AY259" s="61">
        <f t="shared" si="304"/>
        <v>1299</v>
      </c>
      <c r="AZ259" s="61">
        <f t="shared" si="304"/>
        <v>1754</v>
      </c>
      <c r="BA259" s="61">
        <f t="shared" si="304"/>
        <v>2342</v>
      </c>
      <c r="BB259" s="61">
        <f t="shared" si="304"/>
        <v>1946</v>
      </c>
      <c r="BC259" s="61">
        <f t="shared" si="304"/>
        <v>1578</v>
      </c>
      <c r="BD259" s="61">
        <f t="shared" si="304"/>
        <v>1820</v>
      </c>
      <c r="BE259" s="61">
        <f t="shared" si="304"/>
        <v>2366</v>
      </c>
      <c r="BF259" s="61">
        <f t="shared" si="304"/>
        <v>1666</v>
      </c>
      <c r="BG259" s="57">
        <f t="shared" ref="BG259:CD259" si="305">+BG256+BG252+BG244</f>
        <v>1262</v>
      </c>
      <c r="BH259" s="57">
        <f t="shared" si="305"/>
        <v>2079</v>
      </c>
      <c r="BI259" s="57">
        <f t="shared" si="305"/>
        <v>2336.3550216844196</v>
      </c>
      <c r="BJ259" s="57">
        <f t="shared" si="305"/>
        <v>1594.4952803792269</v>
      </c>
      <c r="BK259" s="57">
        <f t="shared" si="305"/>
        <v>1226.0266269232941</v>
      </c>
      <c r="BL259" s="57">
        <f t="shared" si="305"/>
        <v>2143.6686568068599</v>
      </c>
      <c r="BM259" s="57">
        <f t="shared" si="305"/>
        <v>2579.7197332492196</v>
      </c>
      <c r="BN259" s="57">
        <f t="shared" si="305"/>
        <v>1619.8099698563003</v>
      </c>
      <c r="BO259" s="57">
        <f t="shared" si="305"/>
        <v>1571.2752608052112</v>
      </c>
      <c r="BP259" s="57">
        <f t="shared" si="305"/>
        <v>2197.463234596351</v>
      </c>
      <c r="BQ259" s="57">
        <f t="shared" si="305"/>
        <v>2461.8636110806406</v>
      </c>
      <c r="BR259" s="57">
        <f t="shared" si="305"/>
        <v>1672.6691413465614</v>
      </c>
      <c r="BS259" s="57">
        <f t="shared" si="305"/>
        <v>1574.3189033927879</v>
      </c>
      <c r="BT259" s="57">
        <f t="shared" si="305"/>
        <v>2224.0261898736399</v>
      </c>
      <c r="BU259" s="57">
        <f t="shared" si="305"/>
        <v>2479.4652049466722</v>
      </c>
      <c r="BV259" s="57">
        <f t="shared" si="305"/>
        <v>1681.18296193997</v>
      </c>
      <c r="BW259" s="57">
        <f t="shared" si="305"/>
        <v>1618.7243102318675</v>
      </c>
      <c r="BX259" s="57">
        <f t="shared" si="305"/>
        <v>2285.4131438673221</v>
      </c>
      <c r="BY259" s="57">
        <f t="shared" si="305"/>
        <v>2561.6247980060061</v>
      </c>
      <c r="BZ259" s="57">
        <f t="shared" si="305"/>
        <v>1743.1935520630486</v>
      </c>
      <c r="CA259" s="57">
        <f t="shared" si="305"/>
        <v>1665.9196817712896</v>
      </c>
      <c r="CB259" s="57">
        <f t="shared" si="305"/>
        <v>2350.3160915756885</v>
      </c>
      <c r="CC259" s="57">
        <f t="shared" si="305"/>
        <v>2648.2699754833066</v>
      </c>
      <c r="CD259" s="57">
        <f t="shared" si="305"/>
        <v>1808.7877133472807</v>
      </c>
      <c r="CE259"/>
      <c r="CG259" s="46"/>
      <c r="CH259" s="46"/>
      <c r="CI259" s="46"/>
      <c r="CJ259" s="46">
        <f t="shared" ref="CJ259:CX259" si="306">+SUMIFS($S259:$CD259,$S$5:$CD$5,"&lt;="&amp;CJ$5,$S$5:$CD$5,"&gt;"&amp;CI$5)</f>
        <v>4319</v>
      </c>
      <c r="CK259" s="46">
        <f t="shared" si="306"/>
        <v>4566</v>
      </c>
      <c r="CL259" s="46">
        <f t="shared" si="306"/>
        <v>4942</v>
      </c>
      <c r="CM259" s="46">
        <f t="shared" si="306"/>
        <v>5180</v>
      </c>
      <c r="CN259" s="46">
        <f t="shared" si="306"/>
        <v>5132</v>
      </c>
      <c r="CO259" s="46">
        <f t="shared" si="306"/>
        <v>5372</v>
      </c>
      <c r="CP259" s="46">
        <f t="shared" si="306"/>
        <v>6190</v>
      </c>
      <c r="CQ259" s="46">
        <f t="shared" si="306"/>
        <v>7515</v>
      </c>
      <c r="CR259" s="46">
        <f t="shared" si="306"/>
        <v>7341</v>
      </c>
      <c r="CS259" s="46">
        <f t="shared" si="306"/>
        <v>7430</v>
      </c>
      <c r="CT259" s="47">
        <f t="shared" si="306"/>
        <v>7271.8503020636463</v>
      </c>
      <c r="CU259" s="47">
        <f t="shared" si="306"/>
        <v>7569.2249868356739</v>
      </c>
      <c r="CV259" s="47">
        <f t="shared" si="306"/>
        <v>7903.2712478287649</v>
      </c>
      <c r="CW259" s="47">
        <f t="shared" si="306"/>
        <v>7958.9932601530709</v>
      </c>
      <c r="CX259" s="47">
        <f t="shared" si="306"/>
        <v>8208.9558041682449</v>
      </c>
    </row>
    <row r="260" spans="2:102" ht="15" customHeight="1" x14ac:dyDescent="0.25">
      <c r="B260" s="37" t="s">
        <v>170</v>
      </c>
      <c r="C260" s="37"/>
      <c r="D260" s="37"/>
      <c r="E260" s="37"/>
      <c r="F260" s="37"/>
      <c r="G260" s="37"/>
      <c r="H260" s="37"/>
      <c r="I260" s="37"/>
      <c r="J260" s="37"/>
      <c r="K260" s="37"/>
      <c r="L260" s="37"/>
      <c r="M260" s="37"/>
      <c r="N260" s="37"/>
      <c r="O260" s="37"/>
      <c r="P260" s="37"/>
      <c r="Q260" s="37"/>
      <c r="R260" s="37"/>
      <c r="S260" s="82"/>
      <c r="T260" s="82"/>
      <c r="U260" s="82"/>
      <c r="V260" s="82"/>
      <c r="W260" s="82">
        <f t="shared" ref="W260:BB260" si="307">+IFERROR(W259/S259-1,"")</f>
        <v>-0.10580645161290325</v>
      </c>
      <c r="X260" s="82">
        <f t="shared" si="307"/>
        <v>-6.0655737704918056E-2</v>
      </c>
      <c r="Y260" s="82">
        <f t="shared" si="307"/>
        <v>0.26260504201680668</v>
      </c>
      <c r="Z260" s="82">
        <f t="shared" si="307"/>
        <v>3.125E-2</v>
      </c>
      <c r="AA260" s="82">
        <f t="shared" si="307"/>
        <v>-1.5873015873015928E-2</v>
      </c>
      <c r="AB260" s="82">
        <f t="shared" si="307"/>
        <v>-4.1884816753926746E-2</v>
      </c>
      <c r="AC260" s="82">
        <f t="shared" si="307"/>
        <v>0.14808652246256249</v>
      </c>
      <c r="AD260" s="82">
        <f t="shared" si="307"/>
        <v>0.18181818181818188</v>
      </c>
      <c r="AE260" s="82">
        <f t="shared" si="307"/>
        <v>0.13636363636363646</v>
      </c>
      <c r="AF260" s="82">
        <f t="shared" si="307"/>
        <v>7.3770491803278659E-2</v>
      </c>
      <c r="AG260" s="82">
        <f t="shared" si="307"/>
        <v>-4.7826086956521685E-2</v>
      </c>
      <c r="AH260" s="82">
        <f t="shared" si="307"/>
        <v>0.14926739926739918</v>
      </c>
      <c r="AI260" s="82">
        <f t="shared" si="307"/>
        <v>2.9677419354838808E-2</v>
      </c>
      <c r="AJ260" s="82">
        <f t="shared" si="307"/>
        <v>7.3791348600508844E-2</v>
      </c>
      <c r="AK260" s="82">
        <f t="shared" si="307"/>
        <v>-0.15930999492643327</v>
      </c>
      <c r="AL260" s="82">
        <f t="shared" si="307"/>
        <v>0.12430278884462154</v>
      </c>
      <c r="AM260" s="82">
        <f t="shared" si="307"/>
        <v>-2.0050125313283207E-2</v>
      </c>
      <c r="AN260" s="82">
        <f t="shared" si="307"/>
        <v>3.712480252764605E-2</v>
      </c>
      <c r="AO260" s="82">
        <f t="shared" si="307"/>
        <v>0.21967410983705493</v>
      </c>
      <c r="AP260" s="82">
        <f t="shared" si="307"/>
        <v>-0.10985116938341599</v>
      </c>
      <c r="AQ260" s="82">
        <f t="shared" si="307"/>
        <v>0.77749360613810747</v>
      </c>
      <c r="AR260" s="82">
        <f t="shared" si="307"/>
        <v>-0.30693069306930698</v>
      </c>
      <c r="AS260" s="82">
        <f t="shared" si="307"/>
        <v>0.18753092528451254</v>
      </c>
      <c r="AT260" s="82">
        <f t="shared" si="307"/>
        <v>0.18630573248407645</v>
      </c>
      <c r="AU260" s="82">
        <f t="shared" si="307"/>
        <v>-3.8848920863309377E-2</v>
      </c>
      <c r="AV260" s="82">
        <f t="shared" si="307"/>
        <v>1.0340659340659339</v>
      </c>
      <c r="AW260" s="82">
        <f t="shared" si="307"/>
        <v>7.3749999999999982E-2</v>
      </c>
      <c r="AX260" s="82">
        <f t="shared" si="307"/>
        <v>0.1751677852348994</v>
      </c>
      <c r="AY260" s="82">
        <f t="shared" si="307"/>
        <v>-2.7694610778443152E-2</v>
      </c>
      <c r="AZ260" s="82">
        <f t="shared" si="307"/>
        <v>-5.2404105888708807E-2</v>
      </c>
      <c r="BA260" s="82">
        <f t="shared" si="307"/>
        <v>-9.1191307722157555E-2</v>
      </c>
      <c r="BB260" s="82">
        <f t="shared" si="307"/>
        <v>0.1113649343232439</v>
      </c>
      <c r="BC260" s="82">
        <f>+IFERROR(BC259/AY259-1,"")</f>
        <v>0.21478060046189373</v>
      </c>
      <c r="BD260" s="82">
        <f t="shared" ref="BD260:BV260" si="308">+IFERROR(BD259/AZ259-1,"")</f>
        <v>3.7628278221208733E-2</v>
      </c>
      <c r="BE260" s="82">
        <f t="shared" si="308"/>
        <v>1.0247651579846195E-2</v>
      </c>
      <c r="BF260" s="82">
        <f t="shared" si="308"/>
        <v>-0.14388489208633093</v>
      </c>
      <c r="BG260" s="82">
        <f>+IFERROR(BG259/BC259-1,"")</f>
        <v>-0.2002534854245881</v>
      </c>
      <c r="BH260" s="82">
        <f t="shared" si="308"/>
        <v>0.14230769230769225</v>
      </c>
      <c r="BI260" s="82">
        <f t="shared" si="308"/>
        <v>-1.2529576633804052E-2</v>
      </c>
      <c r="BJ260" s="82">
        <f t="shared" si="308"/>
        <v>-4.2919999772372819E-2</v>
      </c>
      <c r="BK260" s="82">
        <f t="shared" si="308"/>
        <v>-2.8505049981541908E-2</v>
      </c>
      <c r="BL260" s="82">
        <f t="shared" si="308"/>
        <v>3.1105655029754598E-2</v>
      </c>
      <c r="BM260" s="82">
        <f t="shared" si="308"/>
        <v>0.10416426840358528</v>
      </c>
      <c r="BN260" s="82">
        <f t="shared" si="308"/>
        <v>1.5876302544497234E-2</v>
      </c>
      <c r="BO260" s="82">
        <f t="shared" si="308"/>
        <v>0.2815996213298535</v>
      </c>
      <c r="BP260" s="82">
        <f t="shared" si="308"/>
        <v>2.5094632800958028E-2</v>
      </c>
      <c r="BQ260" s="82">
        <f t="shared" si="308"/>
        <v>-4.5685630361146368E-2</v>
      </c>
      <c r="BR260" s="82">
        <f t="shared" si="308"/>
        <v>3.2632946131915919E-2</v>
      </c>
      <c r="BS260" s="82">
        <f t="shared" si="308"/>
        <v>1.9370524461874705E-3</v>
      </c>
      <c r="BT260" s="82">
        <f t="shared" si="308"/>
        <v>1.2088008963739627E-2</v>
      </c>
      <c r="BU260" s="82">
        <f t="shared" si="308"/>
        <v>7.1497030894840385E-3</v>
      </c>
      <c r="BV260" s="82">
        <f t="shared" si="308"/>
        <v>5.0899609390502309E-3</v>
      </c>
      <c r="BW260" s="82">
        <f t="shared" ref="BW260:CD260" si="309">+IFERROR(BW259/BO259-1,"")</f>
        <v>3.019779577153181E-2</v>
      </c>
      <c r="BX260" s="82">
        <f t="shared" si="309"/>
        <v>4.0023381454719287E-2</v>
      </c>
      <c r="BY260" s="82">
        <f t="shared" si="309"/>
        <v>4.0522629473196181E-2</v>
      </c>
      <c r="BZ260" s="82">
        <f t="shared" si="309"/>
        <v>4.2162797754319969E-2</v>
      </c>
      <c r="CA260" s="82">
        <f t="shared" si="309"/>
        <v>5.8184385756338441E-2</v>
      </c>
      <c r="CB260" s="82">
        <f t="shared" si="309"/>
        <v>5.6784359049847355E-2</v>
      </c>
      <c r="CC260" s="82">
        <f t="shared" si="309"/>
        <v>6.8081120961027919E-2</v>
      </c>
      <c r="CD260" s="82">
        <f t="shared" si="309"/>
        <v>7.5901763398829258E-2</v>
      </c>
      <c r="CG260" s="82"/>
      <c r="CH260" s="82"/>
      <c r="CI260" s="82"/>
      <c r="CJ260" s="82" t="str">
        <f t="shared" ref="CJ260:CX260" si="310">+IFERROR(CJ259/CI259-1,"")</f>
        <v/>
      </c>
      <c r="CK260" s="82">
        <f t="shared" si="310"/>
        <v>5.7189164158369943E-2</v>
      </c>
      <c r="CL260" s="82">
        <f t="shared" si="310"/>
        <v>8.2347787998247934E-2</v>
      </c>
      <c r="CM260" s="82">
        <f t="shared" si="310"/>
        <v>4.8158640226628968E-2</v>
      </c>
      <c r="CN260" s="82">
        <f t="shared" si="310"/>
        <v>-9.2664092664093145E-3</v>
      </c>
      <c r="CO260" s="82">
        <f t="shared" si="310"/>
        <v>4.6765393608729555E-2</v>
      </c>
      <c r="CP260" s="82">
        <f t="shared" si="310"/>
        <v>0.15227103499627703</v>
      </c>
      <c r="CQ260" s="82">
        <f>+IFERROR(CQ259/CP259-1,"")</f>
        <v>0.21405492730210018</v>
      </c>
      <c r="CR260" s="82">
        <f>+IFERROR(CR259/CQ259-1,"")</f>
        <v>-2.3153692614770405E-2</v>
      </c>
      <c r="CS260" s="82">
        <f t="shared" si="310"/>
        <v>1.2123688870726124E-2</v>
      </c>
      <c r="CT260" s="108">
        <f t="shared" si="310"/>
        <v>-2.128528908968419E-2</v>
      </c>
      <c r="CU260" s="108">
        <f t="shared" si="310"/>
        <v>4.0893950290428416E-2</v>
      </c>
      <c r="CV260" s="108">
        <f t="shared" si="310"/>
        <v>4.4132161690802141E-2</v>
      </c>
      <c r="CW260" s="108">
        <f t="shared" si="310"/>
        <v>7.050499796475318E-3</v>
      </c>
      <c r="CX260" s="108">
        <f t="shared" si="310"/>
        <v>3.140630175761272E-2</v>
      </c>
    </row>
    <row r="261" spans="2:102" ht="15" customHeight="1" x14ac:dyDescent="0.25">
      <c r="B261" s="37" t="s">
        <v>228</v>
      </c>
      <c r="C261" s="37"/>
      <c r="D261" s="37"/>
      <c r="E261" s="37"/>
      <c r="F261" s="37"/>
      <c r="G261" s="37"/>
      <c r="H261" s="37"/>
      <c r="I261" s="37"/>
      <c r="J261" s="37"/>
      <c r="K261" s="37"/>
      <c r="L261" s="37"/>
      <c r="M261" s="37"/>
      <c r="N261" s="37"/>
      <c r="O261" s="37"/>
      <c r="P261" s="37"/>
      <c r="Q261" s="37"/>
      <c r="R261" s="37"/>
      <c r="W261" s="24">
        <f t="shared" ref="W261:BB261" si="311">+W259-S259</f>
        <v>-82</v>
      </c>
      <c r="X261" s="24">
        <f t="shared" si="311"/>
        <v>-74</v>
      </c>
      <c r="Y261" s="24">
        <f t="shared" si="311"/>
        <v>375</v>
      </c>
      <c r="Z261" s="24">
        <f t="shared" si="311"/>
        <v>28</v>
      </c>
      <c r="AA261" s="24">
        <f t="shared" si="311"/>
        <v>-11</v>
      </c>
      <c r="AB261" s="24">
        <f t="shared" si="311"/>
        <v>-48</v>
      </c>
      <c r="AC261" s="24">
        <f t="shared" si="311"/>
        <v>267</v>
      </c>
      <c r="AD261" s="24">
        <f t="shared" si="311"/>
        <v>168</v>
      </c>
      <c r="AE261" s="24">
        <f t="shared" si="311"/>
        <v>93</v>
      </c>
      <c r="AF261" s="24">
        <f t="shared" si="311"/>
        <v>81</v>
      </c>
      <c r="AG261" s="24">
        <f t="shared" si="311"/>
        <v>-99</v>
      </c>
      <c r="AH261" s="24">
        <f t="shared" si="311"/>
        <v>163</v>
      </c>
      <c r="AI261" s="24">
        <f t="shared" si="311"/>
        <v>23</v>
      </c>
      <c r="AJ261" s="24">
        <f t="shared" si="311"/>
        <v>87</v>
      </c>
      <c r="AK261" s="24">
        <f t="shared" si="311"/>
        <v>-314</v>
      </c>
      <c r="AL261" s="24">
        <f t="shared" si="311"/>
        <v>156</v>
      </c>
      <c r="AM261" s="24">
        <f t="shared" si="311"/>
        <v>-16</v>
      </c>
      <c r="AN261" s="24">
        <f t="shared" si="311"/>
        <v>47</v>
      </c>
      <c r="AO261" s="24">
        <f t="shared" si="311"/>
        <v>364</v>
      </c>
      <c r="AP261" s="24">
        <f t="shared" si="311"/>
        <v>-155</v>
      </c>
      <c r="AQ261" s="24">
        <f t="shared" si="311"/>
        <v>608</v>
      </c>
      <c r="AR261" s="24">
        <f t="shared" si="311"/>
        <v>-403</v>
      </c>
      <c r="AS261" s="24">
        <f t="shared" si="311"/>
        <v>379</v>
      </c>
      <c r="AT261" s="24">
        <f t="shared" si="311"/>
        <v>234</v>
      </c>
      <c r="AU261" s="24">
        <f t="shared" si="311"/>
        <v>-54</v>
      </c>
      <c r="AV261" s="24">
        <f t="shared" si="311"/>
        <v>941</v>
      </c>
      <c r="AW261" s="24">
        <f t="shared" si="311"/>
        <v>177</v>
      </c>
      <c r="AX261" s="24">
        <f t="shared" si="311"/>
        <v>261</v>
      </c>
      <c r="AY261" s="24">
        <f t="shared" si="311"/>
        <v>-37</v>
      </c>
      <c r="AZ261" s="24">
        <f t="shared" si="311"/>
        <v>-97</v>
      </c>
      <c r="BA261" s="24">
        <f t="shared" si="311"/>
        <v>-235</v>
      </c>
      <c r="BB261" s="24">
        <f t="shared" si="311"/>
        <v>195</v>
      </c>
      <c r="BC261" s="24">
        <f>+BC259-AY259</f>
        <v>279</v>
      </c>
      <c r="BD261" s="24">
        <f t="shared" ref="BD261:BV261" si="312">+BD259-AZ259</f>
        <v>66</v>
      </c>
      <c r="BE261" s="24">
        <f t="shared" si="312"/>
        <v>24</v>
      </c>
      <c r="BF261" s="24">
        <f t="shared" si="312"/>
        <v>-280</v>
      </c>
      <c r="BG261" s="24">
        <f>+BG259-BC259</f>
        <v>-316</v>
      </c>
      <c r="BH261" s="24">
        <f t="shared" si="312"/>
        <v>259</v>
      </c>
      <c r="BI261" s="24">
        <f t="shared" si="312"/>
        <v>-29.644978315580374</v>
      </c>
      <c r="BJ261" s="24">
        <f t="shared" si="312"/>
        <v>-71.50471962077313</v>
      </c>
      <c r="BK261" s="24">
        <f t="shared" si="312"/>
        <v>-35.973373076705911</v>
      </c>
      <c r="BL261" s="24">
        <f t="shared" si="312"/>
        <v>64.668656806859872</v>
      </c>
      <c r="BM261" s="24">
        <f t="shared" si="312"/>
        <v>243.36471156480002</v>
      </c>
      <c r="BN261" s="24">
        <f t="shared" si="312"/>
        <v>25.314689477073443</v>
      </c>
      <c r="BO261" s="24">
        <f t="shared" si="312"/>
        <v>345.24863388191716</v>
      </c>
      <c r="BP261" s="24">
        <f t="shared" si="312"/>
        <v>53.794577789491086</v>
      </c>
      <c r="BQ261" s="24">
        <f t="shared" si="312"/>
        <v>-117.85612216857908</v>
      </c>
      <c r="BR261" s="24">
        <f t="shared" si="312"/>
        <v>52.859171490261133</v>
      </c>
      <c r="BS261" s="24">
        <f t="shared" si="312"/>
        <v>3.0436425875766417</v>
      </c>
      <c r="BT261" s="24">
        <f t="shared" si="312"/>
        <v>26.562955277288893</v>
      </c>
      <c r="BU261" s="24">
        <f t="shared" si="312"/>
        <v>17.601593866031635</v>
      </c>
      <c r="BV261" s="24">
        <f t="shared" si="312"/>
        <v>8.5138205934085818</v>
      </c>
      <c r="BW261" s="24">
        <f t="shared" ref="BW261:CD261" si="313">+BW259-BO259</f>
        <v>47.449049426656302</v>
      </c>
      <c r="BX261" s="24">
        <f t="shared" si="313"/>
        <v>87.949909270971148</v>
      </c>
      <c r="BY261" s="24">
        <f t="shared" si="313"/>
        <v>99.761186925365564</v>
      </c>
      <c r="BZ261" s="24">
        <f t="shared" si="313"/>
        <v>70.524410716487182</v>
      </c>
      <c r="CA261" s="24">
        <f t="shared" si="313"/>
        <v>91.600778378501673</v>
      </c>
      <c r="CB261" s="24">
        <f t="shared" si="313"/>
        <v>126.28990170204861</v>
      </c>
      <c r="CC261" s="24">
        <f t="shared" si="313"/>
        <v>168.80477053663435</v>
      </c>
      <c r="CD261" s="24">
        <f t="shared" si="313"/>
        <v>127.60475140731069</v>
      </c>
      <c r="CG261" s="24"/>
      <c r="CH261" s="24"/>
      <c r="CI261" s="24"/>
      <c r="CJ261" s="24">
        <f t="shared" ref="CJ261:CX261" si="314">+CJ259-CI259</f>
        <v>4319</v>
      </c>
      <c r="CK261" s="24">
        <f t="shared" si="314"/>
        <v>247</v>
      </c>
      <c r="CL261" s="24">
        <f t="shared" si="314"/>
        <v>376</v>
      </c>
      <c r="CM261" s="24">
        <f t="shared" si="314"/>
        <v>238</v>
      </c>
      <c r="CN261" s="24">
        <f t="shared" si="314"/>
        <v>-48</v>
      </c>
      <c r="CO261" s="24">
        <f t="shared" si="314"/>
        <v>240</v>
      </c>
      <c r="CP261" s="24">
        <f t="shared" si="314"/>
        <v>818</v>
      </c>
      <c r="CQ261" s="24">
        <f>+CQ259-CP259</f>
        <v>1325</v>
      </c>
      <c r="CR261" s="24">
        <f>+CR259-CQ259</f>
        <v>-174</v>
      </c>
      <c r="CS261" s="24">
        <f t="shared" si="314"/>
        <v>89</v>
      </c>
      <c r="CT261" s="24">
        <f t="shared" si="314"/>
        <v>-158.14969793635373</v>
      </c>
      <c r="CU261" s="24">
        <f t="shared" si="314"/>
        <v>297.37468477202765</v>
      </c>
      <c r="CV261" s="24">
        <f t="shared" si="314"/>
        <v>334.04626099309098</v>
      </c>
      <c r="CW261" s="24">
        <f t="shared" si="314"/>
        <v>55.722012324305979</v>
      </c>
      <c r="CX261" s="24">
        <f t="shared" si="314"/>
        <v>249.96254401517399</v>
      </c>
    </row>
    <row r="262" spans="2:102" ht="15" customHeight="1" x14ac:dyDescent="0.25">
      <c r="B262" s="37" t="s">
        <v>218</v>
      </c>
      <c r="C262" s="37"/>
      <c r="D262" s="37"/>
      <c r="E262" s="37"/>
      <c r="F262" s="37"/>
      <c r="G262" s="37"/>
      <c r="H262" s="37"/>
      <c r="I262" s="37"/>
      <c r="J262" s="37"/>
      <c r="K262" s="37"/>
      <c r="L262" s="37"/>
      <c r="M262" s="37"/>
      <c r="N262" s="37"/>
      <c r="O262" s="37"/>
      <c r="P262" s="37"/>
      <c r="Q262" s="37"/>
      <c r="R262" s="37"/>
      <c r="T262" s="82">
        <f t="shared" ref="T262:BV262" si="315">+IFERROR(T259/S259-1,"")</f>
        <v>0.5741935483870968</v>
      </c>
      <c r="U262" s="82">
        <f t="shared" si="315"/>
        <v>0.17049180327868863</v>
      </c>
      <c r="V262" s="82">
        <f t="shared" si="315"/>
        <v>-0.37254901960784315</v>
      </c>
      <c r="W262" s="82">
        <f t="shared" si="315"/>
        <v>-0.2265625</v>
      </c>
      <c r="X262" s="82">
        <f t="shared" si="315"/>
        <v>0.65367965367965364</v>
      </c>
      <c r="Y262" s="82">
        <f t="shared" si="315"/>
        <v>0.57329842931937169</v>
      </c>
      <c r="Z262" s="82">
        <f t="shared" si="315"/>
        <v>-0.4875207986688852</v>
      </c>
      <c r="AA262" s="82">
        <f t="shared" si="315"/>
        <v>-0.26190476190476186</v>
      </c>
      <c r="AB262" s="82">
        <f t="shared" si="315"/>
        <v>0.60997067448680342</v>
      </c>
      <c r="AC262" s="82">
        <f t="shared" si="315"/>
        <v>0.88524590163934436</v>
      </c>
      <c r="AD262" s="82">
        <f t="shared" si="315"/>
        <v>-0.47246376811594204</v>
      </c>
      <c r="AE262" s="82">
        <f t="shared" si="315"/>
        <v>-0.29029304029304026</v>
      </c>
      <c r="AF262" s="82">
        <f t="shared" si="315"/>
        <v>0.52129032258064512</v>
      </c>
      <c r="AG262" s="82">
        <f t="shared" si="315"/>
        <v>0.6717557251908397</v>
      </c>
      <c r="AH262" s="82">
        <f t="shared" si="315"/>
        <v>-0.36326737696600708</v>
      </c>
      <c r="AI262" s="82">
        <f t="shared" si="315"/>
        <v>-0.36414342629482077</v>
      </c>
      <c r="AJ262" s="82">
        <f t="shared" si="315"/>
        <v>0.58646616541353391</v>
      </c>
      <c r="AK262" s="82">
        <f t="shared" si="315"/>
        <v>0.30884676145339651</v>
      </c>
      <c r="AL262" s="82">
        <f t="shared" si="315"/>
        <v>-0.14846107423053712</v>
      </c>
      <c r="AM262" s="82">
        <f t="shared" si="315"/>
        <v>-0.44578313253012047</v>
      </c>
      <c r="AN262" s="82">
        <f t="shared" si="315"/>
        <v>0.67902813299232734</v>
      </c>
      <c r="AO262" s="82">
        <f t="shared" si="315"/>
        <v>0.53922315308453928</v>
      </c>
      <c r="AP262" s="82">
        <f t="shared" si="315"/>
        <v>-0.3785254824344384</v>
      </c>
      <c r="AQ262" s="82">
        <f t="shared" si="315"/>
        <v>0.1066878980891719</v>
      </c>
      <c r="AR262" s="82">
        <f t="shared" si="315"/>
        <v>-0.34532374100719421</v>
      </c>
      <c r="AS262" s="82">
        <f t="shared" si="315"/>
        <v>1.6373626373626373</v>
      </c>
      <c r="AT262" s="82">
        <f t="shared" si="315"/>
        <v>-0.37916666666666665</v>
      </c>
      <c r="AU262" s="82">
        <f t="shared" si="315"/>
        <v>-0.10335570469798661</v>
      </c>
      <c r="AV262" s="82">
        <f t="shared" si="315"/>
        <v>0.38547904191616778</v>
      </c>
      <c r="AW262" s="82">
        <f t="shared" si="315"/>
        <v>0.39222042139384117</v>
      </c>
      <c r="AX262" s="82">
        <f t="shared" si="315"/>
        <v>-0.32052774544043461</v>
      </c>
      <c r="AY262" s="82">
        <f t="shared" si="315"/>
        <v>-0.25813820673900634</v>
      </c>
      <c r="AZ262" s="82">
        <f t="shared" si="315"/>
        <v>0.35026943802925325</v>
      </c>
      <c r="BA262" s="82">
        <f t="shared" si="315"/>
        <v>0.33523375142531364</v>
      </c>
      <c r="BB262" s="82">
        <f t="shared" si="315"/>
        <v>-0.16908625106746367</v>
      </c>
      <c r="BC262" s="82">
        <f>+IFERROR(BC259/BB259-1,"")</f>
        <v>-0.18910585817060632</v>
      </c>
      <c r="BD262" s="82">
        <f>+IFERROR(BD259/BC259-1,"")</f>
        <v>0.15335868187579216</v>
      </c>
      <c r="BE262" s="82">
        <f t="shared" si="315"/>
        <v>0.30000000000000004</v>
      </c>
      <c r="BF262" s="82">
        <f t="shared" si="315"/>
        <v>-0.29585798816568043</v>
      </c>
      <c r="BG262" s="82">
        <f t="shared" si="315"/>
        <v>-0.2424969987995198</v>
      </c>
      <c r="BH262" s="82">
        <f t="shared" si="315"/>
        <v>0.64738510301109353</v>
      </c>
      <c r="BI262" s="82">
        <f t="shared" si="315"/>
        <v>0.12378788921809503</v>
      </c>
      <c r="BJ262" s="82">
        <f t="shared" si="315"/>
        <v>-0.31752868653084287</v>
      </c>
      <c r="BK262" s="82">
        <f t="shared" si="315"/>
        <v>-0.23108795490965517</v>
      </c>
      <c r="BL262" s="82">
        <f t="shared" si="315"/>
        <v>0.74846827118786363</v>
      </c>
      <c r="BM262" s="82">
        <f t="shared" si="315"/>
        <v>0.20341346833511453</v>
      </c>
      <c r="BN262" s="82">
        <f t="shared" si="315"/>
        <v>-0.37209846907822408</v>
      </c>
      <c r="BO262" s="82">
        <f t="shared" si="315"/>
        <v>-2.9963211706490966E-2</v>
      </c>
      <c r="BP262" s="82">
        <f t="shared" si="315"/>
        <v>0.39852213638891332</v>
      </c>
      <c r="BQ262" s="82">
        <f t="shared" si="315"/>
        <v>0.12032072815673622</v>
      </c>
      <c r="BR262" s="82">
        <f t="shared" si="315"/>
        <v>-0.32056790887276665</v>
      </c>
      <c r="BS262" s="82">
        <f t="shared" si="315"/>
        <v>-5.8798381295297797E-2</v>
      </c>
      <c r="BT262" s="82">
        <f t="shared" si="315"/>
        <v>0.41269102789827317</v>
      </c>
      <c r="BU262" s="82">
        <f t="shared" si="315"/>
        <v>0.11485431971803584</v>
      </c>
      <c r="BV262" s="82">
        <f t="shared" si="315"/>
        <v>-0.32195742913192904</v>
      </c>
      <c r="BW262" s="82">
        <f>+IFERROR(BW259/BR259-1,"")</f>
        <v>-3.2250748089527326E-2</v>
      </c>
      <c r="BX262" s="82">
        <f t="shared" ref="BX262:BZ262" si="316">+IFERROR(BX259/BW259-1,"")</f>
        <v>0.41186064200145212</v>
      </c>
      <c r="BY262" s="82">
        <f t="shared" si="316"/>
        <v>0.1208585217425</v>
      </c>
      <c r="BZ262" s="82">
        <f t="shared" si="316"/>
        <v>-0.31949692499074511</v>
      </c>
      <c r="CA262" s="82">
        <f>+IFERROR(CA259/BV259-1,"")</f>
        <v>-9.0788929665738261E-3</v>
      </c>
      <c r="CB262" s="82">
        <f t="shared" ref="CB262:CD262" si="317">+IFERROR(CB259/CA259-1,"")</f>
        <v>0.41082197256755748</v>
      </c>
      <c r="CC262" s="82">
        <f t="shared" si="317"/>
        <v>0.12677183506320011</v>
      </c>
      <c r="CD262" s="82">
        <f t="shared" si="317"/>
        <v>-0.31699270463647544</v>
      </c>
      <c r="CG262" s="82"/>
      <c r="CH262" s="82"/>
      <c r="CI262" s="82"/>
      <c r="CJ262" s="82"/>
      <c r="CK262" s="82"/>
      <c r="CL262" s="82"/>
      <c r="CM262" s="82"/>
      <c r="CN262" s="82"/>
      <c r="CO262" s="82"/>
      <c r="CP262" s="82"/>
      <c r="CQ262" s="82"/>
      <c r="CR262" s="82"/>
      <c r="CS262" s="82"/>
      <c r="CT262" s="108"/>
      <c r="CU262" s="108"/>
      <c r="CV262" s="108"/>
      <c r="CW262" s="108"/>
      <c r="CX262" s="108"/>
    </row>
    <row r="263" spans="2:102" ht="15" customHeight="1" x14ac:dyDescent="0.25">
      <c r="B263" s="37"/>
      <c r="C263" s="37"/>
      <c r="D263" s="37"/>
      <c r="E263" s="37"/>
      <c r="F263" s="37"/>
      <c r="G263" s="37"/>
      <c r="H263" s="37"/>
      <c r="I263" s="37"/>
      <c r="J263" s="37"/>
      <c r="K263" s="37"/>
      <c r="L263" s="37"/>
      <c r="M263" s="37"/>
      <c r="N263" s="37"/>
      <c r="O263" s="37"/>
      <c r="P263" s="37"/>
      <c r="Q263" s="37"/>
      <c r="R263" s="37"/>
      <c r="T263" s="82"/>
      <c r="U263" s="82"/>
      <c r="V263" s="82"/>
      <c r="W263" s="82"/>
      <c r="X263" s="82"/>
      <c r="Y263" s="82"/>
      <c r="Z263" s="82"/>
      <c r="AA263" s="82"/>
      <c r="AB263" s="82"/>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2"/>
      <c r="BK263" s="82"/>
      <c r="BL263" s="82"/>
      <c r="BM263" s="82"/>
      <c r="BN263" s="82"/>
      <c r="BO263" s="82"/>
      <c r="BP263" s="82"/>
      <c r="BQ263" s="82"/>
      <c r="BR263" s="82"/>
      <c r="BS263" s="82"/>
      <c r="BT263" s="82"/>
      <c r="BU263" s="82"/>
      <c r="BV263" s="82"/>
      <c r="BW263" s="82"/>
      <c r="BX263" s="82"/>
      <c r="BY263" s="82"/>
      <c r="BZ263" s="82"/>
      <c r="CA263" s="82"/>
      <c r="CB263" s="82"/>
      <c r="CC263" s="82"/>
      <c r="CD263" s="82"/>
      <c r="CG263" s="82"/>
      <c r="CH263" s="82"/>
      <c r="CI263" s="82"/>
      <c r="CJ263" s="82"/>
      <c r="CK263" s="82"/>
      <c r="CL263" s="82"/>
      <c r="CM263" s="82"/>
      <c r="CN263" s="82"/>
      <c r="CO263" s="82"/>
      <c r="CP263" s="82"/>
      <c r="CQ263" s="82"/>
      <c r="CR263" s="82"/>
      <c r="CS263" s="82"/>
      <c r="CT263" s="108"/>
      <c r="CU263" s="108"/>
      <c r="CV263" s="108"/>
      <c r="CW263" s="108"/>
      <c r="CX263" s="108"/>
    </row>
    <row r="264" spans="2:102" s="138" customFormat="1" ht="15" customHeight="1" x14ac:dyDescent="0.25">
      <c r="B264" s="139" t="s">
        <v>229</v>
      </c>
      <c r="C264" s="140"/>
      <c r="D264" s="140"/>
      <c r="E264" s="140"/>
      <c r="F264" s="140"/>
      <c r="G264" s="140"/>
      <c r="H264" s="140"/>
      <c r="I264" s="140"/>
      <c r="J264" s="140"/>
      <c r="K264" s="140"/>
      <c r="L264" s="140"/>
      <c r="M264" s="140"/>
      <c r="N264" s="140"/>
      <c r="O264" s="140"/>
      <c r="P264" s="140"/>
      <c r="Q264" s="140"/>
      <c r="R264" s="140"/>
      <c r="T264" s="141"/>
      <c r="U264" s="141"/>
      <c r="V264" s="141"/>
      <c r="W264" s="141"/>
      <c r="X264" s="141"/>
      <c r="Y264" s="141"/>
      <c r="Z264" s="141"/>
      <c r="AA264" s="141"/>
      <c r="AB264" s="141"/>
      <c r="AC264" s="141"/>
      <c r="AD264" s="141"/>
      <c r="AE264" s="141"/>
      <c r="AF264" s="141"/>
      <c r="AG264" s="141"/>
      <c r="AH264" s="141"/>
      <c r="AI264" s="141"/>
      <c r="AJ264" s="141"/>
      <c r="AK264" s="141"/>
      <c r="AL264" s="141"/>
      <c r="AM264" s="141"/>
      <c r="AN264" s="141"/>
      <c r="AO264" s="141"/>
      <c r="AP264" s="141"/>
      <c r="AQ264" s="141"/>
      <c r="AR264" s="141"/>
      <c r="AS264" s="141"/>
      <c r="AT264" s="141"/>
      <c r="AU264" s="141"/>
      <c r="AV264" s="141"/>
      <c r="AW264" s="141"/>
      <c r="AX264" s="141"/>
      <c r="AY264" s="141"/>
      <c r="AZ264" s="141"/>
      <c r="BA264" s="141"/>
      <c r="BB264" s="141"/>
      <c r="BC264" s="142"/>
      <c r="BD264" s="142"/>
      <c r="BE264" s="142"/>
      <c r="BF264" s="142"/>
      <c r="BG264" s="142"/>
      <c r="BH264" s="142" t="e">
        <f t="shared" ref="BH264:CD264" si="318">+BH534</f>
        <v>#NAME?</v>
      </c>
      <c r="BI264" s="142" t="e">
        <f>+BI534</f>
        <v>#NAME?</v>
      </c>
      <c r="BJ264" s="142" t="e">
        <f t="shared" si="318"/>
        <v>#NAME?</v>
      </c>
      <c r="BK264" s="142" t="e">
        <f t="shared" si="318"/>
        <v>#NAME?</v>
      </c>
      <c r="BL264" s="142" t="e">
        <f t="shared" si="318"/>
        <v>#NAME?</v>
      </c>
      <c r="BM264" s="142" t="e">
        <f t="shared" si="318"/>
        <v>#NAME?</v>
      </c>
      <c r="BN264" s="142" t="e">
        <f t="shared" si="318"/>
        <v>#NAME?</v>
      </c>
      <c r="BO264" s="142" t="e">
        <f t="shared" si="318"/>
        <v>#NAME?</v>
      </c>
      <c r="BP264" s="142" t="e">
        <f t="shared" si="318"/>
        <v>#NAME?</v>
      </c>
      <c r="BQ264" s="142" t="e">
        <f t="shared" si="318"/>
        <v>#NAME?</v>
      </c>
      <c r="BR264" s="142" t="e">
        <f t="shared" si="318"/>
        <v>#NAME?</v>
      </c>
      <c r="BS264" s="142" t="e">
        <f t="shared" si="318"/>
        <v>#NAME?</v>
      </c>
      <c r="BT264" s="142" t="e">
        <f t="shared" si="318"/>
        <v>#NAME?</v>
      </c>
      <c r="BU264" s="142" t="e">
        <f t="shared" si="318"/>
        <v>#NAME?</v>
      </c>
      <c r="BV264" s="142" t="e">
        <f t="shared" si="318"/>
        <v>#NAME?</v>
      </c>
      <c r="BW264" s="142" t="e">
        <f t="shared" si="318"/>
        <v>#NAME?</v>
      </c>
      <c r="BX264" s="142" t="e">
        <f t="shared" si="318"/>
        <v>#NAME?</v>
      </c>
      <c r="BY264" s="142" t="e">
        <f t="shared" si="318"/>
        <v>#NAME?</v>
      </c>
      <c r="BZ264" s="142" t="e">
        <f t="shared" si="318"/>
        <v>#NAME?</v>
      </c>
      <c r="CA264" s="142" t="e">
        <f t="shared" si="318"/>
        <v>#NAME?</v>
      </c>
      <c r="CB264" s="142" t="e">
        <f t="shared" si="318"/>
        <v>#NAME?</v>
      </c>
      <c r="CC264" s="142" t="e">
        <f t="shared" si="318"/>
        <v>#NAME?</v>
      </c>
      <c r="CD264" s="142" t="e">
        <f t="shared" si="318"/>
        <v>#NAME?</v>
      </c>
      <c r="CE264" s="142"/>
      <c r="CG264" s="141"/>
      <c r="CH264" s="141"/>
      <c r="CI264" s="141"/>
      <c r="CJ264" s="141"/>
      <c r="CK264" s="141"/>
      <c r="CL264" s="141"/>
      <c r="CM264" s="141"/>
      <c r="CN264" s="141"/>
      <c r="CO264" s="141"/>
      <c r="CP264" s="141"/>
      <c r="CQ264" s="141"/>
      <c r="CR264" s="141"/>
      <c r="CS264" s="141"/>
      <c r="CT264" s="142" t="e">
        <f>+CT534</f>
        <v>#NAME?</v>
      </c>
      <c r="CU264" s="142" t="e">
        <f t="shared" ref="CU264:CX264" si="319">+CU534</f>
        <v>#NAME?</v>
      </c>
      <c r="CV264" s="142" t="e">
        <f t="shared" si="319"/>
        <v>#NAME?</v>
      </c>
      <c r="CW264" s="142" t="e">
        <f t="shared" si="319"/>
        <v>#NAME?</v>
      </c>
      <c r="CX264" s="142" t="e">
        <f t="shared" si="319"/>
        <v>#NAME?</v>
      </c>
    </row>
    <row r="265" spans="2:102" s="138" customFormat="1" ht="15" customHeight="1" x14ac:dyDescent="0.25">
      <c r="B265" s="37" t="s">
        <v>220</v>
      </c>
      <c r="C265" s="140"/>
      <c r="D265" s="140"/>
      <c r="E265" s="140"/>
      <c r="F265" s="140"/>
      <c r="G265" s="140"/>
      <c r="H265" s="140"/>
      <c r="I265" s="140"/>
      <c r="J265" s="140"/>
      <c r="K265" s="140"/>
      <c r="L265" s="140"/>
      <c r="M265" s="140"/>
      <c r="N265" s="140"/>
      <c r="O265" s="140"/>
      <c r="P265" s="140"/>
      <c r="Q265" s="140"/>
      <c r="R265" s="140"/>
      <c r="T265" s="141"/>
      <c r="U265" s="141"/>
      <c r="V265" s="141"/>
      <c r="W265" s="141"/>
      <c r="X265" s="141"/>
      <c r="Y265" s="141"/>
      <c r="Z265" s="141"/>
      <c r="AA265" s="141"/>
      <c r="AB265" s="141"/>
      <c r="AC265" s="141"/>
      <c r="AD265" s="141"/>
      <c r="AE265" s="141"/>
      <c r="AF265" s="141"/>
      <c r="AG265" s="141"/>
      <c r="AH265" s="141"/>
      <c r="AI265" s="141"/>
      <c r="AJ265" s="141"/>
      <c r="AK265" s="141"/>
      <c r="AL265" s="141"/>
      <c r="AM265" s="141"/>
      <c r="AN265" s="141"/>
      <c r="AO265" s="141"/>
      <c r="AP265" s="141"/>
      <c r="AQ265" s="141"/>
      <c r="AR265" s="141"/>
      <c r="AS265" s="141"/>
      <c r="AT265" s="141"/>
      <c r="AU265" s="141"/>
      <c r="AV265" s="141"/>
      <c r="AW265" s="141"/>
      <c r="AX265" s="141"/>
      <c r="AY265" s="141"/>
      <c r="AZ265" s="141"/>
      <c r="BA265" s="141"/>
      <c r="BB265" s="141"/>
      <c r="BC265" s="142"/>
      <c r="BD265" s="142"/>
      <c r="BE265" s="142"/>
      <c r="BF265" s="142"/>
      <c r="BG265" s="142"/>
      <c r="BH265" s="86" t="e">
        <f>+BH259-BH264</f>
        <v>#NAME?</v>
      </c>
      <c r="BI265" s="86" t="e">
        <f t="shared" ref="BI265:CD265" si="320">+BI259-BI264</f>
        <v>#NAME?</v>
      </c>
      <c r="BJ265" s="86" t="e">
        <f t="shared" si="320"/>
        <v>#NAME?</v>
      </c>
      <c r="BK265" s="86" t="e">
        <f t="shared" si="320"/>
        <v>#NAME?</v>
      </c>
      <c r="BL265" s="86" t="e">
        <f t="shared" si="320"/>
        <v>#NAME?</v>
      </c>
      <c r="BM265" s="86" t="e">
        <f t="shared" si="320"/>
        <v>#NAME?</v>
      </c>
      <c r="BN265" s="86" t="e">
        <f t="shared" si="320"/>
        <v>#NAME?</v>
      </c>
      <c r="BO265" s="86" t="e">
        <f t="shared" si="320"/>
        <v>#NAME?</v>
      </c>
      <c r="BP265" s="86" t="e">
        <f t="shared" si="320"/>
        <v>#NAME?</v>
      </c>
      <c r="BQ265" s="86" t="e">
        <f t="shared" si="320"/>
        <v>#NAME?</v>
      </c>
      <c r="BR265" s="86" t="e">
        <f t="shared" si="320"/>
        <v>#NAME?</v>
      </c>
      <c r="BS265" s="86" t="e">
        <f t="shared" si="320"/>
        <v>#NAME?</v>
      </c>
      <c r="BT265" s="86" t="e">
        <f t="shared" si="320"/>
        <v>#NAME?</v>
      </c>
      <c r="BU265" s="86" t="e">
        <f t="shared" si="320"/>
        <v>#NAME?</v>
      </c>
      <c r="BV265" s="86" t="e">
        <f t="shared" si="320"/>
        <v>#NAME?</v>
      </c>
      <c r="BW265" s="86" t="e">
        <f t="shared" si="320"/>
        <v>#NAME?</v>
      </c>
      <c r="BX265" s="86" t="e">
        <f t="shared" si="320"/>
        <v>#NAME?</v>
      </c>
      <c r="BY265" s="86" t="e">
        <f t="shared" si="320"/>
        <v>#NAME?</v>
      </c>
      <c r="BZ265" s="86" t="e">
        <f t="shared" si="320"/>
        <v>#NAME?</v>
      </c>
      <c r="CA265" s="86" t="e">
        <f t="shared" si="320"/>
        <v>#NAME?</v>
      </c>
      <c r="CB265" s="86" t="e">
        <f t="shared" si="320"/>
        <v>#NAME?</v>
      </c>
      <c r="CC265" s="86" t="e">
        <f t="shared" si="320"/>
        <v>#NAME?</v>
      </c>
      <c r="CD265" s="86" t="e">
        <f t="shared" si="320"/>
        <v>#NAME?</v>
      </c>
      <c r="CE265" s="86"/>
      <c r="CG265" s="141"/>
      <c r="CH265" s="141"/>
      <c r="CI265" s="141"/>
      <c r="CJ265" s="141"/>
      <c r="CK265" s="141"/>
      <c r="CL265" s="141"/>
      <c r="CM265" s="141"/>
      <c r="CN265" s="141"/>
      <c r="CO265" s="141"/>
      <c r="CP265" s="141"/>
      <c r="CQ265" s="141"/>
      <c r="CR265" s="141"/>
      <c r="CS265" s="141"/>
      <c r="CT265" s="86" t="e">
        <f t="shared" ref="CT265:CX265" si="321">+CT259-CT264</f>
        <v>#NAME?</v>
      </c>
      <c r="CU265" s="86" t="e">
        <f t="shared" si="321"/>
        <v>#NAME?</v>
      </c>
      <c r="CV265" s="86" t="e">
        <f t="shared" si="321"/>
        <v>#NAME?</v>
      </c>
      <c r="CW265" s="86" t="e">
        <f t="shared" si="321"/>
        <v>#NAME?</v>
      </c>
      <c r="CX265" s="86" t="e">
        <f t="shared" si="321"/>
        <v>#NAME?</v>
      </c>
    </row>
    <row r="266" spans="2:102" ht="15" customHeight="1" x14ac:dyDescent="0.25">
      <c r="B266" s="37" t="s">
        <v>221</v>
      </c>
      <c r="C266" s="37"/>
      <c r="D266" s="37"/>
      <c r="E266" s="37"/>
      <c r="F266" s="37"/>
      <c r="G266" s="37"/>
      <c r="H266" s="37"/>
      <c r="I266" s="37"/>
      <c r="J266" s="37"/>
      <c r="K266" s="37"/>
      <c r="L266" s="37"/>
      <c r="M266" s="37"/>
      <c r="N266" s="37"/>
      <c r="O266" s="37"/>
      <c r="P266" s="37"/>
      <c r="Q266" s="37"/>
      <c r="R266" s="37"/>
      <c r="S266" s="82"/>
      <c r="T266" s="82"/>
      <c r="U266" s="82"/>
      <c r="V266" s="82"/>
      <c r="W266" s="82" t="str">
        <f t="shared" ref="W266:AL266" si="322">+IFERROR(W264/S264-1,"")</f>
        <v/>
      </c>
      <c r="X266" s="82" t="str">
        <f t="shared" si="322"/>
        <v/>
      </c>
      <c r="Y266" s="82" t="str">
        <f t="shared" si="322"/>
        <v/>
      </c>
      <c r="Z266" s="82" t="str">
        <f t="shared" si="322"/>
        <v/>
      </c>
      <c r="AA266" s="82" t="str">
        <f t="shared" si="322"/>
        <v/>
      </c>
      <c r="AB266" s="82" t="str">
        <f t="shared" si="322"/>
        <v/>
      </c>
      <c r="AC266" s="82" t="str">
        <f t="shared" si="322"/>
        <v/>
      </c>
      <c r="AD266" s="82" t="str">
        <f t="shared" si="322"/>
        <v/>
      </c>
      <c r="AE266" s="82" t="str">
        <f t="shared" si="322"/>
        <v/>
      </c>
      <c r="AF266" s="82" t="str">
        <f t="shared" si="322"/>
        <v/>
      </c>
      <c r="AG266" s="82" t="str">
        <f t="shared" si="322"/>
        <v/>
      </c>
      <c r="AH266" s="82" t="str">
        <f t="shared" si="322"/>
        <v/>
      </c>
      <c r="AI266" s="82" t="str">
        <f t="shared" si="322"/>
        <v/>
      </c>
      <c r="AJ266" s="82" t="str">
        <f t="shared" si="322"/>
        <v/>
      </c>
      <c r="AK266" s="82" t="str">
        <f t="shared" si="322"/>
        <v/>
      </c>
      <c r="AL266" s="82" t="str">
        <f t="shared" si="322"/>
        <v/>
      </c>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t="e">
        <f>+BH259/BH264-1</f>
        <v>#NAME?</v>
      </c>
      <c r="BI266" s="82" t="e">
        <f t="shared" ref="BI266:CD266" si="323">+BI259/BI264-1</f>
        <v>#NAME?</v>
      </c>
      <c r="BJ266" s="82" t="e">
        <f t="shared" si="323"/>
        <v>#NAME?</v>
      </c>
      <c r="BK266" s="82" t="e">
        <f t="shared" si="323"/>
        <v>#NAME?</v>
      </c>
      <c r="BL266" s="82" t="e">
        <f t="shared" si="323"/>
        <v>#NAME?</v>
      </c>
      <c r="BM266" s="82" t="e">
        <f t="shared" si="323"/>
        <v>#NAME?</v>
      </c>
      <c r="BN266" s="82" t="e">
        <f t="shared" si="323"/>
        <v>#NAME?</v>
      </c>
      <c r="BO266" s="82" t="e">
        <f t="shared" si="323"/>
        <v>#NAME?</v>
      </c>
      <c r="BP266" s="82" t="e">
        <f t="shared" si="323"/>
        <v>#NAME?</v>
      </c>
      <c r="BQ266" s="82" t="e">
        <f t="shared" si="323"/>
        <v>#NAME?</v>
      </c>
      <c r="BR266" s="82" t="e">
        <f t="shared" si="323"/>
        <v>#NAME?</v>
      </c>
      <c r="BS266" s="82" t="e">
        <f t="shared" si="323"/>
        <v>#NAME?</v>
      </c>
      <c r="BT266" s="82" t="e">
        <f t="shared" si="323"/>
        <v>#NAME?</v>
      </c>
      <c r="BU266" s="82" t="e">
        <f t="shared" si="323"/>
        <v>#NAME?</v>
      </c>
      <c r="BV266" s="82" t="e">
        <f t="shared" si="323"/>
        <v>#NAME?</v>
      </c>
      <c r="BW266" s="82" t="e">
        <f t="shared" si="323"/>
        <v>#NAME?</v>
      </c>
      <c r="BX266" s="82" t="e">
        <f t="shared" si="323"/>
        <v>#NAME?</v>
      </c>
      <c r="BY266" s="82" t="e">
        <f t="shared" si="323"/>
        <v>#NAME?</v>
      </c>
      <c r="BZ266" s="82" t="e">
        <f t="shared" si="323"/>
        <v>#NAME?</v>
      </c>
      <c r="CA266" s="82" t="e">
        <f t="shared" si="323"/>
        <v>#NAME?</v>
      </c>
      <c r="CB266" s="82" t="e">
        <f t="shared" si="323"/>
        <v>#NAME?</v>
      </c>
      <c r="CC266" s="82" t="e">
        <f t="shared" si="323"/>
        <v>#NAME?</v>
      </c>
      <c r="CD266" s="82" t="e">
        <f t="shared" si="323"/>
        <v>#NAME?</v>
      </c>
      <c r="CE266" s="82"/>
      <c r="CG266" s="82"/>
      <c r="CH266" s="82"/>
      <c r="CI266" s="82"/>
      <c r="CJ266" s="82"/>
      <c r="CK266" s="82"/>
      <c r="CL266" s="82"/>
      <c r="CM266" s="82"/>
      <c r="CN266" s="82"/>
      <c r="CO266" s="82"/>
      <c r="CP266" s="82"/>
      <c r="CQ266" s="82"/>
      <c r="CR266" s="82"/>
      <c r="CS266" s="82"/>
      <c r="CT266" s="82" t="e">
        <f t="shared" ref="CT266:CX266" si="324">+CT259/CT264-1</f>
        <v>#NAME?</v>
      </c>
      <c r="CU266" s="82" t="e">
        <f t="shared" si="324"/>
        <v>#NAME?</v>
      </c>
      <c r="CV266" s="82" t="e">
        <f t="shared" si="324"/>
        <v>#NAME?</v>
      </c>
      <c r="CW266" s="82" t="e">
        <f t="shared" si="324"/>
        <v>#NAME?</v>
      </c>
      <c r="CX266" s="82" t="e">
        <f t="shared" si="324"/>
        <v>#NAME?</v>
      </c>
    </row>
    <row r="267" spans="2:102" ht="15" customHeight="1" x14ac:dyDescent="0.25">
      <c r="B267" s="37"/>
      <c r="C267" s="37"/>
      <c r="D267" s="37"/>
      <c r="E267" s="37"/>
      <c r="F267" s="37"/>
      <c r="G267" s="37"/>
      <c r="H267" s="37"/>
      <c r="I267" s="37"/>
      <c r="J267" s="37"/>
      <c r="K267" s="37"/>
      <c r="L267" s="37"/>
      <c r="M267" s="37"/>
      <c r="N267" s="37"/>
      <c r="O267" s="37"/>
      <c r="P267" s="37"/>
      <c r="Q267" s="37"/>
      <c r="R267" s="37"/>
      <c r="T267" s="82"/>
      <c r="U267" s="82"/>
      <c r="V267" s="82"/>
      <c r="W267" s="82"/>
      <c r="X267" s="82"/>
      <c r="Y267" s="82"/>
      <c r="Z267" s="82"/>
      <c r="AA267" s="82"/>
      <c r="AB267" s="82"/>
      <c r="AC267" s="82"/>
      <c r="AD267" s="82"/>
      <c r="AE267" s="82"/>
      <c r="AF267" s="82"/>
      <c r="AG267" s="82"/>
      <c r="AH267" s="82"/>
      <c r="AI267" s="82"/>
      <c r="AJ267" s="82"/>
      <c r="AK267" s="82"/>
      <c r="AL267" s="82"/>
      <c r="AM267" s="82"/>
      <c r="AN267" s="82"/>
      <c r="AO267" s="82"/>
      <c r="AP267" s="82"/>
      <c r="AQ267" s="82"/>
      <c r="AR267" s="82"/>
      <c r="AS267" s="82"/>
      <c r="AT267" s="82"/>
      <c r="AU267" s="82"/>
      <c r="AV267" s="82"/>
      <c r="AW267" s="82"/>
      <c r="AX267" s="82"/>
      <c r="AY267" s="82"/>
      <c r="AZ267" s="82"/>
      <c r="BA267" s="82"/>
      <c r="BB267" s="82"/>
      <c r="BC267" s="82"/>
      <c r="BD267" s="82"/>
      <c r="BE267" s="82"/>
      <c r="BF267" s="82"/>
      <c r="BG267" s="82"/>
      <c r="BH267" s="82"/>
      <c r="BI267" s="82"/>
      <c r="BJ267" s="82"/>
      <c r="BK267" s="82"/>
      <c r="BL267" s="82"/>
      <c r="BM267" s="82"/>
      <c r="BN267" s="82"/>
      <c r="BO267" s="82"/>
      <c r="BP267" s="82"/>
      <c r="BQ267" s="82"/>
      <c r="BR267" s="82"/>
      <c r="BS267" s="82"/>
      <c r="BT267" s="82"/>
      <c r="BU267" s="82"/>
      <c r="BV267" s="82"/>
      <c r="BW267" s="82"/>
      <c r="BX267" s="82"/>
      <c r="BY267" s="82"/>
      <c r="BZ267" s="82"/>
      <c r="CA267" s="82"/>
      <c r="CB267" s="82"/>
      <c r="CC267" s="82"/>
      <c r="CD267" s="82"/>
      <c r="CG267" s="82"/>
      <c r="CH267" s="82"/>
      <c r="CI267" s="82"/>
      <c r="CJ267" s="82"/>
      <c r="CK267" s="82"/>
      <c r="CL267" s="82"/>
      <c r="CM267" s="82"/>
      <c r="CN267" s="82"/>
      <c r="CO267" s="82"/>
      <c r="CP267" s="82"/>
      <c r="CQ267" s="82"/>
      <c r="CR267" s="82"/>
      <c r="CS267" s="82"/>
      <c r="CT267" s="108"/>
      <c r="CU267" s="108"/>
      <c r="CV267" s="108"/>
      <c r="CW267" s="108"/>
      <c r="CX267" s="108"/>
    </row>
    <row r="268" spans="2:102" s="60" customFormat="1" ht="15" customHeight="1" x14ac:dyDescent="0.25">
      <c r="B268" s="23" t="s">
        <v>230</v>
      </c>
      <c r="C268" s="23"/>
      <c r="D268" s="23"/>
      <c r="E268" s="23"/>
      <c r="F268" s="23"/>
      <c r="G268" s="23"/>
      <c r="H268" s="23"/>
      <c r="I268" s="23"/>
      <c r="J268" s="23"/>
      <c r="K268" s="23"/>
      <c r="L268" s="23"/>
      <c r="M268" s="23"/>
      <c r="N268" s="23"/>
      <c r="O268" s="23"/>
      <c r="P268" s="23"/>
      <c r="Q268" s="23"/>
      <c r="R268" s="23"/>
      <c r="T268" s="108"/>
      <c r="U268" s="108"/>
      <c r="V268" s="108"/>
      <c r="W268" s="108"/>
      <c r="X268" s="108"/>
      <c r="Y268" s="108"/>
      <c r="Z268" s="108"/>
      <c r="AA268" s="108"/>
      <c r="AB268" s="108"/>
      <c r="AC268" s="108"/>
      <c r="AD268" s="108"/>
      <c r="AE268" s="108"/>
      <c r="AF268" s="108"/>
      <c r="AG268" s="108"/>
      <c r="AH268" s="108"/>
      <c r="AI268" s="108"/>
      <c r="AJ268" s="108"/>
      <c r="AK268" s="108"/>
      <c r="AL268" s="108"/>
      <c r="AM268" s="108"/>
      <c r="AN268" s="108"/>
      <c r="AO268" s="108"/>
      <c r="AP268" s="108"/>
      <c r="AQ268" s="108"/>
      <c r="AR268" s="108"/>
      <c r="AS268" s="108"/>
      <c r="AT268" s="108"/>
      <c r="AU268" s="108"/>
      <c r="AV268" s="108"/>
      <c r="AW268" s="108"/>
      <c r="AX268" s="108"/>
      <c r="AY268" s="108"/>
      <c r="AZ268" s="108"/>
      <c r="BA268" s="108"/>
      <c r="BB268" s="108"/>
      <c r="BC268" s="108"/>
      <c r="BD268" s="108"/>
      <c r="BE268" s="108"/>
      <c r="BF268" s="108"/>
      <c r="BG268" s="108"/>
      <c r="BH268" s="108"/>
      <c r="BI268" s="108"/>
      <c r="BJ268" s="108"/>
      <c r="BK268" s="108"/>
      <c r="BL268" s="108"/>
      <c r="BM268" s="108"/>
      <c r="BN268" s="108"/>
      <c r="BO268" s="108"/>
      <c r="BP268" s="108"/>
      <c r="BQ268" s="108"/>
      <c r="BR268" s="108"/>
      <c r="BS268" s="108"/>
      <c r="BT268" s="108"/>
      <c r="BU268" s="108"/>
      <c r="BV268" s="108"/>
      <c r="BW268" s="108"/>
      <c r="BX268" s="108"/>
      <c r="BY268" s="108"/>
      <c r="BZ268" s="108"/>
      <c r="CA268" s="108"/>
      <c r="CB268" s="108"/>
      <c r="CC268" s="108"/>
      <c r="CD268" s="108"/>
      <c r="CE268"/>
      <c r="CG268" s="108"/>
      <c r="CH268" s="108"/>
      <c r="CI268" s="108"/>
      <c r="CJ268" s="108"/>
      <c r="CK268" s="108"/>
      <c r="CL268" s="108"/>
      <c r="CM268" s="108"/>
      <c r="CN268" s="108"/>
      <c r="CO268" s="148"/>
      <c r="CP268" s="148"/>
      <c r="CQ268" s="149"/>
      <c r="CR268" s="149"/>
      <c r="CS268" s="149"/>
      <c r="CT268" s="149"/>
      <c r="CU268" s="108"/>
      <c r="CV268" s="108"/>
      <c r="CW268" s="108"/>
      <c r="CX268" s="108"/>
    </row>
    <row r="269" spans="2:102" s="145" customFormat="1" ht="15" customHeight="1" x14ac:dyDescent="0.25">
      <c r="B269" s="97" t="s">
        <v>231</v>
      </c>
      <c r="C269" s="97"/>
      <c r="D269" s="97"/>
      <c r="E269" s="97"/>
      <c r="F269" s="97"/>
      <c r="G269" s="97"/>
      <c r="H269" s="97"/>
      <c r="I269" s="97"/>
      <c r="J269" s="97"/>
      <c r="K269" s="97"/>
      <c r="L269" s="97"/>
      <c r="M269" s="97"/>
      <c r="N269" s="97"/>
      <c r="O269" s="97"/>
      <c r="P269" s="97"/>
      <c r="Q269" s="97"/>
      <c r="R269" s="97"/>
      <c r="AM269" s="145">
        <f>1130-405-35</f>
        <v>690</v>
      </c>
      <c r="AN269" s="145">
        <f>1315-50-35</f>
        <v>1230</v>
      </c>
      <c r="AO269" s="145">
        <f>1510+470-40</f>
        <v>1940</v>
      </c>
      <c r="AP269" s="145">
        <f>1325-131-42</f>
        <v>1152</v>
      </c>
      <c r="AQ269" s="145">
        <f>1220-220</f>
        <v>1000</v>
      </c>
      <c r="AR269" s="145">
        <f>1125-250</f>
        <v>875</v>
      </c>
      <c r="AS269" s="145">
        <f>1675+675</f>
        <v>2350</v>
      </c>
      <c r="AT269" s="145">
        <f>1317+58</f>
        <v>1375</v>
      </c>
      <c r="AU269" s="145">
        <f>1475-225</f>
        <v>1250</v>
      </c>
      <c r="AV269" s="145">
        <f>1775-50</f>
        <v>1725</v>
      </c>
      <c r="AW269" s="145">
        <f>1750+875</f>
        <v>2625</v>
      </c>
      <c r="AX269" s="145">
        <f>1759+2</f>
        <v>1761</v>
      </c>
      <c r="AY269" s="145">
        <f>1675-475</f>
        <v>1200</v>
      </c>
      <c r="AZ269" s="145">
        <f>1850-125</f>
        <v>1725</v>
      </c>
      <c r="BA269" s="145">
        <f>1825+600</f>
        <v>2425</v>
      </c>
      <c r="BB269" s="145">
        <f>1700-25</f>
        <v>1675</v>
      </c>
      <c r="BC269" s="145">
        <f>1825-325</f>
        <v>1500</v>
      </c>
      <c r="BD269" s="145">
        <f>1825-125</f>
        <v>1700</v>
      </c>
      <c r="BE269" s="145">
        <f>1825+425</f>
        <v>2250</v>
      </c>
      <c r="BF269" s="145">
        <v>1625</v>
      </c>
      <c r="BG269" s="145">
        <f>1575-425</f>
        <v>1150</v>
      </c>
      <c r="BH269" s="145">
        <v>1950</v>
      </c>
      <c r="BI269" s="145">
        <v>2400</v>
      </c>
      <c r="BJ269" s="145">
        <f>7500-BG271-BH271-BI269</f>
        <v>1759</v>
      </c>
      <c r="CE269"/>
      <c r="CN269" s="145">
        <f>5600+250-300</f>
        <v>5550</v>
      </c>
      <c r="CO269" s="145">
        <v>5100</v>
      </c>
      <c r="CP269" s="145">
        <v>5550</v>
      </c>
      <c r="CQ269" s="145">
        <v>7300</v>
      </c>
      <c r="CR269" s="145">
        <v>7900</v>
      </c>
      <c r="CS269" s="145">
        <v>7300</v>
      </c>
      <c r="CT269" s="145">
        <v>7300</v>
      </c>
    </row>
    <row r="270" spans="2:102" s="145" customFormat="1" ht="15" customHeight="1" x14ac:dyDescent="0.25">
      <c r="B270" s="97" t="s">
        <v>232</v>
      </c>
      <c r="C270" s="97"/>
      <c r="D270" s="97"/>
      <c r="E270" s="97"/>
      <c r="F270" s="97"/>
      <c r="G270" s="97"/>
      <c r="H270" s="97"/>
      <c r="I270" s="97"/>
      <c r="J270" s="97"/>
      <c r="K270" s="97"/>
      <c r="L270" s="97"/>
      <c r="M270" s="97"/>
      <c r="N270" s="97"/>
      <c r="O270" s="97"/>
      <c r="P270" s="97"/>
      <c r="Q270" s="97"/>
      <c r="R270" s="97"/>
      <c r="AM270" s="145">
        <f>1130-405-35</f>
        <v>690</v>
      </c>
      <c r="AN270" s="145">
        <f>1315-50-35</f>
        <v>1230</v>
      </c>
      <c r="AO270" s="145">
        <f>1510+470-40</f>
        <v>1940</v>
      </c>
      <c r="AP270" s="145">
        <f>1325-131-42</f>
        <v>1152</v>
      </c>
      <c r="AQ270" s="145">
        <f>1220-220</f>
        <v>1000</v>
      </c>
      <c r="AR270" s="145">
        <f>1125-250</f>
        <v>875</v>
      </c>
      <c r="AS270" s="145">
        <f>1675+675</f>
        <v>2350</v>
      </c>
      <c r="AT270" s="145">
        <f>1317+58</f>
        <v>1375</v>
      </c>
      <c r="AU270" s="145">
        <f>1475-225</f>
        <v>1250</v>
      </c>
      <c r="AV270" s="145">
        <f>1775-50</f>
        <v>1725</v>
      </c>
      <c r="AW270" s="145">
        <f>1750+875</f>
        <v>2625</v>
      </c>
      <c r="AX270" s="145">
        <f>1759+2</f>
        <v>1761</v>
      </c>
      <c r="AY270" s="145">
        <f>1725-475</f>
        <v>1250</v>
      </c>
      <c r="AZ270" s="145">
        <f>1900-125</f>
        <v>1775</v>
      </c>
      <c r="BA270" s="145">
        <f>1925+600</f>
        <v>2525</v>
      </c>
      <c r="BB270" s="145">
        <f>1800-25</f>
        <v>1775</v>
      </c>
      <c r="BC270" s="145">
        <f>1925-325</f>
        <v>1600</v>
      </c>
      <c r="BD270" s="145">
        <f>1925-125</f>
        <v>1800</v>
      </c>
      <c r="BE270" s="145">
        <f>2025+425</f>
        <v>2450</v>
      </c>
      <c r="BF270" s="145">
        <v>1925</v>
      </c>
      <c r="BG270" s="145">
        <f>1675-425</f>
        <v>1250</v>
      </c>
      <c r="BH270" s="145">
        <v>2050</v>
      </c>
      <c r="BI270" s="145">
        <v>2550</v>
      </c>
      <c r="BJ270" s="145">
        <f>7800-BI270-BG271-BH271</f>
        <v>1909</v>
      </c>
      <c r="CE270"/>
      <c r="CN270" s="145">
        <f>+CN269</f>
        <v>5550</v>
      </c>
      <c r="CO270" s="145">
        <f>+CO269</f>
        <v>5100</v>
      </c>
      <c r="CP270" s="145">
        <f>+CP269</f>
        <v>5550</v>
      </c>
      <c r="CQ270" s="145">
        <f>+CQ269</f>
        <v>7300</v>
      </c>
      <c r="CR270" s="145">
        <v>8100</v>
      </c>
      <c r="CS270" s="145">
        <v>7700</v>
      </c>
      <c r="CT270" s="145">
        <v>7700</v>
      </c>
    </row>
    <row r="271" spans="2:102" s="151" customFormat="1" ht="15" customHeight="1" x14ac:dyDescent="0.25">
      <c r="B271" s="112" t="s">
        <v>233</v>
      </c>
      <c r="C271" s="112"/>
      <c r="D271" s="112"/>
      <c r="E271" s="112"/>
      <c r="F271" s="112"/>
      <c r="G271" s="112"/>
      <c r="H271" s="112"/>
      <c r="I271" s="112"/>
      <c r="J271" s="112"/>
      <c r="K271" s="112"/>
      <c r="L271" s="112"/>
      <c r="M271" s="112"/>
      <c r="N271" s="112"/>
      <c r="O271" s="112"/>
      <c r="P271" s="112"/>
      <c r="Q271" s="112"/>
      <c r="R271" s="112"/>
      <c r="S271" s="47"/>
      <c r="T271" s="47"/>
      <c r="U271" s="47"/>
      <c r="V271" s="47"/>
      <c r="W271" s="47"/>
      <c r="X271" s="47"/>
      <c r="Y271" s="47"/>
      <c r="Z271" s="47"/>
      <c r="AA271" s="47"/>
      <c r="AB271" s="47"/>
      <c r="AC271" s="47"/>
      <c r="AD271" s="47"/>
      <c r="AE271" s="47"/>
      <c r="AF271" s="47"/>
      <c r="AG271" s="47"/>
      <c r="AH271" s="47"/>
      <c r="AI271" s="47"/>
      <c r="AJ271" s="47"/>
      <c r="AK271" s="47"/>
      <c r="AL271" s="47"/>
      <c r="AM271" s="47">
        <f t="shared" ref="AM271:BJ271" si="325">+AM259</f>
        <v>782</v>
      </c>
      <c r="AN271" s="47">
        <f t="shared" si="325"/>
        <v>1313</v>
      </c>
      <c r="AO271" s="47">
        <f t="shared" si="325"/>
        <v>2021</v>
      </c>
      <c r="AP271" s="47">
        <f t="shared" si="325"/>
        <v>1256</v>
      </c>
      <c r="AQ271" s="47">
        <f t="shared" si="325"/>
        <v>1390</v>
      </c>
      <c r="AR271" s="47">
        <f t="shared" si="325"/>
        <v>910</v>
      </c>
      <c r="AS271" s="47">
        <f t="shared" si="325"/>
        <v>2400</v>
      </c>
      <c r="AT271" s="47">
        <f t="shared" si="325"/>
        <v>1490</v>
      </c>
      <c r="AU271" s="47">
        <f t="shared" si="325"/>
        <v>1336</v>
      </c>
      <c r="AV271" s="47">
        <f t="shared" si="325"/>
        <v>1851</v>
      </c>
      <c r="AW271" s="47">
        <f t="shared" si="325"/>
        <v>2577</v>
      </c>
      <c r="AX271" s="47">
        <f t="shared" si="325"/>
        <v>1751</v>
      </c>
      <c r="AY271" s="47">
        <f t="shared" si="325"/>
        <v>1299</v>
      </c>
      <c r="AZ271" s="47">
        <f t="shared" si="325"/>
        <v>1754</v>
      </c>
      <c r="BA271" s="47">
        <f t="shared" si="325"/>
        <v>2342</v>
      </c>
      <c r="BB271" s="47">
        <f t="shared" si="325"/>
        <v>1946</v>
      </c>
      <c r="BC271" s="47">
        <f t="shared" si="325"/>
        <v>1578</v>
      </c>
      <c r="BD271" s="47">
        <f t="shared" si="325"/>
        <v>1820</v>
      </c>
      <c r="BE271" s="47">
        <f t="shared" si="325"/>
        <v>2366</v>
      </c>
      <c r="BF271" s="47">
        <f t="shared" si="325"/>
        <v>1666</v>
      </c>
      <c r="BG271" s="47">
        <f t="shared" si="325"/>
        <v>1262</v>
      </c>
      <c r="BH271" s="47">
        <f t="shared" si="325"/>
        <v>2079</v>
      </c>
      <c r="BI271" s="47">
        <f t="shared" si="325"/>
        <v>2336.3550216844196</v>
      </c>
      <c r="BJ271" s="47">
        <f t="shared" si="325"/>
        <v>1594.4952803792269</v>
      </c>
      <c r="BK271" s="150"/>
      <c r="BL271" s="150"/>
      <c r="BM271" s="150"/>
      <c r="BN271" s="150"/>
      <c r="BO271" s="150"/>
      <c r="BP271" s="150"/>
      <c r="BQ271" s="150"/>
      <c r="BR271" s="150"/>
      <c r="BS271" s="150"/>
      <c r="BT271" s="150"/>
      <c r="BU271" s="150"/>
      <c r="BV271" s="150"/>
      <c r="BW271" s="150"/>
      <c r="BX271" s="150"/>
      <c r="BY271" s="150"/>
      <c r="BZ271" s="150"/>
      <c r="CA271" s="150"/>
      <c r="CB271" s="150"/>
      <c r="CC271" s="150"/>
      <c r="CD271" s="150"/>
      <c r="CE271"/>
      <c r="CG271" s="150"/>
      <c r="CH271" s="150"/>
      <c r="CI271" s="150"/>
      <c r="CJ271" s="150"/>
      <c r="CK271" s="150"/>
      <c r="CL271" s="150"/>
      <c r="CM271" s="150"/>
      <c r="CN271" s="47">
        <f t="shared" ref="CN271:CT271" si="326">+CN259</f>
        <v>5132</v>
      </c>
      <c r="CO271" s="47">
        <f t="shared" si="326"/>
        <v>5372</v>
      </c>
      <c r="CP271" s="47">
        <f t="shared" si="326"/>
        <v>6190</v>
      </c>
      <c r="CQ271" s="47">
        <f t="shared" si="326"/>
        <v>7515</v>
      </c>
      <c r="CR271" s="47">
        <f t="shared" si="326"/>
        <v>7341</v>
      </c>
      <c r="CS271" s="47">
        <f t="shared" si="326"/>
        <v>7430</v>
      </c>
      <c r="CT271" s="47">
        <f t="shared" si="326"/>
        <v>7271.8503020636463</v>
      </c>
      <c r="CU271" s="152"/>
      <c r="CV271" s="152"/>
      <c r="CW271" s="152"/>
      <c r="CX271" s="152"/>
    </row>
    <row r="272" spans="2:102" s="39" customFormat="1" ht="15" customHeight="1" x14ac:dyDescent="0.25">
      <c r="B272" s="23" t="s">
        <v>234</v>
      </c>
      <c r="C272" s="23"/>
      <c r="D272" s="23"/>
      <c r="E272" s="23"/>
      <c r="F272" s="23"/>
      <c r="G272" s="23"/>
      <c r="H272" s="23"/>
      <c r="I272" s="23"/>
      <c r="J272" s="23"/>
      <c r="K272" s="23"/>
      <c r="L272" s="23"/>
      <c r="M272" s="23"/>
      <c r="N272" s="23"/>
      <c r="O272" s="23"/>
      <c r="P272" s="23"/>
      <c r="Q272" s="23"/>
      <c r="R272" s="23"/>
      <c r="S272" s="108"/>
      <c r="T272" s="108"/>
      <c r="U272" s="108"/>
      <c r="V272" s="108"/>
      <c r="W272" s="108"/>
      <c r="X272" s="108"/>
      <c r="Y272" s="108"/>
      <c r="Z272" s="108"/>
      <c r="AA272" s="108"/>
      <c r="AB272" s="108"/>
      <c r="AC272" s="108"/>
      <c r="AD272" s="108"/>
      <c r="AE272" s="108"/>
      <c r="AF272" s="108"/>
      <c r="AG272" s="108"/>
      <c r="AH272" s="108"/>
      <c r="AI272" s="108"/>
      <c r="AJ272" s="108"/>
      <c r="AK272" s="108"/>
      <c r="AL272" s="108"/>
      <c r="AM272" s="108">
        <f t="shared" ref="AM272:BJ272" si="327">+AM271/AM270-1</f>
        <v>0.1333333333333333</v>
      </c>
      <c r="AN272" s="108">
        <f t="shared" si="327"/>
        <v>6.7479674796747879E-2</v>
      </c>
      <c r="AO272" s="108">
        <f t="shared" si="327"/>
        <v>4.1752577319587703E-2</v>
      </c>
      <c r="AP272" s="108">
        <f t="shared" si="327"/>
        <v>9.0277777777777679E-2</v>
      </c>
      <c r="AQ272" s="108">
        <f t="shared" si="327"/>
        <v>0.3899999999999999</v>
      </c>
      <c r="AR272" s="108">
        <f t="shared" si="327"/>
        <v>4.0000000000000036E-2</v>
      </c>
      <c r="AS272" s="108">
        <f t="shared" si="327"/>
        <v>2.1276595744680771E-2</v>
      </c>
      <c r="AT272" s="108">
        <f t="shared" si="327"/>
        <v>8.3636363636363731E-2</v>
      </c>
      <c r="AU272" s="108">
        <f t="shared" si="327"/>
        <v>6.8799999999999972E-2</v>
      </c>
      <c r="AV272" s="108">
        <f t="shared" si="327"/>
        <v>7.3043478260869543E-2</v>
      </c>
      <c r="AW272" s="108">
        <f t="shared" si="327"/>
        <v>-1.8285714285714239E-2</v>
      </c>
      <c r="AX272" s="108">
        <f t="shared" si="327"/>
        <v>-5.6785917092561089E-3</v>
      </c>
      <c r="AY272" s="108">
        <f t="shared" si="327"/>
        <v>3.9199999999999902E-2</v>
      </c>
      <c r="AZ272" s="108">
        <f t="shared" si="327"/>
        <v>-1.183098591549292E-2</v>
      </c>
      <c r="BA272" s="108">
        <f t="shared" si="327"/>
        <v>-7.2475247524752429E-2</v>
      </c>
      <c r="BB272" s="108">
        <f t="shared" si="327"/>
        <v>9.6338028169014045E-2</v>
      </c>
      <c r="BC272" s="108">
        <f t="shared" si="327"/>
        <v>-1.375000000000004E-2</v>
      </c>
      <c r="BD272" s="108">
        <f t="shared" si="327"/>
        <v>1.1111111111111072E-2</v>
      </c>
      <c r="BE272" s="108">
        <f t="shared" si="327"/>
        <v>-3.4285714285714253E-2</v>
      </c>
      <c r="BF272" s="108">
        <f t="shared" si="327"/>
        <v>-0.13454545454545452</v>
      </c>
      <c r="BG272" s="108">
        <f t="shared" si="327"/>
        <v>9.6000000000000529E-3</v>
      </c>
      <c r="BH272" s="108">
        <f t="shared" si="327"/>
        <v>1.4146341463414647E-2</v>
      </c>
      <c r="BI272" s="108">
        <f t="shared" si="327"/>
        <v>-8.3782344437482448E-2</v>
      </c>
      <c r="BJ272" s="108">
        <f t="shared" si="327"/>
        <v>-0.16474841258290895</v>
      </c>
      <c r="BK272" s="102"/>
      <c r="BL272" s="102"/>
      <c r="BM272" s="102"/>
      <c r="BN272" s="102"/>
      <c r="BO272" s="102"/>
      <c r="BP272" s="102"/>
      <c r="BQ272" s="102"/>
      <c r="BR272" s="102"/>
      <c r="BS272" s="102"/>
      <c r="BT272" s="102"/>
      <c r="BU272" s="102"/>
      <c r="BV272" s="102"/>
      <c r="BW272" s="102"/>
      <c r="BX272" s="102"/>
      <c r="BY272" s="102"/>
      <c r="BZ272" s="102"/>
      <c r="CA272" s="102"/>
      <c r="CB272" s="102"/>
      <c r="CC272" s="102"/>
      <c r="CD272" s="102"/>
      <c r="CE272"/>
      <c r="CG272" s="102"/>
      <c r="CH272" s="102"/>
      <c r="CI272" s="102"/>
      <c r="CJ272" s="102"/>
      <c r="CK272" s="102"/>
      <c r="CL272" s="102"/>
      <c r="CM272" s="102"/>
      <c r="CN272" s="108">
        <f t="shared" ref="CN272:CT272" si="328">+CN271/CN270-1</f>
        <v>-7.5315315315315323E-2</v>
      </c>
      <c r="CO272" s="108">
        <f t="shared" si="328"/>
        <v>5.3333333333333233E-2</v>
      </c>
      <c r="CP272" s="108">
        <f t="shared" si="328"/>
        <v>0.11531531531531525</v>
      </c>
      <c r="CQ272" s="108">
        <f t="shared" si="328"/>
        <v>2.945205479452051E-2</v>
      </c>
      <c r="CR272" s="108">
        <f t="shared" si="328"/>
        <v>-9.3703703703703733E-2</v>
      </c>
      <c r="CS272" s="108">
        <f t="shared" si="328"/>
        <v>-3.5064935064935021E-2</v>
      </c>
      <c r="CT272" s="108">
        <f t="shared" si="328"/>
        <v>-5.5603856874851143E-2</v>
      </c>
      <c r="CU272" s="102"/>
      <c r="CV272" s="102"/>
      <c r="CW272" s="102"/>
      <c r="CX272" s="102"/>
    </row>
    <row r="273" spans="2:104" s="39" customFormat="1" ht="15" customHeight="1" x14ac:dyDescent="0.25">
      <c r="B273" s="23" t="s">
        <v>235</v>
      </c>
      <c r="C273" s="23"/>
      <c r="D273" s="23"/>
      <c r="E273" s="23"/>
      <c r="F273" s="23"/>
      <c r="G273" s="23"/>
      <c r="H273" s="23"/>
      <c r="I273" s="23"/>
      <c r="J273" s="23"/>
      <c r="K273" s="23"/>
      <c r="L273" s="23"/>
      <c r="M273" s="23"/>
      <c r="N273" s="23"/>
      <c r="O273" s="23"/>
      <c r="P273" s="23"/>
      <c r="Q273" s="23"/>
      <c r="R273" s="23"/>
      <c r="S273" s="97"/>
      <c r="T273" s="97"/>
      <c r="U273" s="97"/>
      <c r="V273" s="97"/>
      <c r="W273" s="97"/>
      <c r="X273" s="97"/>
      <c r="Y273" s="97"/>
      <c r="Z273" s="97"/>
      <c r="AA273" s="97"/>
      <c r="AB273" s="97"/>
      <c r="AC273" s="97"/>
      <c r="AD273" s="97"/>
      <c r="AE273" s="97"/>
      <c r="AF273" s="97"/>
      <c r="AG273" s="97"/>
      <c r="AH273" s="97"/>
      <c r="AI273" s="97"/>
      <c r="AJ273" s="97"/>
      <c r="AK273" s="97"/>
      <c r="AL273" s="97"/>
      <c r="AM273" s="97">
        <f t="shared" ref="AM273:BJ273" si="329">+AM271-AM270</f>
        <v>92</v>
      </c>
      <c r="AN273" s="97">
        <f t="shared" si="329"/>
        <v>83</v>
      </c>
      <c r="AO273" s="97">
        <f t="shared" si="329"/>
        <v>81</v>
      </c>
      <c r="AP273" s="97">
        <f t="shared" si="329"/>
        <v>104</v>
      </c>
      <c r="AQ273" s="97">
        <f t="shared" si="329"/>
        <v>390</v>
      </c>
      <c r="AR273" s="97">
        <f t="shared" si="329"/>
        <v>35</v>
      </c>
      <c r="AS273" s="97">
        <f t="shared" si="329"/>
        <v>50</v>
      </c>
      <c r="AT273" s="97">
        <f t="shared" si="329"/>
        <v>115</v>
      </c>
      <c r="AU273" s="97">
        <f t="shared" si="329"/>
        <v>86</v>
      </c>
      <c r="AV273" s="97">
        <f t="shared" si="329"/>
        <v>126</v>
      </c>
      <c r="AW273" s="97">
        <f t="shared" si="329"/>
        <v>-48</v>
      </c>
      <c r="AX273" s="97">
        <f t="shared" si="329"/>
        <v>-10</v>
      </c>
      <c r="AY273" s="97">
        <f t="shared" si="329"/>
        <v>49</v>
      </c>
      <c r="AZ273" s="97">
        <f t="shared" si="329"/>
        <v>-21</v>
      </c>
      <c r="BA273" s="97">
        <f t="shared" si="329"/>
        <v>-183</v>
      </c>
      <c r="BB273" s="97">
        <f t="shared" si="329"/>
        <v>171</v>
      </c>
      <c r="BC273" s="97">
        <f t="shared" si="329"/>
        <v>-22</v>
      </c>
      <c r="BD273" s="97">
        <f t="shared" si="329"/>
        <v>20</v>
      </c>
      <c r="BE273" s="97">
        <f t="shared" si="329"/>
        <v>-84</v>
      </c>
      <c r="BF273" s="97">
        <f t="shared" si="329"/>
        <v>-259</v>
      </c>
      <c r="BG273" s="97">
        <f t="shared" si="329"/>
        <v>12</v>
      </c>
      <c r="BH273" s="97">
        <f t="shared" si="329"/>
        <v>29</v>
      </c>
      <c r="BI273" s="97">
        <f t="shared" si="329"/>
        <v>-213.64497831558037</v>
      </c>
      <c r="BJ273" s="97">
        <f t="shared" si="329"/>
        <v>-314.50471962077313</v>
      </c>
      <c r="BK273" s="102"/>
      <c r="BL273" s="102"/>
      <c r="BM273" s="102"/>
      <c r="BN273" s="102"/>
      <c r="BO273" s="102"/>
      <c r="BP273" s="102"/>
      <c r="BQ273" s="102"/>
      <c r="BR273" s="102"/>
      <c r="BS273" s="102"/>
      <c r="BT273" s="102"/>
      <c r="BU273" s="102"/>
      <c r="BV273" s="102"/>
      <c r="BW273" s="102"/>
      <c r="BX273" s="102"/>
      <c r="BY273" s="102"/>
      <c r="BZ273" s="102"/>
      <c r="CA273" s="102"/>
      <c r="CB273" s="102"/>
      <c r="CC273" s="102"/>
      <c r="CD273" s="102"/>
      <c r="CE273"/>
      <c r="CG273" s="102"/>
      <c r="CH273" s="102"/>
      <c r="CI273" s="102"/>
      <c r="CJ273" s="102"/>
      <c r="CK273" s="102"/>
      <c r="CL273" s="102"/>
      <c r="CM273" s="102"/>
      <c r="CN273" s="97">
        <f t="shared" ref="CN273:CT273" si="330">+CN271-CN270</f>
        <v>-418</v>
      </c>
      <c r="CO273" s="97">
        <f t="shared" si="330"/>
        <v>272</v>
      </c>
      <c r="CP273" s="97">
        <f t="shared" si="330"/>
        <v>640</v>
      </c>
      <c r="CQ273" s="97">
        <f t="shared" si="330"/>
        <v>215</v>
      </c>
      <c r="CR273" s="97">
        <f t="shared" si="330"/>
        <v>-759</v>
      </c>
      <c r="CS273" s="97">
        <f t="shared" si="330"/>
        <v>-270</v>
      </c>
      <c r="CT273" s="97">
        <f t="shared" si="330"/>
        <v>-428.14969793635373</v>
      </c>
      <c r="CU273" s="102"/>
      <c r="CV273" s="102"/>
      <c r="CW273" s="102"/>
      <c r="CX273" s="102"/>
    </row>
    <row r="274" spans="2:104" s="39" customFormat="1" ht="15" customHeight="1" x14ac:dyDescent="0.25">
      <c r="B274" s="23"/>
      <c r="C274" s="23"/>
      <c r="D274" s="23"/>
      <c r="E274" s="23"/>
      <c r="F274" s="23"/>
      <c r="G274" s="23"/>
      <c r="H274" s="23"/>
      <c r="I274" s="23"/>
      <c r="J274" s="23"/>
      <c r="K274" s="23"/>
      <c r="L274" s="23"/>
      <c r="M274" s="23"/>
      <c r="N274" s="23"/>
      <c r="O274" s="23"/>
      <c r="P274" s="23"/>
      <c r="Q274" s="23"/>
      <c r="R274" s="23"/>
      <c r="T274" s="102"/>
      <c r="U274" s="102"/>
      <c r="V274" s="102"/>
      <c r="W274" s="102"/>
      <c r="X274" s="102"/>
      <c r="Y274" s="102"/>
      <c r="Z274" s="102"/>
      <c r="AA274" s="102"/>
      <c r="AB274" s="102"/>
      <c r="AC274" s="102"/>
      <c r="AD274" s="102"/>
      <c r="AE274" s="102"/>
      <c r="AF274" s="102"/>
      <c r="AG274" s="102"/>
      <c r="AH274" s="102"/>
      <c r="AI274" s="102"/>
      <c r="AJ274" s="102"/>
      <c r="AK274" s="102"/>
      <c r="AL274" s="102"/>
      <c r="AM274" s="102"/>
      <c r="AN274" s="102"/>
      <c r="AO274" s="102"/>
      <c r="AP274" s="102"/>
      <c r="AQ274" s="102"/>
      <c r="AR274" s="102"/>
      <c r="AS274" s="102"/>
      <c r="AT274" s="102"/>
      <c r="AU274" s="102"/>
      <c r="AV274" s="102"/>
      <c r="AW274" s="102"/>
      <c r="AX274" s="102"/>
      <c r="AY274" s="102"/>
      <c r="AZ274" s="102"/>
      <c r="BA274" s="102"/>
      <c r="BB274" s="102"/>
      <c r="BC274" s="143" t="s">
        <v>236</v>
      </c>
      <c r="BD274" s="102"/>
      <c r="BE274" s="102"/>
      <c r="BF274" s="102"/>
      <c r="BG274" s="102"/>
      <c r="BH274" s="102"/>
      <c r="BI274" s="102"/>
      <c r="BJ274" s="102"/>
      <c r="BK274" s="102"/>
      <c r="BL274" s="102"/>
      <c r="BM274" s="102"/>
      <c r="BN274" s="102"/>
      <c r="BO274" s="102"/>
      <c r="BP274" s="102"/>
      <c r="BQ274" s="102"/>
      <c r="BR274" s="102"/>
      <c r="BS274" s="102"/>
      <c r="BT274" s="102"/>
      <c r="BU274" s="102"/>
      <c r="BV274" s="102"/>
      <c r="BW274" s="102"/>
      <c r="BX274" s="102"/>
      <c r="BY274" s="102"/>
      <c r="BZ274" s="102"/>
      <c r="CA274" s="102"/>
      <c r="CB274" s="102"/>
      <c r="CC274" s="102"/>
      <c r="CD274" s="102"/>
      <c r="CE274"/>
      <c r="CG274" s="102"/>
      <c r="CH274" s="102"/>
      <c r="CI274" s="102"/>
      <c r="CJ274" s="102"/>
      <c r="CK274" s="102"/>
      <c r="CL274" s="102"/>
      <c r="CM274" s="102"/>
      <c r="CN274" s="102"/>
      <c r="CO274" s="153"/>
      <c r="CP274" s="153"/>
      <c r="CQ274" s="154"/>
      <c r="CR274" s="154"/>
      <c r="CS274" s="154"/>
      <c r="CT274" s="154"/>
      <c r="CU274" s="102"/>
      <c r="CV274" s="102"/>
      <c r="CW274" s="102"/>
      <c r="CX274" s="102"/>
    </row>
    <row r="275" spans="2:104" ht="15" customHeight="1" x14ac:dyDescent="0.25">
      <c r="B275" s="37" t="s">
        <v>237</v>
      </c>
      <c r="C275" s="37"/>
      <c r="D275" s="37"/>
      <c r="E275" s="37"/>
      <c r="F275" s="37"/>
      <c r="G275" s="37"/>
      <c r="H275" s="37"/>
      <c r="I275" s="37"/>
      <c r="J275" s="37"/>
      <c r="K275" s="37"/>
      <c r="L275" s="37"/>
      <c r="M275" s="37"/>
      <c r="N275" s="37"/>
      <c r="O275" s="37"/>
      <c r="P275" s="37"/>
      <c r="Q275" s="37"/>
      <c r="R275" s="37"/>
      <c r="AI275" s="73">
        <f t="shared" ref="AI275:BD275" si="331">-AI81*0.05</f>
        <v>-11</v>
      </c>
      <c r="AJ275" s="73">
        <f t="shared" si="331"/>
        <v>-15.5</v>
      </c>
      <c r="AK275" s="73">
        <f t="shared" si="331"/>
        <v>-38.5</v>
      </c>
      <c r="AL275" s="73">
        <f t="shared" si="331"/>
        <v>-17.55</v>
      </c>
      <c r="AM275" s="73">
        <f t="shared" si="331"/>
        <v>-12.404583333333335</v>
      </c>
      <c r="AN275" s="73">
        <f t="shared" si="331"/>
        <v>-19.30104166666667</v>
      </c>
      <c r="AO275" s="73">
        <f t="shared" si="331"/>
        <v>-35.723333333333336</v>
      </c>
      <c r="AP275" s="73">
        <f t="shared" si="331"/>
        <v>-19.021041666666669</v>
      </c>
      <c r="AQ275" s="73">
        <f t="shared" si="331"/>
        <v>-15.956208978734578</v>
      </c>
      <c r="AR275" s="73">
        <f t="shared" si="331"/>
        <v>-17.203911787870833</v>
      </c>
      <c r="AS275" s="73">
        <f t="shared" si="331"/>
        <v>-33.188527172486218</v>
      </c>
      <c r="AT275" s="73">
        <f t="shared" si="331"/>
        <v>-21.001352060908374</v>
      </c>
      <c r="AU275" s="73">
        <f t="shared" si="331"/>
        <v>-16.080771068521923</v>
      </c>
      <c r="AV275" s="73">
        <f t="shared" si="331"/>
        <v>-17.203911787870833</v>
      </c>
      <c r="AW275" s="73">
        <f t="shared" si="331"/>
        <v>-46</v>
      </c>
      <c r="AX275" s="73">
        <f t="shared" si="331"/>
        <v>-27.75</v>
      </c>
      <c r="AY275" s="73">
        <f t="shared" si="331"/>
        <v>-16.206578779207145</v>
      </c>
      <c r="AZ275" s="73">
        <f t="shared" si="331"/>
        <v>-17.405029141506958</v>
      </c>
      <c r="BA275" s="73">
        <f t="shared" si="331"/>
        <v>-53.75</v>
      </c>
      <c r="BB275" s="73">
        <f t="shared" si="331"/>
        <v>-36.352500000000006</v>
      </c>
      <c r="BC275" s="73">
        <f t="shared" si="331"/>
        <v>-21.392683988553429</v>
      </c>
      <c r="BD275" s="73">
        <f t="shared" si="331"/>
        <v>-24.541091089524812</v>
      </c>
      <c r="BE275" s="73">
        <v>0</v>
      </c>
      <c r="BF275" s="73">
        <v>0</v>
      </c>
      <c r="BG275" s="73">
        <v>0</v>
      </c>
      <c r="BH275" s="73">
        <v>0</v>
      </c>
      <c r="CM275" s="29">
        <f t="shared" ref="CM275:CX277" si="332">+SUMIFS($S275:$CD275,$S$5:$CD$5,"&lt;="&amp;CM$5,$S$5:$CD$5,"&gt;"&amp;CL$5)</f>
        <v>0</v>
      </c>
      <c r="CN275" s="29">
        <f t="shared" si="332"/>
        <v>-82.55</v>
      </c>
      <c r="CO275" s="29">
        <f t="shared" si="332"/>
        <v>-86.450000000000017</v>
      </c>
      <c r="CP275" s="29">
        <f t="shared" si="332"/>
        <v>-87.35</v>
      </c>
      <c r="CQ275" s="29">
        <f t="shared" si="332"/>
        <v>-107.03468285639275</v>
      </c>
      <c r="CR275" s="29">
        <f t="shared" si="332"/>
        <v>-123.71410792071411</v>
      </c>
      <c r="CS275" s="29">
        <f t="shared" si="332"/>
        <v>-45.933775078078241</v>
      </c>
      <c r="CT275" s="97">
        <f t="shared" si="332"/>
        <v>0</v>
      </c>
      <c r="CU275" s="97">
        <f t="shared" si="332"/>
        <v>0</v>
      </c>
      <c r="CV275" s="97">
        <f t="shared" si="332"/>
        <v>0</v>
      </c>
      <c r="CW275" s="97">
        <f t="shared" si="332"/>
        <v>0</v>
      </c>
      <c r="CX275" s="97">
        <f t="shared" si="332"/>
        <v>0</v>
      </c>
    </row>
    <row r="276" spans="2:104" ht="15" customHeight="1" x14ac:dyDescent="0.25">
      <c r="B276" s="37" t="s">
        <v>238</v>
      </c>
      <c r="S276" s="87">
        <f t="shared" ref="S276:BF276" si="333">-S535</f>
        <v>-231</v>
      </c>
      <c r="T276" s="87">
        <f t="shared" si="333"/>
        <v>-414</v>
      </c>
      <c r="U276" s="87">
        <f t="shared" si="333"/>
        <v>-388</v>
      </c>
      <c r="V276" s="87">
        <f t="shared" si="333"/>
        <v>-220</v>
      </c>
      <c r="W276" s="87">
        <f t="shared" si="333"/>
        <v>-161</v>
      </c>
      <c r="X276" s="87">
        <f t="shared" si="333"/>
        <v>-397</v>
      </c>
      <c r="Y276" s="87">
        <f t="shared" si="333"/>
        <v>-534</v>
      </c>
      <c r="Z276" s="87">
        <f t="shared" si="333"/>
        <v>-213</v>
      </c>
      <c r="AA276" s="87">
        <f t="shared" si="333"/>
        <v>-165</v>
      </c>
      <c r="AB276" s="87">
        <f t="shared" si="333"/>
        <v>-388</v>
      </c>
      <c r="AC276" s="87">
        <f t="shared" si="333"/>
        <v>-498</v>
      </c>
      <c r="AD276" s="87">
        <f t="shared" si="333"/>
        <v>-201</v>
      </c>
      <c r="AE276" s="87">
        <f t="shared" si="333"/>
        <v>-153</v>
      </c>
      <c r="AF276" s="87">
        <f t="shared" si="333"/>
        <v>-388</v>
      </c>
      <c r="AG276" s="87">
        <f t="shared" si="333"/>
        <v>-500</v>
      </c>
      <c r="AH276" s="87">
        <f t="shared" si="333"/>
        <v>-231</v>
      </c>
      <c r="AI276" s="87">
        <f t="shared" si="333"/>
        <v>-213</v>
      </c>
      <c r="AJ276" s="87">
        <f t="shared" si="333"/>
        <v>-416</v>
      </c>
      <c r="AK276" s="87">
        <f t="shared" si="333"/>
        <v>-411</v>
      </c>
      <c r="AL276" s="87">
        <f t="shared" si="333"/>
        <v>-274</v>
      </c>
      <c r="AM276" s="87">
        <f t="shared" si="333"/>
        <v>-184</v>
      </c>
      <c r="AN276" s="87">
        <f t="shared" si="333"/>
        <v>-402</v>
      </c>
      <c r="AO276" s="87">
        <f t="shared" si="333"/>
        <v>-502</v>
      </c>
      <c r="AP276" s="87">
        <f t="shared" si="333"/>
        <v>-265</v>
      </c>
      <c r="AQ276" s="87">
        <f t="shared" si="333"/>
        <v>-287</v>
      </c>
      <c r="AR276" s="87">
        <f t="shared" si="333"/>
        <v>-284</v>
      </c>
      <c r="AS276" s="87">
        <f t="shared" si="333"/>
        <v>-600</v>
      </c>
      <c r="AT276" s="87">
        <f t="shared" si="333"/>
        <v>-314</v>
      </c>
      <c r="AU276" s="87">
        <f t="shared" si="333"/>
        <v>-292</v>
      </c>
      <c r="AV276" s="87">
        <f t="shared" si="333"/>
        <v>-470</v>
      </c>
      <c r="AW276" s="87">
        <f t="shared" si="333"/>
        <v>-586</v>
      </c>
      <c r="AX276" s="87">
        <f t="shared" si="333"/>
        <v>-372</v>
      </c>
      <c r="AY276" s="87">
        <f t="shared" si="333"/>
        <v>-282</v>
      </c>
      <c r="AZ276" s="87">
        <f t="shared" si="333"/>
        <v>-422</v>
      </c>
      <c r="BA276" s="87">
        <f t="shared" si="333"/>
        <v>-540</v>
      </c>
      <c r="BB276" s="87">
        <f t="shared" si="333"/>
        <v>-421</v>
      </c>
      <c r="BC276" s="87">
        <f t="shared" si="333"/>
        <v>-350</v>
      </c>
      <c r="BD276" s="87">
        <f t="shared" si="333"/>
        <v>-439</v>
      </c>
      <c r="BE276" s="87">
        <f t="shared" si="333"/>
        <v>-511</v>
      </c>
      <c r="BF276" s="87">
        <f t="shared" si="333"/>
        <v>-326</v>
      </c>
      <c r="BG276" s="74">
        <f>-263+10+4</f>
        <v>-249</v>
      </c>
      <c r="BH276" s="74">
        <f>-456+10+4</f>
        <v>-442</v>
      </c>
      <c r="BI276" s="24">
        <f t="shared" ref="BI276:CD276" si="334">+BI290-BI259</f>
        <v>-432.22567901161779</v>
      </c>
      <c r="BJ276" s="24">
        <f t="shared" si="334"/>
        <v>-302.95410327205309</v>
      </c>
      <c r="BK276" s="24">
        <f t="shared" si="334"/>
        <v>-241.80532538465877</v>
      </c>
      <c r="BL276" s="24">
        <f t="shared" si="334"/>
        <v>-454.93373136137188</v>
      </c>
      <c r="BM276" s="24">
        <f t="shared" si="334"/>
        <v>-480.89862132457802</v>
      </c>
      <c r="BN276" s="24">
        <f t="shared" si="334"/>
        <v>-308.01704116746782</v>
      </c>
      <c r="BO276" s="24">
        <f t="shared" si="334"/>
        <v>-310.85505216104207</v>
      </c>
      <c r="BP276" s="24">
        <f t="shared" si="334"/>
        <v>-465.69264691927015</v>
      </c>
      <c r="BQ276" s="24">
        <f t="shared" si="334"/>
        <v>-457.32739689086225</v>
      </c>
      <c r="BR276" s="24">
        <f t="shared" si="334"/>
        <v>-318.58887546552</v>
      </c>
      <c r="BS276" s="24">
        <f t="shared" si="334"/>
        <v>-311.46378067855744</v>
      </c>
      <c r="BT276" s="24">
        <f t="shared" si="334"/>
        <v>-471.00523797472783</v>
      </c>
      <c r="BU276" s="24">
        <f t="shared" si="334"/>
        <v>-460.84771566406857</v>
      </c>
      <c r="BV276" s="24">
        <f t="shared" si="334"/>
        <v>-320.29163958420168</v>
      </c>
      <c r="BW276" s="24">
        <f t="shared" si="334"/>
        <v>-317.90994797631197</v>
      </c>
      <c r="BX276" s="24">
        <f t="shared" si="334"/>
        <v>-462.03226455163326</v>
      </c>
      <c r="BY276" s="24">
        <f t="shared" si="334"/>
        <v>-463.19835918310991</v>
      </c>
      <c r="BZ276" s="24">
        <f t="shared" si="334"/>
        <v>-325.88270113409044</v>
      </c>
      <c r="CA276" s="24">
        <f t="shared" si="334"/>
        <v>-291.82469681293264</v>
      </c>
      <c r="CB276" s="24">
        <f t="shared" si="334"/>
        <v>-425.90329089836064</v>
      </c>
      <c r="CC276" s="24">
        <f t="shared" si="334"/>
        <v>-414.79972023110304</v>
      </c>
      <c r="CD276" s="24">
        <f t="shared" si="334"/>
        <v>-289.39306129247393</v>
      </c>
      <c r="CG276" s="29"/>
      <c r="CH276" s="29"/>
      <c r="CI276" s="29"/>
      <c r="CJ276" s="29">
        <f>+SUMIFS($S276:$CD276,$S$5:$CD$5,"&lt;="&amp;CJ$5,$S$5:$CD$5,"&gt;"&amp;CI$5)</f>
        <v>-1253</v>
      </c>
      <c r="CK276" s="29">
        <f>+SUMIFS($S276:$CD276,$S$5:$CD$5,"&lt;="&amp;CK$5,$S$5:$CD$5,"&gt;"&amp;CJ$5)</f>
        <v>-1305</v>
      </c>
      <c r="CL276" s="29">
        <f>+SUMIFS($S276:$CD276,$S$5:$CD$5,"&lt;="&amp;CL$5,$S$5:$CD$5,"&gt;"&amp;CK$5)</f>
        <v>-1252</v>
      </c>
      <c r="CM276" s="29">
        <f t="shared" si="332"/>
        <v>-1272</v>
      </c>
      <c r="CN276" s="29">
        <f t="shared" si="332"/>
        <v>-1314</v>
      </c>
      <c r="CO276" s="29">
        <f t="shared" si="332"/>
        <v>-1353</v>
      </c>
      <c r="CP276" s="29">
        <f t="shared" si="332"/>
        <v>-1485</v>
      </c>
      <c r="CQ276" s="29">
        <f t="shared" si="332"/>
        <v>-1720</v>
      </c>
      <c r="CR276" s="29">
        <f t="shared" si="332"/>
        <v>-1665</v>
      </c>
      <c r="CS276" s="29">
        <f t="shared" si="332"/>
        <v>-1626</v>
      </c>
      <c r="CT276" s="97">
        <f t="shared" si="332"/>
        <v>-1426.1797822836709</v>
      </c>
      <c r="CU276" s="97">
        <f t="shared" si="332"/>
        <v>-1485.6547192380765</v>
      </c>
      <c r="CV276" s="97">
        <f t="shared" si="332"/>
        <v>-1552.4639714366945</v>
      </c>
      <c r="CW276" s="97">
        <f t="shared" si="332"/>
        <v>-1563.6083739015555</v>
      </c>
      <c r="CX276" s="97">
        <f t="shared" si="332"/>
        <v>-1569.0232728451456</v>
      </c>
    </row>
    <row r="277" spans="2:104" ht="15" customHeight="1" x14ac:dyDescent="0.25">
      <c r="B277" s="42" t="s">
        <v>239</v>
      </c>
      <c r="C277" s="37"/>
      <c r="D277" s="37"/>
      <c r="E277" s="37"/>
      <c r="F277" s="37"/>
      <c r="G277" s="37"/>
      <c r="H277" s="37"/>
      <c r="I277" s="37"/>
      <c r="J277" s="37"/>
      <c r="K277" s="37"/>
      <c r="L277" s="37"/>
      <c r="M277" s="37"/>
      <c r="N277" s="37"/>
      <c r="O277" s="37"/>
      <c r="P277" s="37"/>
      <c r="Q277" s="37"/>
      <c r="R277" s="37"/>
      <c r="T277" s="82"/>
      <c r="U277" s="82"/>
      <c r="V277" s="82"/>
      <c r="W277" s="82"/>
      <c r="X277" s="82"/>
      <c r="Y277" s="82"/>
      <c r="Z277" s="82"/>
      <c r="AA277" s="82"/>
      <c r="AB277" s="82"/>
      <c r="AC277" s="82"/>
      <c r="AD277" s="82"/>
      <c r="AE277" s="82"/>
      <c r="AF277" s="82"/>
      <c r="AG277" s="82"/>
      <c r="AH277" s="82"/>
      <c r="AI277" s="24">
        <f t="shared" ref="AI277:CD277" si="335">+AI276-AI275</f>
        <v>-202</v>
      </c>
      <c r="AJ277" s="24">
        <f t="shared" si="335"/>
        <v>-400.5</v>
      </c>
      <c r="AK277" s="24">
        <f t="shared" si="335"/>
        <v>-372.5</v>
      </c>
      <c r="AL277" s="24">
        <f t="shared" si="335"/>
        <v>-256.45</v>
      </c>
      <c r="AM277" s="24">
        <f t="shared" si="335"/>
        <v>-171.59541666666667</v>
      </c>
      <c r="AN277" s="24">
        <f t="shared" si="335"/>
        <v>-382.69895833333334</v>
      </c>
      <c r="AO277" s="24">
        <f t="shared" si="335"/>
        <v>-466.27666666666664</v>
      </c>
      <c r="AP277" s="24">
        <f t="shared" si="335"/>
        <v>-245.97895833333334</v>
      </c>
      <c r="AQ277" s="24">
        <f t="shared" si="335"/>
        <v>-271.04379102126541</v>
      </c>
      <c r="AR277" s="24">
        <f t="shared" si="335"/>
        <v>-266.79608821212918</v>
      </c>
      <c r="AS277" s="24">
        <f t="shared" si="335"/>
        <v>-566.81147282751374</v>
      </c>
      <c r="AT277" s="24">
        <f t="shared" si="335"/>
        <v>-292.9986479390916</v>
      </c>
      <c r="AU277" s="24">
        <f t="shared" si="335"/>
        <v>-275.91922893147807</v>
      </c>
      <c r="AV277" s="24">
        <f t="shared" si="335"/>
        <v>-452.79608821212918</v>
      </c>
      <c r="AW277" s="24">
        <f t="shared" si="335"/>
        <v>-540</v>
      </c>
      <c r="AX277" s="24">
        <f t="shared" si="335"/>
        <v>-344.25</v>
      </c>
      <c r="AY277" s="24">
        <f t="shared" si="335"/>
        <v>-265.79342122079288</v>
      </c>
      <c r="AZ277" s="24">
        <f t="shared" si="335"/>
        <v>-404.59497085849307</v>
      </c>
      <c r="BA277" s="24">
        <f t="shared" si="335"/>
        <v>-486.25</v>
      </c>
      <c r="BB277" s="24">
        <f t="shared" si="335"/>
        <v>-384.64749999999998</v>
      </c>
      <c r="BC277" s="24">
        <f t="shared" si="335"/>
        <v>-328.60731601144658</v>
      </c>
      <c r="BD277" s="24">
        <f t="shared" si="335"/>
        <v>-414.4589089104752</v>
      </c>
      <c r="BE277" s="24">
        <f t="shared" si="335"/>
        <v>-511</v>
      </c>
      <c r="BF277" s="24">
        <f t="shared" si="335"/>
        <v>-326</v>
      </c>
      <c r="BG277" s="24">
        <f t="shared" si="335"/>
        <v>-249</v>
      </c>
      <c r="BH277" s="24">
        <f t="shared" si="335"/>
        <v>-442</v>
      </c>
      <c r="BI277" s="24">
        <f t="shared" si="335"/>
        <v>-432.22567901161779</v>
      </c>
      <c r="BJ277" s="24">
        <f t="shared" si="335"/>
        <v>-302.95410327205309</v>
      </c>
      <c r="BK277" s="24">
        <f t="shared" si="335"/>
        <v>-241.80532538465877</v>
      </c>
      <c r="BL277" s="24">
        <f t="shared" si="335"/>
        <v>-454.93373136137188</v>
      </c>
      <c r="BM277" s="24">
        <f t="shared" si="335"/>
        <v>-480.89862132457802</v>
      </c>
      <c r="BN277" s="24">
        <f t="shared" si="335"/>
        <v>-308.01704116746782</v>
      </c>
      <c r="BO277" s="24">
        <f t="shared" si="335"/>
        <v>-310.85505216104207</v>
      </c>
      <c r="BP277" s="24">
        <f t="shared" si="335"/>
        <v>-465.69264691927015</v>
      </c>
      <c r="BQ277" s="24">
        <f t="shared" si="335"/>
        <v>-457.32739689086225</v>
      </c>
      <c r="BR277" s="24">
        <f t="shared" si="335"/>
        <v>-318.58887546552</v>
      </c>
      <c r="BS277" s="24">
        <f t="shared" si="335"/>
        <v>-311.46378067855744</v>
      </c>
      <c r="BT277" s="24">
        <f t="shared" si="335"/>
        <v>-471.00523797472783</v>
      </c>
      <c r="BU277" s="24">
        <f t="shared" si="335"/>
        <v>-460.84771566406857</v>
      </c>
      <c r="BV277" s="24">
        <f t="shared" si="335"/>
        <v>-320.29163958420168</v>
      </c>
      <c r="BW277" s="24">
        <f t="shared" si="335"/>
        <v>-317.90994797631197</v>
      </c>
      <c r="BX277" s="24">
        <f t="shared" si="335"/>
        <v>-462.03226455163326</v>
      </c>
      <c r="BY277" s="24">
        <f t="shared" si="335"/>
        <v>-463.19835918310991</v>
      </c>
      <c r="BZ277" s="24">
        <f t="shared" si="335"/>
        <v>-325.88270113409044</v>
      </c>
      <c r="CA277" s="24">
        <f t="shared" si="335"/>
        <v>-291.82469681293264</v>
      </c>
      <c r="CB277" s="24">
        <f t="shared" si="335"/>
        <v>-425.90329089836064</v>
      </c>
      <c r="CC277" s="24">
        <f t="shared" si="335"/>
        <v>-414.79972023110304</v>
      </c>
      <c r="CD277" s="24">
        <f t="shared" si="335"/>
        <v>-289.39306129247393</v>
      </c>
      <c r="CG277" s="82"/>
      <c r="CH277" s="82"/>
      <c r="CI277" s="82"/>
      <c r="CJ277" s="82"/>
      <c r="CK277" s="82"/>
      <c r="CL277" s="82"/>
      <c r="CM277" s="29">
        <f t="shared" si="332"/>
        <v>0</v>
      </c>
      <c r="CN277" s="29">
        <f t="shared" si="332"/>
        <v>-1231.45</v>
      </c>
      <c r="CO277" s="29">
        <f t="shared" si="332"/>
        <v>-1266.55</v>
      </c>
      <c r="CP277" s="29">
        <f t="shared" si="332"/>
        <v>-1397.6499999999999</v>
      </c>
      <c r="CQ277" s="29">
        <f t="shared" si="332"/>
        <v>-1612.9653171436073</v>
      </c>
      <c r="CR277" s="29">
        <f t="shared" si="332"/>
        <v>-1541.285892079286</v>
      </c>
      <c r="CS277" s="29">
        <f t="shared" si="332"/>
        <v>-1580.0662249219217</v>
      </c>
      <c r="CT277" s="97">
        <f t="shared" si="332"/>
        <v>-1426.1797822836709</v>
      </c>
      <c r="CU277" s="97">
        <f t="shared" si="332"/>
        <v>-1485.6547192380765</v>
      </c>
      <c r="CV277" s="97">
        <f t="shared" si="332"/>
        <v>-1552.4639714366945</v>
      </c>
      <c r="CW277" s="97">
        <f t="shared" si="332"/>
        <v>-1563.6083739015555</v>
      </c>
      <c r="CX277" s="97">
        <f t="shared" si="332"/>
        <v>-1569.0232728451456</v>
      </c>
    </row>
    <row r="278" spans="2:104" ht="15" customHeight="1" x14ac:dyDescent="0.25">
      <c r="B278" s="37" t="s">
        <v>240</v>
      </c>
      <c r="C278" s="37"/>
      <c r="D278" s="37"/>
      <c r="E278" s="37"/>
      <c r="F278" s="37"/>
      <c r="G278" s="37"/>
      <c r="H278" s="37"/>
      <c r="I278" s="37"/>
      <c r="J278" s="37"/>
      <c r="K278" s="37"/>
      <c r="L278" s="37"/>
      <c r="M278" s="37"/>
      <c r="N278" s="37"/>
      <c r="O278" s="37"/>
      <c r="P278" s="37"/>
      <c r="Q278" s="37"/>
      <c r="R278" s="37"/>
      <c r="S278" s="82">
        <f t="shared" ref="S278:CD278" si="336">-(S277/S$259)</f>
        <v>0</v>
      </c>
      <c r="T278" s="82">
        <f t="shared" si="336"/>
        <v>0</v>
      </c>
      <c r="U278" s="82">
        <f t="shared" si="336"/>
        <v>0</v>
      </c>
      <c r="V278" s="82">
        <f t="shared" si="336"/>
        <v>0</v>
      </c>
      <c r="W278" s="82">
        <f t="shared" si="336"/>
        <v>0</v>
      </c>
      <c r="X278" s="82">
        <f t="shared" si="336"/>
        <v>0</v>
      </c>
      <c r="Y278" s="82">
        <f t="shared" si="336"/>
        <v>0</v>
      </c>
      <c r="Z278" s="82">
        <f t="shared" si="336"/>
        <v>0</v>
      </c>
      <c r="AA278" s="82">
        <f t="shared" si="336"/>
        <v>0</v>
      </c>
      <c r="AB278" s="82">
        <f t="shared" si="336"/>
        <v>0</v>
      </c>
      <c r="AC278" s="82">
        <f t="shared" si="336"/>
        <v>0</v>
      </c>
      <c r="AD278" s="82">
        <f t="shared" si="336"/>
        <v>0</v>
      </c>
      <c r="AE278" s="82">
        <f t="shared" si="336"/>
        <v>0</v>
      </c>
      <c r="AF278" s="82">
        <f t="shared" si="336"/>
        <v>0</v>
      </c>
      <c r="AG278" s="82">
        <f t="shared" si="336"/>
        <v>0</v>
      </c>
      <c r="AH278" s="82">
        <f t="shared" si="336"/>
        <v>0</v>
      </c>
      <c r="AI278" s="82">
        <f t="shared" si="336"/>
        <v>0.25313283208020049</v>
      </c>
      <c r="AJ278" s="82">
        <f t="shared" si="336"/>
        <v>0.31635071090047395</v>
      </c>
      <c r="AK278" s="82">
        <f t="shared" si="336"/>
        <v>0.2248038624019312</v>
      </c>
      <c r="AL278" s="82">
        <f t="shared" si="336"/>
        <v>0.18175053153791637</v>
      </c>
      <c r="AM278" s="82">
        <f t="shared" si="336"/>
        <v>0.21943147911338448</v>
      </c>
      <c r="AN278" s="82">
        <f t="shared" si="336"/>
        <v>0.29146912287382587</v>
      </c>
      <c r="AO278" s="82">
        <f t="shared" si="336"/>
        <v>0.23071581725218537</v>
      </c>
      <c r="AP278" s="82">
        <f t="shared" si="336"/>
        <v>0.19584311969214438</v>
      </c>
      <c r="AQ278" s="82">
        <f t="shared" si="336"/>
        <v>0.19499553310882403</v>
      </c>
      <c r="AR278" s="82">
        <f t="shared" si="336"/>
        <v>0.29318251451882327</v>
      </c>
      <c r="AS278" s="82">
        <f t="shared" si="336"/>
        <v>0.23617144701146406</v>
      </c>
      <c r="AT278" s="82">
        <f t="shared" si="336"/>
        <v>0.19664338787858496</v>
      </c>
      <c r="AU278" s="82">
        <f t="shared" si="336"/>
        <v>0.20652636896068718</v>
      </c>
      <c r="AV278" s="82">
        <f t="shared" si="336"/>
        <v>0.24462241394496445</v>
      </c>
      <c r="AW278" s="82">
        <f t="shared" si="336"/>
        <v>0.20954598370197905</v>
      </c>
      <c r="AX278" s="82">
        <f t="shared" si="336"/>
        <v>0.19660194174757281</v>
      </c>
      <c r="AY278" s="82">
        <f t="shared" si="336"/>
        <v>0.20461387314918619</v>
      </c>
      <c r="AZ278" s="82">
        <f t="shared" si="336"/>
        <v>0.23066988076310893</v>
      </c>
      <c r="BA278" s="82">
        <f t="shared" si="336"/>
        <v>0.20762169086251067</v>
      </c>
      <c r="BB278" s="82">
        <f t="shared" si="336"/>
        <v>0.19766058581706061</v>
      </c>
      <c r="BC278" s="82">
        <f t="shared" si="336"/>
        <v>0.20824291255478236</v>
      </c>
      <c r="BD278" s="82">
        <f t="shared" si="336"/>
        <v>0.22772467522553583</v>
      </c>
      <c r="BE278" s="82">
        <f t="shared" si="336"/>
        <v>0.21597633136094674</v>
      </c>
      <c r="BF278" s="82">
        <f t="shared" si="336"/>
        <v>0.19567827130852342</v>
      </c>
      <c r="BG278" s="82">
        <f t="shared" si="336"/>
        <v>0.19730586370839936</v>
      </c>
      <c r="BH278" s="82">
        <f t="shared" si="336"/>
        <v>0.2126022126022126</v>
      </c>
      <c r="BI278" s="82">
        <f t="shared" si="336"/>
        <v>0.18500000000000005</v>
      </c>
      <c r="BJ278" s="82">
        <f t="shared" si="336"/>
        <v>0.19</v>
      </c>
      <c r="BK278" s="82">
        <f t="shared" si="336"/>
        <v>0.19722681390001104</v>
      </c>
      <c r="BL278" s="82">
        <f t="shared" si="336"/>
        <v>0.21222203810127382</v>
      </c>
      <c r="BM278" s="82">
        <f t="shared" si="336"/>
        <v>0.18641506483298267</v>
      </c>
      <c r="BN278" s="82">
        <f t="shared" si="336"/>
        <v>0.19015628184755107</v>
      </c>
      <c r="BO278" s="82">
        <f t="shared" si="336"/>
        <v>0.19783615252857872</v>
      </c>
      <c r="BP278" s="82">
        <f t="shared" si="336"/>
        <v>0.21192283883867236</v>
      </c>
      <c r="BQ278" s="82">
        <f t="shared" si="336"/>
        <v>0.18576471695364041</v>
      </c>
      <c r="BR278" s="82">
        <f t="shared" si="336"/>
        <v>0.19046735997595077</v>
      </c>
      <c r="BS278" s="82">
        <f t="shared" si="336"/>
        <v>0.19784033591118491</v>
      </c>
      <c r="BT278" s="82">
        <f t="shared" si="336"/>
        <v>0.21178043681288145</v>
      </c>
      <c r="BU278" s="82">
        <f t="shared" si="336"/>
        <v>0.18586577248378058</v>
      </c>
      <c r="BV278" s="82">
        <f t="shared" si="336"/>
        <v>0.19051563502321428</v>
      </c>
      <c r="BW278" s="82">
        <f t="shared" si="336"/>
        <v>0.1963953626734464</v>
      </c>
      <c r="BX278" s="82">
        <f t="shared" si="336"/>
        <v>0.20216575098968459</v>
      </c>
      <c r="BY278" s="82">
        <f t="shared" si="336"/>
        <v>0.18082209367416652</v>
      </c>
      <c r="BZ278" s="82">
        <f t="shared" si="336"/>
        <v>0.18694579310967058</v>
      </c>
      <c r="CA278" s="82">
        <f t="shared" si="336"/>
        <v>0.17517332918634465</v>
      </c>
      <c r="CB278" s="82">
        <f t="shared" si="336"/>
        <v>0.18121106876855378</v>
      </c>
      <c r="CC278" s="82">
        <f t="shared" si="336"/>
        <v>0.15663045084948429</v>
      </c>
      <c r="CD278" s="82">
        <f t="shared" si="336"/>
        <v>0.15999282787969243</v>
      </c>
      <c r="CG278" s="82"/>
      <c r="CH278" s="82"/>
      <c r="CI278" s="82"/>
      <c r="CJ278" s="82">
        <f t="shared" ref="CJ278:CP278" si="337">-(CJ277/CJ$259)</f>
        <v>0</v>
      </c>
      <c r="CK278" s="82">
        <f t="shared" si="337"/>
        <v>0</v>
      </c>
      <c r="CL278" s="82">
        <f t="shared" si="337"/>
        <v>0</v>
      </c>
      <c r="CM278" s="82">
        <f t="shared" si="337"/>
        <v>0</v>
      </c>
      <c r="CN278" s="82">
        <f t="shared" si="337"/>
        <v>0.2399551831644583</v>
      </c>
      <c r="CO278" s="82">
        <f t="shared" si="337"/>
        <v>0.23576880119136262</v>
      </c>
      <c r="CP278" s="82">
        <f t="shared" si="337"/>
        <v>0.22579159935379642</v>
      </c>
      <c r="CQ278" s="82">
        <f>-(CQ277/CQ$259)</f>
        <v>0.21463277673234959</v>
      </c>
      <c r="CR278" s="82">
        <f t="shared" ref="CR278:CX278" si="338">-(CR277/CR$259)</f>
        <v>0.20995584962256994</v>
      </c>
      <c r="CS278" s="82">
        <f t="shared" si="338"/>
        <v>0.21266032636903387</v>
      </c>
      <c r="CT278" s="108">
        <f t="shared" si="338"/>
        <v>0.19612336929968727</v>
      </c>
      <c r="CU278" s="108">
        <f t="shared" si="338"/>
        <v>0.19627567179227906</v>
      </c>
      <c r="CV278" s="108">
        <f t="shared" si="338"/>
        <v>0.19643308735774404</v>
      </c>
      <c r="CW278" s="108">
        <f t="shared" si="338"/>
        <v>0.19645805980635841</v>
      </c>
      <c r="CX278" s="108">
        <f t="shared" si="338"/>
        <v>0.19113554881711578</v>
      </c>
    </row>
    <row r="279" spans="2:104" ht="15" customHeight="1" x14ac:dyDescent="0.25">
      <c r="B279" s="37" t="s">
        <v>170</v>
      </c>
      <c r="C279" s="37"/>
      <c r="D279" s="37"/>
      <c r="E279" s="37"/>
      <c r="F279" s="37"/>
      <c r="G279" s="37"/>
      <c r="H279" s="37"/>
      <c r="I279" s="37"/>
      <c r="J279" s="37"/>
      <c r="K279" s="37"/>
      <c r="L279" s="37"/>
      <c r="M279" s="37"/>
      <c r="N279" s="37"/>
      <c r="O279" s="37"/>
      <c r="P279" s="37"/>
      <c r="Q279" s="37"/>
      <c r="R279" s="37"/>
      <c r="W279" s="82" t="str">
        <f>+IFERROR(W277/S277-1,"")</f>
        <v/>
      </c>
      <c r="X279" s="82" t="str">
        <f t="shared" ref="X279:BB279" si="339">+IFERROR(X277/T277-1,"")</f>
        <v/>
      </c>
      <c r="Y279" s="82" t="str">
        <f t="shared" si="339"/>
        <v/>
      </c>
      <c r="Z279" s="82" t="str">
        <f t="shared" si="339"/>
        <v/>
      </c>
      <c r="AA279" s="82" t="str">
        <f t="shared" si="339"/>
        <v/>
      </c>
      <c r="AB279" s="82" t="str">
        <f t="shared" si="339"/>
        <v/>
      </c>
      <c r="AC279" s="82" t="str">
        <f t="shared" si="339"/>
        <v/>
      </c>
      <c r="AD279" s="82" t="str">
        <f t="shared" si="339"/>
        <v/>
      </c>
      <c r="AE279" s="82" t="str">
        <f t="shared" si="339"/>
        <v/>
      </c>
      <c r="AF279" s="82" t="str">
        <f t="shared" si="339"/>
        <v/>
      </c>
      <c r="AG279" s="82" t="str">
        <f t="shared" si="339"/>
        <v/>
      </c>
      <c r="AH279" s="82" t="str">
        <f t="shared" si="339"/>
        <v/>
      </c>
      <c r="AI279" s="82" t="str">
        <f t="shared" si="339"/>
        <v/>
      </c>
      <c r="AJ279" s="82" t="str">
        <f t="shared" si="339"/>
        <v/>
      </c>
      <c r="AK279" s="82" t="str">
        <f t="shared" si="339"/>
        <v/>
      </c>
      <c r="AL279" s="82" t="str">
        <f t="shared" si="339"/>
        <v/>
      </c>
      <c r="AM279" s="82">
        <f t="shared" si="339"/>
        <v>-0.15051773927392742</v>
      </c>
      <c r="AN279" s="82">
        <f t="shared" si="339"/>
        <v>-4.4447045359966686E-2</v>
      </c>
      <c r="AO279" s="82">
        <f t="shared" si="339"/>
        <v>0.25174944071588357</v>
      </c>
      <c r="AP279" s="82">
        <f t="shared" si="339"/>
        <v>-4.0830733736270775E-2</v>
      </c>
      <c r="AQ279" s="82">
        <f t="shared" si="339"/>
        <v>0.57955146056017659</v>
      </c>
      <c r="AR279" s="82">
        <f t="shared" si="339"/>
        <v>-0.30285650796115304</v>
      </c>
      <c r="AS279" s="82">
        <f t="shared" si="339"/>
        <v>0.21561191744711028</v>
      </c>
      <c r="AT279" s="82">
        <f t="shared" si="339"/>
        <v>0.19115329995844799</v>
      </c>
      <c r="AU279" s="82">
        <f t="shared" si="339"/>
        <v>1.7987639162817537E-2</v>
      </c>
      <c r="AV279" s="82">
        <f t="shared" si="339"/>
        <v>0.6971616459837735</v>
      </c>
      <c r="AW279" s="82">
        <f t="shared" si="339"/>
        <v>-4.7302276176178881E-2</v>
      </c>
      <c r="AX279" s="82">
        <f t="shared" si="339"/>
        <v>0.17492009748646531</v>
      </c>
      <c r="AY279" s="82">
        <f t="shared" si="339"/>
        <v>-3.6698448853667354E-2</v>
      </c>
      <c r="AZ279" s="82">
        <f t="shared" si="339"/>
        <v>-0.10645215055624446</v>
      </c>
      <c r="BA279" s="82">
        <f t="shared" si="339"/>
        <v>-9.953703703703709E-2</v>
      </c>
      <c r="BB279" s="82">
        <f t="shared" si="339"/>
        <v>0.11734931009440808</v>
      </c>
      <c r="BC279" s="82">
        <f>+IFERROR(BC277/AY277-1,"")</f>
        <v>0.23632599521142628</v>
      </c>
      <c r="BD279" s="82">
        <f t="shared" ref="BD279:BF279" si="340">+IFERROR(BD277/AZ277-1,"")</f>
        <v>2.4379784135853733E-2</v>
      </c>
      <c r="BE279" s="82">
        <f t="shared" si="340"/>
        <v>5.0899742930591296E-2</v>
      </c>
      <c r="BF279" s="82">
        <f t="shared" si="340"/>
        <v>-0.15247076869081422</v>
      </c>
      <c r="BG279" s="82">
        <f>+IFERROR(BG277/BC277-1,"")</f>
        <v>-0.2422566757724699</v>
      </c>
      <c r="BH279" s="82">
        <f t="shared" ref="BH279:BV279" si="341">+IFERROR(BH277/BD277-1,"")</f>
        <v>6.6450715613580291E-2</v>
      </c>
      <c r="BI279" s="82">
        <f t="shared" si="341"/>
        <v>-0.15415718393029787</v>
      </c>
      <c r="BJ279" s="82">
        <f t="shared" si="341"/>
        <v>-7.0692934748303404E-2</v>
      </c>
      <c r="BK279" s="82">
        <f t="shared" si="341"/>
        <v>-2.8894275563619343E-2</v>
      </c>
      <c r="BL279" s="82">
        <f t="shared" si="341"/>
        <v>2.9261835659212476E-2</v>
      </c>
      <c r="BM279" s="82">
        <f t="shared" si="341"/>
        <v>0.11261001989576824</v>
      </c>
      <c r="BN279" s="82">
        <f t="shared" si="341"/>
        <v>1.6711897415260246E-2</v>
      </c>
      <c r="BO279" s="82">
        <f t="shared" si="341"/>
        <v>0.2855591648634721</v>
      </c>
      <c r="BP279" s="82">
        <f t="shared" si="341"/>
        <v>2.3649412686332694E-2</v>
      </c>
      <c r="BQ279" s="82">
        <f t="shared" si="341"/>
        <v>-4.9014955311769581E-2</v>
      </c>
      <c r="BR279" s="82">
        <f t="shared" si="341"/>
        <v>3.4322238334548283E-2</v>
      </c>
      <c r="BS279" s="82">
        <f t="shared" si="341"/>
        <v>1.9582390998105215E-3</v>
      </c>
      <c r="BT279" s="82">
        <f t="shared" si="341"/>
        <v>1.140793416130248E-2</v>
      </c>
      <c r="BU279" s="82">
        <f t="shared" si="341"/>
        <v>7.6975899478999299E-3</v>
      </c>
      <c r="BV279" s="82">
        <f t="shared" si="341"/>
        <v>5.3447067672831583E-3</v>
      </c>
      <c r="BW279" s="82">
        <f t="shared" ref="BW279:CD279" si="342">+IFERROR(BW277/BO277-1,"")</f>
        <v>2.2695129984939166E-2</v>
      </c>
      <c r="BX279" s="82">
        <f t="shared" si="342"/>
        <v>-7.8600819485806772E-3</v>
      </c>
      <c r="BY279" s="82">
        <f t="shared" si="342"/>
        <v>1.2837547744048106E-2</v>
      </c>
      <c r="BZ279" s="82">
        <f t="shared" si="342"/>
        <v>2.2894163074315577E-2</v>
      </c>
      <c r="CA279" s="82">
        <f t="shared" si="342"/>
        <v>-6.3054149740425447E-2</v>
      </c>
      <c r="CB279" s="82">
        <f t="shared" si="342"/>
        <v>-9.5756784511146331E-2</v>
      </c>
      <c r="CC279" s="82">
        <f t="shared" si="342"/>
        <v>-9.9920198946004679E-2</v>
      </c>
      <c r="CD279" s="82">
        <f t="shared" si="342"/>
        <v>-9.6470136816058871E-2</v>
      </c>
      <c r="CG279" s="82"/>
      <c r="CH279" s="82"/>
      <c r="CI279" s="82"/>
      <c r="CJ279" s="82" t="str">
        <f t="shared" ref="CJ279:CP279" si="343">+IFERROR(CJ277/CI277-1,"")</f>
        <v/>
      </c>
      <c r="CK279" s="82" t="str">
        <f t="shared" si="343"/>
        <v/>
      </c>
      <c r="CL279" s="82" t="str">
        <f t="shared" si="343"/>
        <v/>
      </c>
      <c r="CM279" s="82" t="str">
        <f t="shared" si="343"/>
        <v/>
      </c>
      <c r="CN279" s="82" t="str">
        <f t="shared" si="343"/>
        <v/>
      </c>
      <c r="CO279" s="82">
        <f t="shared" si="343"/>
        <v>2.8502984286816302E-2</v>
      </c>
      <c r="CP279" s="82">
        <f t="shared" si="343"/>
        <v>0.10350953377284733</v>
      </c>
      <c r="CQ279" s="82">
        <f>+IFERROR(CQ277/CP277-1,"")</f>
        <v>0.15405524784002256</v>
      </c>
      <c r="CR279" s="82">
        <f>+IFERROR(CR277/CQ277-1,"")</f>
        <v>-4.4439532767671652E-2</v>
      </c>
      <c r="CS279" s="82">
        <f t="shared" ref="CS279:CX279" si="344">+IFERROR(CS277/CR277-1,"")</f>
        <v>2.5161024986946945E-2</v>
      </c>
      <c r="CT279" s="108">
        <f t="shared" si="344"/>
        <v>-9.7392400527930412E-2</v>
      </c>
      <c r="CU279" s="108">
        <f t="shared" si="344"/>
        <v>4.1702271826607573E-2</v>
      </c>
      <c r="CV279" s="108">
        <f t="shared" si="344"/>
        <v>4.4969568859769327E-2</v>
      </c>
      <c r="CW279" s="108">
        <f t="shared" si="344"/>
        <v>7.1785256662335595E-3</v>
      </c>
      <c r="CX279" s="108">
        <f t="shared" si="344"/>
        <v>3.4630787567853094E-3</v>
      </c>
      <c r="CZ279" s="155"/>
    </row>
    <row r="280" spans="2:104" ht="15" customHeight="1" x14ac:dyDescent="0.25">
      <c r="B280" s="37" t="s">
        <v>228</v>
      </c>
      <c r="C280" s="37"/>
      <c r="D280" s="37"/>
      <c r="E280" s="37"/>
      <c r="F280" s="37"/>
      <c r="G280" s="37"/>
      <c r="H280" s="37"/>
      <c r="I280" s="37"/>
      <c r="J280" s="37"/>
      <c r="K280" s="37"/>
      <c r="L280" s="37"/>
      <c r="M280" s="37"/>
      <c r="N280" s="37"/>
      <c r="O280" s="37"/>
      <c r="P280" s="37"/>
      <c r="Q280" s="37"/>
      <c r="R280" s="37"/>
      <c r="W280" s="24">
        <f>-W277+S277</f>
        <v>0</v>
      </c>
      <c r="X280" s="24">
        <f t="shared" ref="X280:BB280" si="345">-X277+T277</f>
        <v>0</v>
      </c>
      <c r="Y280" s="24">
        <f t="shared" si="345"/>
        <v>0</v>
      </c>
      <c r="Z280" s="24">
        <f t="shared" si="345"/>
        <v>0</v>
      </c>
      <c r="AA280" s="24">
        <f t="shared" si="345"/>
        <v>0</v>
      </c>
      <c r="AB280" s="24">
        <f t="shared" si="345"/>
        <v>0</v>
      </c>
      <c r="AC280" s="24">
        <f t="shared" si="345"/>
        <v>0</v>
      </c>
      <c r="AD280" s="24">
        <f t="shared" si="345"/>
        <v>0</v>
      </c>
      <c r="AE280" s="24">
        <f t="shared" si="345"/>
        <v>0</v>
      </c>
      <c r="AF280" s="24">
        <f t="shared" si="345"/>
        <v>0</v>
      </c>
      <c r="AG280" s="24">
        <f t="shared" si="345"/>
        <v>0</v>
      </c>
      <c r="AH280" s="24">
        <f t="shared" si="345"/>
        <v>0</v>
      </c>
      <c r="AI280" s="24">
        <f t="shared" si="345"/>
        <v>202</v>
      </c>
      <c r="AJ280" s="24">
        <f t="shared" si="345"/>
        <v>400.5</v>
      </c>
      <c r="AK280" s="24">
        <f t="shared" si="345"/>
        <v>372.5</v>
      </c>
      <c r="AL280" s="24">
        <f t="shared" si="345"/>
        <v>256.45</v>
      </c>
      <c r="AM280" s="24">
        <f t="shared" si="345"/>
        <v>-30.404583333333335</v>
      </c>
      <c r="AN280" s="24">
        <f t="shared" si="345"/>
        <v>-17.801041666666663</v>
      </c>
      <c r="AO280" s="24">
        <f t="shared" si="345"/>
        <v>93.776666666666642</v>
      </c>
      <c r="AP280" s="24">
        <f t="shared" si="345"/>
        <v>-10.47104166666665</v>
      </c>
      <c r="AQ280" s="24">
        <f t="shared" si="345"/>
        <v>99.448374354598741</v>
      </c>
      <c r="AR280" s="24">
        <f t="shared" si="345"/>
        <v>-115.90287012120416</v>
      </c>
      <c r="AS280" s="24">
        <f t="shared" si="345"/>
        <v>100.5348061608471</v>
      </c>
      <c r="AT280" s="24">
        <f t="shared" si="345"/>
        <v>47.019689605758259</v>
      </c>
      <c r="AU280" s="24">
        <f t="shared" si="345"/>
        <v>4.8754379102126677</v>
      </c>
      <c r="AV280" s="24">
        <f t="shared" si="345"/>
        <v>186</v>
      </c>
      <c r="AW280" s="24">
        <f t="shared" si="345"/>
        <v>-26.81147282751374</v>
      </c>
      <c r="AX280" s="24">
        <f t="shared" si="345"/>
        <v>51.251352060908403</v>
      </c>
      <c r="AY280" s="24">
        <f t="shared" si="345"/>
        <v>-10.125807710685194</v>
      </c>
      <c r="AZ280" s="24">
        <f t="shared" si="345"/>
        <v>-48.201117353636107</v>
      </c>
      <c r="BA280" s="24">
        <f t="shared" si="345"/>
        <v>-53.75</v>
      </c>
      <c r="BB280" s="24">
        <f t="shared" si="345"/>
        <v>40.39749999999998</v>
      </c>
      <c r="BC280" s="24">
        <f>-BC277+AY277</f>
        <v>62.813894790653706</v>
      </c>
      <c r="BD280" s="24">
        <f t="shared" ref="BD280:BF280" si="346">-BD277+AZ277</f>
        <v>9.8639380519821316</v>
      </c>
      <c r="BE280" s="24">
        <f t="shared" si="346"/>
        <v>24.75</v>
      </c>
      <c r="BF280" s="24">
        <f t="shared" si="346"/>
        <v>-58.64749999999998</v>
      </c>
      <c r="BG280" s="24">
        <f>-BG277+BC277</f>
        <v>-79.607316011446585</v>
      </c>
      <c r="BH280" s="24">
        <f t="shared" ref="BH280:BV280" si="347">-BH277+BD277</f>
        <v>27.541091089524798</v>
      </c>
      <c r="BI280" s="24">
        <f t="shared" si="347"/>
        <v>-78.774320988382215</v>
      </c>
      <c r="BJ280" s="24">
        <f t="shared" si="347"/>
        <v>-23.045896727946911</v>
      </c>
      <c r="BK280" s="24">
        <f t="shared" si="347"/>
        <v>-7.1946746153412278</v>
      </c>
      <c r="BL280" s="24">
        <f t="shared" si="347"/>
        <v>12.933731361371883</v>
      </c>
      <c r="BM280" s="24">
        <f t="shared" si="347"/>
        <v>48.672942312960231</v>
      </c>
      <c r="BN280" s="24">
        <f t="shared" si="347"/>
        <v>5.0629378954147342</v>
      </c>
      <c r="BO280" s="24">
        <f t="shared" si="347"/>
        <v>69.049726776383295</v>
      </c>
      <c r="BP280" s="24">
        <f t="shared" si="347"/>
        <v>10.758915557898263</v>
      </c>
      <c r="BQ280" s="24">
        <f t="shared" si="347"/>
        <v>-23.57122443371577</v>
      </c>
      <c r="BR280" s="24">
        <f t="shared" si="347"/>
        <v>10.571834298052181</v>
      </c>
      <c r="BS280" s="24">
        <f t="shared" si="347"/>
        <v>0.60872851751537382</v>
      </c>
      <c r="BT280" s="24">
        <f t="shared" si="347"/>
        <v>5.3125910554576876</v>
      </c>
      <c r="BU280" s="24">
        <f t="shared" si="347"/>
        <v>3.520318773206327</v>
      </c>
      <c r="BV280" s="24">
        <f t="shared" si="347"/>
        <v>1.7027641186816709</v>
      </c>
      <c r="BW280" s="24">
        <f t="shared" ref="BW280:CD280" si="348">-BW277+BO277</f>
        <v>7.0548958152699015</v>
      </c>
      <c r="BX280" s="24">
        <f t="shared" si="348"/>
        <v>-3.6603823676368847</v>
      </c>
      <c r="BY280" s="24">
        <f t="shared" si="348"/>
        <v>5.8709622922476683</v>
      </c>
      <c r="BZ280" s="24">
        <f t="shared" si="348"/>
        <v>7.2938256685704346</v>
      </c>
      <c r="CA280" s="24">
        <f t="shared" si="348"/>
        <v>-19.639083865624798</v>
      </c>
      <c r="CB280" s="24">
        <f t="shared" si="348"/>
        <v>-45.101947076367196</v>
      </c>
      <c r="CC280" s="24">
        <f t="shared" si="348"/>
        <v>-46.047995432965536</v>
      </c>
      <c r="CD280" s="24">
        <f t="shared" si="348"/>
        <v>-30.898578291727745</v>
      </c>
      <c r="CG280" s="24"/>
      <c r="CH280" s="24"/>
      <c r="CI280" s="24"/>
      <c r="CJ280" s="24">
        <f t="shared" ref="CJ280:CP280" si="349">-CJ277+CI277</f>
        <v>0</v>
      </c>
      <c r="CK280" s="24">
        <f t="shared" si="349"/>
        <v>0</v>
      </c>
      <c r="CL280" s="24">
        <f t="shared" si="349"/>
        <v>0</v>
      </c>
      <c r="CM280" s="24">
        <f t="shared" si="349"/>
        <v>0</v>
      </c>
      <c r="CN280" s="24">
        <f t="shared" si="349"/>
        <v>1231.45</v>
      </c>
      <c r="CO280" s="24">
        <f t="shared" si="349"/>
        <v>35.099999999999909</v>
      </c>
      <c r="CP280" s="24">
        <f t="shared" si="349"/>
        <v>131.09999999999991</v>
      </c>
      <c r="CQ280" s="24">
        <f>-CQ277+CP277</f>
        <v>215.31531714360744</v>
      </c>
      <c r="CR280" s="24">
        <f>-CR277+CQ277</f>
        <v>-71.679425064321322</v>
      </c>
      <c r="CS280" s="24">
        <f t="shared" ref="CS280:CX280" si="350">-CS277+CR277</f>
        <v>38.780332842635744</v>
      </c>
      <c r="CT280" s="24">
        <f t="shared" si="350"/>
        <v>-153.88644263825086</v>
      </c>
      <c r="CU280" s="24">
        <f t="shared" si="350"/>
        <v>59.474936954405621</v>
      </c>
      <c r="CV280" s="24">
        <f t="shared" si="350"/>
        <v>66.809252198617969</v>
      </c>
      <c r="CW280" s="24">
        <f t="shared" si="350"/>
        <v>11.144402464861059</v>
      </c>
      <c r="CX280" s="24">
        <f t="shared" si="350"/>
        <v>5.4148989435900603</v>
      </c>
      <c r="CZ280" s="156"/>
    </row>
    <row r="281" spans="2:104" ht="15" customHeight="1" x14ac:dyDescent="0.25">
      <c r="B281" s="37" t="s">
        <v>218</v>
      </c>
      <c r="C281" s="37"/>
      <c r="D281" s="37"/>
      <c r="E281" s="37"/>
      <c r="F281" s="37"/>
      <c r="G281" s="37"/>
      <c r="H281" s="37"/>
      <c r="I281" s="37"/>
      <c r="J281" s="37"/>
      <c r="K281" s="37"/>
      <c r="L281" s="37"/>
      <c r="M281" s="37"/>
      <c r="N281" s="37"/>
      <c r="O281" s="37"/>
      <c r="P281" s="37"/>
      <c r="Q281" s="37"/>
      <c r="R281" s="37"/>
      <c r="T281" s="82" t="str">
        <f>+IFERROR(T277/S277-1,"")</f>
        <v/>
      </c>
      <c r="U281" s="82" t="str">
        <f t="shared" ref="U281:BB281" si="351">+IFERROR(U277/T277-1,"")</f>
        <v/>
      </c>
      <c r="V281" s="82" t="str">
        <f t="shared" si="351"/>
        <v/>
      </c>
      <c r="W281" s="82" t="str">
        <f t="shared" si="351"/>
        <v/>
      </c>
      <c r="X281" s="82" t="str">
        <f t="shared" si="351"/>
        <v/>
      </c>
      <c r="Y281" s="82" t="str">
        <f t="shared" si="351"/>
        <v/>
      </c>
      <c r="Z281" s="82" t="str">
        <f t="shared" si="351"/>
        <v/>
      </c>
      <c r="AA281" s="82" t="str">
        <f t="shared" si="351"/>
        <v/>
      </c>
      <c r="AB281" s="82" t="str">
        <f t="shared" si="351"/>
        <v/>
      </c>
      <c r="AC281" s="82" t="str">
        <f t="shared" si="351"/>
        <v/>
      </c>
      <c r="AD281" s="82" t="str">
        <f t="shared" si="351"/>
        <v/>
      </c>
      <c r="AE281" s="82" t="str">
        <f t="shared" si="351"/>
        <v/>
      </c>
      <c r="AF281" s="82" t="str">
        <f t="shared" si="351"/>
        <v/>
      </c>
      <c r="AG281" s="82" t="str">
        <f t="shared" si="351"/>
        <v/>
      </c>
      <c r="AH281" s="82" t="str">
        <f t="shared" si="351"/>
        <v/>
      </c>
      <c r="AI281" s="82" t="str">
        <f t="shared" si="351"/>
        <v/>
      </c>
      <c r="AJ281" s="82">
        <f t="shared" si="351"/>
        <v>0.98267326732673266</v>
      </c>
      <c r="AK281" s="82">
        <f t="shared" si="351"/>
        <v>-6.9912609238451884E-2</v>
      </c>
      <c r="AL281" s="82">
        <f t="shared" si="351"/>
        <v>-0.31154362416107384</v>
      </c>
      <c r="AM281" s="82">
        <f t="shared" si="351"/>
        <v>-0.3308815883538051</v>
      </c>
      <c r="AN281" s="82">
        <f t="shared" si="351"/>
        <v>1.230239978243397</v>
      </c>
      <c r="AO281" s="82">
        <f t="shared" si="351"/>
        <v>0.21839021641793077</v>
      </c>
      <c r="AP281" s="82">
        <f t="shared" si="351"/>
        <v>-0.4724613605656155</v>
      </c>
      <c r="AQ281" s="82">
        <f t="shared" si="351"/>
        <v>0.10189827966490528</v>
      </c>
      <c r="AR281" s="82">
        <f t="shared" si="351"/>
        <v>-1.5671647718368042E-2</v>
      </c>
      <c r="AS281" s="82">
        <f t="shared" si="351"/>
        <v>1.1245119320371848</v>
      </c>
      <c r="AT281" s="82">
        <f t="shared" si="351"/>
        <v>-0.48307565745364867</v>
      </c>
      <c r="AU281" s="82">
        <f t="shared" si="351"/>
        <v>-5.8291801439179336E-2</v>
      </c>
      <c r="AV281" s="82">
        <f t="shared" si="351"/>
        <v>0.64104578707914839</v>
      </c>
      <c r="AW281" s="82">
        <f t="shared" si="351"/>
        <v>0.1925898082118962</v>
      </c>
      <c r="AX281" s="82">
        <f t="shared" si="351"/>
        <v>-0.36250000000000004</v>
      </c>
      <c r="AY281" s="82">
        <f t="shared" si="351"/>
        <v>-0.22790582070938892</v>
      </c>
      <c r="AZ281" s="82">
        <f t="shared" si="351"/>
        <v>0.52221589609021457</v>
      </c>
      <c r="BA281" s="82">
        <f t="shared" si="351"/>
        <v>0.20181918961633794</v>
      </c>
      <c r="BB281" s="82">
        <f t="shared" si="351"/>
        <v>-0.20895115681233933</v>
      </c>
      <c r="BC281" s="82">
        <f>+IFERROR(BC277/BB277-1,"")</f>
        <v>-0.14569231306209818</v>
      </c>
      <c r="BD281" s="82">
        <f>+IFERROR(BD277/BC277-1,"")</f>
        <v>0.26125892125919092</v>
      </c>
      <c r="BE281" s="82">
        <f t="shared" ref="BE281:BV281" si="352">+IFERROR(BE277/BD277-1,"")</f>
        <v>0.23293284090167332</v>
      </c>
      <c r="BF281" s="82">
        <f t="shared" si="352"/>
        <v>-0.36203522504892371</v>
      </c>
      <c r="BG281" s="82">
        <f t="shared" si="352"/>
        <v>-0.23619631901840488</v>
      </c>
      <c r="BH281" s="82">
        <f t="shared" si="352"/>
        <v>0.77510040160642579</v>
      </c>
      <c r="BI281" s="82">
        <f t="shared" si="352"/>
        <v>-2.2113848390004964E-2</v>
      </c>
      <c r="BJ281" s="82">
        <f t="shared" si="352"/>
        <v>-0.2990835158965417</v>
      </c>
      <c r="BK281" s="82">
        <f t="shared" si="352"/>
        <v>-0.20184172198678774</v>
      </c>
      <c r="BL281" s="82">
        <f t="shared" si="352"/>
        <v>0.88140493034085576</v>
      </c>
      <c r="BM281" s="82">
        <f t="shared" si="352"/>
        <v>5.7074004790779398E-2</v>
      </c>
      <c r="BN281" s="82">
        <f t="shared" si="352"/>
        <v>-0.35949693447015596</v>
      </c>
      <c r="BO281" s="82">
        <f t="shared" si="352"/>
        <v>9.2138116216473609E-3</v>
      </c>
      <c r="BP281" s="82">
        <f t="shared" si="352"/>
        <v>0.49810223022533551</v>
      </c>
      <c r="BQ281" s="82">
        <f t="shared" si="352"/>
        <v>-1.7963027940739784E-2</v>
      </c>
      <c r="BR281" s="82">
        <f t="shared" si="352"/>
        <v>-0.30336805179080739</v>
      </c>
      <c r="BS281" s="82">
        <f t="shared" si="352"/>
        <v>-2.2364543572186646E-2</v>
      </c>
      <c r="BT281" s="82">
        <f t="shared" si="352"/>
        <v>0.5122311716264154</v>
      </c>
      <c r="BU281" s="82">
        <f t="shared" si="352"/>
        <v>-2.156562494789982E-2</v>
      </c>
      <c r="BV281" s="82">
        <f t="shared" si="352"/>
        <v>-0.30499462469360306</v>
      </c>
      <c r="BW281" s="82">
        <f>+IFERROR(BW277/BR277-1,"")</f>
        <v>-2.131045813247523E-3</v>
      </c>
      <c r="BX281" s="82">
        <f t="shared" ref="BX281:BZ281" si="353">+IFERROR(BX277/BW277-1,"")</f>
        <v>0.45334321084554463</v>
      </c>
      <c r="BY281" s="82">
        <f t="shared" si="353"/>
        <v>2.5238380973420238E-3</v>
      </c>
      <c r="BZ281" s="82">
        <f t="shared" si="353"/>
        <v>-0.29645108909968387</v>
      </c>
      <c r="CA281" s="82">
        <f>+IFERROR(CA277/BV277-1,"")</f>
        <v>-8.8878194910814501E-2</v>
      </c>
      <c r="CB281" s="82">
        <f t="shared" ref="CB281:CD281" si="354">+IFERROR(CB277/CA277-1,"")</f>
        <v>0.45944909923568233</v>
      </c>
      <c r="CC281" s="82">
        <f t="shared" si="354"/>
        <v>-2.6070638345706998E-2</v>
      </c>
      <c r="CD281" s="82">
        <f t="shared" si="354"/>
        <v>-0.30233062565413393</v>
      </c>
      <c r="CG281" s="82"/>
      <c r="CH281" s="82"/>
      <c r="CI281" s="82"/>
      <c r="CJ281" s="82"/>
      <c r="CK281" s="82"/>
      <c r="CL281" s="82"/>
      <c r="CM281" s="82"/>
      <c r="CN281" s="82"/>
      <c r="CO281" s="82"/>
      <c r="CP281" s="82"/>
      <c r="CQ281" s="82"/>
      <c r="CR281" s="82"/>
      <c r="CS281" s="82"/>
      <c r="CT281" s="108"/>
      <c r="CU281" s="108"/>
      <c r="CV281" s="108"/>
      <c r="CW281" s="108"/>
      <c r="CX281" s="108"/>
    </row>
    <row r="282" spans="2:104" ht="15" customHeight="1" x14ac:dyDescent="0.25">
      <c r="CT282" s="60"/>
      <c r="CU282" s="60"/>
      <c r="CV282" s="60"/>
      <c r="CW282" s="60"/>
      <c r="CX282" s="60"/>
    </row>
    <row r="283" spans="2:104" s="60" customFormat="1" ht="15" customHeight="1" x14ac:dyDescent="0.25">
      <c r="B283" s="23" t="s">
        <v>241</v>
      </c>
      <c r="C283" s="23"/>
      <c r="D283" s="23"/>
      <c r="E283" s="23"/>
      <c r="F283" s="23"/>
      <c r="G283" s="23"/>
      <c r="H283" s="23"/>
      <c r="I283" s="23"/>
      <c r="J283" s="23"/>
      <c r="K283" s="23"/>
      <c r="L283" s="23"/>
      <c r="M283" s="23"/>
      <c r="N283" s="23"/>
      <c r="O283" s="23"/>
      <c r="P283" s="23"/>
      <c r="Q283" s="23"/>
      <c r="R283" s="23"/>
      <c r="T283" s="108"/>
      <c r="U283" s="108"/>
      <c r="V283" s="108"/>
      <c r="W283" s="108"/>
      <c r="X283" s="108"/>
      <c r="Y283" s="108"/>
      <c r="Z283" s="108"/>
      <c r="AA283" s="108"/>
      <c r="AB283" s="108"/>
      <c r="AC283" s="108"/>
      <c r="AD283" s="108"/>
      <c r="AE283" s="108"/>
      <c r="AF283" s="108"/>
      <c r="AG283" s="108"/>
      <c r="AH283" s="108"/>
      <c r="AI283" s="108"/>
      <c r="AJ283" s="108"/>
      <c r="AK283" s="108"/>
      <c r="AL283" s="108"/>
      <c r="AM283" s="108"/>
      <c r="AN283" s="108"/>
      <c r="AO283" s="108"/>
      <c r="AP283" s="108"/>
      <c r="AQ283" s="108"/>
      <c r="AR283" s="108"/>
      <c r="AS283" s="108"/>
      <c r="AT283" s="108"/>
      <c r="AU283" s="108"/>
      <c r="AV283" s="108"/>
      <c r="AW283" s="108"/>
      <c r="AX283" s="108"/>
      <c r="AY283" s="108"/>
      <c r="AZ283" s="108"/>
      <c r="BA283" s="108"/>
      <c r="BB283" s="108"/>
      <c r="BC283" s="108"/>
      <c r="BD283" s="108"/>
      <c r="BE283" s="108"/>
      <c r="BF283" s="108"/>
      <c r="BG283" s="108"/>
      <c r="BH283" s="108"/>
      <c r="BI283" s="108"/>
      <c r="BJ283" s="108"/>
      <c r="BK283" s="108"/>
      <c r="BL283" s="108"/>
      <c r="BM283" s="108"/>
      <c r="BN283" s="108"/>
      <c r="BO283" s="108"/>
      <c r="BP283" s="108"/>
      <c r="BQ283" s="108"/>
      <c r="BR283" s="108"/>
      <c r="BS283" s="108"/>
      <c r="BT283" s="108"/>
      <c r="BU283" s="108"/>
      <c r="BV283" s="108"/>
      <c r="BW283" s="108"/>
      <c r="BX283" s="108"/>
      <c r="BY283" s="108"/>
      <c r="BZ283" s="108"/>
      <c r="CA283" s="108"/>
      <c r="CB283" s="108"/>
      <c r="CC283" s="108"/>
      <c r="CD283" s="108"/>
      <c r="CE283"/>
      <c r="CG283" s="108"/>
      <c r="CH283" s="108"/>
      <c r="CI283" s="108"/>
      <c r="CJ283" s="108"/>
      <c r="CK283" s="108"/>
      <c r="CL283" s="108"/>
      <c r="CM283" s="108"/>
      <c r="CN283" s="108"/>
      <c r="CO283" s="148"/>
      <c r="CP283" s="148"/>
      <c r="CQ283" s="149"/>
      <c r="CR283" s="149"/>
      <c r="CS283" s="149"/>
      <c r="CT283" s="149"/>
      <c r="CU283" s="108"/>
      <c r="CV283" s="108"/>
      <c r="CW283" s="108"/>
      <c r="CX283" s="108"/>
    </row>
    <row r="284" spans="2:104" s="145" customFormat="1" ht="15" customHeight="1" x14ac:dyDescent="0.25">
      <c r="B284" s="97" t="s">
        <v>231</v>
      </c>
      <c r="C284" s="97"/>
      <c r="D284" s="97"/>
      <c r="E284" s="97"/>
      <c r="F284" s="97"/>
      <c r="G284" s="97"/>
      <c r="H284" s="97"/>
      <c r="I284" s="97"/>
      <c r="J284" s="97"/>
      <c r="K284" s="97"/>
      <c r="L284" s="97"/>
      <c r="M284" s="97"/>
      <c r="N284" s="97"/>
      <c r="O284" s="97"/>
      <c r="P284" s="97"/>
      <c r="Q284" s="97"/>
      <c r="R284" s="97"/>
      <c r="AM284" s="145">
        <f>188-2-35</f>
        <v>151</v>
      </c>
      <c r="AN284" s="145">
        <f>407-2-35-1</f>
        <v>369</v>
      </c>
      <c r="AO284" s="145">
        <f>482-6-40</f>
        <v>436</v>
      </c>
      <c r="AP284" s="145">
        <f>257-3-42</f>
        <v>212</v>
      </c>
      <c r="AQ284" s="145">
        <v>210</v>
      </c>
      <c r="AR284" s="145">
        <v>280</v>
      </c>
      <c r="AS284" s="145">
        <v>599</v>
      </c>
      <c r="AT284" s="145">
        <v>302</v>
      </c>
      <c r="AU284" s="145">
        <f>287-5</f>
        <v>282</v>
      </c>
      <c r="AV284" s="145">
        <f>518-35</f>
        <v>483</v>
      </c>
      <c r="AW284" s="145">
        <f>625-50</f>
        <v>575</v>
      </c>
      <c r="AX284" s="145">
        <f>404-42-1</f>
        <v>361</v>
      </c>
      <c r="AY284" s="145">
        <f>309-30-2</f>
        <v>277</v>
      </c>
      <c r="AZ284" s="145">
        <f>467-30-2</f>
        <v>435</v>
      </c>
      <c r="BA284" s="145">
        <f>560-30</f>
        <v>530</v>
      </c>
      <c r="BB284" s="145">
        <f>395-25</f>
        <v>370</v>
      </c>
      <c r="BC284" s="145">
        <f>350-20</f>
        <v>330</v>
      </c>
      <c r="BD284" s="145">
        <f>430-15</f>
        <v>415</v>
      </c>
      <c r="BE284" s="145">
        <f>495-15</f>
        <v>480</v>
      </c>
      <c r="BF284" s="145">
        <f>360-30-5</f>
        <v>325</v>
      </c>
      <c r="BG284" s="145">
        <f>240-10-5</f>
        <v>225</v>
      </c>
      <c r="BH284" s="145">
        <f>420-10-5</f>
        <v>405</v>
      </c>
      <c r="BI284" s="145">
        <f>450-10-5</f>
        <v>435</v>
      </c>
      <c r="BJ284" s="145">
        <f>1475-BG286-BH286-BI284</f>
        <v>349</v>
      </c>
      <c r="CE284"/>
      <c r="CN284" s="145">
        <f>1581-5-300-1</f>
        <v>1275</v>
      </c>
      <c r="CO284" s="145">
        <f>1327-12-150-2</f>
        <v>1163</v>
      </c>
      <c r="CP284" s="145">
        <v>1382</v>
      </c>
      <c r="CQ284" s="145">
        <f>1828-40</f>
        <v>1788</v>
      </c>
      <c r="CR284" s="145">
        <f>2020-110-5</f>
        <v>1905</v>
      </c>
      <c r="CS284" s="145">
        <f>1670-65-5</f>
        <v>1600</v>
      </c>
      <c r="CT284" s="145">
        <f>1480-40-10</f>
        <v>1430</v>
      </c>
    </row>
    <row r="285" spans="2:104" s="145" customFormat="1" ht="15" customHeight="1" x14ac:dyDescent="0.25">
      <c r="B285" s="97" t="s">
        <v>232</v>
      </c>
      <c r="C285" s="97"/>
      <c r="D285" s="97"/>
      <c r="E285" s="97"/>
      <c r="F285" s="97"/>
      <c r="G285" s="97"/>
      <c r="H285" s="97"/>
      <c r="I285" s="97"/>
      <c r="J285" s="97"/>
      <c r="K285" s="97"/>
      <c r="L285" s="97"/>
      <c r="M285" s="97"/>
      <c r="N285" s="97"/>
      <c r="O285" s="97"/>
      <c r="P285" s="97"/>
      <c r="Q285" s="97"/>
      <c r="R285" s="97"/>
      <c r="AM285" s="145">
        <f>188-2-35</f>
        <v>151</v>
      </c>
      <c r="AN285" s="145">
        <f>407-2-35-1</f>
        <v>369</v>
      </c>
      <c r="AO285" s="145">
        <f>482-6-40</f>
        <v>436</v>
      </c>
      <c r="AP285" s="145">
        <f>257-3-42</f>
        <v>212</v>
      </c>
      <c r="AQ285" s="145">
        <v>210</v>
      </c>
      <c r="AR285" s="145">
        <v>280</v>
      </c>
      <c r="AS285" s="145">
        <v>599</v>
      </c>
      <c r="AT285" s="145">
        <v>302</v>
      </c>
      <c r="AU285" s="145">
        <f>287-5</f>
        <v>282</v>
      </c>
      <c r="AV285" s="145">
        <f>518-35</f>
        <v>483</v>
      </c>
      <c r="AW285" s="145">
        <f>625-50</f>
        <v>575</v>
      </c>
      <c r="AX285" s="145">
        <f>404-42-1</f>
        <v>361</v>
      </c>
      <c r="AY285" s="145">
        <f>321-30-2</f>
        <v>289</v>
      </c>
      <c r="AZ285" s="145">
        <f>480-30-2</f>
        <v>448</v>
      </c>
      <c r="BA285" s="145">
        <f>580-30</f>
        <v>550</v>
      </c>
      <c r="BB285" s="145">
        <f>415-25</f>
        <v>390</v>
      </c>
      <c r="BC285" s="145">
        <f>370-20</f>
        <v>350</v>
      </c>
      <c r="BD285" s="145">
        <f>450-15</f>
        <v>435</v>
      </c>
      <c r="BE285" s="145">
        <f>535-15</f>
        <v>520</v>
      </c>
      <c r="BF285" s="145">
        <f>410-30-5</f>
        <v>375</v>
      </c>
      <c r="BG285" s="145">
        <f>250-10-5</f>
        <v>235</v>
      </c>
      <c r="BH285" s="145">
        <f>450-10-5</f>
        <v>435</v>
      </c>
      <c r="BI285" s="145">
        <f>480-10-5</f>
        <v>465</v>
      </c>
      <c r="BJ285" s="145">
        <f>1505-BI285-BH286-BG286</f>
        <v>349</v>
      </c>
      <c r="CE285"/>
      <c r="CN285" s="145">
        <f>1581-5-300-1</f>
        <v>1275</v>
      </c>
      <c r="CO285" s="145">
        <f>1327-12-150-2</f>
        <v>1163</v>
      </c>
      <c r="CP285" s="145">
        <v>1382</v>
      </c>
      <c r="CQ285" s="145">
        <f>1828-40</f>
        <v>1788</v>
      </c>
      <c r="CR285" s="145">
        <f>2065-110-5</f>
        <v>1950</v>
      </c>
      <c r="CS285" s="145">
        <f>1750-65-5</f>
        <v>1680</v>
      </c>
      <c r="CT285" s="145">
        <f>1520-40-10</f>
        <v>1470</v>
      </c>
    </row>
    <row r="286" spans="2:104" s="151" customFormat="1" ht="15" customHeight="1" x14ac:dyDescent="0.25">
      <c r="B286" s="112" t="s">
        <v>233</v>
      </c>
      <c r="C286" s="112"/>
      <c r="D286" s="112"/>
      <c r="E286" s="112"/>
      <c r="F286" s="112"/>
      <c r="G286" s="112"/>
      <c r="H286" s="112"/>
      <c r="I286" s="112"/>
      <c r="J286" s="112"/>
      <c r="K286" s="112"/>
      <c r="L286" s="112"/>
      <c r="M286" s="112"/>
      <c r="N286" s="112"/>
      <c r="O286" s="112"/>
      <c r="P286" s="112"/>
      <c r="Q286" s="112"/>
      <c r="R286" s="112"/>
      <c r="S286" s="47"/>
      <c r="T286" s="47"/>
      <c r="U286" s="47"/>
      <c r="V286" s="47"/>
      <c r="W286" s="47"/>
      <c r="X286" s="47"/>
      <c r="Y286" s="47"/>
      <c r="Z286" s="47"/>
      <c r="AA286" s="47"/>
      <c r="AB286" s="47"/>
      <c r="AC286" s="47"/>
      <c r="AD286" s="47"/>
      <c r="AE286" s="47"/>
      <c r="AF286" s="47"/>
      <c r="AG286" s="47"/>
      <c r="AH286" s="47"/>
      <c r="AI286" s="47"/>
      <c r="AJ286" s="47"/>
      <c r="AK286" s="47"/>
      <c r="AL286" s="47"/>
      <c r="AM286" s="47">
        <f t="shared" ref="AM286:BJ286" si="355">-AM276</f>
        <v>184</v>
      </c>
      <c r="AN286" s="47">
        <f t="shared" si="355"/>
        <v>402</v>
      </c>
      <c r="AO286" s="47">
        <f t="shared" si="355"/>
        <v>502</v>
      </c>
      <c r="AP286" s="47">
        <f t="shared" si="355"/>
        <v>265</v>
      </c>
      <c r="AQ286" s="47">
        <f t="shared" si="355"/>
        <v>287</v>
      </c>
      <c r="AR286" s="47">
        <f t="shared" si="355"/>
        <v>284</v>
      </c>
      <c r="AS286" s="47">
        <f t="shared" si="355"/>
        <v>600</v>
      </c>
      <c r="AT286" s="47">
        <f t="shared" si="355"/>
        <v>314</v>
      </c>
      <c r="AU286" s="47">
        <f t="shared" si="355"/>
        <v>292</v>
      </c>
      <c r="AV286" s="47">
        <f t="shared" si="355"/>
        <v>470</v>
      </c>
      <c r="AW286" s="47">
        <f t="shared" si="355"/>
        <v>586</v>
      </c>
      <c r="AX286" s="47">
        <f t="shared" si="355"/>
        <v>372</v>
      </c>
      <c r="AY286" s="47">
        <f t="shared" si="355"/>
        <v>282</v>
      </c>
      <c r="AZ286" s="47">
        <f t="shared" si="355"/>
        <v>422</v>
      </c>
      <c r="BA286" s="47">
        <f t="shared" si="355"/>
        <v>540</v>
      </c>
      <c r="BB286" s="47">
        <f t="shared" si="355"/>
        <v>421</v>
      </c>
      <c r="BC286" s="47">
        <f t="shared" si="355"/>
        <v>350</v>
      </c>
      <c r="BD286" s="47">
        <f t="shared" si="355"/>
        <v>439</v>
      </c>
      <c r="BE286" s="47">
        <f t="shared" si="355"/>
        <v>511</v>
      </c>
      <c r="BF286" s="47">
        <f t="shared" si="355"/>
        <v>326</v>
      </c>
      <c r="BG286" s="47">
        <f t="shared" si="355"/>
        <v>249</v>
      </c>
      <c r="BH286" s="47">
        <f t="shared" si="355"/>
        <v>442</v>
      </c>
      <c r="BI286" s="47">
        <f t="shared" si="355"/>
        <v>432.22567901161779</v>
      </c>
      <c r="BJ286" s="47">
        <f t="shared" si="355"/>
        <v>302.95410327205309</v>
      </c>
      <c r="BK286" s="150"/>
      <c r="BL286" s="150"/>
      <c r="BM286" s="150"/>
      <c r="BN286" s="150"/>
      <c r="BO286" s="150"/>
      <c r="BP286" s="150"/>
      <c r="BQ286" s="150"/>
      <c r="BR286" s="150"/>
      <c r="BS286" s="150"/>
      <c r="BT286" s="150"/>
      <c r="BU286" s="150"/>
      <c r="BV286" s="150"/>
      <c r="BW286" s="150"/>
      <c r="BX286" s="150"/>
      <c r="BY286" s="150"/>
      <c r="BZ286" s="150"/>
      <c r="CA286" s="150"/>
      <c r="CB286" s="150"/>
      <c r="CC286" s="150"/>
      <c r="CD286" s="150"/>
      <c r="CE286"/>
      <c r="CG286" s="150"/>
      <c r="CH286" s="150"/>
      <c r="CI286" s="150"/>
      <c r="CJ286" s="150"/>
      <c r="CK286" s="150"/>
      <c r="CL286" s="150"/>
      <c r="CM286" s="150"/>
      <c r="CN286" s="47">
        <f t="shared" ref="CN286:CT286" si="356">-CN276</f>
        <v>1314</v>
      </c>
      <c r="CO286" s="47">
        <f t="shared" si="356"/>
        <v>1353</v>
      </c>
      <c r="CP286" s="47">
        <f t="shared" si="356"/>
        <v>1485</v>
      </c>
      <c r="CQ286" s="47">
        <f t="shared" si="356"/>
        <v>1720</v>
      </c>
      <c r="CR286" s="47">
        <f t="shared" si="356"/>
        <v>1665</v>
      </c>
      <c r="CS286" s="47">
        <f t="shared" si="356"/>
        <v>1626</v>
      </c>
      <c r="CT286" s="47">
        <f t="shared" si="356"/>
        <v>1426.1797822836709</v>
      </c>
      <c r="CU286" s="152"/>
      <c r="CV286" s="152"/>
      <c r="CW286" s="152"/>
      <c r="CX286" s="152"/>
    </row>
    <row r="287" spans="2:104" s="39" customFormat="1" ht="15" customHeight="1" x14ac:dyDescent="0.25">
      <c r="B287" s="23" t="s">
        <v>234</v>
      </c>
      <c r="C287" s="23"/>
      <c r="D287" s="23"/>
      <c r="E287" s="23"/>
      <c r="F287" s="23"/>
      <c r="G287" s="23"/>
      <c r="H287" s="23"/>
      <c r="I287" s="23"/>
      <c r="J287" s="23"/>
      <c r="K287" s="23"/>
      <c r="L287" s="23"/>
      <c r="M287" s="23"/>
      <c r="N287" s="23"/>
      <c r="O287" s="23"/>
      <c r="P287" s="23"/>
      <c r="Q287" s="23"/>
      <c r="R287" s="23"/>
      <c r="S287" s="108"/>
      <c r="T287" s="108"/>
      <c r="U287" s="108"/>
      <c r="V287" s="108"/>
      <c r="W287" s="108"/>
      <c r="X287" s="108"/>
      <c r="Y287" s="108"/>
      <c r="Z287" s="108"/>
      <c r="AA287" s="108"/>
      <c r="AB287" s="108"/>
      <c r="AC287" s="108"/>
      <c r="AD287" s="108"/>
      <c r="AE287" s="108"/>
      <c r="AF287" s="108"/>
      <c r="AG287" s="108"/>
      <c r="AH287" s="108"/>
      <c r="AI287" s="108"/>
      <c r="AJ287" s="108"/>
      <c r="AK287" s="108"/>
      <c r="AL287" s="108"/>
      <c r="AM287" s="108">
        <f t="shared" ref="AM287:BF287" si="357">+AM286/AM285-1</f>
        <v>0.2185430463576159</v>
      </c>
      <c r="AN287" s="108">
        <f t="shared" si="357"/>
        <v>8.9430894308943021E-2</v>
      </c>
      <c r="AO287" s="108">
        <f t="shared" si="357"/>
        <v>0.15137614678899092</v>
      </c>
      <c r="AP287" s="108">
        <f t="shared" si="357"/>
        <v>0.25</v>
      </c>
      <c r="AQ287" s="108">
        <f t="shared" si="357"/>
        <v>0.3666666666666667</v>
      </c>
      <c r="AR287" s="108">
        <f t="shared" si="357"/>
        <v>1.4285714285714235E-2</v>
      </c>
      <c r="AS287" s="108">
        <f t="shared" si="357"/>
        <v>1.6694490818029983E-3</v>
      </c>
      <c r="AT287" s="108">
        <f t="shared" si="357"/>
        <v>3.9735099337748325E-2</v>
      </c>
      <c r="AU287" s="108">
        <f t="shared" si="357"/>
        <v>3.5460992907801359E-2</v>
      </c>
      <c r="AV287" s="108">
        <f t="shared" si="357"/>
        <v>-2.6915113871635588E-2</v>
      </c>
      <c r="AW287" s="108">
        <f t="shared" si="357"/>
        <v>1.9130434782608674E-2</v>
      </c>
      <c r="AX287" s="108">
        <f t="shared" si="357"/>
        <v>3.0470914127423754E-2</v>
      </c>
      <c r="AY287" s="108">
        <f t="shared" si="357"/>
        <v>-2.422145328719727E-2</v>
      </c>
      <c r="AZ287" s="108">
        <f t="shared" si="357"/>
        <v>-5.8035714285714302E-2</v>
      </c>
      <c r="BA287" s="108">
        <f t="shared" si="357"/>
        <v>-1.8181818181818188E-2</v>
      </c>
      <c r="BB287" s="108">
        <f t="shared" si="357"/>
        <v>7.9487179487179427E-2</v>
      </c>
      <c r="BC287" s="108">
        <f t="shared" si="357"/>
        <v>0</v>
      </c>
      <c r="BD287" s="108">
        <f t="shared" si="357"/>
        <v>9.1954022988505191E-3</v>
      </c>
      <c r="BE287" s="108">
        <f t="shared" si="357"/>
        <v>-1.7307692307692357E-2</v>
      </c>
      <c r="BF287" s="108">
        <f t="shared" si="357"/>
        <v>-0.13066666666666671</v>
      </c>
      <c r="BG287" s="108">
        <f>+BG286/BG285-1</f>
        <v>5.9574468085106469E-2</v>
      </c>
      <c r="BH287" s="108">
        <f>+BH286/BH285-1</f>
        <v>1.6091954022988464E-2</v>
      </c>
      <c r="BI287" s="108">
        <f>+BI286/BI285-1</f>
        <v>-7.048241072770367E-2</v>
      </c>
      <c r="BJ287" s="108">
        <f>+BJ286/BJ285-1</f>
        <v>-0.1319366668422548</v>
      </c>
      <c r="BK287" s="102"/>
      <c r="BL287" s="102"/>
      <c r="BM287" s="102"/>
      <c r="BN287" s="102"/>
      <c r="BO287" s="102"/>
      <c r="BP287" s="102"/>
      <c r="BQ287" s="102"/>
      <c r="BR287" s="102"/>
      <c r="BS287" s="102"/>
      <c r="BT287" s="102"/>
      <c r="BU287" s="102"/>
      <c r="BV287" s="102"/>
      <c r="BW287" s="102"/>
      <c r="BX287" s="102"/>
      <c r="BY287" s="102"/>
      <c r="BZ287" s="102"/>
      <c r="CA287" s="102"/>
      <c r="CB287" s="102"/>
      <c r="CC287" s="102"/>
      <c r="CD287" s="102"/>
      <c r="CE287"/>
      <c r="CG287" s="102"/>
      <c r="CH287" s="102"/>
      <c r="CI287" s="102"/>
      <c r="CJ287" s="102"/>
      <c r="CK287" s="102"/>
      <c r="CL287" s="102"/>
      <c r="CM287" s="102"/>
      <c r="CN287" s="108">
        <f>+CN286/CN285-1</f>
        <v>3.0588235294117583E-2</v>
      </c>
      <c r="CO287" s="108">
        <f t="shared" ref="CO287:CT287" si="358">+CO286/CO285-1</f>
        <v>0.16337059329320724</v>
      </c>
      <c r="CP287" s="108">
        <f t="shared" si="358"/>
        <v>7.4529667149059398E-2</v>
      </c>
      <c r="CQ287" s="108">
        <f t="shared" si="358"/>
        <v>-3.8031319910514561E-2</v>
      </c>
      <c r="CR287" s="108">
        <f t="shared" si="358"/>
        <v>-0.14615384615384619</v>
      </c>
      <c r="CS287" s="108">
        <f t="shared" si="358"/>
        <v>-3.214285714285714E-2</v>
      </c>
      <c r="CT287" s="108">
        <f t="shared" si="358"/>
        <v>-2.980967191587014E-2</v>
      </c>
      <c r="CU287" s="102"/>
      <c r="CV287" s="102"/>
      <c r="CW287" s="102"/>
      <c r="CX287" s="102"/>
    </row>
    <row r="288" spans="2:104" s="39" customFormat="1" ht="15" customHeight="1" x14ac:dyDescent="0.25">
      <c r="B288" s="23" t="s">
        <v>235</v>
      </c>
      <c r="C288" s="23"/>
      <c r="D288" s="23"/>
      <c r="E288" s="23"/>
      <c r="F288" s="23"/>
      <c r="G288" s="23"/>
      <c r="H288" s="23"/>
      <c r="I288" s="23"/>
      <c r="J288" s="23"/>
      <c r="K288" s="23"/>
      <c r="L288" s="23"/>
      <c r="M288" s="23"/>
      <c r="N288" s="23"/>
      <c r="O288" s="23"/>
      <c r="P288" s="23"/>
      <c r="Q288" s="23"/>
      <c r="R288" s="23"/>
      <c r="S288" s="97"/>
      <c r="T288" s="97"/>
      <c r="U288" s="97"/>
      <c r="V288" s="97"/>
      <c r="W288" s="97"/>
      <c r="X288" s="97"/>
      <c r="Y288" s="97"/>
      <c r="Z288" s="97"/>
      <c r="AA288" s="97"/>
      <c r="AB288" s="97"/>
      <c r="AC288" s="97"/>
      <c r="AD288" s="97"/>
      <c r="AE288" s="97"/>
      <c r="AF288" s="97"/>
      <c r="AG288" s="97"/>
      <c r="AH288" s="97"/>
      <c r="AI288" s="97"/>
      <c r="AJ288" s="97"/>
      <c r="AK288" s="97"/>
      <c r="AL288" s="97"/>
      <c r="AM288" s="97">
        <f t="shared" ref="AM288:BF288" si="359">+AM286-AM285</f>
        <v>33</v>
      </c>
      <c r="AN288" s="97">
        <f t="shared" si="359"/>
        <v>33</v>
      </c>
      <c r="AO288" s="97">
        <f t="shared" si="359"/>
        <v>66</v>
      </c>
      <c r="AP288" s="97">
        <f t="shared" si="359"/>
        <v>53</v>
      </c>
      <c r="AQ288" s="97">
        <f t="shared" si="359"/>
        <v>77</v>
      </c>
      <c r="AR288" s="97">
        <f t="shared" si="359"/>
        <v>4</v>
      </c>
      <c r="AS288" s="97">
        <f t="shared" si="359"/>
        <v>1</v>
      </c>
      <c r="AT288" s="97">
        <f t="shared" si="359"/>
        <v>12</v>
      </c>
      <c r="AU288" s="97">
        <f t="shared" si="359"/>
        <v>10</v>
      </c>
      <c r="AV288" s="97">
        <f t="shared" si="359"/>
        <v>-13</v>
      </c>
      <c r="AW288" s="97">
        <f t="shared" si="359"/>
        <v>11</v>
      </c>
      <c r="AX288" s="97">
        <f t="shared" si="359"/>
        <v>11</v>
      </c>
      <c r="AY288" s="97">
        <f t="shared" si="359"/>
        <v>-7</v>
      </c>
      <c r="AZ288" s="97">
        <f t="shared" si="359"/>
        <v>-26</v>
      </c>
      <c r="BA288" s="97">
        <f t="shared" si="359"/>
        <v>-10</v>
      </c>
      <c r="BB288" s="97">
        <f t="shared" si="359"/>
        <v>31</v>
      </c>
      <c r="BC288" s="97">
        <f t="shared" si="359"/>
        <v>0</v>
      </c>
      <c r="BD288" s="97">
        <f t="shared" si="359"/>
        <v>4</v>
      </c>
      <c r="BE288" s="97">
        <f t="shared" si="359"/>
        <v>-9</v>
      </c>
      <c r="BF288" s="97">
        <f t="shared" si="359"/>
        <v>-49</v>
      </c>
      <c r="BG288" s="97">
        <f>+BG286-BG285</f>
        <v>14</v>
      </c>
      <c r="BH288" s="97">
        <f>+BH286-BH285</f>
        <v>7</v>
      </c>
      <c r="BI288" s="97">
        <f>+BI286-BI285</f>
        <v>-32.774320988382215</v>
      </c>
      <c r="BJ288" s="97">
        <f>+BJ286-BJ285</f>
        <v>-46.045896727946911</v>
      </c>
      <c r="BK288" s="102"/>
      <c r="BL288" s="102"/>
      <c r="BM288" s="102"/>
      <c r="BN288" s="102"/>
      <c r="BO288" s="102"/>
      <c r="BP288" s="102"/>
      <c r="BQ288" s="102"/>
      <c r="BR288" s="102"/>
      <c r="BS288" s="102"/>
      <c r="BT288" s="102"/>
      <c r="BU288" s="102"/>
      <c r="BV288" s="102"/>
      <c r="BW288" s="102"/>
      <c r="BX288" s="102"/>
      <c r="BY288" s="102"/>
      <c r="BZ288" s="102"/>
      <c r="CA288" s="102"/>
      <c r="CB288" s="102"/>
      <c r="CC288" s="102"/>
      <c r="CD288" s="102"/>
      <c r="CE288"/>
      <c r="CG288" s="102"/>
      <c r="CH288" s="102"/>
      <c r="CI288" s="102"/>
      <c r="CJ288" s="102"/>
      <c r="CK288" s="102"/>
      <c r="CL288" s="102"/>
      <c r="CM288" s="102"/>
      <c r="CN288" s="97">
        <f>+CN286-CN285</f>
        <v>39</v>
      </c>
      <c r="CO288" s="97">
        <f t="shared" ref="CO288:CT288" si="360">+CO286-CO285</f>
        <v>190</v>
      </c>
      <c r="CP288" s="97">
        <f t="shared" si="360"/>
        <v>103</v>
      </c>
      <c r="CQ288" s="97">
        <f t="shared" si="360"/>
        <v>-68</v>
      </c>
      <c r="CR288" s="97">
        <f t="shared" si="360"/>
        <v>-285</v>
      </c>
      <c r="CS288" s="97">
        <f t="shared" si="360"/>
        <v>-54</v>
      </c>
      <c r="CT288" s="97">
        <f t="shared" si="360"/>
        <v>-43.820217716329125</v>
      </c>
      <c r="CU288" s="102"/>
      <c r="CV288" s="102"/>
      <c r="CW288" s="102"/>
      <c r="CX288" s="102"/>
    </row>
    <row r="289" spans="2:102" s="39" customFormat="1" ht="15" customHeight="1" x14ac:dyDescent="0.25">
      <c r="B289" s="23"/>
      <c r="C289" s="23"/>
      <c r="D289" s="23"/>
      <c r="E289" s="23"/>
      <c r="F289" s="23"/>
      <c r="G289" s="23"/>
      <c r="H289" s="23"/>
      <c r="I289" s="23"/>
      <c r="J289" s="23"/>
      <c r="K289" s="23"/>
      <c r="L289" s="23"/>
      <c r="M289" s="23"/>
      <c r="N289" s="23"/>
      <c r="O289" s="23"/>
      <c r="P289" s="23"/>
      <c r="Q289" s="23"/>
      <c r="R289" s="23"/>
      <c r="S289" s="97"/>
      <c r="T289" s="97"/>
      <c r="U289" s="97"/>
      <c r="V289" s="97"/>
      <c r="W289" s="97"/>
      <c r="X289" s="97"/>
      <c r="Y289" s="97"/>
      <c r="Z289" s="97"/>
      <c r="AA289" s="97"/>
      <c r="AB289" s="97"/>
      <c r="AC289" s="97"/>
      <c r="AD289" s="97"/>
      <c r="AE289" s="97"/>
      <c r="AF289" s="97"/>
      <c r="AG289" s="97"/>
      <c r="AH289" s="97"/>
      <c r="AI289" s="97"/>
      <c r="AJ289" s="97"/>
      <c r="AK289" s="97"/>
      <c r="AL289" s="97"/>
      <c r="AM289" s="97"/>
      <c r="AN289" s="97"/>
      <c r="AO289" s="97"/>
      <c r="AP289" s="97"/>
      <c r="AQ289" s="97"/>
      <c r="AR289" s="97"/>
      <c r="AS289" s="97"/>
      <c r="AT289" s="97"/>
      <c r="AU289" s="97"/>
      <c r="AV289" s="97"/>
      <c r="AW289" s="97"/>
      <c r="AX289" s="97"/>
      <c r="AY289" s="97"/>
      <c r="AZ289" s="97"/>
      <c r="BA289" s="97"/>
      <c r="BB289" s="97"/>
      <c r="BC289" s="97"/>
      <c r="BD289" s="97"/>
      <c r="BE289" s="97"/>
      <c r="BF289" s="97"/>
      <c r="BG289" s="97"/>
      <c r="BH289" s="102"/>
      <c r="BI289" s="102"/>
      <c r="BJ289" s="102"/>
      <c r="BK289" s="102"/>
      <c r="BL289" s="102"/>
      <c r="BM289" s="102"/>
      <c r="BN289" s="102"/>
      <c r="BO289" s="102"/>
      <c r="BP289" s="102"/>
      <c r="BQ289" s="102"/>
      <c r="BR289" s="102"/>
      <c r="BS289" s="102"/>
      <c r="BT289" s="102"/>
      <c r="BU289" s="102"/>
      <c r="BV289" s="102"/>
      <c r="BW289" s="102"/>
      <c r="BX289" s="102"/>
      <c r="BY289" s="102"/>
      <c r="BZ289" s="102"/>
      <c r="CA289" s="102"/>
      <c r="CB289" s="102"/>
      <c r="CC289" s="102"/>
      <c r="CD289" s="102"/>
      <c r="CE289"/>
      <c r="CG289" s="102"/>
      <c r="CH289" s="102"/>
      <c r="CI289" s="102"/>
      <c r="CJ289" s="102"/>
      <c r="CK289" s="102"/>
      <c r="CL289" s="102"/>
      <c r="CM289" s="102"/>
      <c r="CN289" s="97"/>
      <c r="CO289" s="97"/>
      <c r="CP289" s="97"/>
      <c r="CQ289" s="97"/>
      <c r="CR289" s="97"/>
      <c r="CS289" s="97"/>
      <c r="CT289" s="97"/>
      <c r="CU289" s="102"/>
      <c r="CV289" s="102"/>
      <c r="CW289" s="102"/>
      <c r="CX289" s="102"/>
    </row>
    <row r="290" spans="2:102" s="10" customFormat="1" ht="15" customHeight="1" x14ac:dyDescent="0.25">
      <c r="B290" s="10" t="s">
        <v>242</v>
      </c>
      <c r="S290" s="57">
        <f t="shared" ref="S290:BH290" si="361">+S259+S276</f>
        <v>544</v>
      </c>
      <c r="T290" s="57">
        <f t="shared" si="361"/>
        <v>806</v>
      </c>
      <c r="U290" s="57">
        <f t="shared" si="361"/>
        <v>1040</v>
      </c>
      <c r="V290" s="57">
        <f t="shared" si="361"/>
        <v>676</v>
      </c>
      <c r="W290" s="57">
        <f t="shared" si="361"/>
        <v>532</v>
      </c>
      <c r="X290" s="57">
        <f t="shared" si="361"/>
        <v>749</v>
      </c>
      <c r="Y290" s="57">
        <f t="shared" si="361"/>
        <v>1269</v>
      </c>
      <c r="Z290" s="57">
        <f t="shared" si="361"/>
        <v>711</v>
      </c>
      <c r="AA290" s="57">
        <f t="shared" si="361"/>
        <v>517</v>
      </c>
      <c r="AB290" s="57">
        <f t="shared" si="361"/>
        <v>710</v>
      </c>
      <c r="AC290" s="57">
        <f t="shared" si="361"/>
        <v>1572</v>
      </c>
      <c r="AD290" s="57">
        <f t="shared" si="361"/>
        <v>891</v>
      </c>
      <c r="AE290" s="57">
        <f t="shared" si="361"/>
        <v>622</v>
      </c>
      <c r="AF290" s="57">
        <f t="shared" si="361"/>
        <v>791</v>
      </c>
      <c r="AG290" s="57">
        <f t="shared" si="361"/>
        <v>1471</v>
      </c>
      <c r="AH290" s="57">
        <f t="shared" si="361"/>
        <v>1024</v>
      </c>
      <c r="AI290" s="57">
        <f t="shared" si="361"/>
        <v>585</v>
      </c>
      <c r="AJ290" s="57">
        <f t="shared" si="361"/>
        <v>850</v>
      </c>
      <c r="AK290" s="57">
        <f t="shared" si="361"/>
        <v>1246</v>
      </c>
      <c r="AL290" s="57">
        <f t="shared" si="361"/>
        <v>1137</v>
      </c>
      <c r="AM290" s="57">
        <f t="shared" si="361"/>
        <v>598</v>
      </c>
      <c r="AN290" s="57">
        <f t="shared" si="361"/>
        <v>911</v>
      </c>
      <c r="AO290" s="57">
        <f t="shared" si="361"/>
        <v>1519</v>
      </c>
      <c r="AP290" s="57">
        <f t="shared" si="361"/>
        <v>991</v>
      </c>
      <c r="AQ290" s="57">
        <f t="shared" si="361"/>
        <v>1103</v>
      </c>
      <c r="AR290" s="57">
        <f t="shared" si="361"/>
        <v>626</v>
      </c>
      <c r="AS290" s="57">
        <f t="shared" si="361"/>
        <v>1800</v>
      </c>
      <c r="AT290" s="57">
        <f t="shared" si="361"/>
        <v>1176</v>
      </c>
      <c r="AU290" s="57">
        <f t="shared" si="361"/>
        <v>1044</v>
      </c>
      <c r="AV290" s="57">
        <f t="shared" si="361"/>
        <v>1381</v>
      </c>
      <c r="AW290" s="57">
        <f t="shared" si="361"/>
        <v>1991</v>
      </c>
      <c r="AX290" s="57">
        <f t="shared" si="361"/>
        <v>1379</v>
      </c>
      <c r="AY290" s="57">
        <f t="shared" si="361"/>
        <v>1017</v>
      </c>
      <c r="AZ290" s="57">
        <f t="shared" si="361"/>
        <v>1332</v>
      </c>
      <c r="BA290" s="57">
        <f t="shared" si="361"/>
        <v>1802</v>
      </c>
      <c r="BB290" s="57">
        <f t="shared" si="361"/>
        <v>1525</v>
      </c>
      <c r="BC290" s="57">
        <f t="shared" si="361"/>
        <v>1228</v>
      </c>
      <c r="BD290" s="57">
        <f t="shared" si="361"/>
        <v>1381</v>
      </c>
      <c r="BE290" s="57">
        <f t="shared" si="361"/>
        <v>1855</v>
      </c>
      <c r="BF290" s="57">
        <f t="shared" si="361"/>
        <v>1340</v>
      </c>
      <c r="BG290" s="57">
        <f t="shared" si="361"/>
        <v>1013</v>
      </c>
      <c r="BH290" s="57">
        <f t="shared" si="361"/>
        <v>1637</v>
      </c>
      <c r="BI290" s="57">
        <f>+BI291*BI259</f>
        <v>1904.1293426728018</v>
      </c>
      <c r="BJ290" s="57">
        <f>+BJ291*BJ259</f>
        <v>1291.5411771071738</v>
      </c>
      <c r="BK290" s="57">
        <f>+BG290+BK292*BK261</f>
        <v>984.22130153863532</v>
      </c>
      <c r="BL290" s="57">
        <f t="shared" ref="BL290:CD290" si="362">+BH290+BL292*BL261</f>
        <v>1688.734925445488</v>
      </c>
      <c r="BM290" s="57">
        <f t="shared" si="362"/>
        <v>2098.8211119246416</v>
      </c>
      <c r="BN290" s="57">
        <f t="shared" si="362"/>
        <v>1311.7929286888325</v>
      </c>
      <c r="BO290" s="57">
        <f t="shared" si="362"/>
        <v>1260.4202086441692</v>
      </c>
      <c r="BP290" s="57">
        <f t="shared" si="362"/>
        <v>1731.7705876770808</v>
      </c>
      <c r="BQ290" s="57">
        <f t="shared" si="362"/>
        <v>2004.5362141897783</v>
      </c>
      <c r="BR290" s="57">
        <f t="shared" si="362"/>
        <v>1354.0802658810414</v>
      </c>
      <c r="BS290" s="57">
        <f t="shared" si="362"/>
        <v>1262.8551227142304</v>
      </c>
      <c r="BT290" s="57">
        <f t="shared" si="362"/>
        <v>1753.020951898912</v>
      </c>
      <c r="BU290" s="57">
        <f t="shared" si="362"/>
        <v>2018.6174892826036</v>
      </c>
      <c r="BV290" s="57">
        <f t="shared" si="362"/>
        <v>1360.8913223557684</v>
      </c>
      <c r="BW290" s="57">
        <f t="shared" si="362"/>
        <v>1300.8143622555556</v>
      </c>
      <c r="BX290" s="57">
        <f t="shared" si="362"/>
        <v>1823.3808793156888</v>
      </c>
      <c r="BY290" s="57">
        <f t="shared" si="362"/>
        <v>2098.4264388228962</v>
      </c>
      <c r="BZ290" s="57">
        <f t="shared" si="362"/>
        <v>1417.3108509289582</v>
      </c>
      <c r="CA290" s="57">
        <f t="shared" si="362"/>
        <v>1374.0949849583569</v>
      </c>
      <c r="CB290" s="57">
        <f t="shared" si="362"/>
        <v>1924.4128006773278</v>
      </c>
      <c r="CC290" s="57">
        <f t="shared" si="362"/>
        <v>2233.4702552522035</v>
      </c>
      <c r="CD290" s="57">
        <f t="shared" si="362"/>
        <v>1519.3946520548068</v>
      </c>
      <c r="CE290" s="57"/>
      <c r="CG290" s="46"/>
      <c r="CH290" s="46"/>
      <c r="CI290" s="46"/>
      <c r="CJ290" s="46">
        <f t="shared" ref="CJ290:CX290" si="363">+SUMIFS($S290:$CD290,$S$5:$CD$5,"&lt;="&amp;CJ$5,$S$5:$CD$5,"&gt;"&amp;CI$5)</f>
        <v>3066</v>
      </c>
      <c r="CK290" s="46">
        <f t="shared" si="363"/>
        <v>3261</v>
      </c>
      <c r="CL290" s="46">
        <f t="shared" si="363"/>
        <v>3690</v>
      </c>
      <c r="CM290" s="46">
        <f t="shared" si="363"/>
        <v>3908</v>
      </c>
      <c r="CN290" s="46">
        <f t="shared" si="363"/>
        <v>3818</v>
      </c>
      <c r="CO290" s="46">
        <f t="shared" si="363"/>
        <v>4019</v>
      </c>
      <c r="CP290" s="46">
        <f t="shared" si="363"/>
        <v>4705</v>
      </c>
      <c r="CQ290" s="46">
        <f t="shared" si="363"/>
        <v>5795</v>
      </c>
      <c r="CR290" s="46">
        <f t="shared" si="363"/>
        <v>5676</v>
      </c>
      <c r="CS290" s="46">
        <f t="shared" si="363"/>
        <v>5804</v>
      </c>
      <c r="CT290" s="47">
        <f t="shared" si="363"/>
        <v>5845.6705197799756</v>
      </c>
      <c r="CU290" s="47">
        <f t="shared" si="363"/>
        <v>6083.5702675975972</v>
      </c>
      <c r="CV290" s="47">
        <f t="shared" si="363"/>
        <v>6350.80727639207</v>
      </c>
      <c r="CW290" s="47">
        <f t="shared" si="363"/>
        <v>6395.3848862515142</v>
      </c>
      <c r="CX290" s="47">
        <f t="shared" si="363"/>
        <v>6639.9325313230984</v>
      </c>
    </row>
    <row r="291" spans="2:102" ht="15" customHeight="1" x14ac:dyDescent="0.25">
      <c r="B291" s="37" t="s">
        <v>243</v>
      </c>
      <c r="C291" s="37"/>
      <c r="D291" s="37"/>
      <c r="E291" s="37"/>
      <c r="F291" s="37"/>
      <c r="G291" s="37"/>
      <c r="H291" s="37"/>
      <c r="I291" s="37"/>
      <c r="J291" s="37"/>
      <c r="K291" s="37"/>
      <c r="L291" s="37"/>
      <c r="M291" s="37"/>
      <c r="N291" s="37"/>
      <c r="O291" s="37"/>
      <c r="P291" s="37"/>
      <c r="Q291" s="37"/>
      <c r="R291" s="37"/>
      <c r="S291" s="82">
        <f t="shared" ref="S291:BH291" si="364">+(S290/S$259)</f>
        <v>0.70193548387096771</v>
      </c>
      <c r="T291" s="82">
        <f t="shared" si="364"/>
        <v>0.66065573770491803</v>
      </c>
      <c r="U291" s="82">
        <f t="shared" si="364"/>
        <v>0.72829131652661061</v>
      </c>
      <c r="V291" s="82">
        <f t="shared" si="364"/>
        <v>0.7544642857142857</v>
      </c>
      <c r="W291" s="82">
        <f t="shared" si="364"/>
        <v>0.76767676767676762</v>
      </c>
      <c r="X291" s="82">
        <f t="shared" si="364"/>
        <v>0.65357766143106455</v>
      </c>
      <c r="Y291" s="82">
        <f t="shared" si="364"/>
        <v>0.70382695507487525</v>
      </c>
      <c r="Z291" s="82">
        <f t="shared" si="364"/>
        <v>0.76948051948051943</v>
      </c>
      <c r="AA291" s="82">
        <f t="shared" si="364"/>
        <v>0.75806451612903225</v>
      </c>
      <c r="AB291" s="82">
        <f t="shared" si="364"/>
        <v>0.6466302367941712</v>
      </c>
      <c r="AC291" s="82">
        <f t="shared" si="364"/>
        <v>0.75942028985507248</v>
      </c>
      <c r="AD291" s="82">
        <f t="shared" si="364"/>
        <v>0.81593406593406592</v>
      </c>
      <c r="AE291" s="82">
        <f t="shared" si="364"/>
        <v>0.80258064516129035</v>
      </c>
      <c r="AF291" s="82">
        <f t="shared" si="364"/>
        <v>0.67090754877014414</v>
      </c>
      <c r="AG291" s="82">
        <f t="shared" si="364"/>
        <v>0.74632166412988332</v>
      </c>
      <c r="AH291" s="82">
        <f t="shared" si="364"/>
        <v>0.81593625498007971</v>
      </c>
      <c r="AI291" s="82">
        <f t="shared" si="364"/>
        <v>0.73308270676691734</v>
      </c>
      <c r="AJ291" s="82">
        <f t="shared" si="364"/>
        <v>0.67140600315955767</v>
      </c>
      <c r="AK291" s="82">
        <f t="shared" si="364"/>
        <v>0.75196137598068802</v>
      </c>
      <c r="AL291" s="82">
        <f t="shared" si="364"/>
        <v>0.8058114812189936</v>
      </c>
      <c r="AM291" s="82">
        <f t="shared" si="364"/>
        <v>0.76470588235294112</v>
      </c>
      <c r="AN291" s="82">
        <f t="shared" si="364"/>
        <v>0.69383092155369386</v>
      </c>
      <c r="AO291" s="82">
        <f t="shared" si="364"/>
        <v>0.75160811479465606</v>
      </c>
      <c r="AP291" s="82">
        <f t="shared" si="364"/>
        <v>0.7890127388535032</v>
      </c>
      <c r="AQ291" s="82">
        <f t="shared" si="364"/>
        <v>0.79352517985611515</v>
      </c>
      <c r="AR291" s="82">
        <f t="shared" si="364"/>
        <v>0.68791208791208791</v>
      </c>
      <c r="AS291" s="82">
        <f t="shared" si="364"/>
        <v>0.75</v>
      </c>
      <c r="AT291" s="82">
        <f t="shared" si="364"/>
        <v>0.78926174496644297</v>
      </c>
      <c r="AU291" s="82">
        <f t="shared" si="364"/>
        <v>0.78143712574850299</v>
      </c>
      <c r="AV291" s="82">
        <f t="shared" si="364"/>
        <v>0.74608319827120473</v>
      </c>
      <c r="AW291" s="82">
        <f t="shared" si="364"/>
        <v>0.77260380287155606</v>
      </c>
      <c r="AX291" s="82">
        <f t="shared" si="364"/>
        <v>0.78754997144488859</v>
      </c>
      <c r="AY291" s="82">
        <f t="shared" si="364"/>
        <v>0.78290993071593529</v>
      </c>
      <c r="AZ291" s="82">
        <f t="shared" si="364"/>
        <v>0.75940706955530213</v>
      </c>
      <c r="BA291" s="82">
        <f t="shared" si="364"/>
        <v>0.76942783945345861</v>
      </c>
      <c r="BB291" s="82">
        <f t="shared" si="364"/>
        <v>0.78365878725590954</v>
      </c>
      <c r="BC291" s="82">
        <f t="shared" si="364"/>
        <v>0.77820025348542454</v>
      </c>
      <c r="BD291" s="82">
        <f t="shared" si="364"/>
        <v>0.75879120879120876</v>
      </c>
      <c r="BE291" s="82">
        <f t="shared" si="364"/>
        <v>0.78402366863905326</v>
      </c>
      <c r="BF291" s="82">
        <f t="shared" si="364"/>
        <v>0.80432172869147656</v>
      </c>
      <c r="BG291" s="82">
        <f t="shared" si="364"/>
        <v>0.80269413629160058</v>
      </c>
      <c r="BH291" s="82">
        <f t="shared" si="364"/>
        <v>0.78739778739778743</v>
      </c>
      <c r="BI291" s="102">
        <v>0.81499999999999995</v>
      </c>
      <c r="BJ291" s="102">
        <v>0.81</v>
      </c>
      <c r="BK291" s="82">
        <f t="shared" ref="BK291:CD291" si="365">+(BK290/BK$259)</f>
        <v>0.80277318609998893</v>
      </c>
      <c r="BL291" s="82">
        <f t="shared" si="365"/>
        <v>0.78777796189872618</v>
      </c>
      <c r="BM291" s="82">
        <f t="shared" si="365"/>
        <v>0.81358493516701735</v>
      </c>
      <c r="BN291" s="82">
        <f t="shared" si="365"/>
        <v>0.80984371815244893</v>
      </c>
      <c r="BO291" s="82">
        <f t="shared" si="365"/>
        <v>0.80216384747142133</v>
      </c>
      <c r="BP291" s="82">
        <f t="shared" si="365"/>
        <v>0.78807716116132764</v>
      </c>
      <c r="BQ291" s="82">
        <f t="shared" si="365"/>
        <v>0.81423528304635961</v>
      </c>
      <c r="BR291" s="82">
        <f t="shared" si="365"/>
        <v>0.80953264002404923</v>
      </c>
      <c r="BS291" s="82">
        <f t="shared" si="365"/>
        <v>0.80215966408881512</v>
      </c>
      <c r="BT291" s="82">
        <f t="shared" si="365"/>
        <v>0.78821956318711861</v>
      </c>
      <c r="BU291" s="82">
        <f t="shared" si="365"/>
        <v>0.81413422751621944</v>
      </c>
      <c r="BV291" s="82">
        <f t="shared" si="365"/>
        <v>0.80948436497678566</v>
      </c>
      <c r="BW291" s="82">
        <f t="shared" si="365"/>
        <v>0.80360463732655363</v>
      </c>
      <c r="BX291" s="82">
        <f t="shared" si="365"/>
        <v>0.79783424901031541</v>
      </c>
      <c r="BY291" s="82">
        <f t="shared" si="365"/>
        <v>0.81917790632583354</v>
      </c>
      <c r="BZ291" s="82">
        <f t="shared" si="365"/>
        <v>0.81305420689032948</v>
      </c>
      <c r="CA291" s="82">
        <f t="shared" si="365"/>
        <v>0.82482667081365535</v>
      </c>
      <c r="CB291" s="82">
        <f t="shared" si="365"/>
        <v>0.81878893123144625</v>
      </c>
      <c r="CC291" s="82">
        <f t="shared" si="365"/>
        <v>0.84336954915051565</v>
      </c>
      <c r="CD291" s="82">
        <f t="shared" si="365"/>
        <v>0.84000717212030762</v>
      </c>
      <c r="CE291" s="82"/>
      <c r="CG291" s="82"/>
      <c r="CH291" s="82"/>
      <c r="CI291" s="82"/>
      <c r="CJ291" s="82">
        <f t="shared" ref="CJ291:CX291" si="366">+(CJ290/CJ$259)</f>
        <v>0.70988654781199356</v>
      </c>
      <c r="CK291" s="82">
        <f t="shared" si="366"/>
        <v>0.71419185282523001</v>
      </c>
      <c r="CL291" s="82">
        <f t="shared" si="366"/>
        <v>0.74666127074059085</v>
      </c>
      <c r="CM291" s="82">
        <f t="shared" si="366"/>
        <v>0.75444015444015444</v>
      </c>
      <c r="CN291" s="82">
        <f t="shared" si="366"/>
        <v>0.74395946999220575</v>
      </c>
      <c r="CO291" s="82">
        <f t="shared" si="366"/>
        <v>0.74813849590469095</v>
      </c>
      <c r="CP291" s="82">
        <f t="shared" si="366"/>
        <v>0.76009693053311789</v>
      </c>
      <c r="CQ291" s="82">
        <f>+(CQ290/CQ$259)</f>
        <v>0.7711244178310046</v>
      </c>
      <c r="CR291" s="82">
        <f t="shared" si="366"/>
        <v>0.77319166326113609</v>
      </c>
      <c r="CS291" s="82">
        <f t="shared" si="366"/>
        <v>0.781157469717362</v>
      </c>
      <c r="CT291" s="108">
        <f t="shared" si="366"/>
        <v>0.80387663070031279</v>
      </c>
      <c r="CU291" s="108">
        <f t="shared" si="366"/>
        <v>0.80372432820772088</v>
      </c>
      <c r="CV291" s="108">
        <f t="shared" si="366"/>
        <v>0.80356691264225588</v>
      </c>
      <c r="CW291" s="108">
        <f t="shared" si="366"/>
        <v>0.80354194019364145</v>
      </c>
      <c r="CX291" s="108">
        <f t="shared" si="366"/>
        <v>0.80886445118288408</v>
      </c>
    </row>
    <row r="292" spans="2:102" ht="15" customHeight="1" x14ac:dyDescent="0.25">
      <c r="B292" s="37" t="s">
        <v>244</v>
      </c>
      <c r="C292" s="37"/>
      <c r="D292" s="37"/>
      <c r="E292" s="37"/>
      <c r="F292" s="37"/>
      <c r="G292" s="37"/>
      <c r="H292" s="37"/>
      <c r="I292" s="37"/>
      <c r="J292" s="37"/>
      <c r="K292" s="37"/>
      <c r="L292" s="37"/>
      <c r="M292" s="37"/>
      <c r="N292" s="37"/>
      <c r="O292" s="37"/>
      <c r="P292" s="37"/>
      <c r="Q292" s="37"/>
      <c r="R292" s="37"/>
      <c r="S292" s="82"/>
      <c r="T292" s="82"/>
      <c r="U292" s="82"/>
      <c r="V292" s="82"/>
      <c r="W292" s="82">
        <f t="shared" ref="W292:BJ292" si="367">+(W290-S290)/(W$259-S$259)</f>
        <v>0.14634146341463414</v>
      </c>
      <c r="X292" s="82">
        <f t="shared" si="367"/>
        <v>0.77027027027027029</v>
      </c>
      <c r="Y292" s="82">
        <f t="shared" si="367"/>
        <v>0.61066666666666669</v>
      </c>
      <c r="Z292" s="82">
        <f t="shared" si="367"/>
        <v>1.25</v>
      </c>
      <c r="AA292" s="82">
        <f t="shared" si="367"/>
        <v>1.3636363636363635</v>
      </c>
      <c r="AB292" s="82">
        <f t="shared" si="367"/>
        <v>0.8125</v>
      </c>
      <c r="AC292" s="82">
        <f t="shared" si="367"/>
        <v>1.1348314606741574</v>
      </c>
      <c r="AD292" s="82">
        <f t="shared" si="367"/>
        <v>1.0714285714285714</v>
      </c>
      <c r="AE292" s="82">
        <f t="shared" si="367"/>
        <v>1.1290322580645162</v>
      </c>
      <c r="AF292" s="82">
        <f t="shared" si="367"/>
        <v>1</v>
      </c>
      <c r="AG292" s="82">
        <f t="shared" si="367"/>
        <v>1.0202020202020201</v>
      </c>
      <c r="AH292" s="82">
        <f t="shared" si="367"/>
        <v>0.81595092024539873</v>
      </c>
      <c r="AI292" s="82">
        <f t="shared" si="367"/>
        <v>-1.6086956521739131</v>
      </c>
      <c r="AJ292" s="82">
        <f t="shared" si="367"/>
        <v>0.67816091954022983</v>
      </c>
      <c r="AK292" s="82">
        <f t="shared" si="367"/>
        <v>0.71656050955414008</v>
      </c>
      <c r="AL292" s="82">
        <f t="shared" si="367"/>
        <v>0.72435897435897434</v>
      </c>
      <c r="AM292" s="82">
        <f t="shared" si="367"/>
        <v>-0.8125</v>
      </c>
      <c r="AN292" s="82">
        <f t="shared" si="367"/>
        <v>1.2978723404255319</v>
      </c>
      <c r="AO292" s="82">
        <f t="shared" si="367"/>
        <v>0.75</v>
      </c>
      <c r="AP292" s="82">
        <f t="shared" si="367"/>
        <v>0.9419354838709677</v>
      </c>
      <c r="AQ292" s="82">
        <f t="shared" si="367"/>
        <v>0.83059210526315785</v>
      </c>
      <c r="AR292" s="82">
        <f t="shared" si="367"/>
        <v>0.70719602977667495</v>
      </c>
      <c r="AS292" s="82">
        <f t="shared" si="367"/>
        <v>0.74142480211081796</v>
      </c>
      <c r="AT292" s="82">
        <f t="shared" si="367"/>
        <v>0.79059829059829057</v>
      </c>
      <c r="AU292" s="82">
        <f t="shared" si="367"/>
        <v>1.0925925925925926</v>
      </c>
      <c r="AV292" s="82">
        <f t="shared" si="367"/>
        <v>0.80233793836344314</v>
      </c>
      <c r="AW292" s="82">
        <f t="shared" si="367"/>
        <v>1.0790960451977401</v>
      </c>
      <c r="AX292" s="82">
        <f t="shared" si="367"/>
        <v>0.77777777777777779</v>
      </c>
      <c r="AY292" s="82">
        <f t="shared" si="367"/>
        <v>0.72972972972972971</v>
      </c>
      <c r="AZ292" s="82">
        <f t="shared" si="367"/>
        <v>0.50515463917525771</v>
      </c>
      <c r="BA292" s="82">
        <f t="shared" si="367"/>
        <v>0.80425531914893622</v>
      </c>
      <c r="BB292" s="82">
        <f t="shared" si="367"/>
        <v>0.74871794871794872</v>
      </c>
      <c r="BC292" s="82">
        <f t="shared" si="367"/>
        <v>0.75627240143369179</v>
      </c>
      <c r="BD292" s="82">
        <f t="shared" si="367"/>
        <v>0.74242424242424243</v>
      </c>
      <c r="BE292" s="82">
        <f t="shared" si="367"/>
        <v>2.2083333333333335</v>
      </c>
      <c r="BF292" s="82">
        <f t="shared" si="367"/>
        <v>0.6607142857142857</v>
      </c>
      <c r="BG292" s="82">
        <f t="shared" si="367"/>
        <v>0.680379746835443</v>
      </c>
      <c r="BH292" s="82">
        <f t="shared" si="367"/>
        <v>0.98841698841698844</v>
      </c>
      <c r="BI292" s="82">
        <f t="shared" si="367"/>
        <v>-1.6572568260905476</v>
      </c>
      <c r="BJ292" s="82">
        <f t="shared" si="367"/>
        <v>0.67770104057226799</v>
      </c>
      <c r="BK292" s="102">
        <v>0.8</v>
      </c>
      <c r="BL292" s="102">
        <v>0.8</v>
      </c>
      <c r="BM292" s="102">
        <v>0.8</v>
      </c>
      <c r="BN292" s="102">
        <v>0.8</v>
      </c>
      <c r="BO292" s="102">
        <v>0.8</v>
      </c>
      <c r="BP292" s="102">
        <v>0.8</v>
      </c>
      <c r="BQ292" s="102">
        <v>0.8</v>
      </c>
      <c r="BR292" s="102">
        <v>0.8</v>
      </c>
      <c r="BS292" s="102">
        <v>0.8</v>
      </c>
      <c r="BT292" s="102">
        <v>0.8</v>
      </c>
      <c r="BU292" s="102">
        <v>0.8</v>
      </c>
      <c r="BV292" s="102">
        <v>0.8</v>
      </c>
      <c r="BW292" s="102">
        <v>0.8</v>
      </c>
      <c r="BX292" s="102">
        <v>0.8</v>
      </c>
      <c r="BY292" s="102">
        <v>0.8</v>
      </c>
      <c r="BZ292" s="102">
        <v>0.8</v>
      </c>
      <c r="CA292" s="102">
        <v>0.8</v>
      </c>
      <c r="CB292" s="102">
        <v>0.8</v>
      </c>
      <c r="CC292" s="102">
        <v>0.8</v>
      </c>
      <c r="CD292" s="102">
        <v>0.8</v>
      </c>
      <c r="CE292" s="102"/>
      <c r="CG292" s="82"/>
      <c r="CH292" s="82"/>
      <c r="CI292" s="82"/>
      <c r="CJ292" s="82"/>
      <c r="CK292" s="82">
        <f t="shared" ref="CK292:CX292" si="368">+(CK290-CJ290)/(CK$259-CJ$259)</f>
        <v>0.78947368421052633</v>
      </c>
      <c r="CL292" s="82">
        <f t="shared" si="368"/>
        <v>1.1409574468085106</v>
      </c>
      <c r="CM292" s="82">
        <f t="shared" si="368"/>
        <v>0.91596638655462181</v>
      </c>
      <c r="CN292" s="82">
        <f t="shared" si="368"/>
        <v>1.875</v>
      </c>
      <c r="CO292" s="82">
        <f t="shared" si="368"/>
        <v>0.83750000000000002</v>
      </c>
      <c r="CP292" s="82">
        <f t="shared" si="368"/>
        <v>0.8386308068459658</v>
      </c>
      <c r="CQ292" s="82">
        <f>+(CQ290-CP290)/(CQ$259-CP$259)</f>
        <v>0.8226415094339623</v>
      </c>
      <c r="CR292" s="82">
        <f>+(CR290-CQ290)/(CR$259-CQ$259)</f>
        <v>0.68390804597701149</v>
      </c>
      <c r="CS292" s="82">
        <f t="shared" si="368"/>
        <v>1.4382022471910112</v>
      </c>
      <c r="CT292" s="82">
        <f t="shared" si="368"/>
        <v>-0.26348782402825477</v>
      </c>
      <c r="CU292" s="82">
        <f t="shared" si="368"/>
        <v>0.79999999999999816</v>
      </c>
      <c r="CV292" s="82">
        <f t="shared" si="368"/>
        <v>0.8</v>
      </c>
      <c r="CW292" s="82">
        <f t="shared" si="368"/>
        <v>0.79999999999999016</v>
      </c>
      <c r="CX292" s="82">
        <f t="shared" si="368"/>
        <v>0.97833715861340764</v>
      </c>
    </row>
    <row r="293" spans="2:102" s="158" customFormat="1" ht="15" customHeight="1" x14ac:dyDescent="0.25">
      <c r="B293" s="157" t="s">
        <v>245</v>
      </c>
      <c r="C293" s="157"/>
      <c r="D293" s="157"/>
      <c r="E293" s="157"/>
      <c r="F293" s="157"/>
      <c r="G293" s="157"/>
      <c r="H293" s="157"/>
      <c r="I293" s="157"/>
      <c r="J293" s="157"/>
      <c r="K293" s="157"/>
      <c r="L293" s="157"/>
      <c r="M293" s="157"/>
      <c r="N293" s="157"/>
      <c r="O293" s="157"/>
      <c r="P293" s="157"/>
      <c r="Q293" s="157"/>
      <c r="R293" s="157"/>
      <c r="W293" s="159">
        <f t="shared" ref="W293:BV293" si="369">+(W291-S291)*10^4</f>
        <v>657.41283805799912</v>
      </c>
      <c r="X293" s="159">
        <f t="shared" si="369"/>
        <v>-70.780762738534847</v>
      </c>
      <c r="Y293" s="159">
        <f t="shared" si="369"/>
        <v>-244.64361451735363</v>
      </c>
      <c r="Z293" s="159">
        <f t="shared" si="369"/>
        <v>150.16233766233734</v>
      </c>
      <c r="AA293" s="159">
        <f t="shared" si="369"/>
        <v>-96.12251547735373</v>
      </c>
      <c r="AB293" s="159">
        <f t="shared" si="369"/>
        <v>-69.474246368933507</v>
      </c>
      <c r="AC293" s="159">
        <f t="shared" si="369"/>
        <v>555.93334780197233</v>
      </c>
      <c r="AD293" s="159">
        <f t="shared" si="369"/>
        <v>464.53546453546488</v>
      </c>
      <c r="AE293" s="159">
        <f t="shared" si="369"/>
        <v>445.16129032258101</v>
      </c>
      <c r="AF293" s="159">
        <f t="shared" si="369"/>
        <v>242.77311975972938</v>
      </c>
      <c r="AG293" s="159">
        <f t="shared" si="369"/>
        <v>-130.9862572518916</v>
      </c>
      <c r="AH293" s="159">
        <f t="shared" si="369"/>
        <v>2.1890460137896639E-2</v>
      </c>
      <c r="AI293" s="159">
        <f t="shared" si="369"/>
        <v>-694.97938394373011</v>
      </c>
      <c r="AJ293" s="159">
        <f t="shared" si="369"/>
        <v>4.9845438941353848</v>
      </c>
      <c r="AK293" s="159">
        <f t="shared" si="369"/>
        <v>56.397118508046958</v>
      </c>
      <c r="AL293" s="159">
        <f t="shared" si="369"/>
        <v>-101.24773761086115</v>
      </c>
      <c r="AM293" s="159">
        <f t="shared" si="369"/>
        <v>316.23175586023791</v>
      </c>
      <c r="AN293" s="159">
        <f t="shared" si="369"/>
        <v>224.24918394136185</v>
      </c>
      <c r="AO293" s="159">
        <f t="shared" si="369"/>
        <v>-3.5326118603196122</v>
      </c>
      <c r="AP293" s="159">
        <f t="shared" si="369"/>
        <v>-167.98742365490392</v>
      </c>
      <c r="AQ293" s="159">
        <f t="shared" si="369"/>
        <v>288.19297503174022</v>
      </c>
      <c r="AR293" s="159">
        <f t="shared" si="369"/>
        <v>-59.188336416059471</v>
      </c>
      <c r="AS293" s="159">
        <f t="shared" si="369"/>
        <v>-16.08114794656057</v>
      </c>
      <c r="AT293" s="159">
        <f t="shared" si="369"/>
        <v>2.4900611293976471</v>
      </c>
      <c r="AU293" s="159">
        <f t="shared" si="369"/>
        <v>-120.88054107612156</v>
      </c>
      <c r="AV293" s="159">
        <f t="shared" si="369"/>
        <v>581.71110359116813</v>
      </c>
      <c r="AW293" s="159">
        <f t="shared" si="369"/>
        <v>226.03802871556056</v>
      </c>
      <c r="AX293" s="159">
        <f t="shared" si="369"/>
        <v>-17.117735215543828</v>
      </c>
      <c r="AY293" s="159">
        <f t="shared" si="369"/>
        <v>14.728049674322952</v>
      </c>
      <c r="AZ293" s="159">
        <f t="shared" si="369"/>
        <v>133.23871284097399</v>
      </c>
      <c r="BA293" s="159">
        <f t="shared" si="369"/>
        <v>-31.759634180974494</v>
      </c>
      <c r="BB293" s="159">
        <f t="shared" si="369"/>
        <v>-38.911841889790466</v>
      </c>
      <c r="BC293" s="159">
        <f>+(BC291-AY291)*10^4</f>
        <v>-47.09677230510745</v>
      </c>
      <c r="BD293" s="159">
        <f t="shared" si="369"/>
        <v>-6.1586076409336776</v>
      </c>
      <c r="BE293" s="159">
        <f t="shared" si="369"/>
        <v>145.95829185594656</v>
      </c>
      <c r="BF293" s="159">
        <f t="shared" si="369"/>
        <v>206.62941435567018</v>
      </c>
      <c r="BG293" s="159">
        <f>+(BG291-BC291)*10^4</f>
        <v>244.93882806176038</v>
      </c>
      <c r="BH293" s="159">
        <f t="shared" si="369"/>
        <v>286.06578606578671</v>
      </c>
      <c r="BI293" s="159">
        <f t="shared" si="369"/>
        <v>309.76331360946688</v>
      </c>
      <c r="BJ293" s="159">
        <f t="shared" si="369"/>
        <v>56.782713085234974</v>
      </c>
      <c r="BK293" s="159">
        <f t="shared" si="369"/>
        <v>0.79049808388353959</v>
      </c>
      <c r="BL293" s="159">
        <f t="shared" si="369"/>
        <v>3.8017450093874583</v>
      </c>
      <c r="BM293" s="159">
        <f t="shared" si="369"/>
        <v>-14.150648329825932</v>
      </c>
      <c r="BN293" s="159">
        <f t="shared" si="369"/>
        <v>-1.5628184755112073</v>
      </c>
      <c r="BO293" s="159">
        <f t="shared" si="369"/>
        <v>-6.0933862856760168</v>
      </c>
      <c r="BP293" s="159">
        <f t="shared" si="369"/>
        <v>2.9919926260146834</v>
      </c>
      <c r="BQ293" s="159">
        <f t="shared" si="369"/>
        <v>6.5034787934226124</v>
      </c>
      <c r="BR293" s="159">
        <f t="shared" si="369"/>
        <v>-3.1107812839969995</v>
      </c>
      <c r="BS293" s="159">
        <f t="shared" si="369"/>
        <v>-4.1833826062154245E-2</v>
      </c>
      <c r="BT293" s="159">
        <f t="shared" si="369"/>
        <v>1.4240202579096639</v>
      </c>
      <c r="BU293" s="159">
        <f t="shared" si="369"/>
        <v>-1.0105553014017055</v>
      </c>
      <c r="BV293" s="159">
        <f t="shared" si="369"/>
        <v>-0.4827504726356846</v>
      </c>
      <c r="BW293" s="159">
        <f t="shared" ref="BW293:CD293" si="370">+(BW291-BO291)*10^4</f>
        <v>14.407898551322962</v>
      </c>
      <c r="BX293" s="159">
        <f t="shared" si="370"/>
        <v>97.570878489877671</v>
      </c>
      <c r="BY293" s="159">
        <f t="shared" si="370"/>
        <v>49.426232794739235</v>
      </c>
      <c r="BZ293" s="159">
        <f t="shared" si="370"/>
        <v>35.215668662802457</v>
      </c>
      <c r="CA293" s="159">
        <f t="shared" si="370"/>
        <v>226.67006724840232</v>
      </c>
      <c r="CB293" s="159">
        <f t="shared" si="370"/>
        <v>305.69368044327638</v>
      </c>
      <c r="CC293" s="159">
        <f t="shared" si="370"/>
        <v>292.35321634296207</v>
      </c>
      <c r="CD293" s="159">
        <f t="shared" si="370"/>
        <v>305.22807143521959</v>
      </c>
      <c r="CE293"/>
      <c r="CJ293" s="159"/>
      <c r="CK293" s="159">
        <f>+(CK291-CJ291)*10^4</f>
        <v>43.05305013236449</v>
      </c>
      <c r="CL293" s="159">
        <f t="shared" ref="CL293:CX293" si="371">+(CL291-CK291)*10^4</f>
        <v>324.69417915360845</v>
      </c>
      <c r="CM293" s="159">
        <f t="shared" si="371"/>
        <v>77.788836995635876</v>
      </c>
      <c r="CN293" s="159">
        <f t="shared" si="371"/>
        <v>-104.80684447948695</v>
      </c>
      <c r="CO293" s="159">
        <f t="shared" si="371"/>
        <v>41.790259124852014</v>
      </c>
      <c r="CP293" s="159">
        <f t="shared" si="371"/>
        <v>119.5843462842694</v>
      </c>
      <c r="CQ293" s="159">
        <f>+(CQ291-CP291)*10^4</f>
        <v>110.27487297886718</v>
      </c>
      <c r="CR293" s="159">
        <f>+(CR291-CQ291)*10^4</f>
        <v>20.672454301314815</v>
      </c>
      <c r="CS293" s="159">
        <f t="shared" si="371"/>
        <v>79.658064562259099</v>
      </c>
      <c r="CT293" s="159">
        <f t="shared" si="371"/>
        <v>227.19160982950791</v>
      </c>
      <c r="CU293" s="159">
        <f t="shared" si="371"/>
        <v>-1.5230249259190476</v>
      </c>
      <c r="CV293" s="159">
        <f t="shared" si="371"/>
        <v>-1.5741556546500224</v>
      </c>
      <c r="CW293" s="159">
        <f t="shared" si="371"/>
        <v>-0.24972448614435372</v>
      </c>
      <c r="CX293" s="159">
        <f t="shared" si="371"/>
        <v>53.225109892426346</v>
      </c>
    </row>
    <row r="294" spans="2:102" ht="15" customHeight="1" x14ac:dyDescent="0.25">
      <c r="B294" s="37" t="s">
        <v>170</v>
      </c>
      <c r="C294" s="37"/>
      <c r="D294" s="37"/>
      <c r="E294" s="37"/>
      <c r="F294" s="37"/>
      <c r="G294" s="37"/>
      <c r="H294" s="37"/>
      <c r="I294" s="37"/>
      <c r="J294" s="37"/>
      <c r="K294" s="37"/>
      <c r="L294" s="37"/>
      <c r="M294" s="37"/>
      <c r="N294" s="37"/>
      <c r="O294" s="37"/>
      <c r="P294" s="37"/>
      <c r="Q294" s="37"/>
      <c r="R294" s="37"/>
      <c r="W294" s="82">
        <f>+IFERROR(W290/S290-1,"")</f>
        <v>-2.2058823529411797E-2</v>
      </c>
      <c r="X294" s="82">
        <f t="shared" ref="X294:BV294" si="372">+IFERROR(X290/T290-1,"")</f>
        <v>-7.071960297766744E-2</v>
      </c>
      <c r="Y294" s="82">
        <f t="shared" si="372"/>
        <v>0.2201923076923078</v>
      </c>
      <c r="Z294" s="82">
        <f t="shared" si="372"/>
        <v>5.177514792899407E-2</v>
      </c>
      <c r="AA294" s="82">
        <f t="shared" si="372"/>
        <v>-2.8195488721804551E-2</v>
      </c>
      <c r="AB294" s="82">
        <f t="shared" si="372"/>
        <v>-5.206942590120156E-2</v>
      </c>
      <c r="AC294" s="82">
        <f t="shared" si="372"/>
        <v>0.23877068557919623</v>
      </c>
      <c r="AD294" s="82">
        <f t="shared" si="372"/>
        <v>0.25316455696202533</v>
      </c>
      <c r="AE294" s="82">
        <f t="shared" si="372"/>
        <v>0.20309477756286265</v>
      </c>
      <c r="AF294" s="82">
        <f t="shared" si="372"/>
        <v>0.11408450704225359</v>
      </c>
      <c r="AG294" s="82">
        <f t="shared" si="372"/>
        <v>-6.4249363867684428E-2</v>
      </c>
      <c r="AH294" s="82">
        <f t="shared" si="372"/>
        <v>0.14927048260381603</v>
      </c>
      <c r="AI294" s="82">
        <f t="shared" si="372"/>
        <v>-5.9485530546623755E-2</v>
      </c>
      <c r="AJ294" s="82">
        <f t="shared" si="372"/>
        <v>7.4589127686472745E-2</v>
      </c>
      <c r="AK294" s="82">
        <f t="shared" si="372"/>
        <v>-0.15295717199184233</v>
      </c>
      <c r="AL294" s="82">
        <f t="shared" si="372"/>
        <v>0.1103515625</v>
      </c>
      <c r="AM294" s="82">
        <f t="shared" si="372"/>
        <v>2.2222222222222143E-2</v>
      </c>
      <c r="AN294" s="82">
        <f t="shared" si="372"/>
        <v>7.1764705882352953E-2</v>
      </c>
      <c r="AO294" s="82">
        <f t="shared" si="372"/>
        <v>0.2191011235955056</v>
      </c>
      <c r="AP294" s="82">
        <f t="shared" si="372"/>
        <v>-0.12840809146877752</v>
      </c>
      <c r="AQ294" s="82">
        <f t="shared" si="372"/>
        <v>0.84448160535117056</v>
      </c>
      <c r="AR294" s="82">
        <f t="shared" si="372"/>
        <v>-0.31284302963776067</v>
      </c>
      <c r="AS294" s="82">
        <f t="shared" si="372"/>
        <v>0.18499012508229096</v>
      </c>
      <c r="AT294" s="82">
        <f t="shared" si="372"/>
        <v>0.18668012108980836</v>
      </c>
      <c r="AU294" s="82">
        <f t="shared" si="372"/>
        <v>-5.3490480507706217E-2</v>
      </c>
      <c r="AV294" s="82">
        <f t="shared" si="372"/>
        <v>1.2060702875399363</v>
      </c>
      <c r="AW294" s="82">
        <f t="shared" si="372"/>
        <v>0.10611111111111104</v>
      </c>
      <c r="AX294" s="82">
        <f t="shared" si="372"/>
        <v>0.17261904761904767</v>
      </c>
      <c r="AY294" s="82">
        <f t="shared" si="372"/>
        <v>-2.5862068965517238E-2</v>
      </c>
      <c r="AZ294" s="82">
        <f t="shared" si="372"/>
        <v>-3.5481535119478602E-2</v>
      </c>
      <c r="BA294" s="82">
        <f t="shared" si="372"/>
        <v>-9.4927172275238614E-2</v>
      </c>
      <c r="BB294" s="82">
        <f t="shared" si="372"/>
        <v>0.10587382160986225</v>
      </c>
      <c r="BC294" s="82">
        <f>+IFERROR(BC290/AY290-1,"")</f>
        <v>0.20747295968534907</v>
      </c>
      <c r="BD294" s="82">
        <f t="shared" si="372"/>
        <v>3.6786786786786818E-2</v>
      </c>
      <c r="BE294" s="82">
        <f t="shared" si="372"/>
        <v>2.9411764705882248E-2</v>
      </c>
      <c r="BF294" s="82">
        <f t="shared" si="372"/>
        <v>-0.12131147540983611</v>
      </c>
      <c r="BG294" s="82">
        <f>+IFERROR(BG290/BC290-1,"")</f>
        <v>-0.17508143322475567</v>
      </c>
      <c r="BH294" s="82">
        <f t="shared" si="372"/>
        <v>0.18537291817523527</v>
      </c>
      <c r="BI294" s="82">
        <f t="shared" si="372"/>
        <v>2.6484820847871626E-2</v>
      </c>
      <c r="BJ294" s="82">
        <f t="shared" si="372"/>
        <v>-3.6163300666288256E-2</v>
      </c>
      <c r="BK294" s="82">
        <f t="shared" si="372"/>
        <v>-2.8409376566006617E-2</v>
      </c>
      <c r="BL294" s="82">
        <f t="shared" si="372"/>
        <v>3.1603497523205792E-2</v>
      </c>
      <c r="BM294" s="82">
        <f t="shared" si="372"/>
        <v>0.10224713462928592</v>
      </c>
      <c r="BN294" s="82">
        <f t="shared" si="372"/>
        <v>1.5680298809379822E-2</v>
      </c>
      <c r="BO294" s="82">
        <f t="shared" si="372"/>
        <v>0.28062683328815541</v>
      </c>
      <c r="BP294" s="82">
        <f t="shared" si="372"/>
        <v>2.548396529445851E-2</v>
      </c>
      <c r="BQ294" s="82">
        <f t="shared" si="372"/>
        <v>-4.4922788892857612E-2</v>
      </c>
      <c r="BR294" s="82">
        <f t="shared" si="372"/>
        <v>3.2236289941337093E-2</v>
      </c>
      <c r="BS294" s="82">
        <f t="shared" si="372"/>
        <v>1.9318272218757926E-3</v>
      </c>
      <c r="BT294" s="82">
        <f t="shared" si="372"/>
        <v>1.2270888749955855E-2</v>
      </c>
      <c r="BU294" s="82">
        <f t="shared" si="372"/>
        <v>7.0247047636986526E-3</v>
      </c>
      <c r="BV294" s="82">
        <f t="shared" si="372"/>
        <v>5.030024176812864E-3</v>
      </c>
      <c r="BW294" s="82">
        <f t="shared" ref="BW294:CD294" si="373">+IFERROR(BW290/BO290-1,"")</f>
        <v>3.2048164044305771E-2</v>
      </c>
      <c r="BX294" s="82">
        <f t="shared" si="373"/>
        <v>5.2899784931380589E-2</v>
      </c>
      <c r="BY294" s="82">
        <f t="shared" si="373"/>
        <v>4.6838876727935741E-2</v>
      </c>
      <c r="BZ294" s="82">
        <f t="shared" si="373"/>
        <v>4.6696334509221504E-2</v>
      </c>
      <c r="CA294" s="82">
        <f t="shared" si="373"/>
        <v>8.8086004675691276E-2</v>
      </c>
      <c r="CB294" s="82">
        <f t="shared" si="373"/>
        <v>9.7769424029279461E-2</v>
      </c>
      <c r="CC294" s="82">
        <f t="shared" si="373"/>
        <v>0.10643560115292394</v>
      </c>
      <c r="CD294" s="82">
        <f t="shared" si="373"/>
        <v>0.11647023321793371</v>
      </c>
      <c r="CG294" s="82"/>
      <c r="CH294" s="82"/>
      <c r="CI294" s="82"/>
      <c r="CJ294" s="82" t="str">
        <f t="shared" ref="CJ294:CX294" si="374">+IFERROR(CJ290/CI290-1,"")</f>
        <v/>
      </c>
      <c r="CK294" s="82">
        <f t="shared" si="374"/>
        <v>6.3600782778864939E-2</v>
      </c>
      <c r="CL294" s="82">
        <f t="shared" si="374"/>
        <v>0.13155473781048754</v>
      </c>
      <c r="CM294" s="82">
        <f t="shared" si="374"/>
        <v>5.9078590785907936E-2</v>
      </c>
      <c r="CN294" s="82">
        <f t="shared" si="374"/>
        <v>-2.3029682702149445E-2</v>
      </c>
      <c r="CO294" s="82">
        <f t="shared" si="374"/>
        <v>5.2645364064955569E-2</v>
      </c>
      <c r="CP294" s="82">
        <f t="shared" si="374"/>
        <v>0.17068922617566562</v>
      </c>
      <c r="CQ294" s="82">
        <f>+IFERROR(CQ290/CP290-1,"")</f>
        <v>0.23166843783209345</v>
      </c>
      <c r="CR294" s="82">
        <f>+IFERROR(CR290/CQ290-1,"")</f>
        <v>-2.0534943917169923E-2</v>
      </c>
      <c r="CS294" s="82">
        <f t="shared" si="374"/>
        <v>2.2551092318534138E-2</v>
      </c>
      <c r="CT294" s="108">
        <f t="shared" si="374"/>
        <v>7.1796209131591571E-3</v>
      </c>
      <c r="CU294" s="108">
        <f t="shared" si="374"/>
        <v>4.0696742488760096E-2</v>
      </c>
      <c r="CV294" s="108">
        <f t="shared" si="374"/>
        <v>4.3927660409847524E-2</v>
      </c>
      <c r="CW294" s="108">
        <f t="shared" si="374"/>
        <v>7.0192036885063924E-3</v>
      </c>
      <c r="CX294" s="108">
        <f t="shared" si="374"/>
        <v>3.8238143508344757E-2</v>
      </c>
    </row>
    <row r="295" spans="2:102" ht="15" customHeight="1" x14ac:dyDescent="0.25">
      <c r="B295" s="37" t="s">
        <v>228</v>
      </c>
      <c r="C295" s="37"/>
      <c r="D295" s="37"/>
      <c r="E295" s="37"/>
      <c r="F295" s="37"/>
      <c r="G295" s="37"/>
      <c r="H295" s="37"/>
      <c r="I295" s="37"/>
      <c r="J295" s="37"/>
      <c r="K295" s="37"/>
      <c r="L295" s="37"/>
      <c r="M295" s="37"/>
      <c r="N295" s="37"/>
      <c r="O295" s="37"/>
      <c r="P295" s="37"/>
      <c r="Q295" s="37"/>
      <c r="R295" s="37"/>
      <c r="W295" s="24">
        <f t="shared" ref="W295:BB295" si="375">+W290-S290</f>
        <v>-12</v>
      </c>
      <c r="X295" s="24">
        <f t="shared" si="375"/>
        <v>-57</v>
      </c>
      <c r="Y295" s="24">
        <f t="shared" si="375"/>
        <v>229</v>
      </c>
      <c r="Z295" s="24">
        <f t="shared" si="375"/>
        <v>35</v>
      </c>
      <c r="AA295" s="24">
        <f t="shared" si="375"/>
        <v>-15</v>
      </c>
      <c r="AB295" s="24">
        <f t="shared" si="375"/>
        <v>-39</v>
      </c>
      <c r="AC295" s="24">
        <f t="shared" si="375"/>
        <v>303</v>
      </c>
      <c r="AD295" s="24">
        <f t="shared" si="375"/>
        <v>180</v>
      </c>
      <c r="AE295" s="24">
        <f t="shared" si="375"/>
        <v>105</v>
      </c>
      <c r="AF295" s="24">
        <f t="shared" si="375"/>
        <v>81</v>
      </c>
      <c r="AG295" s="24">
        <f t="shared" si="375"/>
        <v>-101</v>
      </c>
      <c r="AH295" s="24">
        <f t="shared" si="375"/>
        <v>133</v>
      </c>
      <c r="AI295" s="24">
        <f t="shared" si="375"/>
        <v>-37</v>
      </c>
      <c r="AJ295" s="24">
        <f t="shared" si="375"/>
        <v>59</v>
      </c>
      <c r="AK295" s="24">
        <f t="shared" si="375"/>
        <v>-225</v>
      </c>
      <c r="AL295" s="24">
        <f t="shared" si="375"/>
        <v>113</v>
      </c>
      <c r="AM295" s="24">
        <f t="shared" si="375"/>
        <v>13</v>
      </c>
      <c r="AN295" s="24">
        <f t="shared" si="375"/>
        <v>61</v>
      </c>
      <c r="AO295" s="24">
        <f t="shared" si="375"/>
        <v>273</v>
      </c>
      <c r="AP295" s="24">
        <f t="shared" si="375"/>
        <v>-146</v>
      </c>
      <c r="AQ295" s="24">
        <f t="shared" si="375"/>
        <v>505</v>
      </c>
      <c r="AR295" s="24">
        <f t="shared" si="375"/>
        <v>-285</v>
      </c>
      <c r="AS295" s="24">
        <f t="shared" si="375"/>
        <v>281</v>
      </c>
      <c r="AT295" s="24">
        <f t="shared" si="375"/>
        <v>185</v>
      </c>
      <c r="AU295" s="24">
        <f t="shared" si="375"/>
        <v>-59</v>
      </c>
      <c r="AV295" s="24">
        <f t="shared" si="375"/>
        <v>755</v>
      </c>
      <c r="AW295" s="24">
        <f t="shared" si="375"/>
        <v>191</v>
      </c>
      <c r="AX295" s="24">
        <f t="shared" si="375"/>
        <v>203</v>
      </c>
      <c r="AY295" s="24">
        <f t="shared" si="375"/>
        <v>-27</v>
      </c>
      <c r="AZ295" s="24">
        <f t="shared" si="375"/>
        <v>-49</v>
      </c>
      <c r="BA295" s="24">
        <f t="shared" si="375"/>
        <v>-189</v>
      </c>
      <c r="BB295" s="24">
        <f t="shared" si="375"/>
        <v>146</v>
      </c>
      <c r="BC295" s="24">
        <f>+BC290-AY290</f>
        <v>211</v>
      </c>
      <c r="BD295" s="24">
        <f t="shared" ref="BD295:BV295" si="376">+BD290-AZ290</f>
        <v>49</v>
      </c>
      <c r="BE295" s="24">
        <f t="shared" si="376"/>
        <v>53</v>
      </c>
      <c r="BF295" s="24">
        <f t="shared" si="376"/>
        <v>-185</v>
      </c>
      <c r="BG295" s="24">
        <f>+BG290-BC290</f>
        <v>-215</v>
      </c>
      <c r="BH295" s="24">
        <f t="shared" si="376"/>
        <v>256</v>
      </c>
      <c r="BI295" s="24">
        <f t="shared" si="376"/>
        <v>49.12934267280184</v>
      </c>
      <c r="BJ295" s="24">
        <f t="shared" si="376"/>
        <v>-48.45882289282622</v>
      </c>
      <c r="BK295" s="24">
        <f t="shared" si="376"/>
        <v>-28.778698461364684</v>
      </c>
      <c r="BL295" s="24">
        <f t="shared" si="376"/>
        <v>51.734925445487988</v>
      </c>
      <c r="BM295" s="24">
        <f t="shared" si="376"/>
        <v>194.69176925183979</v>
      </c>
      <c r="BN295" s="24">
        <f t="shared" si="376"/>
        <v>20.251751581658709</v>
      </c>
      <c r="BO295" s="24">
        <f t="shared" si="376"/>
        <v>276.19890710553386</v>
      </c>
      <c r="BP295" s="24">
        <f t="shared" si="376"/>
        <v>43.035662231592823</v>
      </c>
      <c r="BQ295" s="24">
        <f t="shared" si="376"/>
        <v>-94.284897734863307</v>
      </c>
      <c r="BR295" s="24">
        <f t="shared" si="376"/>
        <v>42.287337192208952</v>
      </c>
      <c r="BS295" s="24">
        <f t="shared" si="376"/>
        <v>2.4349140700612679</v>
      </c>
      <c r="BT295" s="24">
        <f t="shared" si="376"/>
        <v>21.250364221831205</v>
      </c>
      <c r="BU295" s="24">
        <f t="shared" si="376"/>
        <v>14.081275092825308</v>
      </c>
      <c r="BV295" s="24">
        <f t="shared" si="376"/>
        <v>6.8110564747269109</v>
      </c>
      <c r="BW295" s="24">
        <f t="shared" ref="BW295:CD295" si="377">+BW290-BO290</f>
        <v>40.3941536113864</v>
      </c>
      <c r="BX295" s="24">
        <f t="shared" si="377"/>
        <v>91.610291638608032</v>
      </c>
      <c r="BY295" s="24">
        <f t="shared" si="377"/>
        <v>93.890224633117896</v>
      </c>
      <c r="BZ295" s="24">
        <f t="shared" si="377"/>
        <v>63.230585047916747</v>
      </c>
      <c r="CA295" s="24">
        <f t="shared" si="377"/>
        <v>111.23986224412647</v>
      </c>
      <c r="CB295" s="24">
        <f t="shared" si="377"/>
        <v>171.39184877841581</v>
      </c>
      <c r="CC295" s="24">
        <f t="shared" si="377"/>
        <v>214.85276596959989</v>
      </c>
      <c r="CD295" s="24">
        <f t="shared" si="377"/>
        <v>158.50332969903843</v>
      </c>
      <c r="CG295" s="24"/>
      <c r="CH295" s="24"/>
      <c r="CI295" s="24"/>
      <c r="CJ295" s="24"/>
      <c r="CK295" s="24">
        <f t="shared" ref="CK295:CX295" si="378">+CK290-CJ290</f>
        <v>195</v>
      </c>
      <c r="CL295" s="24">
        <f t="shared" si="378"/>
        <v>429</v>
      </c>
      <c r="CM295" s="24">
        <f t="shared" si="378"/>
        <v>218</v>
      </c>
      <c r="CN295" s="24">
        <f t="shared" si="378"/>
        <v>-90</v>
      </c>
      <c r="CO295" s="24">
        <f t="shared" si="378"/>
        <v>201</v>
      </c>
      <c r="CP295" s="24">
        <f t="shared" si="378"/>
        <v>686</v>
      </c>
      <c r="CQ295" s="24">
        <f>+CQ290-CP290</f>
        <v>1090</v>
      </c>
      <c r="CR295" s="24">
        <f>+CR290-CQ290</f>
        <v>-119</v>
      </c>
      <c r="CS295" s="24">
        <f t="shared" si="378"/>
        <v>128</v>
      </c>
      <c r="CT295" s="24">
        <f t="shared" si="378"/>
        <v>41.670519779975621</v>
      </c>
      <c r="CU295" s="24">
        <f t="shared" si="378"/>
        <v>237.89974781762157</v>
      </c>
      <c r="CV295" s="24">
        <f t="shared" si="378"/>
        <v>267.23700879447279</v>
      </c>
      <c r="CW295" s="24">
        <f t="shared" si="378"/>
        <v>44.577609859444237</v>
      </c>
      <c r="CX295" s="24">
        <f t="shared" si="378"/>
        <v>244.54764507158416</v>
      </c>
    </row>
    <row r="296" spans="2:102" ht="15" customHeight="1" x14ac:dyDescent="0.25">
      <c r="B296" s="37" t="s">
        <v>218</v>
      </c>
      <c r="C296" s="37"/>
      <c r="D296" s="37"/>
      <c r="E296" s="37"/>
      <c r="F296" s="37"/>
      <c r="G296" s="37"/>
      <c r="H296" s="37"/>
      <c r="I296" s="37"/>
      <c r="J296" s="37"/>
      <c r="K296" s="37"/>
      <c r="L296" s="37"/>
      <c r="M296" s="37"/>
      <c r="N296" s="37"/>
      <c r="O296" s="37"/>
      <c r="P296" s="37"/>
      <c r="Q296" s="37"/>
      <c r="R296" s="37"/>
      <c r="T296" s="82">
        <f>+T290/S290-1</f>
        <v>0.48161764705882359</v>
      </c>
      <c r="U296" s="82">
        <f t="shared" ref="U296:BV296" si="379">+U290/T290-1</f>
        <v>0.29032258064516125</v>
      </c>
      <c r="V296" s="82">
        <f t="shared" si="379"/>
        <v>-0.35</v>
      </c>
      <c r="W296" s="82">
        <f t="shared" si="379"/>
        <v>-0.21301775147928992</v>
      </c>
      <c r="X296" s="82">
        <f t="shared" si="379"/>
        <v>0.40789473684210531</v>
      </c>
      <c r="Y296" s="82">
        <f t="shared" si="379"/>
        <v>0.69425901201602147</v>
      </c>
      <c r="Z296" s="82">
        <f t="shared" si="379"/>
        <v>-0.43971631205673756</v>
      </c>
      <c r="AA296" s="82">
        <f t="shared" si="379"/>
        <v>-0.27285513361462732</v>
      </c>
      <c r="AB296" s="82">
        <f t="shared" si="379"/>
        <v>0.37330754352030948</v>
      </c>
      <c r="AC296" s="82">
        <f t="shared" si="379"/>
        <v>1.2140845070422537</v>
      </c>
      <c r="AD296" s="82">
        <f t="shared" si="379"/>
        <v>-0.43320610687022898</v>
      </c>
      <c r="AE296" s="82">
        <f t="shared" si="379"/>
        <v>-0.3019079685746352</v>
      </c>
      <c r="AF296" s="82">
        <f t="shared" si="379"/>
        <v>0.27170418006430874</v>
      </c>
      <c r="AG296" s="82">
        <f t="shared" si="379"/>
        <v>0.8596713021491782</v>
      </c>
      <c r="AH296" s="82">
        <f t="shared" si="379"/>
        <v>-0.30387491502379338</v>
      </c>
      <c r="AI296" s="82">
        <f t="shared" si="379"/>
        <v>-0.4287109375</v>
      </c>
      <c r="AJ296" s="82">
        <f t="shared" si="379"/>
        <v>0.45299145299145294</v>
      </c>
      <c r="AK296" s="82">
        <f t="shared" si="379"/>
        <v>0.46588235294117641</v>
      </c>
      <c r="AL296" s="82">
        <f t="shared" si="379"/>
        <v>-8.7479935794542496E-2</v>
      </c>
      <c r="AM296" s="82">
        <f t="shared" si="379"/>
        <v>-0.47405452946350046</v>
      </c>
      <c r="AN296" s="82">
        <f t="shared" si="379"/>
        <v>0.52341137123745818</v>
      </c>
      <c r="AO296" s="82">
        <f t="shared" si="379"/>
        <v>0.66739846322722274</v>
      </c>
      <c r="AP296" s="82">
        <f t="shared" si="379"/>
        <v>-0.34759710335747207</v>
      </c>
      <c r="AQ296" s="82">
        <f t="shared" si="379"/>
        <v>0.11301715438950555</v>
      </c>
      <c r="AR296" s="82">
        <f t="shared" si="379"/>
        <v>-0.43245693563009968</v>
      </c>
      <c r="AS296" s="82">
        <f t="shared" si="379"/>
        <v>1.8753993610223643</v>
      </c>
      <c r="AT296" s="82">
        <f t="shared" si="379"/>
        <v>-0.34666666666666668</v>
      </c>
      <c r="AU296" s="82">
        <f t="shared" si="379"/>
        <v>-0.11224489795918369</v>
      </c>
      <c r="AV296" s="82">
        <f t="shared" si="379"/>
        <v>0.32279693486590033</v>
      </c>
      <c r="AW296" s="82">
        <f t="shared" si="379"/>
        <v>0.44170890658942796</v>
      </c>
      <c r="AX296" s="82">
        <f t="shared" si="379"/>
        <v>-0.30738322451029632</v>
      </c>
      <c r="AY296" s="82">
        <f t="shared" si="379"/>
        <v>-0.26250906453952139</v>
      </c>
      <c r="AZ296" s="82">
        <f t="shared" si="379"/>
        <v>0.30973451327433632</v>
      </c>
      <c r="BA296" s="82">
        <f t="shared" si="379"/>
        <v>0.35285285285285295</v>
      </c>
      <c r="BB296" s="82">
        <f t="shared" si="379"/>
        <v>-0.1537180910099889</v>
      </c>
      <c r="BC296" s="82">
        <f>+BC290/BB290-1</f>
        <v>-0.19475409836065571</v>
      </c>
      <c r="BD296" s="82">
        <f>+BD290/BC290-1</f>
        <v>0.12459283387622144</v>
      </c>
      <c r="BE296" s="82">
        <f t="shared" si="379"/>
        <v>0.34322954380883419</v>
      </c>
      <c r="BF296" s="82">
        <f t="shared" si="379"/>
        <v>-0.27762803234501343</v>
      </c>
      <c r="BG296" s="82">
        <f t="shared" si="379"/>
        <v>-0.24402985074626871</v>
      </c>
      <c r="BH296" s="82">
        <f t="shared" si="379"/>
        <v>0.61599210266535054</v>
      </c>
      <c r="BI296" s="82">
        <f t="shared" si="379"/>
        <v>0.16318224964740491</v>
      </c>
      <c r="BJ296" s="82">
        <f t="shared" si="379"/>
        <v>-0.32171562710427326</v>
      </c>
      <c r="BK296" s="82">
        <f t="shared" si="379"/>
        <v>-0.23794818238538951</v>
      </c>
      <c r="BL296" s="82">
        <f t="shared" si="379"/>
        <v>0.71580814477951749</v>
      </c>
      <c r="BM296" s="82">
        <f t="shared" si="379"/>
        <v>0.2428363269451379</v>
      </c>
      <c r="BN296" s="82">
        <f t="shared" si="379"/>
        <v>-0.37498583312519462</v>
      </c>
      <c r="BO296" s="82">
        <f t="shared" si="379"/>
        <v>-3.9162217542986433E-2</v>
      </c>
      <c r="BP296" s="82">
        <f t="shared" si="379"/>
        <v>0.37396288618693441</v>
      </c>
      <c r="BQ296" s="82">
        <f t="shared" si="379"/>
        <v>0.15750679013354363</v>
      </c>
      <c r="BR296" s="82">
        <f t="shared" si="379"/>
        <v>-0.32449199156606279</v>
      </c>
      <c r="BS296" s="82">
        <f t="shared" si="379"/>
        <v>-6.7370558057320729E-2</v>
      </c>
      <c r="BT296" s="82">
        <f t="shared" si="379"/>
        <v>0.38814098337042613</v>
      </c>
      <c r="BU296" s="82">
        <f t="shared" si="379"/>
        <v>0.15150790816047666</v>
      </c>
      <c r="BV296" s="82">
        <f t="shared" si="379"/>
        <v>-0.32583001505678255</v>
      </c>
      <c r="BW296" s="82">
        <f>+BW290/BR290-1</f>
        <v>-3.9337331004398068E-2</v>
      </c>
      <c r="BX296" s="82">
        <f t="shared" ref="BX296:BZ296" si="380">+BX290/BW290-1</f>
        <v>0.40172259180320369</v>
      </c>
      <c r="BY296" s="82">
        <f t="shared" si="380"/>
        <v>0.15084372257453493</v>
      </c>
      <c r="BZ296" s="82">
        <f t="shared" si="380"/>
        <v>-0.32458397172883846</v>
      </c>
      <c r="CA296" s="82">
        <f>+CA290/BV290-1</f>
        <v>9.7022167646219071E-3</v>
      </c>
      <c r="CB296" s="82">
        <f t="shared" ref="CB296:CD296" si="381">+CB290/CA290-1</f>
        <v>0.40049474144296426</v>
      </c>
      <c r="CC296" s="82">
        <f t="shared" si="381"/>
        <v>0.16059831573875316</v>
      </c>
      <c r="CD296" s="82">
        <f t="shared" si="381"/>
        <v>-0.31971574347954024</v>
      </c>
      <c r="CG296" s="82"/>
      <c r="CH296" s="82"/>
      <c r="CI296" s="82"/>
      <c r="CJ296" s="82"/>
      <c r="CK296" s="82"/>
      <c r="CL296" s="82"/>
      <c r="CM296" s="82"/>
      <c r="CN296" s="82"/>
      <c r="CO296" s="82"/>
      <c r="CP296" s="82"/>
      <c r="CQ296" s="82"/>
      <c r="CR296" s="82"/>
      <c r="CS296" s="82"/>
      <c r="CT296" s="108"/>
      <c r="CU296" s="108"/>
      <c r="CV296" s="108"/>
      <c r="CW296" s="108"/>
      <c r="CX296" s="108"/>
    </row>
    <row r="297" spans="2:102" ht="15" customHeight="1" x14ac:dyDescent="0.25">
      <c r="CT297" s="60"/>
      <c r="CU297" s="60"/>
      <c r="CV297" s="60"/>
      <c r="CW297" s="60"/>
      <c r="CX297" s="60"/>
    </row>
    <row r="298" spans="2:102" s="138" customFormat="1" ht="15" customHeight="1" x14ac:dyDescent="0.25">
      <c r="B298" s="139" t="s">
        <v>246</v>
      </c>
      <c r="C298" s="140"/>
      <c r="D298" s="140"/>
      <c r="E298" s="140"/>
      <c r="F298" s="140"/>
      <c r="G298" s="140"/>
      <c r="H298" s="140"/>
      <c r="I298" s="140"/>
      <c r="J298" s="140"/>
      <c r="K298" s="140"/>
      <c r="L298" s="140"/>
      <c r="M298" s="140"/>
      <c r="N298" s="140"/>
      <c r="O298" s="140"/>
      <c r="P298" s="140"/>
      <c r="Q298" s="140"/>
      <c r="R298" s="140"/>
      <c r="T298" s="141"/>
      <c r="U298" s="141"/>
      <c r="V298" s="141"/>
      <c r="W298" s="141"/>
      <c r="X298" s="141"/>
      <c r="Y298" s="141"/>
      <c r="Z298" s="141"/>
      <c r="AA298" s="141"/>
      <c r="AB298" s="141"/>
      <c r="AC298" s="141"/>
      <c r="AD298" s="141"/>
      <c r="AE298" s="141"/>
      <c r="AF298" s="141"/>
      <c r="AG298" s="141"/>
      <c r="AH298" s="141"/>
      <c r="AI298" s="141"/>
      <c r="AJ298" s="141"/>
      <c r="AK298" s="141"/>
      <c r="AL298" s="141"/>
      <c r="AM298" s="141"/>
      <c r="AN298" s="141"/>
      <c r="AO298" s="141"/>
      <c r="AP298" s="141"/>
      <c r="AQ298" s="141"/>
      <c r="AR298" s="141"/>
      <c r="AS298" s="141"/>
      <c r="AT298" s="141"/>
      <c r="AU298" s="141"/>
      <c r="AV298" s="141"/>
      <c r="AW298" s="141"/>
      <c r="AX298" s="141"/>
      <c r="AY298" s="141"/>
      <c r="AZ298" s="141"/>
      <c r="BA298" s="141"/>
      <c r="BB298" s="141"/>
      <c r="BC298" s="142"/>
      <c r="BD298" s="142"/>
      <c r="BE298" s="142"/>
      <c r="BF298" s="142"/>
      <c r="BG298" s="142"/>
      <c r="BH298" s="142" t="e">
        <f t="shared" ref="BH298:CD298" si="382">+BH536</f>
        <v>#NAME?</v>
      </c>
      <c r="BI298" s="142" t="e">
        <f>+BI536</f>
        <v>#NAME?</v>
      </c>
      <c r="BJ298" s="142" t="e">
        <f t="shared" si="382"/>
        <v>#NAME?</v>
      </c>
      <c r="BK298" s="142" t="e">
        <f t="shared" si="382"/>
        <v>#NAME?</v>
      </c>
      <c r="BL298" s="142" t="e">
        <f t="shared" si="382"/>
        <v>#NAME?</v>
      </c>
      <c r="BM298" s="142" t="e">
        <f t="shared" si="382"/>
        <v>#NAME?</v>
      </c>
      <c r="BN298" s="142" t="e">
        <f t="shared" si="382"/>
        <v>#NAME?</v>
      </c>
      <c r="BO298" s="142" t="e">
        <f t="shared" si="382"/>
        <v>#NAME?</v>
      </c>
      <c r="BP298" s="142" t="e">
        <f t="shared" si="382"/>
        <v>#NAME?</v>
      </c>
      <c r="BQ298" s="142" t="e">
        <f t="shared" si="382"/>
        <v>#NAME?</v>
      </c>
      <c r="BR298" s="142" t="e">
        <f t="shared" si="382"/>
        <v>#NAME?</v>
      </c>
      <c r="BS298" s="142" t="e">
        <f t="shared" si="382"/>
        <v>#NAME?</v>
      </c>
      <c r="BT298" s="142" t="e">
        <f t="shared" si="382"/>
        <v>#NAME?</v>
      </c>
      <c r="BU298" s="142" t="e">
        <f t="shared" si="382"/>
        <v>#NAME?</v>
      </c>
      <c r="BV298" s="142" t="e">
        <f t="shared" si="382"/>
        <v>#NAME?</v>
      </c>
      <c r="BW298" s="142" t="e">
        <f t="shared" si="382"/>
        <v>#NAME?</v>
      </c>
      <c r="BX298" s="142" t="e">
        <f t="shared" si="382"/>
        <v>#NAME?</v>
      </c>
      <c r="BY298" s="142" t="e">
        <f t="shared" si="382"/>
        <v>#NAME?</v>
      </c>
      <c r="BZ298" s="142" t="e">
        <f t="shared" si="382"/>
        <v>#NAME?</v>
      </c>
      <c r="CA298" s="142" t="e">
        <f t="shared" si="382"/>
        <v>#NAME?</v>
      </c>
      <c r="CB298" s="142" t="e">
        <f t="shared" si="382"/>
        <v>#NAME?</v>
      </c>
      <c r="CC298" s="142" t="e">
        <f t="shared" si="382"/>
        <v>#NAME?</v>
      </c>
      <c r="CD298" s="142" t="e">
        <f t="shared" si="382"/>
        <v>#NAME?</v>
      </c>
      <c r="CE298" s="142"/>
      <c r="CG298" s="141"/>
      <c r="CH298" s="141"/>
      <c r="CI298" s="141"/>
      <c r="CJ298" s="141"/>
      <c r="CK298" s="141"/>
      <c r="CL298" s="141"/>
      <c r="CM298" s="141"/>
      <c r="CN298" s="141"/>
      <c r="CO298" s="141"/>
      <c r="CP298" s="141"/>
      <c r="CQ298" s="141"/>
      <c r="CR298" s="141"/>
      <c r="CS298" s="141"/>
      <c r="CT298" s="142" t="e">
        <f t="shared" ref="CT298:CX298" si="383">+CT536</f>
        <v>#NAME?</v>
      </c>
      <c r="CU298" s="142" t="e">
        <f t="shared" si="383"/>
        <v>#NAME?</v>
      </c>
      <c r="CV298" s="142" t="e">
        <f t="shared" si="383"/>
        <v>#NAME?</v>
      </c>
      <c r="CW298" s="142" t="e">
        <f t="shared" si="383"/>
        <v>#NAME?</v>
      </c>
      <c r="CX298" s="142" t="e">
        <f t="shared" si="383"/>
        <v>#NAME?</v>
      </c>
    </row>
    <row r="299" spans="2:102" s="52" customFormat="1" ht="15" customHeight="1" x14ac:dyDescent="0.25">
      <c r="B299" s="41" t="s">
        <v>220</v>
      </c>
      <c r="C299" s="41"/>
      <c r="D299" s="41"/>
      <c r="E299" s="41"/>
      <c r="F299" s="41"/>
      <c r="G299" s="41"/>
      <c r="H299" s="41"/>
      <c r="I299" s="41"/>
      <c r="J299" s="41"/>
      <c r="K299" s="41"/>
      <c r="L299" s="41"/>
      <c r="M299" s="41"/>
      <c r="N299" s="41"/>
      <c r="O299" s="41"/>
      <c r="P299" s="41"/>
      <c r="Q299" s="41"/>
      <c r="R299" s="41"/>
      <c r="W299" s="52" t="str">
        <f t="shared" ref="W299:AL300" si="384">+IFERROR(W297/S297-1,"")</f>
        <v/>
      </c>
      <c r="X299" s="52" t="str">
        <f t="shared" si="384"/>
        <v/>
      </c>
      <c r="Y299" s="52" t="str">
        <f t="shared" si="384"/>
        <v/>
      </c>
      <c r="Z299" s="52" t="str">
        <f t="shared" si="384"/>
        <v/>
      </c>
      <c r="AA299" s="52" t="str">
        <f t="shared" si="384"/>
        <v/>
      </c>
      <c r="AB299" s="52" t="str">
        <f t="shared" si="384"/>
        <v/>
      </c>
      <c r="AC299" s="52" t="str">
        <f t="shared" si="384"/>
        <v/>
      </c>
      <c r="AD299" s="52" t="str">
        <f t="shared" si="384"/>
        <v/>
      </c>
      <c r="AE299" s="52" t="str">
        <f t="shared" si="384"/>
        <v/>
      </c>
      <c r="AF299" s="52" t="str">
        <f t="shared" si="384"/>
        <v/>
      </c>
      <c r="AG299" s="52" t="str">
        <f t="shared" si="384"/>
        <v/>
      </c>
      <c r="AH299" s="52" t="str">
        <f t="shared" si="384"/>
        <v/>
      </c>
      <c r="AI299" s="52" t="str">
        <f t="shared" si="384"/>
        <v/>
      </c>
      <c r="AJ299" s="52" t="str">
        <f t="shared" si="384"/>
        <v/>
      </c>
      <c r="AK299" s="52" t="str">
        <f t="shared" si="384"/>
        <v/>
      </c>
      <c r="AL299" s="52" t="str">
        <f t="shared" si="384"/>
        <v/>
      </c>
      <c r="BH299" s="52" t="e">
        <f>+BH290-BH298</f>
        <v>#NAME?</v>
      </c>
      <c r="BI299" s="52" t="e">
        <f t="shared" ref="BI299:CD299" si="385">+BI290-BI298</f>
        <v>#NAME?</v>
      </c>
      <c r="BJ299" s="52" t="e">
        <f t="shared" si="385"/>
        <v>#NAME?</v>
      </c>
      <c r="BK299" s="52" t="e">
        <f t="shared" si="385"/>
        <v>#NAME?</v>
      </c>
      <c r="BL299" s="52" t="e">
        <f t="shared" si="385"/>
        <v>#NAME?</v>
      </c>
      <c r="BM299" s="52" t="e">
        <f t="shared" si="385"/>
        <v>#NAME?</v>
      </c>
      <c r="BN299" s="52" t="e">
        <f t="shared" si="385"/>
        <v>#NAME?</v>
      </c>
      <c r="BO299" s="52" t="e">
        <f t="shared" si="385"/>
        <v>#NAME?</v>
      </c>
      <c r="BP299" s="52" t="e">
        <f t="shared" si="385"/>
        <v>#NAME?</v>
      </c>
      <c r="BQ299" s="52" t="e">
        <f t="shared" si="385"/>
        <v>#NAME?</v>
      </c>
      <c r="BR299" s="52" t="e">
        <f t="shared" si="385"/>
        <v>#NAME?</v>
      </c>
      <c r="BS299" s="52" t="e">
        <f t="shared" si="385"/>
        <v>#NAME?</v>
      </c>
      <c r="BT299" s="52" t="e">
        <f t="shared" si="385"/>
        <v>#NAME?</v>
      </c>
      <c r="BU299" s="52" t="e">
        <f t="shared" si="385"/>
        <v>#NAME?</v>
      </c>
      <c r="BV299" s="52" t="e">
        <f t="shared" si="385"/>
        <v>#NAME?</v>
      </c>
      <c r="BW299" s="52" t="e">
        <f t="shared" si="385"/>
        <v>#NAME?</v>
      </c>
      <c r="BX299" s="52" t="e">
        <f t="shared" si="385"/>
        <v>#NAME?</v>
      </c>
      <c r="BY299" s="52" t="e">
        <f t="shared" si="385"/>
        <v>#NAME?</v>
      </c>
      <c r="BZ299" s="52" t="e">
        <f t="shared" si="385"/>
        <v>#NAME?</v>
      </c>
      <c r="CA299" s="52" t="e">
        <f t="shared" si="385"/>
        <v>#NAME?</v>
      </c>
      <c r="CB299" s="52" t="e">
        <f t="shared" si="385"/>
        <v>#NAME?</v>
      </c>
      <c r="CC299" s="52" t="e">
        <f t="shared" si="385"/>
        <v>#NAME?</v>
      </c>
      <c r="CD299" s="52" t="e">
        <f t="shared" si="385"/>
        <v>#NAME?</v>
      </c>
      <c r="CT299" s="52" t="e">
        <f t="shared" ref="CT299:CX299" si="386">+CT290-CT298</f>
        <v>#NAME?</v>
      </c>
      <c r="CU299" s="52" t="e">
        <f t="shared" si="386"/>
        <v>#NAME?</v>
      </c>
      <c r="CV299" s="52" t="e">
        <f t="shared" si="386"/>
        <v>#NAME?</v>
      </c>
      <c r="CW299" s="52" t="e">
        <f t="shared" si="386"/>
        <v>#NAME?</v>
      </c>
      <c r="CX299" s="52" t="e">
        <f t="shared" si="386"/>
        <v>#NAME?</v>
      </c>
    </row>
    <row r="300" spans="2:102" ht="15" customHeight="1" x14ac:dyDescent="0.25">
      <c r="B300" s="37" t="s">
        <v>221</v>
      </c>
      <c r="C300" s="37"/>
      <c r="D300" s="37"/>
      <c r="E300" s="37"/>
      <c r="F300" s="37"/>
      <c r="G300" s="37"/>
      <c r="H300" s="37"/>
      <c r="I300" s="37"/>
      <c r="J300" s="37"/>
      <c r="K300" s="37"/>
      <c r="L300" s="37"/>
      <c r="M300" s="37"/>
      <c r="N300" s="37"/>
      <c r="O300" s="37"/>
      <c r="P300" s="37"/>
      <c r="Q300" s="37"/>
      <c r="R300" s="37"/>
      <c r="S300" s="82"/>
      <c r="T300" s="82"/>
      <c r="U300" s="82"/>
      <c r="V300" s="82"/>
      <c r="W300" s="82" t="str">
        <f t="shared" si="384"/>
        <v/>
      </c>
      <c r="X300" s="82" t="str">
        <f t="shared" si="384"/>
        <v/>
      </c>
      <c r="Y300" s="82" t="str">
        <f t="shared" si="384"/>
        <v/>
      </c>
      <c r="Z300" s="82" t="str">
        <f t="shared" si="384"/>
        <v/>
      </c>
      <c r="AA300" s="82" t="str">
        <f t="shared" si="384"/>
        <v/>
      </c>
      <c r="AB300" s="82" t="str">
        <f t="shared" si="384"/>
        <v/>
      </c>
      <c r="AC300" s="82" t="str">
        <f t="shared" si="384"/>
        <v/>
      </c>
      <c r="AD300" s="82" t="str">
        <f t="shared" si="384"/>
        <v/>
      </c>
      <c r="AE300" s="82" t="str">
        <f t="shared" si="384"/>
        <v/>
      </c>
      <c r="AF300" s="82" t="str">
        <f t="shared" si="384"/>
        <v/>
      </c>
      <c r="AG300" s="82" t="str">
        <f t="shared" si="384"/>
        <v/>
      </c>
      <c r="AH300" s="82" t="str">
        <f t="shared" si="384"/>
        <v/>
      </c>
      <c r="AI300" s="82" t="str">
        <f t="shared" si="384"/>
        <v/>
      </c>
      <c r="AJ300" s="82" t="str">
        <f t="shared" si="384"/>
        <v/>
      </c>
      <c r="AK300" s="82" t="str">
        <f t="shared" si="384"/>
        <v/>
      </c>
      <c r="AL300" s="82" t="str">
        <f t="shared" si="384"/>
        <v/>
      </c>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t="e">
        <f>+BH290/BH298-1</f>
        <v>#NAME?</v>
      </c>
      <c r="BI300" s="82" t="e">
        <f t="shared" ref="BI300:BR300" si="387">+BI290/BI298-1</f>
        <v>#NAME?</v>
      </c>
      <c r="BJ300" s="82" t="e">
        <f t="shared" si="387"/>
        <v>#NAME?</v>
      </c>
      <c r="BK300" s="82" t="e">
        <f t="shared" si="387"/>
        <v>#NAME?</v>
      </c>
      <c r="BL300" s="82" t="e">
        <f t="shared" si="387"/>
        <v>#NAME?</v>
      </c>
      <c r="BM300" s="82" t="e">
        <f t="shared" si="387"/>
        <v>#NAME?</v>
      </c>
      <c r="BN300" s="82" t="e">
        <f t="shared" si="387"/>
        <v>#NAME?</v>
      </c>
      <c r="BO300" s="82" t="e">
        <f t="shared" si="387"/>
        <v>#NAME?</v>
      </c>
      <c r="BP300" s="82" t="e">
        <f t="shared" si="387"/>
        <v>#NAME?</v>
      </c>
      <c r="BQ300" s="82" t="e">
        <f t="shared" si="387"/>
        <v>#NAME?</v>
      </c>
      <c r="BR300" s="82" t="e">
        <f t="shared" si="387"/>
        <v>#NAME?</v>
      </c>
      <c r="BS300" s="82" t="e">
        <f t="shared" ref="BS300:CC300" si="388">+BS293/BS298-1</f>
        <v>#NAME?</v>
      </c>
      <c r="BT300" s="82" t="e">
        <f t="shared" si="388"/>
        <v>#NAME?</v>
      </c>
      <c r="BU300" s="82" t="e">
        <f t="shared" si="388"/>
        <v>#NAME?</v>
      </c>
      <c r="BV300" s="82" t="e">
        <f t="shared" si="388"/>
        <v>#NAME?</v>
      </c>
      <c r="BW300" s="82" t="e">
        <f t="shared" si="388"/>
        <v>#NAME?</v>
      </c>
      <c r="BX300" s="82" t="e">
        <f t="shared" si="388"/>
        <v>#NAME?</v>
      </c>
      <c r="BY300" s="82" t="e">
        <f t="shared" si="388"/>
        <v>#NAME?</v>
      </c>
      <c r="BZ300" s="82" t="e">
        <f t="shared" si="388"/>
        <v>#NAME?</v>
      </c>
      <c r="CA300" s="82" t="e">
        <f t="shared" si="388"/>
        <v>#NAME?</v>
      </c>
      <c r="CB300" s="82" t="e">
        <f t="shared" si="388"/>
        <v>#NAME?</v>
      </c>
      <c r="CC300" s="82" t="e">
        <f t="shared" si="388"/>
        <v>#NAME?</v>
      </c>
      <c r="CD300" s="82" t="e">
        <f>+CD293/CD298-1</f>
        <v>#NAME?</v>
      </c>
      <c r="CE300" s="82"/>
      <c r="CG300" s="82"/>
      <c r="CH300" s="82"/>
      <c r="CI300" s="82"/>
      <c r="CJ300" s="82"/>
      <c r="CK300" s="82"/>
      <c r="CL300" s="82"/>
      <c r="CM300" s="82"/>
      <c r="CN300" s="82"/>
      <c r="CO300" s="82"/>
      <c r="CP300" s="82"/>
      <c r="CQ300" s="82"/>
      <c r="CR300" s="82"/>
      <c r="CS300" s="82"/>
      <c r="CT300" s="82" t="e">
        <f t="shared" ref="CT300:CX300" si="389">+CT290/CT298-1</f>
        <v>#NAME?</v>
      </c>
      <c r="CU300" s="82" t="e">
        <f t="shared" si="389"/>
        <v>#NAME?</v>
      </c>
      <c r="CV300" s="82" t="e">
        <f t="shared" si="389"/>
        <v>#NAME?</v>
      </c>
      <c r="CW300" s="82" t="e">
        <f t="shared" si="389"/>
        <v>#NAME?</v>
      </c>
      <c r="CX300" s="82" t="e">
        <f t="shared" si="389"/>
        <v>#NAME?</v>
      </c>
    </row>
    <row r="301" spans="2:102" ht="15" customHeight="1" x14ac:dyDescent="0.25">
      <c r="B301" s="37"/>
      <c r="C301" s="37"/>
      <c r="D301" s="37"/>
      <c r="E301" s="37"/>
      <c r="F301" s="37"/>
      <c r="G301" s="37"/>
      <c r="H301" s="37"/>
      <c r="I301" s="37"/>
      <c r="J301" s="37"/>
      <c r="K301" s="37"/>
      <c r="L301" s="37"/>
      <c r="M301" s="37"/>
      <c r="N301" s="37"/>
      <c r="O301" s="37"/>
      <c r="P301" s="37"/>
      <c r="Q301" s="37"/>
      <c r="R301" s="37"/>
      <c r="T301" s="82"/>
      <c r="U301" s="82"/>
      <c r="V301" s="82"/>
      <c r="W301" s="82"/>
      <c r="X301" s="82"/>
      <c r="Y301" s="82"/>
      <c r="Z301" s="82"/>
      <c r="AA301" s="82"/>
      <c r="AB301" s="82"/>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2"/>
      <c r="BK301" s="82"/>
      <c r="BL301" s="82"/>
      <c r="BM301" s="82"/>
      <c r="BN301" s="82"/>
      <c r="BO301" s="82"/>
      <c r="BP301" s="82"/>
      <c r="BQ301" s="82"/>
      <c r="BR301" s="82"/>
      <c r="BS301" s="82"/>
      <c r="BT301" s="82"/>
      <c r="BU301" s="82"/>
      <c r="BV301" s="82"/>
      <c r="BW301" s="82"/>
      <c r="BX301" s="82"/>
      <c r="BY301" s="82"/>
      <c r="BZ301" s="82"/>
      <c r="CA301" s="82"/>
      <c r="CB301" s="82"/>
      <c r="CC301" s="82"/>
      <c r="CD301" s="82"/>
      <c r="CG301" s="82"/>
      <c r="CH301" s="82"/>
      <c r="CI301" s="82"/>
      <c r="CJ301" s="82"/>
      <c r="CK301" s="82"/>
      <c r="CL301" s="82"/>
      <c r="CM301" s="82"/>
      <c r="CN301" s="82"/>
      <c r="CO301" s="82"/>
      <c r="CP301" s="82"/>
      <c r="CQ301" s="82"/>
      <c r="CR301" s="82"/>
      <c r="CS301" s="82"/>
      <c r="CT301" s="108"/>
      <c r="CU301" s="108"/>
      <c r="CV301" s="108"/>
      <c r="CW301" s="108"/>
      <c r="CX301" s="108"/>
    </row>
    <row r="302" spans="2:102" s="138" customFormat="1" ht="15" customHeight="1" x14ac:dyDescent="0.25">
      <c r="B302" s="139" t="s">
        <v>247</v>
      </c>
      <c r="C302" s="140"/>
      <c r="D302" s="140"/>
      <c r="E302" s="140"/>
      <c r="F302" s="140"/>
      <c r="G302" s="140"/>
      <c r="H302" s="140"/>
      <c r="I302" s="140"/>
      <c r="J302" s="140"/>
      <c r="K302" s="140"/>
      <c r="L302" s="140"/>
      <c r="M302" s="140"/>
      <c r="N302" s="140"/>
      <c r="O302" s="140"/>
      <c r="P302" s="140"/>
      <c r="Q302" s="140"/>
      <c r="R302" s="140"/>
      <c r="T302" s="141"/>
      <c r="U302" s="141"/>
      <c r="V302" s="141"/>
      <c r="W302" s="141"/>
      <c r="X302" s="141"/>
      <c r="Y302" s="141"/>
      <c r="Z302" s="141"/>
      <c r="AA302" s="141"/>
      <c r="AB302" s="141"/>
      <c r="AC302" s="141"/>
      <c r="AD302" s="141"/>
      <c r="AE302" s="141"/>
      <c r="AF302" s="141"/>
      <c r="AG302" s="141"/>
      <c r="AH302" s="141"/>
      <c r="AI302" s="141"/>
      <c r="AJ302" s="141"/>
      <c r="AK302" s="141"/>
      <c r="AL302" s="141"/>
      <c r="AM302" s="141"/>
      <c r="AN302" s="141"/>
      <c r="AO302" s="141"/>
      <c r="AP302" s="141"/>
      <c r="AQ302" s="141"/>
      <c r="AR302" s="141"/>
      <c r="AS302" s="141"/>
      <c r="AT302" s="141"/>
      <c r="AU302" s="141"/>
      <c r="AV302" s="141"/>
      <c r="AW302" s="141"/>
      <c r="AX302" s="141"/>
      <c r="AY302" s="141"/>
      <c r="AZ302" s="141"/>
      <c r="BA302" s="141"/>
      <c r="BB302" s="141"/>
      <c r="BC302" s="142"/>
      <c r="BD302" s="142"/>
      <c r="BE302" s="142"/>
      <c r="BF302" s="142"/>
      <c r="BG302" s="142"/>
      <c r="BH302" s="141" t="e">
        <f t="shared" ref="BH302:CD302" si="390">+BH298/BH264</f>
        <v>#NAME?</v>
      </c>
      <c r="BI302" s="141" t="e">
        <f t="shared" si="390"/>
        <v>#NAME?</v>
      </c>
      <c r="BJ302" s="141" t="e">
        <f t="shared" si="390"/>
        <v>#NAME?</v>
      </c>
      <c r="BK302" s="141" t="e">
        <f t="shared" si="390"/>
        <v>#NAME?</v>
      </c>
      <c r="BL302" s="141" t="e">
        <f t="shared" si="390"/>
        <v>#NAME?</v>
      </c>
      <c r="BM302" s="141" t="e">
        <f t="shared" si="390"/>
        <v>#NAME?</v>
      </c>
      <c r="BN302" s="141" t="e">
        <f t="shared" si="390"/>
        <v>#NAME?</v>
      </c>
      <c r="BO302" s="141" t="e">
        <f t="shared" si="390"/>
        <v>#NAME?</v>
      </c>
      <c r="BP302" s="141" t="e">
        <f t="shared" si="390"/>
        <v>#NAME?</v>
      </c>
      <c r="BQ302" s="141" t="e">
        <f t="shared" si="390"/>
        <v>#NAME?</v>
      </c>
      <c r="BR302" s="141" t="e">
        <f t="shared" si="390"/>
        <v>#NAME?</v>
      </c>
      <c r="BS302" s="141" t="e">
        <f t="shared" si="390"/>
        <v>#NAME?</v>
      </c>
      <c r="BT302" s="141" t="e">
        <f t="shared" si="390"/>
        <v>#NAME?</v>
      </c>
      <c r="BU302" s="141" t="e">
        <f t="shared" si="390"/>
        <v>#NAME?</v>
      </c>
      <c r="BV302" s="141" t="e">
        <f t="shared" si="390"/>
        <v>#NAME?</v>
      </c>
      <c r="BW302" s="141" t="e">
        <f t="shared" si="390"/>
        <v>#NAME?</v>
      </c>
      <c r="BX302" s="141" t="e">
        <f t="shared" si="390"/>
        <v>#NAME?</v>
      </c>
      <c r="BY302" s="141" t="e">
        <f t="shared" si="390"/>
        <v>#NAME?</v>
      </c>
      <c r="BZ302" s="141" t="e">
        <f t="shared" si="390"/>
        <v>#NAME?</v>
      </c>
      <c r="CA302" s="141" t="e">
        <f t="shared" si="390"/>
        <v>#NAME?</v>
      </c>
      <c r="CB302" s="141" t="e">
        <f t="shared" si="390"/>
        <v>#NAME?</v>
      </c>
      <c r="CC302" s="141" t="e">
        <f t="shared" si="390"/>
        <v>#NAME?</v>
      </c>
      <c r="CD302" s="141" t="e">
        <f t="shared" si="390"/>
        <v>#NAME?</v>
      </c>
      <c r="CE302" s="141"/>
      <c r="CG302" s="141"/>
      <c r="CH302" s="141"/>
      <c r="CI302" s="141"/>
      <c r="CJ302" s="141"/>
      <c r="CK302" s="141"/>
      <c r="CL302" s="141"/>
      <c r="CM302" s="141"/>
      <c r="CN302" s="141"/>
      <c r="CO302" s="141"/>
      <c r="CP302" s="141"/>
      <c r="CQ302" s="141"/>
      <c r="CR302" s="141"/>
      <c r="CS302" s="141"/>
      <c r="CT302" s="141" t="e">
        <f t="shared" ref="CT302:CX302" si="391">+CT298/CT264</f>
        <v>#NAME?</v>
      </c>
      <c r="CU302" s="141" t="e">
        <f t="shared" si="391"/>
        <v>#NAME?</v>
      </c>
      <c r="CV302" s="141" t="e">
        <f t="shared" si="391"/>
        <v>#NAME?</v>
      </c>
      <c r="CW302" s="141" t="e">
        <f t="shared" si="391"/>
        <v>#NAME?</v>
      </c>
      <c r="CX302" s="141" t="e">
        <f t="shared" si="391"/>
        <v>#NAME?</v>
      </c>
    </row>
    <row r="303" spans="2:102" ht="15" customHeight="1" x14ac:dyDescent="0.25">
      <c r="B303" s="37" t="s">
        <v>248</v>
      </c>
      <c r="C303" s="37"/>
      <c r="D303" s="37"/>
      <c r="E303" s="37"/>
      <c r="F303" s="37"/>
      <c r="G303" s="37"/>
      <c r="H303" s="37"/>
      <c r="I303" s="37"/>
      <c r="J303" s="37"/>
      <c r="K303" s="37"/>
      <c r="L303" s="37"/>
      <c r="M303" s="37"/>
      <c r="N303" s="37"/>
      <c r="O303" s="37"/>
      <c r="P303" s="37"/>
      <c r="Q303" s="37"/>
      <c r="R303" s="37"/>
      <c r="S303" s="82"/>
      <c r="T303" s="82"/>
      <c r="U303" s="82"/>
      <c r="V303" s="82"/>
      <c r="W303" s="82" t="str">
        <f t="shared" ref="W303:AL303" si="392">+IFERROR(W302/S302-1,"")</f>
        <v/>
      </c>
      <c r="X303" s="82" t="str">
        <f t="shared" si="392"/>
        <v/>
      </c>
      <c r="Y303" s="82" t="str">
        <f t="shared" si="392"/>
        <v/>
      </c>
      <c r="Z303" s="82" t="str">
        <f t="shared" si="392"/>
        <v/>
      </c>
      <c r="AA303" s="82" t="str">
        <f t="shared" si="392"/>
        <v/>
      </c>
      <c r="AB303" s="82" t="str">
        <f t="shared" si="392"/>
        <v/>
      </c>
      <c r="AC303" s="82" t="str">
        <f t="shared" si="392"/>
        <v/>
      </c>
      <c r="AD303" s="82" t="str">
        <f t="shared" si="392"/>
        <v/>
      </c>
      <c r="AE303" s="82" t="str">
        <f t="shared" si="392"/>
        <v/>
      </c>
      <c r="AF303" s="82" t="str">
        <f t="shared" si="392"/>
        <v/>
      </c>
      <c r="AG303" s="82" t="str">
        <f t="shared" si="392"/>
        <v/>
      </c>
      <c r="AH303" s="82" t="str">
        <f t="shared" si="392"/>
        <v/>
      </c>
      <c r="AI303" s="82" t="str">
        <f t="shared" si="392"/>
        <v/>
      </c>
      <c r="AJ303" s="82" t="str">
        <f t="shared" si="392"/>
        <v/>
      </c>
      <c r="AK303" s="82" t="str">
        <f t="shared" si="392"/>
        <v/>
      </c>
      <c r="AL303" s="82" t="str">
        <f t="shared" si="392"/>
        <v/>
      </c>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159" t="e">
        <f t="shared" ref="BH303:CD303" si="393">+(BH291-BH302)*10^4</f>
        <v>#NAME?</v>
      </c>
      <c r="BI303" s="159" t="e">
        <f t="shared" si="393"/>
        <v>#NAME?</v>
      </c>
      <c r="BJ303" s="159" t="e">
        <f t="shared" si="393"/>
        <v>#NAME?</v>
      </c>
      <c r="BK303" s="159" t="e">
        <f t="shared" si="393"/>
        <v>#NAME?</v>
      </c>
      <c r="BL303" s="159" t="e">
        <f t="shared" si="393"/>
        <v>#NAME?</v>
      </c>
      <c r="BM303" s="159" t="e">
        <f t="shared" si="393"/>
        <v>#NAME?</v>
      </c>
      <c r="BN303" s="159" t="e">
        <f t="shared" si="393"/>
        <v>#NAME?</v>
      </c>
      <c r="BO303" s="159" t="e">
        <f t="shared" si="393"/>
        <v>#NAME?</v>
      </c>
      <c r="BP303" s="159" t="e">
        <f t="shared" si="393"/>
        <v>#NAME?</v>
      </c>
      <c r="BQ303" s="159" t="e">
        <f t="shared" si="393"/>
        <v>#NAME?</v>
      </c>
      <c r="BR303" s="159" t="e">
        <f t="shared" si="393"/>
        <v>#NAME?</v>
      </c>
      <c r="BS303" s="159" t="e">
        <f t="shared" si="393"/>
        <v>#NAME?</v>
      </c>
      <c r="BT303" s="159" t="e">
        <f t="shared" si="393"/>
        <v>#NAME?</v>
      </c>
      <c r="BU303" s="159" t="e">
        <f t="shared" si="393"/>
        <v>#NAME?</v>
      </c>
      <c r="BV303" s="159" t="e">
        <f t="shared" si="393"/>
        <v>#NAME?</v>
      </c>
      <c r="BW303" s="159" t="e">
        <f t="shared" si="393"/>
        <v>#NAME?</v>
      </c>
      <c r="BX303" s="159" t="e">
        <f t="shared" si="393"/>
        <v>#NAME?</v>
      </c>
      <c r="BY303" s="159" t="e">
        <f t="shared" si="393"/>
        <v>#NAME?</v>
      </c>
      <c r="BZ303" s="159" t="e">
        <f t="shared" si="393"/>
        <v>#NAME?</v>
      </c>
      <c r="CA303" s="159" t="e">
        <f t="shared" si="393"/>
        <v>#NAME?</v>
      </c>
      <c r="CB303" s="159" t="e">
        <f t="shared" si="393"/>
        <v>#NAME?</v>
      </c>
      <c r="CC303" s="159" t="e">
        <f t="shared" si="393"/>
        <v>#NAME?</v>
      </c>
      <c r="CD303" s="159" t="e">
        <f t="shared" si="393"/>
        <v>#NAME?</v>
      </c>
      <c r="CE303" s="159"/>
      <c r="CG303" s="82"/>
      <c r="CH303" s="82"/>
      <c r="CI303" s="82"/>
      <c r="CJ303" s="82"/>
      <c r="CK303" s="82"/>
      <c r="CL303" s="82"/>
      <c r="CM303" s="82"/>
      <c r="CN303" s="82"/>
      <c r="CO303" s="82"/>
      <c r="CP303" s="82"/>
      <c r="CQ303" s="82"/>
      <c r="CR303" s="82"/>
      <c r="CS303" s="82"/>
      <c r="CT303" s="159" t="e">
        <f t="shared" ref="CT303:CX303" si="394">+(CT291-CT302)*10^4</f>
        <v>#NAME?</v>
      </c>
      <c r="CU303" s="159" t="e">
        <f t="shared" si="394"/>
        <v>#NAME?</v>
      </c>
      <c r="CV303" s="159" t="e">
        <f t="shared" si="394"/>
        <v>#NAME?</v>
      </c>
      <c r="CW303" s="159" t="e">
        <f t="shared" si="394"/>
        <v>#NAME?</v>
      </c>
      <c r="CX303" s="159" t="e">
        <f t="shared" si="394"/>
        <v>#NAME?</v>
      </c>
    </row>
    <row r="304" spans="2:102" ht="15" customHeight="1" x14ac:dyDescent="0.25">
      <c r="B304" s="37"/>
      <c r="C304" s="37"/>
      <c r="D304" s="37"/>
      <c r="E304" s="37"/>
      <c r="F304" s="37"/>
      <c r="G304" s="37"/>
      <c r="H304" s="37"/>
      <c r="I304" s="37"/>
      <c r="J304" s="37"/>
      <c r="K304" s="37"/>
      <c r="L304" s="37"/>
      <c r="M304" s="37"/>
      <c r="N304" s="37"/>
      <c r="O304" s="37"/>
      <c r="P304" s="37"/>
      <c r="Q304" s="37"/>
      <c r="R304" s="37"/>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2"/>
      <c r="BK304" s="82"/>
      <c r="BL304" s="82"/>
      <c r="BM304" s="82"/>
      <c r="BN304" s="82"/>
      <c r="BO304" s="82"/>
      <c r="BP304" s="82"/>
      <c r="BQ304" s="82"/>
      <c r="BR304" s="82"/>
      <c r="BS304" s="82"/>
      <c r="BT304" s="82"/>
      <c r="BU304" s="82"/>
      <c r="BV304" s="82"/>
      <c r="BW304" s="82"/>
      <c r="BX304" s="82"/>
      <c r="BY304" s="82"/>
      <c r="BZ304" s="82"/>
      <c r="CA304" s="82"/>
      <c r="CB304" s="82"/>
      <c r="CC304" s="82"/>
      <c r="CD304" s="82"/>
      <c r="CG304" s="82"/>
      <c r="CH304" s="82"/>
      <c r="CI304" s="82"/>
      <c r="CJ304" s="82"/>
      <c r="CK304" s="82"/>
      <c r="CL304" s="82"/>
      <c r="CM304" s="82"/>
      <c r="CN304" s="82"/>
      <c r="CO304" s="82"/>
      <c r="CP304" s="82"/>
      <c r="CQ304" s="82"/>
      <c r="CR304" s="82"/>
      <c r="CS304" s="82"/>
      <c r="CT304" s="108"/>
      <c r="CU304" s="108"/>
      <c r="CV304" s="108"/>
      <c r="CW304" s="108"/>
      <c r="CX304" s="108"/>
    </row>
    <row r="305" spans="2:102" s="39" customFormat="1" ht="15" customHeight="1" x14ac:dyDescent="0.25">
      <c r="B305" s="23" t="s">
        <v>249</v>
      </c>
      <c r="C305" s="23"/>
      <c r="D305" s="23"/>
      <c r="E305" s="23"/>
      <c r="F305" s="23"/>
      <c r="G305" s="23"/>
      <c r="H305" s="23"/>
      <c r="I305" s="23"/>
      <c r="J305" s="23"/>
      <c r="K305" s="23"/>
      <c r="L305" s="23"/>
      <c r="M305" s="23"/>
      <c r="N305" s="23"/>
      <c r="O305" s="23"/>
      <c r="P305" s="23"/>
      <c r="Q305" s="23"/>
      <c r="R305" s="23"/>
      <c r="S305" s="97"/>
      <c r="T305" s="97"/>
      <c r="U305" s="97"/>
      <c r="V305" s="97"/>
      <c r="W305" s="97"/>
      <c r="X305" s="97"/>
      <c r="Y305" s="97"/>
      <c r="Z305" s="97"/>
      <c r="AA305" s="97"/>
      <c r="AB305" s="97"/>
      <c r="AC305" s="97"/>
      <c r="AD305" s="97"/>
      <c r="AE305" s="97"/>
      <c r="AF305" s="97"/>
      <c r="AG305" s="97"/>
      <c r="AH305" s="97"/>
      <c r="AI305" s="97"/>
      <c r="AJ305" s="97"/>
      <c r="AK305" s="97"/>
      <c r="AL305" s="97"/>
      <c r="AM305" s="97"/>
      <c r="AN305" s="97"/>
      <c r="AO305" s="97"/>
      <c r="AP305" s="97"/>
      <c r="AQ305" s="97"/>
      <c r="AR305" s="97"/>
      <c r="AS305" s="97"/>
      <c r="AT305" s="97"/>
      <c r="AU305" s="97"/>
      <c r="AV305" s="97"/>
      <c r="AW305" s="97"/>
      <c r="AX305" s="97"/>
      <c r="AY305" s="97"/>
      <c r="AZ305" s="97"/>
      <c r="BA305" s="97"/>
      <c r="BB305" s="97"/>
      <c r="BC305" s="97"/>
      <c r="BD305" s="97"/>
      <c r="BE305" s="97"/>
      <c r="BF305" s="97"/>
      <c r="BG305" s="97"/>
      <c r="BH305" s="102"/>
      <c r="BI305" s="102"/>
      <c r="BJ305" s="102"/>
      <c r="BK305" s="102"/>
      <c r="BL305" s="102"/>
      <c r="BM305" s="102"/>
      <c r="BN305" s="102"/>
      <c r="BO305" s="102"/>
      <c r="BP305" s="102"/>
      <c r="BQ305" s="102"/>
      <c r="BR305" s="102"/>
      <c r="BS305" s="102"/>
      <c r="BT305" s="102"/>
      <c r="BU305" s="102"/>
      <c r="BV305" s="102"/>
      <c r="BW305" s="102"/>
      <c r="BX305" s="102"/>
      <c r="BY305" s="102"/>
      <c r="BZ305" s="102"/>
      <c r="CA305" s="102"/>
      <c r="CB305" s="102"/>
      <c r="CC305" s="102"/>
      <c r="CD305" s="102"/>
      <c r="CE305"/>
      <c r="CG305" s="102"/>
      <c r="CH305" s="102"/>
      <c r="CI305" s="102"/>
      <c r="CJ305" s="102"/>
      <c r="CK305" s="102"/>
      <c r="CL305" s="102"/>
      <c r="CM305" s="102"/>
      <c r="CN305" s="97"/>
      <c r="CO305" s="97"/>
      <c r="CP305" s="97"/>
      <c r="CQ305" s="97"/>
      <c r="CR305" s="97"/>
      <c r="CS305" s="97"/>
      <c r="CT305" s="97"/>
      <c r="CU305" s="102"/>
      <c r="CV305" s="102"/>
      <c r="CW305" s="102"/>
      <c r="CX305" s="102"/>
    </row>
    <row r="306" spans="2:102" s="60" customFormat="1" ht="15" customHeight="1" x14ac:dyDescent="0.25">
      <c r="B306" s="97" t="s">
        <v>231</v>
      </c>
      <c r="C306" s="97"/>
      <c r="D306" s="97"/>
      <c r="E306" s="97"/>
      <c r="F306" s="97"/>
      <c r="G306" s="97"/>
      <c r="H306" s="97"/>
      <c r="I306" s="97"/>
      <c r="J306" s="97"/>
      <c r="K306" s="97"/>
      <c r="L306" s="97"/>
      <c r="M306" s="97"/>
      <c r="N306" s="97"/>
      <c r="O306" s="97"/>
      <c r="P306" s="97"/>
      <c r="Q306" s="97"/>
      <c r="R306" s="97"/>
      <c r="S306" s="108"/>
      <c r="T306" s="108"/>
      <c r="U306" s="108"/>
      <c r="V306" s="108"/>
      <c r="W306" s="108"/>
      <c r="X306" s="108"/>
      <c r="Y306" s="108"/>
      <c r="Z306" s="108"/>
      <c r="AA306" s="108"/>
      <c r="AB306" s="108"/>
      <c r="AC306" s="108"/>
      <c r="AD306" s="108"/>
      <c r="AE306" s="108"/>
      <c r="AF306" s="108"/>
      <c r="AG306" s="108"/>
      <c r="AH306" s="108"/>
      <c r="AI306" s="108"/>
      <c r="AJ306" s="108"/>
      <c r="AK306" s="108"/>
      <c r="AL306" s="108"/>
      <c r="AM306" s="108">
        <f t="shared" ref="AM306:BJ307" si="395">1-AM284/AM269</f>
        <v>0.78115942028985508</v>
      </c>
      <c r="AN306" s="108">
        <f t="shared" si="395"/>
        <v>0.7</v>
      </c>
      <c r="AO306" s="108">
        <f t="shared" si="395"/>
        <v>0.77525773195876291</v>
      </c>
      <c r="AP306" s="108">
        <f t="shared" si="395"/>
        <v>0.81597222222222221</v>
      </c>
      <c r="AQ306" s="108">
        <f t="shared" si="395"/>
        <v>0.79</v>
      </c>
      <c r="AR306" s="108">
        <f t="shared" si="395"/>
        <v>0.67999999999999994</v>
      </c>
      <c r="AS306" s="108">
        <f t="shared" si="395"/>
        <v>0.74510638297872345</v>
      </c>
      <c r="AT306" s="108">
        <f t="shared" si="395"/>
        <v>0.78036363636363637</v>
      </c>
      <c r="AU306" s="108">
        <f t="shared" si="395"/>
        <v>0.77439999999999998</v>
      </c>
      <c r="AV306" s="108">
        <f t="shared" si="395"/>
        <v>0.72</v>
      </c>
      <c r="AW306" s="108">
        <f t="shared" si="395"/>
        <v>0.78095238095238095</v>
      </c>
      <c r="AX306" s="108">
        <f t="shared" si="395"/>
        <v>0.79500283929585458</v>
      </c>
      <c r="AY306" s="108">
        <f t="shared" si="395"/>
        <v>0.76916666666666667</v>
      </c>
      <c r="AZ306" s="108">
        <f t="shared" si="395"/>
        <v>0.74782608695652175</v>
      </c>
      <c r="BA306" s="108">
        <f t="shared" si="395"/>
        <v>0.78144329896907216</v>
      </c>
      <c r="BB306" s="108">
        <f t="shared" si="395"/>
        <v>0.77910447761194024</v>
      </c>
      <c r="BC306" s="108">
        <f t="shared" si="395"/>
        <v>0.78</v>
      </c>
      <c r="BD306" s="108">
        <f t="shared" si="395"/>
        <v>0.75588235294117645</v>
      </c>
      <c r="BE306" s="108">
        <f t="shared" si="395"/>
        <v>0.78666666666666663</v>
      </c>
      <c r="BF306" s="108">
        <f t="shared" si="395"/>
        <v>0.8</v>
      </c>
      <c r="BG306" s="108">
        <f t="shared" si="395"/>
        <v>0.80434782608695654</v>
      </c>
      <c r="BH306" s="108">
        <f t="shared" si="395"/>
        <v>0.79230769230769227</v>
      </c>
      <c r="BI306" s="108">
        <f t="shared" si="395"/>
        <v>0.81874999999999998</v>
      </c>
      <c r="BJ306" s="108">
        <f t="shared" si="395"/>
        <v>0.80159181353041498</v>
      </c>
      <c r="BK306" s="108"/>
      <c r="BL306" s="108"/>
      <c r="BM306" s="108"/>
      <c r="BN306" s="108"/>
      <c r="BO306" s="108"/>
      <c r="BP306" s="108"/>
      <c r="BQ306" s="108"/>
      <c r="BR306" s="108"/>
      <c r="BS306" s="108"/>
      <c r="BT306" s="108"/>
      <c r="BU306" s="108"/>
      <c r="BV306" s="108"/>
      <c r="BW306" s="108"/>
      <c r="BX306" s="108"/>
      <c r="BY306" s="108"/>
      <c r="BZ306" s="108"/>
      <c r="CA306" s="108"/>
      <c r="CB306" s="108"/>
      <c r="CC306" s="108"/>
      <c r="CD306" s="108"/>
      <c r="CG306" s="108"/>
      <c r="CH306" s="108"/>
      <c r="CI306" s="108"/>
      <c r="CJ306" s="108"/>
      <c r="CK306" s="108"/>
      <c r="CL306" s="108"/>
      <c r="CM306" s="108"/>
      <c r="CN306" s="108">
        <f t="shared" ref="CN306:CT307" si="396">1-CN284/CN269</f>
        <v>0.77027027027027029</v>
      </c>
      <c r="CO306" s="108">
        <f t="shared" si="396"/>
        <v>0.7719607843137255</v>
      </c>
      <c r="CP306" s="108">
        <f t="shared" si="396"/>
        <v>0.75099099099099098</v>
      </c>
      <c r="CQ306" s="108">
        <f t="shared" si="396"/>
        <v>0.75506849315068492</v>
      </c>
      <c r="CR306" s="108">
        <f t="shared" si="396"/>
        <v>0.75886075949367093</v>
      </c>
      <c r="CS306" s="108">
        <f t="shared" si="396"/>
        <v>0.78082191780821919</v>
      </c>
      <c r="CT306" s="108">
        <f t="shared" si="396"/>
        <v>0.80410958904109586</v>
      </c>
      <c r="CU306" s="108"/>
      <c r="CV306" s="108"/>
      <c r="CW306" s="108"/>
      <c r="CX306" s="108"/>
    </row>
    <row r="307" spans="2:102" s="60" customFormat="1" ht="15" customHeight="1" x14ac:dyDescent="0.25">
      <c r="B307" s="97" t="s">
        <v>232</v>
      </c>
      <c r="C307" s="97"/>
      <c r="D307" s="97"/>
      <c r="E307" s="97"/>
      <c r="F307" s="97"/>
      <c r="G307" s="97"/>
      <c r="H307" s="97"/>
      <c r="I307" s="97"/>
      <c r="J307" s="97"/>
      <c r="K307" s="97"/>
      <c r="L307" s="97"/>
      <c r="M307" s="97"/>
      <c r="N307" s="97"/>
      <c r="O307" s="97"/>
      <c r="P307" s="97"/>
      <c r="Q307" s="97"/>
      <c r="R307" s="97"/>
      <c r="S307" s="108"/>
      <c r="T307" s="108"/>
      <c r="U307" s="108"/>
      <c r="V307" s="108"/>
      <c r="W307" s="108"/>
      <c r="X307" s="108"/>
      <c r="Y307" s="108"/>
      <c r="Z307" s="108"/>
      <c r="AA307" s="108"/>
      <c r="AB307" s="108"/>
      <c r="AC307" s="108"/>
      <c r="AD307" s="108"/>
      <c r="AE307" s="108"/>
      <c r="AF307" s="108"/>
      <c r="AG307" s="108"/>
      <c r="AH307" s="108"/>
      <c r="AI307" s="108"/>
      <c r="AJ307" s="108"/>
      <c r="AK307" s="108"/>
      <c r="AL307" s="108"/>
      <c r="AM307" s="108">
        <f t="shared" si="395"/>
        <v>0.78115942028985508</v>
      </c>
      <c r="AN307" s="108">
        <f t="shared" si="395"/>
        <v>0.7</v>
      </c>
      <c r="AO307" s="108">
        <f t="shared" si="395"/>
        <v>0.77525773195876291</v>
      </c>
      <c r="AP307" s="108">
        <f t="shared" si="395"/>
        <v>0.81597222222222221</v>
      </c>
      <c r="AQ307" s="108">
        <f t="shared" si="395"/>
        <v>0.79</v>
      </c>
      <c r="AR307" s="108">
        <f t="shared" si="395"/>
        <v>0.67999999999999994</v>
      </c>
      <c r="AS307" s="108">
        <f t="shared" si="395"/>
        <v>0.74510638297872345</v>
      </c>
      <c r="AT307" s="108">
        <f t="shared" si="395"/>
        <v>0.78036363636363637</v>
      </c>
      <c r="AU307" s="108">
        <f t="shared" si="395"/>
        <v>0.77439999999999998</v>
      </c>
      <c r="AV307" s="108">
        <f t="shared" si="395"/>
        <v>0.72</v>
      </c>
      <c r="AW307" s="108">
        <f t="shared" si="395"/>
        <v>0.78095238095238095</v>
      </c>
      <c r="AX307" s="108">
        <f t="shared" si="395"/>
        <v>0.79500283929585458</v>
      </c>
      <c r="AY307" s="108">
        <f t="shared" si="395"/>
        <v>0.76880000000000004</v>
      </c>
      <c r="AZ307" s="108">
        <f t="shared" si="395"/>
        <v>0.74760563380281697</v>
      </c>
      <c r="BA307" s="108">
        <f t="shared" si="395"/>
        <v>0.78217821782178221</v>
      </c>
      <c r="BB307" s="108">
        <f t="shared" si="395"/>
        <v>0.78028169014084503</v>
      </c>
      <c r="BC307" s="108">
        <f t="shared" si="395"/>
        <v>0.78125</v>
      </c>
      <c r="BD307" s="108">
        <f t="shared" si="395"/>
        <v>0.7583333333333333</v>
      </c>
      <c r="BE307" s="108">
        <f t="shared" si="395"/>
        <v>0.78775510204081634</v>
      </c>
      <c r="BF307" s="108">
        <f t="shared" si="395"/>
        <v>0.80519480519480524</v>
      </c>
      <c r="BG307" s="108">
        <f t="shared" si="395"/>
        <v>0.81200000000000006</v>
      </c>
      <c r="BH307" s="108">
        <f t="shared" si="395"/>
        <v>0.78780487804878052</v>
      </c>
      <c r="BI307" s="108">
        <f t="shared" si="395"/>
        <v>0.81764705882352939</v>
      </c>
      <c r="BJ307" s="108">
        <f t="shared" si="395"/>
        <v>0.8171817705605029</v>
      </c>
      <c r="BK307" s="108"/>
      <c r="BL307" s="108"/>
      <c r="BM307" s="108"/>
      <c r="BN307" s="108"/>
      <c r="BO307" s="108"/>
      <c r="BP307" s="108"/>
      <c r="BQ307" s="108"/>
      <c r="BR307" s="108"/>
      <c r="BS307" s="108"/>
      <c r="BT307" s="108"/>
      <c r="BU307" s="108"/>
      <c r="BV307" s="108"/>
      <c r="BW307" s="108"/>
      <c r="BX307" s="108"/>
      <c r="BY307" s="108"/>
      <c r="BZ307" s="108"/>
      <c r="CA307" s="108"/>
      <c r="CB307" s="108"/>
      <c r="CC307" s="108"/>
      <c r="CD307" s="108"/>
      <c r="CG307" s="108"/>
      <c r="CH307" s="108"/>
      <c r="CI307" s="108"/>
      <c r="CJ307" s="108"/>
      <c r="CK307" s="108"/>
      <c r="CL307" s="108"/>
      <c r="CM307" s="108"/>
      <c r="CN307" s="108">
        <f t="shared" si="396"/>
        <v>0.77027027027027029</v>
      </c>
      <c r="CO307" s="108">
        <f t="shared" si="396"/>
        <v>0.7719607843137255</v>
      </c>
      <c r="CP307" s="108">
        <f t="shared" si="396"/>
        <v>0.75099099099099098</v>
      </c>
      <c r="CQ307" s="108">
        <f t="shared" si="396"/>
        <v>0.75506849315068492</v>
      </c>
      <c r="CR307" s="108">
        <f t="shared" si="396"/>
        <v>0.7592592592592593</v>
      </c>
      <c r="CS307" s="108">
        <f t="shared" si="396"/>
        <v>0.78181818181818186</v>
      </c>
      <c r="CT307" s="108">
        <f t="shared" si="396"/>
        <v>0.80909090909090908</v>
      </c>
      <c r="CU307" s="108"/>
      <c r="CV307" s="108"/>
      <c r="CW307" s="108"/>
      <c r="CX307" s="108"/>
    </row>
    <row r="308" spans="2:102" s="151" customFormat="1" ht="15" customHeight="1" x14ac:dyDescent="0.25">
      <c r="B308" s="112" t="s">
        <v>250</v>
      </c>
      <c r="C308" s="112"/>
      <c r="D308" s="112"/>
      <c r="E308" s="112"/>
      <c r="F308" s="112"/>
      <c r="G308" s="112"/>
      <c r="H308" s="112"/>
      <c r="I308" s="112"/>
      <c r="J308" s="112"/>
      <c r="K308" s="112"/>
      <c r="L308" s="112"/>
      <c r="M308" s="112"/>
      <c r="N308" s="112"/>
      <c r="O308" s="112"/>
      <c r="P308" s="112"/>
      <c r="Q308" s="112"/>
      <c r="R308" s="112"/>
      <c r="S308" s="47"/>
      <c r="T308" s="47"/>
      <c r="U308" s="47"/>
      <c r="V308" s="47"/>
      <c r="W308" s="47"/>
      <c r="X308" s="47"/>
      <c r="Y308" s="47"/>
      <c r="Z308" s="47"/>
      <c r="AA308" s="47"/>
      <c r="AB308" s="47"/>
      <c r="AC308" s="47"/>
      <c r="AD308" s="47"/>
      <c r="AE308" s="47"/>
      <c r="AF308" s="47"/>
      <c r="AG308" s="47"/>
      <c r="AH308" s="47"/>
      <c r="AI308" s="47"/>
      <c r="AJ308" s="47"/>
      <c r="AK308" s="47"/>
      <c r="AL308" s="47"/>
      <c r="AM308" s="160">
        <f t="shared" ref="AM308:BJ308" si="397">+AM291</f>
        <v>0.76470588235294112</v>
      </c>
      <c r="AN308" s="160">
        <f t="shared" si="397"/>
        <v>0.69383092155369386</v>
      </c>
      <c r="AO308" s="160">
        <f t="shared" si="397"/>
        <v>0.75160811479465606</v>
      </c>
      <c r="AP308" s="160">
        <f t="shared" si="397"/>
        <v>0.7890127388535032</v>
      </c>
      <c r="AQ308" s="160">
        <f t="shared" si="397"/>
        <v>0.79352517985611515</v>
      </c>
      <c r="AR308" s="160">
        <f t="shared" si="397"/>
        <v>0.68791208791208791</v>
      </c>
      <c r="AS308" s="160">
        <f t="shared" si="397"/>
        <v>0.75</v>
      </c>
      <c r="AT308" s="160">
        <f t="shared" si="397"/>
        <v>0.78926174496644297</v>
      </c>
      <c r="AU308" s="160">
        <f t="shared" si="397"/>
        <v>0.78143712574850299</v>
      </c>
      <c r="AV308" s="160">
        <f t="shared" si="397"/>
        <v>0.74608319827120473</v>
      </c>
      <c r="AW308" s="160">
        <f t="shared" si="397"/>
        <v>0.77260380287155606</v>
      </c>
      <c r="AX308" s="160">
        <f t="shared" si="397"/>
        <v>0.78754997144488859</v>
      </c>
      <c r="AY308" s="160">
        <f t="shared" si="397"/>
        <v>0.78290993071593529</v>
      </c>
      <c r="AZ308" s="160">
        <f t="shared" si="397"/>
        <v>0.75940706955530213</v>
      </c>
      <c r="BA308" s="160">
        <f t="shared" si="397"/>
        <v>0.76942783945345861</v>
      </c>
      <c r="BB308" s="160">
        <f t="shared" si="397"/>
        <v>0.78365878725590954</v>
      </c>
      <c r="BC308" s="160">
        <f t="shared" si="397"/>
        <v>0.77820025348542454</v>
      </c>
      <c r="BD308" s="160">
        <f t="shared" si="397"/>
        <v>0.75879120879120876</v>
      </c>
      <c r="BE308" s="160">
        <f t="shared" si="397"/>
        <v>0.78402366863905326</v>
      </c>
      <c r="BF308" s="160">
        <f t="shared" si="397"/>
        <v>0.80432172869147656</v>
      </c>
      <c r="BG308" s="160">
        <f t="shared" si="397"/>
        <v>0.80269413629160058</v>
      </c>
      <c r="BH308" s="160">
        <f t="shared" si="397"/>
        <v>0.78739778739778743</v>
      </c>
      <c r="BI308" s="160">
        <f t="shared" si="397"/>
        <v>0.81499999999999995</v>
      </c>
      <c r="BJ308" s="160">
        <f t="shared" si="397"/>
        <v>0.81</v>
      </c>
      <c r="BK308" s="150"/>
      <c r="BL308" s="150"/>
      <c r="BM308" s="150"/>
      <c r="BN308" s="150"/>
      <c r="BO308" s="150"/>
      <c r="BP308" s="150"/>
      <c r="BQ308" s="150"/>
      <c r="BR308" s="150"/>
      <c r="BS308" s="150"/>
      <c r="BT308" s="150"/>
      <c r="BU308" s="150"/>
      <c r="BV308" s="150"/>
      <c r="BW308" s="150"/>
      <c r="BX308" s="150"/>
      <c r="BY308" s="150"/>
      <c r="BZ308" s="150"/>
      <c r="CA308" s="150"/>
      <c r="CB308" s="150"/>
      <c r="CC308" s="150"/>
      <c r="CD308" s="150"/>
      <c r="CE308"/>
      <c r="CG308" s="150"/>
      <c r="CH308" s="150"/>
      <c r="CI308" s="150"/>
      <c r="CJ308" s="150"/>
      <c r="CK308" s="150"/>
      <c r="CL308" s="150"/>
      <c r="CM308" s="150"/>
      <c r="CN308" s="160">
        <f t="shared" ref="CN308:CT308" si="398">+CN291</f>
        <v>0.74395946999220575</v>
      </c>
      <c r="CO308" s="160">
        <f t="shared" si="398"/>
        <v>0.74813849590469095</v>
      </c>
      <c r="CP308" s="160">
        <f t="shared" si="398"/>
        <v>0.76009693053311789</v>
      </c>
      <c r="CQ308" s="160">
        <f t="shared" si="398"/>
        <v>0.7711244178310046</v>
      </c>
      <c r="CR308" s="160">
        <f t="shared" si="398"/>
        <v>0.77319166326113609</v>
      </c>
      <c r="CS308" s="160">
        <f t="shared" si="398"/>
        <v>0.781157469717362</v>
      </c>
      <c r="CT308" s="160">
        <f t="shared" si="398"/>
        <v>0.80387663070031279</v>
      </c>
      <c r="CU308" s="150"/>
      <c r="CV308" s="150"/>
      <c r="CW308" s="150"/>
      <c r="CX308" s="150"/>
    </row>
    <row r="309" spans="2:102" s="39" customFormat="1" ht="15" customHeight="1" x14ac:dyDescent="0.25">
      <c r="B309" s="26" t="s">
        <v>251</v>
      </c>
      <c r="C309" s="26"/>
      <c r="D309" s="26"/>
      <c r="E309" s="26"/>
      <c r="F309" s="26"/>
      <c r="G309" s="26"/>
      <c r="H309" s="26"/>
      <c r="I309" s="26"/>
      <c r="J309" s="26"/>
      <c r="K309" s="26"/>
      <c r="L309" s="26"/>
      <c r="M309" s="26"/>
      <c r="N309" s="26"/>
      <c r="O309" s="26"/>
      <c r="P309" s="26"/>
      <c r="Q309" s="26"/>
      <c r="R309" s="26"/>
      <c r="S309" s="97"/>
      <c r="T309" s="97"/>
      <c r="U309" s="97"/>
      <c r="V309" s="97"/>
      <c r="W309" s="97"/>
      <c r="X309" s="97"/>
      <c r="Y309" s="97"/>
      <c r="Z309" s="97"/>
      <c r="AA309" s="97"/>
      <c r="AB309" s="97"/>
      <c r="AC309" s="97"/>
      <c r="AD309" s="97"/>
      <c r="AE309" s="97"/>
      <c r="AF309" s="97"/>
      <c r="AG309" s="97"/>
      <c r="AH309" s="97"/>
      <c r="AI309" s="97"/>
      <c r="AJ309" s="97"/>
      <c r="AK309" s="97"/>
      <c r="AL309" s="97"/>
      <c r="AM309" s="161">
        <f>+(AM308-AM307)*10^4</f>
        <v>-164.53537936913955</v>
      </c>
      <c r="AN309" s="161">
        <f t="shared" ref="AN309:BJ309" si="399">+(AN308-AN307)*10^4</f>
        <v>-61.690784463060979</v>
      </c>
      <c r="AO309" s="161">
        <f t="shared" si="399"/>
        <v>-236.49617164106851</v>
      </c>
      <c r="AP309" s="161">
        <f t="shared" si="399"/>
        <v>-269.59483368719009</v>
      </c>
      <c r="AQ309" s="161">
        <f t="shared" si="399"/>
        <v>35.251798561151126</v>
      </c>
      <c r="AR309" s="161">
        <f t="shared" si="399"/>
        <v>79.120879120879721</v>
      </c>
      <c r="AS309" s="161">
        <f t="shared" si="399"/>
        <v>48.936170212765532</v>
      </c>
      <c r="AT309" s="161">
        <f t="shared" si="399"/>
        <v>88.981086028065988</v>
      </c>
      <c r="AU309" s="161">
        <f t="shared" si="399"/>
        <v>70.371257485030142</v>
      </c>
      <c r="AV309" s="161">
        <f t="shared" si="399"/>
        <v>260.83198271204753</v>
      </c>
      <c r="AW309" s="161">
        <f t="shared" si="399"/>
        <v>-83.485780808248975</v>
      </c>
      <c r="AX309" s="161">
        <f t="shared" si="399"/>
        <v>-74.52867850965994</v>
      </c>
      <c r="AY309" s="161">
        <f t="shared" si="399"/>
        <v>141.09930715935249</v>
      </c>
      <c r="AZ309" s="161">
        <f t="shared" si="399"/>
        <v>118.01435752485156</v>
      </c>
      <c r="BA309" s="161">
        <f t="shared" si="399"/>
        <v>-127.50378368323601</v>
      </c>
      <c r="BB309" s="161">
        <f t="shared" si="399"/>
        <v>33.770971150645089</v>
      </c>
      <c r="BC309" s="161">
        <f t="shared" si="399"/>
        <v>-30.497465145754575</v>
      </c>
      <c r="BD309" s="161">
        <f t="shared" si="399"/>
        <v>4.5787545787545625</v>
      </c>
      <c r="BE309" s="161">
        <f t="shared" si="399"/>
        <v>-37.314334017630735</v>
      </c>
      <c r="BF309" s="161">
        <f t="shared" si="399"/>
        <v>-8.7307650332868469</v>
      </c>
      <c r="BG309" s="161">
        <f t="shared" si="399"/>
        <v>-93.058637083994753</v>
      </c>
      <c r="BH309" s="161">
        <f t="shared" si="399"/>
        <v>-4.0709065099309161</v>
      </c>
      <c r="BI309" s="161">
        <f t="shared" si="399"/>
        <v>-26.470588235294468</v>
      </c>
      <c r="BJ309" s="161">
        <f t="shared" si="399"/>
        <v>-71.817705605028422</v>
      </c>
      <c r="BK309" s="102"/>
      <c r="BL309" s="102"/>
      <c r="BM309" s="102"/>
      <c r="BN309" s="102"/>
      <c r="BO309" s="102"/>
      <c r="BP309" s="102"/>
      <c r="BQ309" s="102"/>
      <c r="BR309" s="102"/>
      <c r="BS309" s="102"/>
      <c r="BT309" s="102"/>
      <c r="BU309" s="102"/>
      <c r="BV309" s="102"/>
      <c r="BW309" s="102"/>
      <c r="BX309" s="102"/>
      <c r="BY309" s="102"/>
      <c r="BZ309" s="102"/>
      <c r="CA309" s="102"/>
      <c r="CB309" s="102"/>
      <c r="CC309" s="102"/>
      <c r="CD309" s="102"/>
      <c r="CE309"/>
      <c r="CG309" s="102"/>
      <c r="CH309" s="102"/>
      <c r="CI309" s="102"/>
      <c r="CJ309" s="102"/>
      <c r="CK309" s="102"/>
      <c r="CL309" s="102"/>
      <c r="CM309" s="102"/>
      <c r="CN309" s="161">
        <f t="shared" ref="CN309:CT309" si="400">+(CN308-CN307)*10^4</f>
        <v>-263.10800278064539</v>
      </c>
      <c r="CO309" s="161">
        <f t="shared" si="400"/>
        <v>-238.22288409034553</v>
      </c>
      <c r="CP309" s="161">
        <f t="shared" si="400"/>
        <v>91.059395421269059</v>
      </c>
      <c r="CQ309" s="161">
        <f t="shared" si="400"/>
        <v>160.55924680319688</v>
      </c>
      <c r="CR309" s="161">
        <f t="shared" si="400"/>
        <v>139.32404001876785</v>
      </c>
      <c r="CS309" s="161">
        <f t="shared" si="400"/>
        <v>-6.607121008198602</v>
      </c>
      <c r="CT309" s="161">
        <f t="shared" si="400"/>
        <v>-52.142783905962943</v>
      </c>
      <c r="CU309" s="102"/>
      <c r="CV309" s="102"/>
      <c r="CW309" s="102"/>
      <c r="CX309" s="102"/>
    </row>
    <row r="310" spans="2:102" s="39" customFormat="1" ht="15" customHeight="1" x14ac:dyDescent="0.25">
      <c r="B310" s="23"/>
      <c r="C310" s="23"/>
      <c r="D310" s="23"/>
      <c r="E310" s="23"/>
      <c r="F310" s="23"/>
      <c r="G310" s="23"/>
      <c r="H310" s="23"/>
      <c r="I310" s="23"/>
      <c r="J310" s="23"/>
      <c r="K310" s="23"/>
      <c r="L310" s="23"/>
      <c r="M310" s="23"/>
      <c r="N310" s="23"/>
      <c r="O310" s="23"/>
      <c r="P310" s="23"/>
      <c r="Q310" s="23"/>
      <c r="R310" s="23"/>
      <c r="T310" s="102"/>
      <c r="U310" s="102"/>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c r="AW310" s="102"/>
      <c r="AX310" s="102"/>
      <c r="AY310" s="102"/>
      <c r="AZ310" s="102"/>
      <c r="BA310" s="102"/>
      <c r="BB310" s="102"/>
      <c r="BC310" s="102"/>
      <c r="BD310" s="102"/>
      <c r="BE310" s="162"/>
      <c r="BF310" s="162"/>
      <c r="BG310" s="102"/>
      <c r="BH310" s="102"/>
      <c r="BI310" s="102"/>
      <c r="BJ310" s="102"/>
      <c r="BK310" s="102"/>
      <c r="BL310" s="102"/>
      <c r="BM310" s="102"/>
      <c r="BN310" s="102"/>
      <c r="BO310" s="102"/>
      <c r="BP310" s="102"/>
      <c r="BQ310" s="102"/>
      <c r="BR310" s="102"/>
      <c r="BS310" s="102"/>
      <c r="BT310" s="102"/>
      <c r="BU310" s="102"/>
      <c r="BV310" s="102"/>
      <c r="BW310" s="102"/>
      <c r="BX310" s="102"/>
      <c r="BY310" s="102"/>
      <c r="BZ310" s="102"/>
      <c r="CA310" s="102"/>
      <c r="CB310" s="102"/>
      <c r="CC310" s="102"/>
      <c r="CD310" s="102"/>
      <c r="CE310"/>
      <c r="CG310" s="102"/>
      <c r="CH310" s="102"/>
      <c r="CI310" s="102"/>
      <c r="CJ310" s="102"/>
      <c r="CK310" s="102"/>
      <c r="CL310" s="102"/>
      <c r="CM310" s="102"/>
      <c r="CN310" s="102"/>
      <c r="CO310" s="153"/>
      <c r="CP310" s="153"/>
      <c r="CQ310" s="154"/>
      <c r="CR310" s="154"/>
      <c r="CS310" s="154"/>
      <c r="CT310" s="154"/>
      <c r="CU310" s="102"/>
      <c r="CV310" s="102"/>
      <c r="CW310" s="102"/>
      <c r="CX310" s="102"/>
    </row>
    <row r="311" spans="2:102" ht="15" customHeight="1" x14ac:dyDescent="0.25">
      <c r="B311" t="s">
        <v>252</v>
      </c>
      <c r="S311" s="87">
        <f t="shared" ref="S311:BE311" si="401">-S539</f>
        <v>-249</v>
      </c>
      <c r="T311" s="87">
        <f t="shared" si="401"/>
        <v>-238</v>
      </c>
      <c r="U311" s="87">
        <f t="shared" si="401"/>
        <v>-261</v>
      </c>
      <c r="V311" s="87">
        <f t="shared" si="401"/>
        <v>-264</v>
      </c>
      <c r="W311" s="87">
        <f t="shared" si="401"/>
        <v>-270</v>
      </c>
      <c r="X311" s="87">
        <f t="shared" si="401"/>
        <v>-240</v>
      </c>
      <c r="Y311" s="87">
        <f t="shared" si="401"/>
        <v>-240</v>
      </c>
      <c r="Z311" s="87">
        <f t="shared" si="401"/>
        <v>-256</v>
      </c>
      <c r="AA311" s="87">
        <f t="shared" si="401"/>
        <v>-267</v>
      </c>
      <c r="AB311" s="87">
        <f t="shared" si="401"/>
        <v>-264</v>
      </c>
      <c r="AC311" s="87">
        <f t="shared" si="401"/>
        <v>-258</v>
      </c>
      <c r="AD311" s="87">
        <f t="shared" si="401"/>
        <v>-307</v>
      </c>
      <c r="AE311" s="87">
        <f t="shared" si="401"/>
        <v>-297</v>
      </c>
      <c r="AF311" s="87">
        <f t="shared" si="401"/>
        <v>-295</v>
      </c>
      <c r="AG311" s="87">
        <f t="shared" si="401"/>
        <v>-291</v>
      </c>
      <c r="AH311" s="87">
        <f t="shared" si="401"/>
        <v>-291</v>
      </c>
      <c r="AI311" s="87">
        <f t="shared" si="401"/>
        <v>-315</v>
      </c>
      <c r="AJ311" s="87">
        <f t="shared" si="401"/>
        <v>-300</v>
      </c>
      <c r="AK311" s="87">
        <f t="shared" si="401"/>
        <v>-285</v>
      </c>
      <c r="AL311" s="87">
        <f t="shared" si="401"/>
        <v>-349</v>
      </c>
      <c r="AM311" s="87">
        <f t="shared" si="401"/>
        <v>-332</v>
      </c>
      <c r="AN311" s="87">
        <f t="shared" si="401"/>
        <v>-326</v>
      </c>
      <c r="AO311" s="87">
        <f t="shared" si="401"/>
        <v>-329</v>
      </c>
      <c r="AP311" s="87">
        <f t="shared" si="401"/>
        <v>-343</v>
      </c>
      <c r="AQ311" s="87">
        <f t="shared" si="401"/>
        <v>-372</v>
      </c>
      <c r="AR311" s="87">
        <f t="shared" si="401"/>
        <v>-347</v>
      </c>
      <c r="AS311" s="87">
        <f t="shared" si="401"/>
        <v>-377</v>
      </c>
      <c r="AT311" s="87">
        <f t="shared" si="401"/>
        <v>-397</v>
      </c>
      <c r="AU311" s="87">
        <f t="shared" si="401"/>
        <v>-430</v>
      </c>
      <c r="AV311" s="87">
        <f t="shared" si="401"/>
        <v>-452</v>
      </c>
      <c r="AW311" s="87">
        <f t="shared" si="401"/>
        <v>-453</v>
      </c>
      <c r="AX311" s="87">
        <f t="shared" si="401"/>
        <v>-495</v>
      </c>
      <c r="AY311" s="87">
        <f t="shared" si="401"/>
        <v>-491</v>
      </c>
      <c r="AZ311" s="87">
        <f t="shared" si="401"/>
        <v>-470</v>
      </c>
      <c r="BA311" s="87">
        <f t="shared" si="401"/>
        <v>-461</v>
      </c>
      <c r="BB311" s="87">
        <f t="shared" si="401"/>
        <v>-539</v>
      </c>
      <c r="BC311" s="87">
        <f t="shared" si="401"/>
        <v>-503</v>
      </c>
      <c r="BD311" s="87">
        <f t="shared" si="401"/>
        <v>-489</v>
      </c>
      <c r="BE311" s="87">
        <f t="shared" si="401"/>
        <v>-476</v>
      </c>
      <c r="BF311" s="87">
        <f>-BF539</f>
        <v>-534</v>
      </c>
      <c r="BG311" s="74">
        <f>-629+101</f>
        <v>-528</v>
      </c>
      <c r="BH311" s="74">
        <f>122-648</f>
        <v>-526</v>
      </c>
      <c r="BI311" s="24">
        <f t="shared" ref="BI311:CD311" si="402">+BE311*(1+BI313)</f>
        <v>-504.56</v>
      </c>
      <c r="BJ311" s="24">
        <f t="shared" si="402"/>
        <v>-560.70000000000005</v>
      </c>
      <c r="BK311" s="24">
        <f t="shared" si="402"/>
        <v>-549.12</v>
      </c>
      <c r="BL311" s="24">
        <f t="shared" si="402"/>
        <v>-547.04</v>
      </c>
      <c r="BM311" s="24">
        <f t="shared" si="402"/>
        <v>-519.69680000000005</v>
      </c>
      <c r="BN311" s="24">
        <f t="shared" si="402"/>
        <v>-571.9140000000001</v>
      </c>
      <c r="BO311" s="24">
        <f t="shared" si="402"/>
        <v>-565.59360000000004</v>
      </c>
      <c r="BP311" s="24">
        <f t="shared" si="402"/>
        <v>-563.45119999999997</v>
      </c>
      <c r="BQ311" s="24">
        <f t="shared" si="402"/>
        <v>-535.28770400000008</v>
      </c>
      <c r="BR311" s="24">
        <f t="shared" si="402"/>
        <v>-589.0714200000001</v>
      </c>
      <c r="BS311" s="24">
        <f t="shared" si="402"/>
        <v>-582.56140800000003</v>
      </c>
      <c r="BT311" s="24">
        <f t="shared" si="402"/>
        <v>-580.354736</v>
      </c>
      <c r="BU311" s="24">
        <f t="shared" si="402"/>
        <v>-551.34633512000005</v>
      </c>
      <c r="BV311" s="24">
        <f t="shared" si="402"/>
        <v>-606.74356260000013</v>
      </c>
      <c r="BW311" s="24">
        <f t="shared" si="402"/>
        <v>-600.03825024000002</v>
      </c>
      <c r="BX311" s="24">
        <f t="shared" si="402"/>
        <v>-597.76537808</v>
      </c>
      <c r="BY311" s="24">
        <f t="shared" si="402"/>
        <v>-567.8867251736001</v>
      </c>
      <c r="BZ311" s="24">
        <f t="shared" si="402"/>
        <v>-624.94586947800019</v>
      </c>
      <c r="CA311" s="24">
        <f t="shared" si="402"/>
        <v>-618.03939774720004</v>
      </c>
      <c r="CB311" s="24">
        <f t="shared" si="402"/>
        <v>-615.69833942240007</v>
      </c>
      <c r="CC311" s="24">
        <f t="shared" si="402"/>
        <v>-584.92332692880814</v>
      </c>
      <c r="CD311" s="24">
        <f t="shared" si="402"/>
        <v>-643.69424556234026</v>
      </c>
      <c r="CG311" s="29"/>
      <c r="CH311" s="29"/>
      <c r="CI311" s="29"/>
      <c r="CJ311" s="29">
        <f t="shared" ref="CJ311:CX311" si="403">+SUMIFS($S311:$CD311,$S$5:$CD$5,"&lt;="&amp;CJ$5,$S$5:$CD$5,"&gt;"&amp;CI$5)</f>
        <v>-1012</v>
      </c>
      <c r="CK311" s="29">
        <f t="shared" si="403"/>
        <v>-1006</v>
      </c>
      <c r="CL311" s="29">
        <f t="shared" si="403"/>
        <v>-1096</v>
      </c>
      <c r="CM311" s="29">
        <f t="shared" si="403"/>
        <v>-1174</v>
      </c>
      <c r="CN311" s="29">
        <f t="shared" si="403"/>
        <v>-1249</v>
      </c>
      <c r="CO311" s="29">
        <f t="shared" si="403"/>
        <v>-1330</v>
      </c>
      <c r="CP311" s="29">
        <f t="shared" si="403"/>
        <v>-1493</v>
      </c>
      <c r="CQ311" s="29">
        <f t="shared" si="403"/>
        <v>-1830</v>
      </c>
      <c r="CR311" s="29">
        <f t="shared" si="403"/>
        <v>-1961</v>
      </c>
      <c r="CS311" s="29">
        <f t="shared" si="403"/>
        <v>-2002</v>
      </c>
      <c r="CT311" s="97">
        <f t="shared" si="403"/>
        <v>-2119.2600000000002</v>
      </c>
      <c r="CU311" s="97">
        <f t="shared" si="403"/>
        <v>-2187.7708000000002</v>
      </c>
      <c r="CV311" s="97">
        <f t="shared" si="403"/>
        <v>-2253.4039240000002</v>
      </c>
      <c r="CW311" s="97">
        <f t="shared" si="403"/>
        <v>-2321.0060417200002</v>
      </c>
      <c r="CX311" s="97">
        <f t="shared" si="403"/>
        <v>-2390.6362229716001</v>
      </c>
    </row>
    <row r="312" spans="2:102" ht="15" customHeight="1" x14ac:dyDescent="0.25">
      <c r="B312" s="37" t="s">
        <v>240</v>
      </c>
      <c r="C312" s="37"/>
      <c r="D312" s="37"/>
      <c r="E312" s="37"/>
      <c r="F312" s="37"/>
      <c r="G312" s="37"/>
      <c r="H312" s="37"/>
      <c r="I312" s="37"/>
      <c r="J312" s="37"/>
      <c r="K312" s="37"/>
      <c r="L312" s="37"/>
      <c r="M312" s="37"/>
      <c r="N312" s="37"/>
      <c r="O312" s="37"/>
      <c r="P312" s="37"/>
      <c r="Q312" s="37"/>
      <c r="R312" s="37"/>
      <c r="S312" s="82">
        <f t="shared" ref="S312:CD312" si="404">-(S311/S$259)</f>
        <v>0.32129032258064516</v>
      </c>
      <c r="T312" s="82">
        <f t="shared" si="404"/>
        <v>0.19508196721311474</v>
      </c>
      <c r="U312" s="82">
        <f t="shared" si="404"/>
        <v>0.18277310924369747</v>
      </c>
      <c r="V312" s="82">
        <f t="shared" si="404"/>
        <v>0.29464285714285715</v>
      </c>
      <c r="W312" s="82">
        <f t="shared" si="404"/>
        <v>0.38961038961038963</v>
      </c>
      <c r="X312" s="82">
        <f t="shared" si="404"/>
        <v>0.20942408376963351</v>
      </c>
      <c r="Y312" s="82">
        <f t="shared" si="404"/>
        <v>0.13311148086522462</v>
      </c>
      <c r="Z312" s="82">
        <f t="shared" si="404"/>
        <v>0.27705627705627706</v>
      </c>
      <c r="AA312" s="82">
        <f t="shared" si="404"/>
        <v>0.39149560117302051</v>
      </c>
      <c r="AB312" s="82">
        <f t="shared" si="404"/>
        <v>0.24043715846994534</v>
      </c>
      <c r="AC312" s="82">
        <f t="shared" si="404"/>
        <v>0.1246376811594203</v>
      </c>
      <c r="AD312" s="82">
        <f t="shared" si="404"/>
        <v>0.28113553113553114</v>
      </c>
      <c r="AE312" s="82">
        <f t="shared" si="404"/>
        <v>0.38322580645161292</v>
      </c>
      <c r="AF312" s="82">
        <f t="shared" si="404"/>
        <v>0.25021204410517389</v>
      </c>
      <c r="AG312" s="82">
        <f t="shared" si="404"/>
        <v>0.14764079147640791</v>
      </c>
      <c r="AH312" s="82">
        <f t="shared" si="404"/>
        <v>0.23187250996015937</v>
      </c>
      <c r="AI312" s="82">
        <f t="shared" si="404"/>
        <v>0.39473684210526316</v>
      </c>
      <c r="AJ312" s="82">
        <f t="shared" si="404"/>
        <v>0.23696682464454977</v>
      </c>
      <c r="AK312" s="82">
        <f t="shared" si="404"/>
        <v>0.171997585998793</v>
      </c>
      <c r="AL312" s="82">
        <f t="shared" si="404"/>
        <v>0.24734231041814317</v>
      </c>
      <c r="AM312" s="82">
        <f t="shared" si="404"/>
        <v>0.42455242966751916</v>
      </c>
      <c r="AN312" s="82">
        <f t="shared" si="404"/>
        <v>0.24828636709824828</v>
      </c>
      <c r="AO312" s="82">
        <f t="shared" si="404"/>
        <v>0.16279069767441862</v>
      </c>
      <c r="AP312" s="82">
        <f t="shared" si="404"/>
        <v>0.27308917197452232</v>
      </c>
      <c r="AQ312" s="82">
        <f t="shared" si="404"/>
        <v>0.26762589928057556</v>
      </c>
      <c r="AR312" s="82">
        <f t="shared" si="404"/>
        <v>0.3813186813186813</v>
      </c>
      <c r="AS312" s="82">
        <f t="shared" si="404"/>
        <v>0.15708333333333332</v>
      </c>
      <c r="AT312" s="82">
        <f t="shared" si="404"/>
        <v>0.26644295302013421</v>
      </c>
      <c r="AU312" s="82">
        <f t="shared" si="404"/>
        <v>0.32185628742514971</v>
      </c>
      <c r="AV312" s="82">
        <f t="shared" si="404"/>
        <v>0.2441923284710967</v>
      </c>
      <c r="AW312" s="82">
        <f t="shared" si="404"/>
        <v>0.17578579743888242</v>
      </c>
      <c r="AX312" s="82">
        <f t="shared" si="404"/>
        <v>0.28269560251284981</v>
      </c>
      <c r="AY312" s="82">
        <f t="shared" si="404"/>
        <v>0.37798306389530406</v>
      </c>
      <c r="AZ312" s="82">
        <f t="shared" si="404"/>
        <v>0.26795895096921324</v>
      </c>
      <c r="BA312" s="82">
        <f t="shared" si="404"/>
        <v>0.19684030742954739</v>
      </c>
      <c r="BB312" s="82">
        <f t="shared" si="404"/>
        <v>0.27697841726618705</v>
      </c>
      <c r="BC312" s="82">
        <f t="shared" si="404"/>
        <v>0.31875792141951836</v>
      </c>
      <c r="BD312" s="82">
        <f t="shared" si="404"/>
        <v>0.26868131868131867</v>
      </c>
      <c r="BE312" s="82">
        <f t="shared" si="404"/>
        <v>0.20118343195266272</v>
      </c>
      <c r="BF312" s="82">
        <f t="shared" si="404"/>
        <v>0.32052821128451381</v>
      </c>
      <c r="BG312" s="82">
        <f t="shared" si="404"/>
        <v>0.41838351822503961</v>
      </c>
      <c r="BH312" s="82">
        <f t="shared" si="404"/>
        <v>0.25300625300625301</v>
      </c>
      <c r="BI312" s="82">
        <f t="shared" si="404"/>
        <v>0.21596032936648138</v>
      </c>
      <c r="BJ312" s="82">
        <f t="shared" si="404"/>
        <v>0.35164732495579787</v>
      </c>
      <c r="BK312" s="82">
        <f t="shared" si="404"/>
        <v>0.44788586800762487</v>
      </c>
      <c r="BL312" s="82">
        <f t="shared" si="404"/>
        <v>0.25518869171453634</v>
      </c>
      <c r="BM312" s="82">
        <f t="shared" si="404"/>
        <v>0.20145475235227561</v>
      </c>
      <c r="BN312" s="82">
        <f t="shared" si="404"/>
        <v>0.35307474990460569</v>
      </c>
      <c r="BO312" s="82">
        <f t="shared" si="404"/>
        <v>0.3599583180035289</v>
      </c>
      <c r="BP312" s="82">
        <f t="shared" si="404"/>
        <v>0.25640984164337999</v>
      </c>
      <c r="BQ312" s="82">
        <f t="shared" si="404"/>
        <v>0.21743190873398316</v>
      </c>
      <c r="BR312" s="82">
        <f t="shared" si="404"/>
        <v>0.35217450088531882</v>
      </c>
      <c r="BS312" s="82">
        <f t="shared" si="404"/>
        <v>0.37004028011385232</v>
      </c>
      <c r="BT312" s="82">
        <f t="shared" si="404"/>
        <v>0.26094779757650849</v>
      </c>
      <c r="BU312" s="82">
        <f t="shared" si="404"/>
        <v>0.22236502211042655</v>
      </c>
      <c r="BV312" s="82">
        <f t="shared" si="404"/>
        <v>0.36090275498620306</v>
      </c>
      <c r="BW312" s="82">
        <f t="shared" si="404"/>
        <v>0.3706858829803143</v>
      </c>
      <c r="BX312" s="82">
        <f t="shared" si="404"/>
        <v>0.26155681290450422</v>
      </c>
      <c r="BY312" s="82">
        <f t="shared" si="404"/>
        <v>0.22169004829108802</v>
      </c>
      <c r="BZ312" s="82">
        <f t="shared" si="404"/>
        <v>0.35850629939422635</v>
      </c>
      <c r="CA312" s="82">
        <f t="shared" si="404"/>
        <v>0.37098991296511336</v>
      </c>
      <c r="CB312" s="82">
        <f t="shared" si="404"/>
        <v>0.26196405735776007</v>
      </c>
      <c r="CC312" s="82">
        <f t="shared" si="404"/>
        <v>0.22086997637846958</v>
      </c>
      <c r="CD312" s="82">
        <f t="shared" si="404"/>
        <v>0.35587053185536166</v>
      </c>
      <c r="CG312" s="82"/>
      <c r="CH312" s="82"/>
      <c r="CI312" s="82"/>
      <c r="CJ312" s="82">
        <f t="shared" ref="CJ312:CX312" si="405">-(CJ311/CJ$259)</f>
        <v>0.234313498495022</v>
      </c>
      <c r="CK312" s="82">
        <f t="shared" si="405"/>
        <v>0.22032413491020586</v>
      </c>
      <c r="CL312" s="82">
        <f t="shared" si="405"/>
        <v>0.22177256171590448</v>
      </c>
      <c r="CM312" s="82">
        <f t="shared" si="405"/>
        <v>0.22664092664092664</v>
      </c>
      <c r="CN312" s="82">
        <f t="shared" si="405"/>
        <v>0.24337490257209665</v>
      </c>
      <c r="CO312" s="82">
        <f t="shared" si="405"/>
        <v>0.24758004467609829</v>
      </c>
      <c r="CP312" s="82">
        <f t="shared" si="405"/>
        <v>0.24119547657512116</v>
      </c>
      <c r="CQ312" s="82">
        <f>-(CQ311/CQ$259)</f>
        <v>0.2435129740518962</v>
      </c>
      <c r="CR312" s="82">
        <f t="shared" si="405"/>
        <v>0.26712981882577308</v>
      </c>
      <c r="CS312" s="82">
        <f t="shared" si="405"/>
        <v>0.26944818304172274</v>
      </c>
      <c r="CT312" s="108">
        <f t="shared" si="405"/>
        <v>0.29143339204859386</v>
      </c>
      <c r="CU312" s="108">
        <f t="shared" si="405"/>
        <v>0.28903498096634078</v>
      </c>
      <c r="CV312" s="108">
        <f t="shared" si="405"/>
        <v>0.28512293876020883</v>
      </c>
      <c r="CW312" s="108">
        <f t="shared" si="405"/>
        <v>0.29162055625052274</v>
      </c>
      <c r="CX312" s="108">
        <f t="shared" si="405"/>
        <v>0.29122293748465689</v>
      </c>
    </row>
    <row r="313" spans="2:102" ht="15" customHeight="1" x14ac:dyDescent="0.25">
      <c r="B313" s="37" t="s">
        <v>170</v>
      </c>
      <c r="C313" s="37"/>
      <c r="D313" s="37"/>
      <c r="E313" s="37"/>
      <c r="F313" s="37"/>
      <c r="G313" s="37"/>
      <c r="H313" s="37"/>
      <c r="I313" s="37"/>
      <c r="J313" s="37"/>
      <c r="K313" s="37"/>
      <c r="L313" s="37"/>
      <c r="M313" s="37"/>
      <c r="N313" s="37"/>
      <c r="O313" s="37"/>
      <c r="P313" s="37"/>
      <c r="Q313" s="37"/>
      <c r="R313" s="37"/>
      <c r="W313" s="82">
        <f t="shared" ref="W313:BH313" si="406">+IFERROR(W311/S311-1,"")</f>
        <v>8.43373493975903E-2</v>
      </c>
      <c r="X313" s="82">
        <f t="shared" si="406"/>
        <v>8.4033613445377853E-3</v>
      </c>
      <c r="Y313" s="82">
        <f t="shared" si="406"/>
        <v>-8.0459770114942541E-2</v>
      </c>
      <c r="Z313" s="82">
        <f t="shared" si="406"/>
        <v>-3.0303030303030276E-2</v>
      </c>
      <c r="AA313" s="82">
        <f t="shared" si="406"/>
        <v>-1.1111111111111072E-2</v>
      </c>
      <c r="AB313" s="82">
        <f t="shared" si="406"/>
        <v>0.10000000000000009</v>
      </c>
      <c r="AC313" s="82">
        <f t="shared" si="406"/>
        <v>7.4999999999999956E-2</v>
      </c>
      <c r="AD313" s="82">
        <f t="shared" si="406"/>
        <v>0.19921875</v>
      </c>
      <c r="AE313" s="82">
        <f t="shared" si="406"/>
        <v>0.11235955056179781</v>
      </c>
      <c r="AF313" s="82">
        <f t="shared" si="406"/>
        <v>0.11742424242424243</v>
      </c>
      <c r="AG313" s="82">
        <f t="shared" si="406"/>
        <v>0.12790697674418605</v>
      </c>
      <c r="AH313" s="82">
        <f t="shared" si="406"/>
        <v>-5.2117263843648232E-2</v>
      </c>
      <c r="AI313" s="82">
        <f t="shared" si="406"/>
        <v>6.0606060606060552E-2</v>
      </c>
      <c r="AJ313" s="82">
        <f t="shared" si="406"/>
        <v>1.6949152542372836E-2</v>
      </c>
      <c r="AK313" s="82">
        <f t="shared" si="406"/>
        <v>-2.0618556701030966E-2</v>
      </c>
      <c r="AL313" s="82">
        <f t="shared" si="406"/>
        <v>0.19931271477663226</v>
      </c>
      <c r="AM313" s="82">
        <f t="shared" si="406"/>
        <v>5.3968253968253999E-2</v>
      </c>
      <c r="AN313" s="82">
        <f t="shared" si="406"/>
        <v>8.666666666666667E-2</v>
      </c>
      <c r="AO313" s="82">
        <f t="shared" si="406"/>
        <v>0.15438596491228074</v>
      </c>
      <c r="AP313" s="82">
        <f t="shared" si="406"/>
        <v>-1.7191977077363862E-2</v>
      </c>
      <c r="AQ313" s="82">
        <f t="shared" si="406"/>
        <v>0.12048192771084332</v>
      </c>
      <c r="AR313" s="82">
        <f t="shared" si="406"/>
        <v>6.4417177914110502E-2</v>
      </c>
      <c r="AS313" s="82">
        <f t="shared" si="406"/>
        <v>0.14589665653495443</v>
      </c>
      <c r="AT313" s="82">
        <f t="shared" si="406"/>
        <v>0.1574344023323615</v>
      </c>
      <c r="AU313" s="82">
        <f t="shared" si="406"/>
        <v>0.15591397849462374</v>
      </c>
      <c r="AV313" s="82">
        <f t="shared" si="406"/>
        <v>0.30259365994236309</v>
      </c>
      <c r="AW313" s="82">
        <f t="shared" si="406"/>
        <v>0.20159151193633962</v>
      </c>
      <c r="AX313" s="82">
        <f t="shared" si="406"/>
        <v>0.24685138539042817</v>
      </c>
      <c r="AY313" s="82">
        <f t="shared" si="406"/>
        <v>0.14186046511627914</v>
      </c>
      <c r="AZ313" s="82">
        <f t="shared" si="406"/>
        <v>3.9823008849557473E-2</v>
      </c>
      <c r="BA313" s="82">
        <f t="shared" si="406"/>
        <v>1.7660044150110465E-2</v>
      </c>
      <c r="BB313" s="82">
        <f t="shared" si="406"/>
        <v>8.8888888888888795E-2</v>
      </c>
      <c r="BC313" s="82">
        <f>+IFERROR(BC311/AY311-1,"")</f>
        <v>2.4439918533604832E-2</v>
      </c>
      <c r="BD313" s="82">
        <f t="shared" si="406"/>
        <v>4.042553191489362E-2</v>
      </c>
      <c r="BE313" s="82">
        <f t="shared" si="406"/>
        <v>3.2537960954446943E-2</v>
      </c>
      <c r="BF313" s="82">
        <f t="shared" si="406"/>
        <v>-9.27643784786647E-3</v>
      </c>
      <c r="BG313" s="82">
        <f t="shared" si="406"/>
        <v>4.9701789264413598E-2</v>
      </c>
      <c r="BH313" s="82">
        <f t="shared" si="406"/>
        <v>7.5664621676891697E-2</v>
      </c>
      <c r="BI313" s="102">
        <v>0.06</v>
      </c>
      <c r="BJ313" s="102">
        <v>0.05</v>
      </c>
      <c r="BK313" s="102">
        <v>0.04</v>
      </c>
      <c r="BL313" s="102">
        <v>0.04</v>
      </c>
      <c r="BM313" s="102">
        <v>0.03</v>
      </c>
      <c r="BN313" s="102">
        <v>0.02</v>
      </c>
      <c r="BO313" s="102">
        <v>0.03</v>
      </c>
      <c r="BP313" s="102">
        <v>0.03</v>
      </c>
      <c r="BQ313" s="102">
        <v>0.03</v>
      </c>
      <c r="BR313" s="102">
        <v>0.03</v>
      </c>
      <c r="BS313" s="102">
        <v>0.03</v>
      </c>
      <c r="BT313" s="102">
        <v>0.03</v>
      </c>
      <c r="BU313" s="102">
        <v>0.03</v>
      </c>
      <c r="BV313" s="102">
        <v>0.03</v>
      </c>
      <c r="BW313" s="102">
        <v>0.03</v>
      </c>
      <c r="BX313" s="102">
        <v>0.03</v>
      </c>
      <c r="BY313" s="102">
        <v>0.03</v>
      </c>
      <c r="BZ313" s="102">
        <v>0.03</v>
      </c>
      <c r="CA313" s="102">
        <v>0.03</v>
      </c>
      <c r="CB313" s="102">
        <v>0.03</v>
      </c>
      <c r="CC313" s="102">
        <v>0.03</v>
      </c>
      <c r="CD313" s="102">
        <v>0.03</v>
      </c>
      <c r="CE313" s="102"/>
      <c r="CG313" s="82"/>
      <c r="CH313" s="82"/>
      <c r="CI313" s="82"/>
      <c r="CJ313" s="82" t="str">
        <f t="shared" ref="CJ313:CX313" si="407">+IFERROR(CJ311/CI311-1,"")</f>
        <v/>
      </c>
      <c r="CK313" s="82">
        <f t="shared" si="407"/>
        <v>-5.9288537549406772E-3</v>
      </c>
      <c r="CL313" s="82">
        <f t="shared" si="407"/>
        <v>8.9463220675944255E-2</v>
      </c>
      <c r="CM313" s="82">
        <f t="shared" si="407"/>
        <v>7.1167883211678884E-2</v>
      </c>
      <c r="CN313" s="82">
        <f t="shared" si="407"/>
        <v>6.3884156729131281E-2</v>
      </c>
      <c r="CO313" s="82">
        <f t="shared" si="407"/>
        <v>6.4851881505204156E-2</v>
      </c>
      <c r="CP313" s="82">
        <f t="shared" si="407"/>
        <v>0.12255639097744364</v>
      </c>
      <c r="CQ313" s="82">
        <f>+IFERROR(CQ311/CP311-1,"")</f>
        <v>0.22572002679169456</v>
      </c>
      <c r="CR313" s="82">
        <f>+IFERROR(CR311/CQ311-1,"")</f>
        <v>7.1584699453551837E-2</v>
      </c>
      <c r="CS313" s="82">
        <f t="shared" si="407"/>
        <v>2.0907700152983155E-2</v>
      </c>
      <c r="CT313" s="108">
        <f t="shared" si="407"/>
        <v>5.8571428571428719E-2</v>
      </c>
      <c r="CU313" s="108">
        <f t="shared" si="407"/>
        <v>3.2327699291262002E-2</v>
      </c>
      <c r="CV313" s="108">
        <f t="shared" si="407"/>
        <v>3.0000000000000027E-2</v>
      </c>
      <c r="CW313" s="108">
        <f t="shared" si="407"/>
        <v>3.0000000000000027E-2</v>
      </c>
      <c r="CX313" s="108">
        <f t="shared" si="407"/>
        <v>3.0000000000000027E-2</v>
      </c>
    </row>
    <row r="314" spans="2:102" ht="15" customHeight="1" x14ac:dyDescent="0.25">
      <c r="B314" s="37" t="s">
        <v>228</v>
      </c>
      <c r="C314" s="37"/>
      <c r="D314" s="37"/>
      <c r="E314" s="37"/>
      <c r="F314" s="37"/>
      <c r="G314" s="37"/>
      <c r="H314" s="37"/>
      <c r="I314" s="37"/>
      <c r="J314" s="37"/>
      <c r="K314" s="37"/>
      <c r="L314" s="37"/>
      <c r="M314" s="37"/>
      <c r="N314" s="37"/>
      <c r="O314" s="37"/>
      <c r="P314" s="37"/>
      <c r="Q314" s="37"/>
      <c r="R314" s="37"/>
      <c r="W314" s="24">
        <f>-W311+S311</f>
        <v>21</v>
      </c>
      <c r="X314" s="24">
        <f t="shared" ref="X314:BB314" si="408">-X311+T311</f>
        <v>2</v>
      </c>
      <c r="Y314" s="24">
        <f t="shared" si="408"/>
        <v>-21</v>
      </c>
      <c r="Z314" s="24">
        <f t="shared" si="408"/>
        <v>-8</v>
      </c>
      <c r="AA314" s="24">
        <f t="shared" si="408"/>
        <v>-3</v>
      </c>
      <c r="AB314" s="24">
        <f t="shared" si="408"/>
        <v>24</v>
      </c>
      <c r="AC314" s="24">
        <f t="shared" si="408"/>
        <v>18</v>
      </c>
      <c r="AD314" s="24">
        <f t="shared" si="408"/>
        <v>51</v>
      </c>
      <c r="AE314" s="24">
        <f t="shared" si="408"/>
        <v>30</v>
      </c>
      <c r="AF314" s="24">
        <f t="shared" si="408"/>
        <v>31</v>
      </c>
      <c r="AG314" s="24">
        <f t="shared" si="408"/>
        <v>33</v>
      </c>
      <c r="AH314" s="24">
        <f t="shared" si="408"/>
        <v>-16</v>
      </c>
      <c r="AI314" s="24">
        <f t="shared" si="408"/>
        <v>18</v>
      </c>
      <c r="AJ314" s="24">
        <f t="shared" si="408"/>
        <v>5</v>
      </c>
      <c r="AK314" s="24">
        <f t="shared" si="408"/>
        <v>-6</v>
      </c>
      <c r="AL314" s="24">
        <f t="shared" si="408"/>
        <v>58</v>
      </c>
      <c r="AM314" s="24">
        <f t="shared" si="408"/>
        <v>17</v>
      </c>
      <c r="AN314" s="24">
        <f t="shared" si="408"/>
        <v>26</v>
      </c>
      <c r="AO314" s="24">
        <f t="shared" si="408"/>
        <v>44</v>
      </c>
      <c r="AP314" s="24">
        <f t="shared" si="408"/>
        <v>-6</v>
      </c>
      <c r="AQ314" s="24">
        <f t="shared" si="408"/>
        <v>40</v>
      </c>
      <c r="AR314" s="24">
        <f t="shared" si="408"/>
        <v>21</v>
      </c>
      <c r="AS314" s="24">
        <f t="shared" si="408"/>
        <v>48</v>
      </c>
      <c r="AT314" s="24">
        <f t="shared" si="408"/>
        <v>54</v>
      </c>
      <c r="AU314" s="24">
        <f t="shared" si="408"/>
        <v>58</v>
      </c>
      <c r="AV314" s="24">
        <f t="shared" si="408"/>
        <v>105</v>
      </c>
      <c r="AW314" s="24">
        <f t="shared" si="408"/>
        <v>76</v>
      </c>
      <c r="AX314" s="24">
        <f t="shared" si="408"/>
        <v>98</v>
      </c>
      <c r="AY314" s="24">
        <f t="shared" si="408"/>
        <v>61</v>
      </c>
      <c r="AZ314" s="24">
        <f t="shared" si="408"/>
        <v>18</v>
      </c>
      <c r="BA314" s="24">
        <f t="shared" si="408"/>
        <v>8</v>
      </c>
      <c r="BB314" s="24">
        <f t="shared" si="408"/>
        <v>44</v>
      </c>
      <c r="BC314" s="24">
        <f>-BC311+AY311</f>
        <v>12</v>
      </c>
      <c r="BD314" s="24">
        <f t="shared" ref="BD314:BV314" si="409">-BD311+AZ311</f>
        <v>19</v>
      </c>
      <c r="BE314" s="24">
        <f t="shared" si="409"/>
        <v>15</v>
      </c>
      <c r="BF314" s="24">
        <f t="shared" si="409"/>
        <v>-5</v>
      </c>
      <c r="BG314" s="24">
        <f t="shared" si="409"/>
        <v>25</v>
      </c>
      <c r="BH314" s="24">
        <f t="shared" si="409"/>
        <v>37</v>
      </c>
      <c r="BI314" s="24">
        <f t="shared" si="409"/>
        <v>28.560000000000002</v>
      </c>
      <c r="BJ314" s="24">
        <f t="shared" si="409"/>
        <v>26.700000000000045</v>
      </c>
      <c r="BK314" s="24">
        <f t="shared" si="409"/>
        <v>21.120000000000005</v>
      </c>
      <c r="BL314" s="24">
        <f t="shared" si="409"/>
        <v>21.039999999999964</v>
      </c>
      <c r="BM314" s="24">
        <f t="shared" si="409"/>
        <v>15.136800000000051</v>
      </c>
      <c r="BN314" s="24">
        <f t="shared" si="409"/>
        <v>11.214000000000055</v>
      </c>
      <c r="BO314" s="24">
        <f t="shared" si="409"/>
        <v>16.473600000000033</v>
      </c>
      <c r="BP314" s="24">
        <f t="shared" si="409"/>
        <v>16.411200000000008</v>
      </c>
      <c r="BQ314" s="24">
        <f t="shared" si="409"/>
        <v>15.590904000000023</v>
      </c>
      <c r="BR314" s="24">
        <f t="shared" si="409"/>
        <v>17.157420000000002</v>
      </c>
      <c r="BS314" s="24">
        <f t="shared" si="409"/>
        <v>16.967807999999991</v>
      </c>
      <c r="BT314" s="24">
        <f t="shared" si="409"/>
        <v>16.903536000000031</v>
      </c>
      <c r="BU314" s="24">
        <f t="shared" si="409"/>
        <v>16.058631119999973</v>
      </c>
      <c r="BV314" s="24">
        <f t="shared" si="409"/>
        <v>17.672142600000029</v>
      </c>
      <c r="BW314" s="24">
        <f t="shared" ref="BW314:CD314" si="410">-BW311+BO311</f>
        <v>34.444650239999987</v>
      </c>
      <c r="BX314" s="24">
        <f t="shared" si="410"/>
        <v>34.314178080000033</v>
      </c>
      <c r="BY314" s="24">
        <f t="shared" si="410"/>
        <v>32.599021173600022</v>
      </c>
      <c r="BZ314" s="24">
        <f t="shared" si="410"/>
        <v>35.874449478000088</v>
      </c>
      <c r="CA314" s="24">
        <f t="shared" si="410"/>
        <v>35.477989747200013</v>
      </c>
      <c r="CB314" s="24">
        <f t="shared" si="410"/>
        <v>35.343603422400065</v>
      </c>
      <c r="CC314" s="24">
        <f t="shared" si="410"/>
        <v>33.576991808808089</v>
      </c>
      <c r="CD314" s="24">
        <f t="shared" si="410"/>
        <v>36.950682962340125</v>
      </c>
      <c r="CG314" s="24"/>
      <c r="CH314" s="24"/>
      <c r="CI314" s="24"/>
      <c r="CJ314" s="24">
        <f t="shared" ref="CJ314:CX314" si="411">-CJ311+CI311</f>
        <v>1012</v>
      </c>
      <c r="CK314" s="24">
        <f t="shared" si="411"/>
        <v>-6</v>
      </c>
      <c r="CL314" s="24">
        <f t="shared" si="411"/>
        <v>90</v>
      </c>
      <c r="CM314" s="24">
        <f t="shared" si="411"/>
        <v>78</v>
      </c>
      <c r="CN314" s="24">
        <f t="shared" si="411"/>
        <v>75</v>
      </c>
      <c r="CO314" s="24">
        <f t="shared" si="411"/>
        <v>81</v>
      </c>
      <c r="CP314" s="24">
        <f t="shared" si="411"/>
        <v>163</v>
      </c>
      <c r="CQ314" s="24">
        <f>-CQ311+CP311</f>
        <v>337</v>
      </c>
      <c r="CR314" s="24">
        <f>-CR311+CQ311</f>
        <v>131</v>
      </c>
      <c r="CS314" s="24">
        <f t="shared" si="411"/>
        <v>41</v>
      </c>
      <c r="CT314" s="24">
        <f t="shared" si="411"/>
        <v>117.26000000000022</v>
      </c>
      <c r="CU314" s="24">
        <f t="shared" si="411"/>
        <v>68.510800000000017</v>
      </c>
      <c r="CV314" s="24">
        <f t="shared" si="411"/>
        <v>65.633123999999953</v>
      </c>
      <c r="CW314" s="24">
        <f t="shared" si="411"/>
        <v>67.602117720000024</v>
      </c>
      <c r="CX314" s="24">
        <f t="shared" si="411"/>
        <v>69.630181251599879</v>
      </c>
    </row>
    <row r="315" spans="2:102" ht="15" customHeight="1" x14ac:dyDescent="0.25">
      <c r="B315" s="37" t="s">
        <v>218</v>
      </c>
      <c r="C315" s="37"/>
      <c r="D315" s="37"/>
      <c r="E315" s="37"/>
      <c r="F315" s="37"/>
      <c r="G315" s="37"/>
      <c r="H315" s="37"/>
      <c r="I315" s="37"/>
      <c r="J315" s="37"/>
      <c r="K315" s="37"/>
      <c r="L315" s="37"/>
      <c r="M315" s="37"/>
      <c r="N315" s="37"/>
      <c r="O315" s="37"/>
      <c r="P315" s="37"/>
      <c r="Q315" s="37"/>
      <c r="R315" s="37"/>
      <c r="T315" s="82">
        <f>+T311/S311-1</f>
        <v>-4.4176706827309231E-2</v>
      </c>
      <c r="U315" s="82">
        <f t="shared" ref="U315:BV315" si="412">+U311/T311-1</f>
        <v>9.6638655462184975E-2</v>
      </c>
      <c r="V315" s="82">
        <f t="shared" si="412"/>
        <v>1.1494252873563315E-2</v>
      </c>
      <c r="W315" s="82">
        <f t="shared" si="412"/>
        <v>2.2727272727272707E-2</v>
      </c>
      <c r="X315" s="82">
        <f t="shared" si="412"/>
        <v>-0.11111111111111116</v>
      </c>
      <c r="Y315" s="82">
        <f t="shared" si="412"/>
        <v>0</v>
      </c>
      <c r="Z315" s="82">
        <f t="shared" si="412"/>
        <v>6.6666666666666652E-2</v>
      </c>
      <c r="AA315" s="82">
        <f t="shared" si="412"/>
        <v>4.296875E-2</v>
      </c>
      <c r="AB315" s="82">
        <f t="shared" si="412"/>
        <v>-1.1235955056179803E-2</v>
      </c>
      <c r="AC315" s="82">
        <f t="shared" si="412"/>
        <v>-2.2727272727272707E-2</v>
      </c>
      <c r="AD315" s="82">
        <f t="shared" si="412"/>
        <v>0.18992248062015493</v>
      </c>
      <c r="AE315" s="82">
        <f t="shared" si="412"/>
        <v>-3.2573289902280145E-2</v>
      </c>
      <c r="AF315" s="82">
        <f t="shared" si="412"/>
        <v>-6.7340067340067034E-3</v>
      </c>
      <c r="AG315" s="82">
        <f t="shared" si="412"/>
        <v>-1.3559322033898313E-2</v>
      </c>
      <c r="AH315" s="82">
        <f t="shared" si="412"/>
        <v>0</v>
      </c>
      <c r="AI315" s="82">
        <f t="shared" si="412"/>
        <v>8.247422680412364E-2</v>
      </c>
      <c r="AJ315" s="82">
        <f t="shared" si="412"/>
        <v>-4.7619047619047672E-2</v>
      </c>
      <c r="AK315" s="82">
        <f t="shared" si="412"/>
        <v>-5.0000000000000044E-2</v>
      </c>
      <c r="AL315" s="82">
        <f t="shared" si="412"/>
        <v>0.22456140350877196</v>
      </c>
      <c r="AM315" s="82">
        <f t="shared" si="412"/>
        <v>-4.8710601719197721E-2</v>
      </c>
      <c r="AN315" s="82">
        <f t="shared" si="412"/>
        <v>-1.8072289156626509E-2</v>
      </c>
      <c r="AO315" s="82">
        <f t="shared" si="412"/>
        <v>9.2024539877300082E-3</v>
      </c>
      <c r="AP315" s="82">
        <f t="shared" si="412"/>
        <v>4.2553191489361764E-2</v>
      </c>
      <c r="AQ315" s="82">
        <f t="shared" si="412"/>
        <v>8.4548104956268189E-2</v>
      </c>
      <c r="AR315" s="82">
        <f t="shared" si="412"/>
        <v>-6.7204301075268869E-2</v>
      </c>
      <c r="AS315" s="82">
        <f t="shared" si="412"/>
        <v>8.6455331412103709E-2</v>
      </c>
      <c r="AT315" s="82">
        <f t="shared" si="412"/>
        <v>5.3050397877984157E-2</v>
      </c>
      <c r="AU315" s="82">
        <f t="shared" si="412"/>
        <v>8.3123425692695152E-2</v>
      </c>
      <c r="AV315" s="82">
        <f t="shared" si="412"/>
        <v>5.1162790697674376E-2</v>
      </c>
      <c r="AW315" s="82">
        <f t="shared" si="412"/>
        <v>2.2123893805310324E-3</v>
      </c>
      <c r="AX315" s="82">
        <f t="shared" si="412"/>
        <v>9.27152317880795E-2</v>
      </c>
      <c r="AY315" s="82">
        <f t="shared" si="412"/>
        <v>-8.0808080808081328E-3</v>
      </c>
      <c r="AZ315" s="82">
        <f t="shared" si="412"/>
        <v>-4.2769857433808567E-2</v>
      </c>
      <c r="BA315" s="82">
        <f t="shared" si="412"/>
        <v>-1.9148936170212738E-2</v>
      </c>
      <c r="BB315" s="82">
        <f t="shared" si="412"/>
        <v>0.16919739696312375</v>
      </c>
      <c r="BC315" s="82">
        <f>+BC311/BB311-1</f>
        <v>-6.6790352504638273E-2</v>
      </c>
      <c r="BD315" s="82">
        <f>+BD311/BC311-1</f>
        <v>-2.7833001988071593E-2</v>
      </c>
      <c r="BE315" s="82">
        <f t="shared" si="412"/>
        <v>-2.6584867075664653E-2</v>
      </c>
      <c r="BF315" s="82">
        <f t="shared" si="412"/>
        <v>0.12184873949579833</v>
      </c>
      <c r="BG315" s="82">
        <f t="shared" si="412"/>
        <v>-1.1235955056179803E-2</v>
      </c>
      <c r="BH315" s="82">
        <f t="shared" si="412"/>
        <v>-3.7878787878787845E-3</v>
      </c>
      <c r="BI315" s="82">
        <f t="shared" si="412"/>
        <v>-4.0760456273764234E-2</v>
      </c>
      <c r="BJ315" s="82">
        <f t="shared" si="412"/>
        <v>0.11126526082130983</v>
      </c>
      <c r="BK315" s="82">
        <f t="shared" si="412"/>
        <v>-2.065275548421619E-2</v>
      </c>
      <c r="BL315" s="82">
        <f t="shared" si="412"/>
        <v>-3.7878787878788955E-3</v>
      </c>
      <c r="BM315" s="82">
        <f t="shared" si="412"/>
        <v>-4.9983913424977877E-2</v>
      </c>
      <c r="BN315" s="82">
        <f t="shared" si="412"/>
        <v>0.10047627770653977</v>
      </c>
      <c r="BO315" s="82">
        <f t="shared" si="412"/>
        <v>-1.1051311910532102E-2</v>
      </c>
      <c r="BP315" s="82">
        <f t="shared" si="412"/>
        <v>-3.7878787878788955E-3</v>
      </c>
      <c r="BQ315" s="82">
        <f t="shared" si="412"/>
        <v>-4.9983913424977877E-2</v>
      </c>
      <c r="BR315" s="82">
        <f t="shared" si="412"/>
        <v>0.10047627770653977</v>
      </c>
      <c r="BS315" s="82">
        <f t="shared" si="412"/>
        <v>-1.1051311910532102E-2</v>
      </c>
      <c r="BT315" s="82">
        <f t="shared" si="412"/>
        <v>-3.7878787878787845E-3</v>
      </c>
      <c r="BU315" s="82">
        <f t="shared" si="412"/>
        <v>-4.9983913424977988E-2</v>
      </c>
      <c r="BV315" s="82">
        <f t="shared" si="412"/>
        <v>0.10047627770653977</v>
      </c>
      <c r="BW315" s="82">
        <f>+BW311/BR311-1</f>
        <v>1.8617148732151811E-2</v>
      </c>
      <c r="BX315" s="82">
        <f t="shared" ref="BX315:BZ315" si="413">+BX311/BW311-1</f>
        <v>-3.7878787878787845E-3</v>
      </c>
      <c r="BY315" s="82">
        <f t="shared" si="413"/>
        <v>-4.9983913424977877E-2</v>
      </c>
      <c r="BZ315" s="82">
        <f t="shared" si="413"/>
        <v>0.10047627770653977</v>
      </c>
      <c r="CA315" s="82">
        <f>+CA311/BV311-1</f>
        <v>1.8617148732151811E-2</v>
      </c>
      <c r="CB315" s="82">
        <f t="shared" ref="CB315:CD315" si="414">+CB311/CA311-1</f>
        <v>-3.7878787878787845E-3</v>
      </c>
      <c r="CC315" s="82">
        <f t="shared" si="414"/>
        <v>-4.9983913424977988E-2</v>
      </c>
      <c r="CD315" s="82">
        <f t="shared" si="414"/>
        <v>0.10047627770653977</v>
      </c>
      <c r="CG315" s="82"/>
      <c r="CH315" s="82"/>
      <c r="CI315" s="82"/>
      <c r="CJ315" s="82"/>
      <c r="CK315" s="82"/>
      <c r="CL315" s="82"/>
      <c r="CM315" s="82"/>
      <c r="CN315" s="82"/>
      <c r="CO315" s="82"/>
      <c r="CP315" s="82"/>
      <c r="CQ315" s="82"/>
      <c r="CR315" s="82"/>
      <c r="CS315" s="82"/>
      <c r="CT315" s="108"/>
      <c r="CU315" s="108"/>
      <c r="CV315" s="108"/>
      <c r="CW315" s="108"/>
      <c r="CX315" s="108"/>
    </row>
    <row r="316" spans="2:102" ht="15" customHeight="1" x14ac:dyDescent="0.25">
      <c r="BF316" s="2"/>
      <c r="BG316" s="2"/>
      <c r="BH316" s="2"/>
      <c r="BI316" s="2"/>
      <c r="BJ316" s="2"/>
      <c r="CT316" s="60"/>
      <c r="CU316" s="60"/>
      <c r="CV316" s="60"/>
      <c r="CW316" s="60"/>
      <c r="CX316" s="60"/>
    </row>
    <row r="317" spans="2:102" ht="15" customHeight="1" x14ac:dyDescent="0.25">
      <c r="B317" t="s">
        <v>253</v>
      </c>
      <c r="S317" s="87">
        <f t="shared" ref="S317:BE317" si="415">-S540</f>
        <v>-126</v>
      </c>
      <c r="T317" s="87">
        <f t="shared" si="415"/>
        <v>-177</v>
      </c>
      <c r="U317" s="87">
        <f t="shared" si="415"/>
        <v>-163</v>
      </c>
      <c r="V317" s="87">
        <f t="shared" si="415"/>
        <v>-160</v>
      </c>
      <c r="W317" s="87">
        <f t="shared" si="415"/>
        <v>-118</v>
      </c>
      <c r="X317" s="87">
        <f t="shared" si="415"/>
        <v>-149</v>
      </c>
      <c r="Y317" s="87">
        <f t="shared" si="415"/>
        <v>-185</v>
      </c>
      <c r="Z317" s="87">
        <f t="shared" si="415"/>
        <v>-146</v>
      </c>
      <c r="AA317" s="87">
        <f t="shared" si="415"/>
        <v>-121</v>
      </c>
      <c r="AB317" s="87">
        <f t="shared" si="415"/>
        <v>-135</v>
      </c>
      <c r="AC317" s="87">
        <f t="shared" si="415"/>
        <v>-232</v>
      </c>
      <c r="AD317" s="87">
        <f t="shared" si="415"/>
        <v>-154</v>
      </c>
      <c r="AE317" s="87">
        <f t="shared" si="415"/>
        <v>-114</v>
      </c>
      <c r="AF317" s="87">
        <f t="shared" si="415"/>
        <v>-151</v>
      </c>
      <c r="AG317" s="87">
        <f t="shared" si="415"/>
        <v>-222</v>
      </c>
      <c r="AH317" s="87">
        <f t="shared" si="415"/>
        <v>-122</v>
      </c>
      <c r="AI317" s="87">
        <f t="shared" si="415"/>
        <v>-133</v>
      </c>
      <c r="AJ317" s="87">
        <f t="shared" si="415"/>
        <v>-137</v>
      </c>
      <c r="AK317" s="87">
        <f t="shared" si="415"/>
        <v>-179</v>
      </c>
      <c r="AL317" s="87">
        <f t="shared" si="415"/>
        <v>-220</v>
      </c>
      <c r="AM317" s="87">
        <f t="shared" si="415"/>
        <v>-103</v>
      </c>
      <c r="AN317" s="87">
        <f t="shared" si="415"/>
        <v>-142</v>
      </c>
      <c r="AO317" s="87">
        <f t="shared" si="415"/>
        <v>-192</v>
      </c>
      <c r="AP317" s="87">
        <f t="shared" si="415"/>
        <v>-157</v>
      </c>
      <c r="AQ317" s="87">
        <f t="shared" si="415"/>
        <v>-110</v>
      </c>
      <c r="AR317" s="87">
        <f t="shared" si="415"/>
        <v>-144</v>
      </c>
      <c r="AS317" s="87">
        <f t="shared" si="415"/>
        <v>-205</v>
      </c>
      <c r="AT317" s="87">
        <f t="shared" si="415"/>
        <v>-184</v>
      </c>
      <c r="AU317" s="87">
        <f t="shared" si="415"/>
        <v>-178</v>
      </c>
      <c r="AV317" s="87">
        <f t="shared" si="415"/>
        <v>-218</v>
      </c>
      <c r="AW317" s="87">
        <f t="shared" si="415"/>
        <v>-279</v>
      </c>
      <c r="AX317" s="87">
        <f t="shared" si="415"/>
        <v>-232</v>
      </c>
      <c r="AY317" s="87">
        <f t="shared" si="415"/>
        <v>-221</v>
      </c>
      <c r="AZ317" s="87">
        <f t="shared" si="415"/>
        <v>-217</v>
      </c>
      <c r="BA317" s="87">
        <f t="shared" si="415"/>
        <v>-241</v>
      </c>
      <c r="BB317" s="87">
        <f t="shared" si="415"/>
        <v>-240</v>
      </c>
      <c r="BC317" s="87">
        <f t="shared" si="415"/>
        <v>-218</v>
      </c>
      <c r="BD317" s="87">
        <f t="shared" si="415"/>
        <v>-267</v>
      </c>
      <c r="BE317" s="87">
        <f t="shared" si="415"/>
        <v>-262</v>
      </c>
      <c r="BF317" s="87">
        <f>-BF540</f>
        <v>-220</v>
      </c>
      <c r="BG317" s="74">
        <f>-205+12</f>
        <v>-193</v>
      </c>
      <c r="BH317" s="74">
        <f>16-272</f>
        <v>-256</v>
      </c>
      <c r="BI317" s="24">
        <f t="shared" ref="BI317:CD317" si="416">+BE317*(1+BI319)</f>
        <v>-269.86</v>
      </c>
      <c r="BJ317" s="24">
        <f t="shared" si="416"/>
        <v>-220</v>
      </c>
      <c r="BK317" s="24">
        <f t="shared" si="416"/>
        <v>-202.65</v>
      </c>
      <c r="BL317" s="24">
        <f t="shared" si="416"/>
        <v>-281.60000000000002</v>
      </c>
      <c r="BM317" s="24">
        <f t="shared" si="416"/>
        <v>-283.35300000000001</v>
      </c>
      <c r="BN317" s="24">
        <f t="shared" si="416"/>
        <v>-231</v>
      </c>
      <c r="BO317" s="24">
        <f t="shared" si="416"/>
        <v>-204.6765</v>
      </c>
      <c r="BP317" s="24">
        <f t="shared" si="416"/>
        <v>-284.41600000000005</v>
      </c>
      <c r="BQ317" s="24">
        <f t="shared" si="416"/>
        <v>-286.18653</v>
      </c>
      <c r="BR317" s="24">
        <f t="shared" si="416"/>
        <v>-233.31</v>
      </c>
      <c r="BS317" s="24">
        <f t="shared" si="416"/>
        <v>-210.81679500000001</v>
      </c>
      <c r="BT317" s="24">
        <f t="shared" si="416"/>
        <v>-292.94848000000007</v>
      </c>
      <c r="BU317" s="24">
        <f t="shared" si="416"/>
        <v>-294.77212589999999</v>
      </c>
      <c r="BV317" s="24">
        <f t="shared" si="416"/>
        <v>-240.30930000000001</v>
      </c>
      <c r="BW317" s="24">
        <f t="shared" si="416"/>
        <v>-217.14129885000003</v>
      </c>
      <c r="BX317" s="24">
        <f t="shared" si="416"/>
        <v>-301.73693440000011</v>
      </c>
      <c r="BY317" s="24">
        <f t="shared" si="416"/>
        <v>-303.61528967700002</v>
      </c>
      <c r="BZ317" s="24">
        <f t="shared" si="416"/>
        <v>-247.51857900000002</v>
      </c>
      <c r="CA317" s="24">
        <f t="shared" si="416"/>
        <v>-223.65553781550003</v>
      </c>
      <c r="CB317" s="24">
        <f t="shared" si="416"/>
        <v>-310.78904243200014</v>
      </c>
      <c r="CC317" s="24">
        <f t="shared" si="416"/>
        <v>-312.72374836731001</v>
      </c>
      <c r="CD317" s="24">
        <f t="shared" si="416"/>
        <v>-254.94413637000002</v>
      </c>
      <c r="CG317" s="29"/>
      <c r="CH317" s="29"/>
      <c r="CI317" s="29"/>
      <c r="CJ317" s="29">
        <f t="shared" ref="CJ317:CX317" si="417">+SUMIFS($S317:$CD317,$S$5:$CD$5,"&lt;="&amp;CJ$5,$S$5:$CD$5,"&gt;"&amp;CI$5)</f>
        <v>-626</v>
      </c>
      <c r="CK317" s="29">
        <f t="shared" si="417"/>
        <v>-598</v>
      </c>
      <c r="CL317" s="29">
        <f t="shared" si="417"/>
        <v>-642</v>
      </c>
      <c r="CM317" s="29">
        <f t="shared" si="417"/>
        <v>-609</v>
      </c>
      <c r="CN317" s="29">
        <f t="shared" si="417"/>
        <v>-669</v>
      </c>
      <c r="CO317" s="29">
        <f t="shared" si="417"/>
        <v>-594</v>
      </c>
      <c r="CP317" s="29">
        <f t="shared" si="417"/>
        <v>-643</v>
      </c>
      <c r="CQ317" s="29">
        <f t="shared" si="417"/>
        <v>-907</v>
      </c>
      <c r="CR317" s="29">
        <f t="shared" si="417"/>
        <v>-919</v>
      </c>
      <c r="CS317" s="29">
        <f t="shared" si="417"/>
        <v>-967</v>
      </c>
      <c r="CT317" s="97">
        <f t="shared" si="417"/>
        <v>-938.86</v>
      </c>
      <c r="CU317" s="97">
        <f t="shared" si="417"/>
        <v>-998.60300000000007</v>
      </c>
      <c r="CV317" s="97">
        <f t="shared" si="417"/>
        <v>-1008.5890300000001</v>
      </c>
      <c r="CW317" s="97">
        <f t="shared" si="417"/>
        <v>-1038.8467009000001</v>
      </c>
      <c r="CX317" s="97">
        <f t="shared" si="417"/>
        <v>-1070.0121019270002</v>
      </c>
    </row>
    <row r="318" spans="2:102" ht="15" customHeight="1" x14ac:dyDescent="0.25">
      <c r="B318" s="37" t="s">
        <v>240</v>
      </c>
      <c r="C318" s="37"/>
      <c r="D318" s="37"/>
      <c r="E318" s="37"/>
      <c r="F318" s="37"/>
      <c r="G318" s="37"/>
      <c r="H318" s="37"/>
      <c r="I318" s="37"/>
      <c r="J318" s="37"/>
      <c r="K318" s="37"/>
      <c r="L318" s="37"/>
      <c r="M318" s="37"/>
      <c r="N318" s="37"/>
      <c r="O318" s="37"/>
      <c r="P318" s="37"/>
      <c r="Q318" s="37"/>
      <c r="R318" s="37"/>
      <c r="S318" s="82">
        <f t="shared" ref="S318:CD318" si="418">-(S317/S$259)</f>
        <v>0.16258064516129031</v>
      </c>
      <c r="T318" s="82">
        <f t="shared" si="418"/>
        <v>0.14508196721311475</v>
      </c>
      <c r="U318" s="82">
        <f t="shared" si="418"/>
        <v>0.11414565826330532</v>
      </c>
      <c r="V318" s="82">
        <f t="shared" si="418"/>
        <v>0.17857142857142858</v>
      </c>
      <c r="W318" s="82">
        <f t="shared" si="418"/>
        <v>0.17027417027417027</v>
      </c>
      <c r="X318" s="82">
        <f t="shared" si="418"/>
        <v>0.13001745200698081</v>
      </c>
      <c r="Y318" s="82">
        <f t="shared" si="418"/>
        <v>0.10260676650027732</v>
      </c>
      <c r="Z318" s="82">
        <f t="shared" si="418"/>
        <v>0.15800865800865802</v>
      </c>
      <c r="AA318" s="82">
        <f t="shared" si="418"/>
        <v>0.17741935483870969</v>
      </c>
      <c r="AB318" s="82">
        <f t="shared" si="418"/>
        <v>0.12295081967213115</v>
      </c>
      <c r="AC318" s="82">
        <f t="shared" si="418"/>
        <v>0.11207729468599034</v>
      </c>
      <c r="AD318" s="82">
        <f t="shared" si="418"/>
        <v>0.14102564102564102</v>
      </c>
      <c r="AE318" s="82">
        <f t="shared" si="418"/>
        <v>0.14709677419354839</v>
      </c>
      <c r="AF318" s="82">
        <f t="shared" si="418"/>
        <v>0.12807463952502121</v>
      </c>
      <c r="AG318" s="82">
        <f t="shared" si="418"/>
        <v>0.11263318112633181</v>
      </c>
      <c r="AH318" s="82">
        <f t="shared" si="418"/>
        <v>9.7211155378486055E-2</v>
      </c>
      <c r="AI318" s="82">
        <f t="shared" si="418"/>
        <v>0.16666666666666666</v>
      </c>
      <c r="AJ318" s="82">
        <f t="shared" si="418"/>
        <v>0.10821484992101106</v>
      </c>
      <c r="AK318" s="82">
        <f t="shared" si="418"/>
        <v>0.108026554013277</v>
      </c>
      <c r="AL318" s="82">
        <f t="shared" si="418"/>
        <v>0.15591778880226789</v>
      </c>
      <c r="AM318" s="82">
        <f t="shared" si="418"/>
        <v>0.13171355498721227</v>
      </c>
      <c r="AN318" s="82">
        <f t="shared" si="418"/>
        <v>0.10814927646610815</v>
      </c>
      <c r="AO318" s="82">
        <f t="shared" si="418"/>
        <v>9.5002474022761005E-2</v>
      </c>
      <c r="AP318" s="82">
        <f t="shared" si="418"/>
        <v>0.125</v>
      </c>
      <c r="AQ318" s="82">
        <f t="shared" si="418"/>
        <v>7.9136690647482008E-2</v>
      </c>
      <c r="AR318" s="82">
        <f t="shared" si="418"/>
        <v>0.15824175824175823</v>
      </c>
      <c r="AS318" s="82">
        <f t="shared" si="418"/>
        <v>8.5416666666666669E-2</v>
      </c>
      <c r="AT318" s="82">
        <f t="shared" si="418"/>
        <v>0.12348993288590604</v>
      </c>
      <c r="AU318" s="82">
        <f t="shared" si="418"/>
        <v>0.13323353293413173</v>
      </c>
      <c r="AV318" s="82">
        <f t="shared" si="418"/>
        <v>0.11777417612101566</v>
      </c>
      <c r="AW318" s="82">
        <f t="shared" si="418"/>
        <v>0.10826542491268917</v>
      </c>
      <c r="AX318" s="82">
        <f t="shared" si="418"/>
        <v>0.13249571673329527</v>
      </c>
      <c r="AY318" s="82">
        <f t="shared" si="418"/>
        <v>0.17013086989992302</v>
      </c>
      <c r="AZ318" s="82">
        <f t="shared" si="418"/>
        <v>0.12371721778791334</v>
      </c>
      <c r="BA318" s="82">
        <f t="shared" si="418"/>
        <v>0.10290350128095645</v>
      </c>
      <c r="BB318" s="82">
        <f t="shared" si="418"/>
        <v>0.12332990750256938</v>
      </c>
      <c r="BC318" s="82">
        <f t="shared" si="418"/>
        <v>0.13814955640050697</v>
      </c>
      <c r="BD318" s="82">
        <f t="shared" si="418"/>
        <v>0.14670329670329671</v>
      </c>
      <c r="BE318" s="82">
        <f t="shared" si="418"/>
        <v>0.11073541842772612</v>
      </c>
      <c r="BF318" s="82">
        <f t="shared" si="418"/>
        <v>0.13205282112845138</v>
      </c>
      <c r="BG318" s="82">
        <f t="shared" si="418"/>
        <v>0.15293185419968305</v>
      </c>
      <c r="BH318" s="82">
        <f t="shared" si="418"/>
        <v>0.12313612313612314</v>
      </c>
      <c r="BI318" s="82">
        <f t="shared" si="418"/>
        <v>0.11550470604653296</v>
      </c>
      <c r="BJ318" s="82">
        <f t="shared" si="418"/>
        <v>0.13797469500673359</v>
      </c>
      <c r="BK318" s="82">
        <f t="shared" si="418"/>
        <v>0.16529004798904642</v>
      </c>
      <c r="BL318" s="82">
        <f t="shared" si="418"/>
        <v>0.13136358508850074</v>
      </c>
      <c r="BM318" s="82">
        <f t="shared" si="418"/>
        <v>0.1098386760189294</v>
      </c>
      <c r="BN318" s="82">
        <f t="shared" si="418"/>
        <v>0.14260932103072121</v>
      </c>
      <c r="BO318" s="82">
        <f t="shared" si="418"/>
        <v>0.13026139028951048</v>
      </c>
      <c r="BP318" s="82">
        <f t="shared" si="418"/>
        <v>0.12942924164655889</v>
      </c>
      <c r="BQ318" s="82">
        <f t="shared" si="418"/>
        <v>0.11624792239175986</v>
      </c>
      <c r="BR318" s="82">
        <f t="shared" si="418"/>
        <v>0.13948365174727662</v>
      </c>
      <c r="BS318" s="82">
        <f t="shared" si="418"/>
        <v>0.13390984161193284</v>
      </c>
      <c r="BT318" s="82">
        <f t="shared" si="418"/>
        <v>0.13171988771258319</v>
      </c>
      <c r="BU318" s="82">
        <f t="shared" si="418"/>
        <v>0.11888536500206297</v>
      </c>
      <c r="BV318" s="82">
        <f t="shared" si="418"/>
        <v>0.14294059923299457</v>
      </c>
      <c r="BW318" s="82">
        <f t="shared" si="418"/>
        <v>0.13414347179285674</v>
      </c>
      <c r="BX318" s="82">
        <f t="shared" si="418"/>
        <v>0.13202730333886503</v>
      </c>
      <c r="BY318" s="82">
        <f t="shared" si="418"/>
        <v>0.11852449660595772</v>
      </c>
      <c r="BZ318" s="82">
        <f t="shared" si="418"/>
        <v>0.14199144937581071</v>
      </c>
      <c r="CA318" s="82">
        <f t="shared" si="418"/>
        <v>0.13425349388855182</v>
      </c>
      <c r="CB318" s="82">
        <f t="shared" si="418"/>
        <v>0.13223287010031162</v>
      </c>
      <c r="CC318" s="82">
        <f t="shared" si="418"/>
        <v>0.11808605288070687</v>
      </c>
      <c r="CD318" s="82">
        <f t="shared" si="418"/>
        <v>0.14094751666474398</v>
      </c>
      <c r="CG318" s="82"/>
      <c r="CH318" s="82"/>
      <c r="CI318" s="82"/>
      <c r="CJ318" s="82">
        <f t="shared" ref="CJ318:CX318" si="419">-(CJ317/CJ$259)</f>
        <v>0.14494095855522113</v>
      </c>
      <c r="CK318" s="82">
        <f t="shared" si="419"/>
        <v>0.13096802452912834</v>
      </c>
      <c r="CL318" s="82">
        <f t="shared" si="419"/>
        <v>0.12990692027519224</v>
      </c>
      <c r="CM318" s="82">
        <f t="shared" si="419"/>
        <v>0.11756756756756757</v>
      </c>
      <c r="CN318" s="82">
        <f t="shared" si="419"/>
        <v>0.13035853468433359</v>
      </c>
      <c r="CO318" s="82">
        <f t="shared" si="419"/>
        <v>0.11057334326135518</v>
      </c>
      <c r="CP318" s="82">
        <f t="shared" si="419"/>
        <v>0.10387722132471729</v>
      </c>
      <c r="CQ318" s="82">
        <f>-(CQ317/CQ$259)</f>
        <v>0.1206919494344644</v>
      </c>
      <c r="CR318" s="82">
        <f t="shared" si="419"/>
        <v>0.12518730418199156</v>
      </c>
      <c r="CS318" s="82">
        <f t="shared" si="419"/>
        <v>0.13014804845222072</v>
      </c>
      <c r="CT318" s="108">
        <f t="shared" si="419"/>
        <v>0.12910881838884458</v>
      </c>
      <c r="CU318" s="108">
        <f t="shared" si="419"/>
        <v>0.13192935891544527</v>
      </c>
      <c r="CV318" s="108">
        <f t="shared" si="419"/>
        <v>0.12761665370868877</v>
      </c>
      <c r="CW318" s="108">
        <f t="shared" si="419"/>
        <v>0.13052488762630521</v>
      </c>
      <c r="CX318" s="108">
        <f t="shared" si="419"/>
        <v>0.1303469195660284</v>
      </c>
    </row>
    <row r="319" spans="2:102" ht="15" customHeight="1" x14ac:dyDescent="0.25">
      <c r="B319" s="37" t="s">
        <v>170</v>
      </c>
      <c r="C319" s="37"/>
      <c r="D319" s="37"/>
      <c r="E319" s="37"/>
      <c r="F319" s="37"/>
      <c r="G319" s="37"/>
      <c r="H319" s="37"/>
      <c r="I319" s="37"/>
      <c r="J319" s="37"/>
      <c r="K319" s="37"/>
      <c r="L319" s="37"/>
      <c r="M319" s="37"/>
      <c r="N319" s="37"/>
      <c r="O319" s="37"/>
      <c r="P319" s="37"/>
      <c r="Q319" s="37"/>
      <c r="R319" s="37"/>
      <c r="S319" s="82" t="str">
        <f>+IFERROR(S317/#REF!-1,"")</f>
        <v/>
      </c>
      <c r="T319" s="82" t="str">
        <f>+IFERROR(T317/#REF!-1,"")</f>
        <v/>
      </c>
      <c r="U319" s="82" t="str">
        <f>+IFERROR(U317/A317-1,"")</f>
        <v/>
      </c>
      <c r="V319" s="82" t="str">
        <f>+IFERROR(V317/B317-1,"")</f>
        <v/>
      </c>
      <c r="W319" s="82">
        <f t="shared" ref="W319:BE319" si="420">+IFERROR(W317/S317-1,"")</f>
        <v>-6.3492063492063489E-2</v>
      </c>
      <c r="X319" s="82">
        <f t="shared" si="420"/>
        <v>-0.15819209039548021</v>
      </c>
      <c r="Y319" s="82">
        <f t="shared" si="420"/>
        <v>0.13496932515337434</v>
      </c>
      <c r="Z319" s="82">
        <f t="shared" si="420"/>
        <v>-8.7500000000000022E-2</v>
      </c>
      <c r="AA319" s="82">
        <f t="shared" si="420"/>
        <v>2.5423728813559254E-2</v>
      </c>
      <c r="AB319" s="82">
        <f t="shared" si="420"/>
        <v>-9.3959731543624136E-2</v>
      </c>
      <c r="AC319" s="82">
        <f t="shared" si="420"/>
        <v>0.25405405405405412</v>
      </c>
      <c r="AD319" s="82">
        <f t="shared" si="420"/>
        <v>5.4794520547945202E-2</v>
      </c>
      <c r="AE319" s="82">
        <f t="shared" si="420"/>
        <v>-5.7851239669421517E-2</v>
      </c>
      <c r="AF319" s="82">
        <f t="shared" si="420"/>
        <v>0.11851851851851847</v>
      </c>
      <c r="AG319" s="82">
        <f t="shared" si="420"/>
        <v>-4.31034482758621E-2</v>
      </c>
      <c r="AH319" s="82">
        <f t="shared" si="420"/>
        <v>-0.20779220779220775</v>
      </c>
      <c r="AI319" s="82">
        <f t="shared" si="420"/>
        <v>0.16666666666666674</v>
      </c>
      <c r="AJ319" s="82">
        <f t="shared" si="420"/>
        <v>-9.27152317880795E-2</v>
      </c>
      <c r="AK319" s="82">
        <f t="shared" si="420"/>
        <v>-0.19369369369369371</v>
      </c>
      <c r="AL319" s="82">
        <f t="shared" si="420"/>
        <v>0.80327868852459017</v>
      </c>
      <c r="AM319" s="82">
        <f t="shared" si="420"/>
        <v>-0.22556390977443608</v>
      </c>
      <c r="AN319" s="82">
        <f t="shared" si="420"/>
        <v>3.649635036496357E-2</v>
      </c>
      <c r="AO319" s="82">
        <f t="shared" si="420"/>
        <v>7.2625698324022325E-2</v>
      </c>
      <c r="AP319" s="82">
        <f t="shared" si="420"/>
        <v>-0.28636363636363638</v>
      </c>
      <c r="AQ319" s="82">
        <f t="shared" si="420"/>
        <v>6.7961165048543659E-2</v>
      </c>
      <c r="AR319" s="82">
        <f t="shared" si="420"/>
        <v>1.4084507042253502E-2</v>
      </c>
      <c r="AS319" s="82">
        <f t="shared" si="420"/>
        <v>6.7708333333333259E-2</v>
      </c>
      <c r="AT319" s="82">
        <f t="shared" si="420"/>
        <v>0.17197452229299359</v>
      </c>
      <c r="AU319" s="82">
        <f t="shared" si="420"/>
        <v>0.61818181818181817</v>
      </c>
      <c r="AV319" s="82">
        <f t="shared" si="420"/>
        <v>0.51388888888888884</v>
      </c>
      <c r="AW319" s="82">
        <f t="shared" si="420"/>
        <v>0.36097560975609766</v>
      </c>
      <c r="AX319" s="82">
        <f t="shared" si="420"/>
        <v>0.26086956521739135</v>
      </c>
      <c r="AY319" s="82">
        <f t="shared" si="420"/>
        <v>0.2415730337078652</v>
      </c>
      <c r="AZ319" s="82">
        <f t="shared" si="420"/>
        <v>-4.5871559633027248E-3</v>
      </c>
      <c r="BA319" s="82">
        <f t="shared" si="420"/>
        <v>-0.13620071684587809</v>
      </c>
      <c r="BB319" s="82">
        <f t="shared" si="420"/>
        <v>3.4482758620689724E-2</v>
      </c>
      <c r="BC319" s="82">
        <f>+IFERROR(BC317/AY317-1,"")</f>
        <v>-1.3574660633484115E-2</v>
      </c>
      <c r="BD319" s="82">
        <f t="shared" si="420"/>
        <v>0.23041474654377869</v>
      </c>
      <c r="BE319" s="82">
        <f t="shared" si="420"/>
        <v>8.7136929460580825E-2</v>
      </c>
      <c r="BF319" s="82">
        <f>+IFERROR(BF317/BB317-1,"")</f>
        <v>-8.333333333333337E-2</v>
      </c>
      <c r="BG319" s="82">
        <f>+IFERROR(BG317/BC317-1,"")</f>
        <v>-0.11467889908256879</v>
      </c>
      <c r="BH319" s="82">
        <f>+IFERROR(BH317/BD317-1,"")</f>
        <v>-4.1198501872659166E-2</v>
      </c>
      <c r="BI319" s="102">
        <v>0.03</v>
      </c>
      <c r="BJ319" s="102">
        <v>0</v>
      </c>
      <c r="BK319" s="102">
        <v>0.05</v>
      </c>
      <c r="BL319" s="102">
        <v>0.1</v>
      </c>
      <c r="BM319" s="102">
        <v>0.05</v>
      </c>
      <c r="BN319" s="102">
        <v>0.05</v>
      </c>
      <c r="BO319" s="102">
        <v>0.01</v>
      </c>
      <c r="BP319" s="102">
        <v>0.01</v>
      </c>
      <c r="BQ319" s="102">
        <v>0.01</v>
      </c>
      <c r="BR319" s="102">
        <v>0.01</v>
      </c>
      <c r="BS319" s="102">
        <v>0.03</v>
      </c>
      <c r="BT319" s="102">
        <v>0.03</v>
      </c>
      <c r="BU319" s="102">
        <v>0.03</v>
      </c>
      <c r="BV319" s="102">
        <v>0.03</v>
      </c>
      <c r="BW319" s="102">
        <v>0.03</v>
      </c>
      <c r="BX319" s="102">
        <v>0.03</v>
      </c>
      <c r="BY319" s="102">
        <v>0.03</v>
      </c>
      <c r="BZ319" s="102">
        <v>0.03</v>
      </c>
      <c r="CA319" s="102">
        <v>0.03</v>
      </c>
      <c r="CB319" s="102">
        <v>0.03</v>
      </c>
      <c r="CC319" s="102">
        <v>0.03</v>
      </c>
      <c r="CD319" s="102">
        <v>0.03</v>
      </c>
      <c r="CG319" s="82"/>
      <c r="CH319" s="82"/>
      <c r="CI319" s="82"/>
      <c r="CJ319" s="82" t="str">
        <f t="shared" ref="CJ319:CX319" si="421">+IFERROR(CJ317/CI317-1,"")</f>
        <v/>
      </c>
      <c r="CK319" s="82">
        <f t="shared" si="421"/>
        <v>-4.4728434504792358E-2</v>
      </c>
      <c r="CL319" s="82">
        <f t="shared" si="421"/>
        <v>7.3578595317725703E-2</v>
      </c>
      <c r="CM319" s="82">
        <f t="shared" si="421"/>
        <v>-5.1401869158878455E-2</v>
      </c>
      <c r="CN319" s="82">
        <f t="shared" si="421"/>
        <v>9.8522167487684831E-2</v>
      </c>
      <c r="CO319" s="82">
        <f t="shared" si="421"/>
        <v>-0.11210762331838564</v>
      </c>
      <c r="CP319" s="82">
        <f t="shared" si="421"/>
        <v>8.2491582491582394E-2</v>
      </c>
      <c r="CQ319" s="82">
        <f>+IFERROR(CQ317/CP317-1,"")</f>
        <v>0.41057542768273714</v>
      </c>
      <c r="CR319" s="82">
        <f>+IFERROR(CR317/CQ317-1,"")</f>
        <v>1.3230429988974723E-2</v>
      </c>
      <c r="CS319" s="82">
        <f t="shared" si="421"/>
        <v>5.2230685527747456E-2</v>
      </c>
      <c r="CT319" s="108">
        <f t="shared" si="421"/>
        <v>-2.9100310237848981E-2</v>
      </c>
      <c r="CU319" s="108">
        <f t="shared" si="421"/>
        <v>6.3633555588692658E-2</v>
      </c>
      <c r="CV319" s="108">
        <f t="shared" si="421"/>
        <v>1.0000000000000009E-2</v>
      </c>
      <c r="CW319" s="108">
        <f t="shared" si="421"/>
        <v>3.0000000000000027E-2</v>
      </c>
      <c r="CX319" s="108">
        <f t="shared" si="421"/>
        <v>3.0000000000000027E-2</v>
      </c>
    </row>
    <row r="320" spans="2:102" ht="15" customHeight="1" x14ac:dyDescent="0.25">
      <c r="B320" s="37" t="s">
        <v>228</v>
      </c>
      <c r="C320" s="37"/>
      <c r="D320" s="37"/>
      <c r="E320" s="37"/>
      <c r="F320" s="37"/>
      <c r="G320" s="37"/>
      <c r="H320" s="37"/>
      <c r="I320" s="37"/>
      <c r="J320" s="37"/>
      <c r="K320" s="37"/>
      <c r="L320" s="37"/>
      <c r="M320" s="37"/>
      <c r="N320" s="37"/>
      <c r="O320" s="37"/>
      <c r="P320" s="37"/>
      <c r="Q320" s="37"/>
      <c r="R320" s="37"/>
      <c r="W320" s="24">
        <f>-W317+S317</f>
        <v>-8</v>
      </c>
      <c r="X320" s="24">
        <f t="shared" ref="X320:BB320" si="422">-X317+T317</f>
        <v>-28</v>
      </c>
      <c r="Y320" s="24">
        <f t="shared" si="422"/>
        <v>22</v>
      </c>
      <c r="Z320" s="24">
        <f t="shared" si="422"/>
        <v>-14</v>
      </c>
      <c r="AA320" s="24">
        <f t="shared" si="422"/>
        <v>3</v>
      </c>
      <c r="AB320" s="24">
        <f t="shared" si="422"/>
        <v>-14</v>
      </c>
      <c r="AC320" s="24">
        <f t="shared" si="422"/>
        <v>47</v>
      </c>
      <c r="AD320" s="24">
        <f t="shared" si="422"/>
        <v>8</v>
      </c>
      <c r="AE320" s="24">
        <f t="shared" si="422"/>
        <v>-7</v>
      </c>
      <c r="AF320" s="24">
        <f t="shared" si="422"/>
        <v>16</v>
      </c>
      <c r="AG320" s="24">
        <f t="shared" si="422"/>
        <v>-10</v>
      </c>
      <c r="AH320" s="24">
        <f t="shared" si="422"/>
        <v>-32</v>
      </c>
      <c r="AI320" s="24">
        <f t="shared" si="422"/>
        <v>19</v>
      </c>
      <c r="AJ320" s="24">
        <f t="shared" si="422"/>
        <v>-14</v>
      </c>
      <c r="AK320" s="24">
        <f t="shared" si="422"/>
        <v>-43</v>
      </c>
      <c r="AL320" s="24">
        <f t="shared" si="422"/>
        <v>98</v>
      </c>
      <c r="AM320" s="24">
        <f t="shared" si="422"/>
        <v>-30</v>
      </c>
      <c r="AN320" s="24">
        <f t="shared" si="422"/>
        <v>5</v>
      </c>
      <c r="AO320" s="24">
        <f t="shared" si="422"/>
        <v>13</v>
      </c>
      <c r="AP320" s="24">
        <f t="shared" si="422"/>
        <v>-63</v>
      </c>
      <c r="AQ320" s="24">
        <f t="shared" si="422"/>
        <v>7</v>
      </c>
      <c r="AR320" s="24">
        <f t="shared" si="422"/>
        <v>2</v>
      </c>
      <c r="AS320" s="24">
        <f t="shared" si="422"/>
        <v>13</v>
      </c>
      <c r="AT320" s="24">
        <f t="shared" si="422"/>
        <v>27</v>
      </c>
      <c r="AU320" s="24">
        <f t="shared" si="422"/>
        <v>68</v>
      </c>
      <c r="AV320" s="24">
        <f t="shared" si="422"/>
        <v>74</v>
      </c>
      <c r="AW320" s="24">
        <f t="shared" si="422"/>
        <v>74</v>
      </c>
      <c r="AX320" s="24">
        <f t="shared" si="422"/>
        <v>48</v>
      </c>
      <c r="AY320" s="24">
        <f t="shared" si="422"/>
        <v>43</v>
      </c>
      <c r="AZ320" s="24">
        <f t="shared" si="422"/>
        <v>-1</v>
      </c>
      <c r="BA320" s="24">
        <f t="shared" si="422"/>
        <v>-38</v>
      </c>
      <c r="BB320" s="24">
        <f t="shared" si="422"/>
        <v>8</v>
      </c>
      <c r="BC320" s="24">
        <f>-BC317+AY317</f>
        <v>-3</v>
      </c>
      <c r="BD320" s="24">
        <f t="shared" ref="BD320:BV320" si="423">-BD317+AZ317</f>
        <v>50</v>
      </c>
      <c r="BE320" s="24">
        <f t="shared" si="423"/>
        <v>21</v>
      </c>
      <c r="BF320" s="24">
        <f t="shared" si="423"/>
        <v>-20</v>
      </c>
      <c r="BG320" s="24">
        <f t="shared" si="423"/>
        <v>-25</v>
      </c>
      <c r="BH320" s="24">
        <f t="shared" si="423"/>
        <v>-11</v>
      </c>
      <c r="BI320" s="24">
        <f t="shared" si="423"/>
        <v>7.8600000000000136</v>
      </c>
      <c r="BJ320" s="24">
        <f t="shared" si="423"/>
        <v>0</v>
      </c>
      <c r="BK320" s="24">
        <f t="shared" si="423"/>
        <v>9.6500000000000057</v>
      </c>
      <c r="BL320" s="24">
        <f t="shared" si="423"/>
        <v>25.600000000000023</v>
      </c>
      <c r="BM320" s="24">
        <f t="shared" si="423"/>
        <v>13.492999999999995</v>
      </c>
      <c r="BN320" s="24">
        <f t="shared" si="423"/>
        <v>11</v>
      </c>
      <c r="BO320" s="24">
        <f t="shared" si="423"/>
        <v>2.0264999999999986</v>
      </c>
      <c r="BP320" s="24">
        <f t="shared" si="423"/>
        <v>2.8160000000000309</v>
      </c>
      <c r="BQ320" s="24">
        <f t="shared" si="423"/>
        <v>2.8335299999999961</v>
      </c>
      <c r="BR320" s="24">
        <f t="shared" si="423"/>
        <v>2.3100000000000023</v>
      </c>
      <c r="BS320" s="24">
        <f t="shared" si="423"/>
        <v>6.1402950000000089</v>
      </c>
      <c r="BT320" s="24">
        <f t="shared" si="423"/>
        <v>8.5324800000000209</v>
      </c>
      <c r="BU320" s="24">
        <f t="shared" si="423"/>
        <v>8.5855958999999871</v>
      </c>
      <c r="BV320" s="24">
        <f t="shared" si="423"/>
        <v>6.9993000000000052</v>
      </c>
      <c r="BW320" s="24">
        <f t="shared" ref="BW320:CD320" si="424">-BW317+BO317</f>
        <v>12.464798850000022</v>
      </c>
      <c r="BX320" s="24">
        <f t="shared" si="424"/>
        <v>17.320934400000056</v>
      </c>
      <c r="BY320" s="24">
        <f t="shared" si="424"/>
        <v>17.428759677000016</v>
      </c>
      <c r="BZ320" s="24">
        <f t="shared" si="424"/>
        <v>14.208579000000015</v>
      </c>
      <c r="CA320" s="24">
        <f t="shared" si="424"/>
        <v>12.838742815500012</v>
      </c>
      <c r="CB320" s="24">
        <f t="shared" si="424"/>
        <v>17.84056243200007</v>
      </c>
      <c r="CC320" s="24">
        <f t="shared" si="424"/>
        <v>17.951622467310017</v>
      </c>
      <c r="CD320" s="24">
        <f t="shared" si="424"/>
        <v>14.634836370000016</v>
      </c>
      <c r="CG320" s="24"/>
      <c r="CH320" s="24"/>
      <c r="CI320" s="24"/>
      <c r="CJ320" s="24">
        <f t="shared" ref="CJ320:CX320" si="425">-CJ317+CI317</f>
        <v>626</v>
      </c>
      <c r="CK320" s="24">
        <f t="shared" si="425"/>
        <v>-28</v>
      </c>
      <c r="CL320" s="24">
        <f t="shared" si="425"/>
        <v>44</v>
      </c>
      <c r="CM320" s="24">
        <f t="shared" si="425"/>
        <v>-33</v>
      </c>
      <c r="CN320" s="24">
        <f t="shared" si="425"/>
        <v>60</v>
      </c>
      <c r="CO320" s="24">
        <f t="shared" si="425"/>
        <v>-75</v>
      </c>
      <c r="CP320" s="24">
        <f t="shared" si="425"/>
        <v>49</v>
      </c>
      <c r="CQ320" s="24">
        <f>-CQ317+CP317</f>
        <v>264</v>
      </c>
      <c r="CR320" s="24">
        <f>-CR317+CQ317</f>
        <v>12</v>
      </c>
      <c r="CS320" s="24">
        <f t="shared" si="425"/>
        <v>48</v>
      </c>
      <c r="CT320" s="24">
        <f t="shared" si="425"/>
        <v>-28.139999999999986</v>
      </c>
      <c r="CU320" s="24">
        <f t="shared" si="425"/>
        <v>59.743000000000052</v>
      </c>
      <c r="CV320" s="24">
        <f t="shared" si="425"/>
        <v>9.9860300000000279</v>
      </c>
      <c r="CW320" s="24">
        <f t="shared" si="425"/>
        <v>30.257670899999994</v>
      </c>
      <c r="CX320" s="24">
        <f t="shared" si="425"/>
        <v>31.165401027000144</v>
      </c>
    </row>
    <row r="321" spans="2:103" ht="15" customHeight="1" x14ac:dyDescent="0.25">
      <c r="B321" s="37" t="s">
        <v>218</v>
      </c>
      <c r="C321" s="37"/>
      <c r="D321" s="37"/>
      <c r="E321" s="37"/>
      <c r="F321" s="37"/>
      <c r="G321" s="37"/>
      <c r="H321" s="37"/>
      <c r="I321" s="37"/>
      <c r="J321" s="37"/>
      <c r="K321" s="37"/>
      <c r="L321" s="37"/>
      <c r="M321" s="37"/>
      <c r="N321" s="37"/>
      <c r="O321" s="37"/>
      <c r="P321" s="37"/>
      <c r="Q321" s="37"/>
      <c r="R321" s="37"/>
      <c r="T321" s="82">
        <f>+T317/S317-1</f>
        <v>0.40476190476190466</v>
      </c>
      <c r="U321" s="82">
        <f t="shared" ref="U321:BV321" si="426">+U317/T317-1</f>
        <v>-7.9096045197740161E-2</v>
      </c>
      <c r="V321" s="82">
        <f t="shared" si="426"/>
        <v>-1.8404907975460127E-2</v>
      </c>
      <c r="W321" s="82">
        <f t="shared" si="426"/>
        <v>-0.26249999999999996</v>
      </c>
      <c r="X321" s="82">
        <f t="shared" si="426"/>
        <v>0.26271186440677963</v>
      </c>
      <c r="Y321" s="82">
        <f t="shared" si="426"/>
        <v>0.24161073825503365</v>
      </c>
      <c r="Z321" s="82">
        <f t="shared" si="426"/>
        <v>-0.21081081081081077</v>
      </c>
      <c r="AA321" s="82">
        <f t="shared" si="426"/>
        <v>-0.17123287671232879</v>
      </c>
      <c r="AB321" s="82">
        <f t="shared" si="426"/>
        <v>0.11570247933884303</v>
      </c>
      <c r="AC321" s="82">
        <f t="shared" si="426"/>
        <v>0.71851851851851856</v>
      </c>
      <c r="AD321" s="82">
        <f t="shared" si="426"/>
        <v>-0.33620689655172409</v>
      </c>
      <c r="AE321" s="82">
        <f t="shared" si="426"/>
        <v>-0.25974025974025972</v>
      </c>
      <c r="AF321" s="82">
        <f t="shared" si="426"/>
        <v>0.32456140350877183</v>
      </c>
      <c r="AG321" s="82">
        <f t="shared" si="426"/>
        <v>0.4701986754966887</v>
      </c>
      <c r="AH321" s="82">
        <f t="shared" si="426"/>
        <v>-0.4504504504504504</v>
      </c>
      <c r="AI321" s="82">
        <f t="shared" si="426"/>
        <v>9.0163934426229497E-2</v>
      </c>
      <c r="AJ321" s="82">
        <f t="shared" si="426"/>
        <v>3.007518796992481E-2</v>
      </c>
      <c r="AK321" s="82">
        <f t="shared" si="426"/>
        <v>0.3065693430656935</v>
      </c>
      <c r="AL321" s="82">
        <f t="shared" si="426"/>
        <v>0.22905027932960897</v>
      </c>
      <c r="AM321" s="82">
        <f t="shared" si="426"/>
        <v>-0.53181818181818175</v>
      </c>
      <c r="AN321" s="82">
        <f t="shared" si="426"/>
        <v>0.37864077669902918</v>
      </c>
      <c r="AO321" s="82">
        <f t="shared" si="426"/>
        <v>0.352112676056338</v>
      </c>
      <c r="AP321" s="82">
        <f t="shared" si="426"/>
        <v>-0.18229166666666663</v>
      </c>
      <c r="AQ321" s="82">
        <f t="shared" si="426"/>
        <v>-0.29936305732484081</v>
      </c>
      <c r="AR321" s="82">
        <f t="shared" si="426"/>
        <v>0.30909090909090908</v>
      </c>
      <c r="AS321" s="82">
        <f t="shared" si="426"/>
        <v>0.42361111111111116</v>
      </c>
      <c r="AT321" s="82">
        <f t="shared" si="426"/>
        <v>-0.10243902439024388</v>
      </c>
      <c r="AU321" s="82">
        <f t="shared" si="426"/>
        <v>-3.2608695652173947E-2</v>
      </c>
      <c r="AV321" s="82">
        <f t="shared" si="426"/>
        <v>0.22471910112359561</v>
      </c>
      <c r="AW321" s="82">
        <f t="shared" si="426"/>
        <v>0.27981651376146788</v>
      </c>
      <c r="AX321" s="82">
        <f t="shared" si="426"/>
        <v>-0.1684587813620072</v>
      </c>
      <c r="AY321" s="82">
        <f t="shared" si="426"/>
        <v>-4.7413793103448287E-2</v>
      </c>
      <c r="AZ321" s="82">
        <f t="shared" si="426"/>
        <v>-1.8099547511312264E-2</v>
      </c>
      <c r="BA321" s="82">
        <f t="shared" si="426"/>
        <v>0.11059907834101379</v>
      </c>
      <c r="BB321" s="82">
        <f t="shared" si="426"/>
        <v>-4.1493775933609811E-3</v>
      </c>
      <c r="BC321" s="82">
        <f>+BC317/BB317-1</f>
        <v>-9.1666666666666674E-2</v>
      </c>
      <c r="BD321" s="82">
        <f>+BD317/BC317-1</f>
        <v>0.22477064220183496</v>
      </c>
      <c r="BE321" s="82">
        <f t="shared" si="426"/>
        <v>-1.8726591760299671E-2</v>
      </c>
      <c r="BF321" s="82">
        <f t="shared" si="426"/>
        <v>-0.16030534351145043</v>
      </c>
      <c r="BG321" s="82">
        <f t="shared" si="426"/>
        <v>-0.12272727272727268</v>
      </c>
      <c r="BH321" s="82">
        <f t="shared" si="426"/>
        <v>0.32642487046632129</v>
      </c>
      <c r="BI321" s="82">
        <f t="shared" si="426"/>
        <v>5.4140625000000053E-2</v>
      </c>
      <c r="BJ321" s="82">
        <f t="shared" si="426"/>
        <v>-0.18476246942859265</v>
      </c>
      <c r="BK321" s="82">
        <f t="shared" si="426"/>
        <v>-7.8863636363636358E-2</v>
      </c>
      <c r="BL321" s="82">
        <f t="shared" si="426"/>
        <v>0.38958795953614622</v>
      </c>
      <c r="BM321" s="82">
        <f t="shared" si="426"/>
        <v>6.2251420454544348E-3</v>
      </c>
      <c r="BN321" s="82">
        <f t="shared" si="426"/>
        <v>-0.18476246942859265</v>
      </c>
      <c r="BO321" s="82">
        <f t="shared" si="426"/>
        <v>-0.11395454545454542</v>
      </c>
      <c r="BP321" s="82">
        <f t="shared" si="426"/>
        <v>0.38958795953614622</v>
      </c>
      <c r="BQ321" s="82">
        <f t="shared" si="426"/>
        <v>6.2251420454544348E-3</v>
      </c>
      <c r="BR321" s="82">
        <f t="shared" si="426"/>
        <v>-0.18476246942859265</v>
      </c>
      <c r="BS321" s="82">
        <f t="shared" si="426"/>
        <v>-9.6409090909090889E-2</v>
      </c>
      <c r="BT321" s="82">
        <f t="shared" si="426"/>
        <v>0.38958795953614622</v>
      </c>
      <c r="BU321" s="82">
        <f t="shared" si="426"/>
        <v>6.2251420454542128E-3</v>
      </c>
      <c r="BV321" s="82">
        <f t="shared" si="426"/>
        <v>-0.18476246942859254</v>
      </c>
      <c r="BW321" s="82">
        <f>+BW317/BR317-1</f>
        <v>-6.9301363636363522E-2</v>
      </c>
      <c r="BX321" s="82">
        <f t="shared" ref="BX321:BZ321" si="427">+BX317/BW317-1</f>
        <v>0.38958795953614644</v>
      </c>
      <c r="BY321" s="82">
        <f t="shared" si="427"/>
        <v>6.2251420454542128E-3</v>
      </c>
      <c r="BZ321" s="82">
        <f t="shared" si="427"/>
        <v>-0.18476246942859265</v>
      </c>
      <c r="CA321" s="82">
        <f>+CA317/BV317-1</f>
        <v>-6.9301363636363522E-2</v>
      </c>
      <c r="CB321" s="82">
        <f t="shared" ref="CB321:CD321" si="428">+CB317/CA317-1</f>
        <v>0.38958795953614644</v>
      </c>
      <c r="CC321" s="82">
        <f t="shared" si="428"/>
        <v>6.2251420454542128E-3</v>
      </c>
      <c r="CD321" s="82">
        <f t="shared" si="428"/>
        <v>-0.18476246942859254</v>
      </c>
      <c r="CG321" s="82"/>
      <c r="CH321" s="82"/>
      <c r="CI321" s="82"/>
      <c r="CJ321" s="82"/>
      <c r="CK321" s="82"/>
      <c r="CL321" s="82"/>
      <c r="CM321" s="82"/>
      <c r="CN321" s="82"/>
      <c r="CO321" s="82"/>
      <c r="CP321" s="82"/>
      <c r="CQ321" s="82"/>
      <c r="CR321" s="82"/>
      <c r="CS321" s="82"/>
      <c r="CT321" s="108"/>
      <c r="CU321" s="108"/>
      <c r="CV321" s="108"/>
      <c r="CW321" s="108"/>
      <c r="CX321" s="108"/>
    </row>
    <row r="322" spans="2:103" ht="15" customHeight="1" x14ac:dyDescent="0.25">
      <c r="CT322" s="60"/>
      <c r="CU322" s="60"/>
      <c r="CV322" s="60"/>
      <c r="CW322" s="60"/>
      <c r="CX322" s="60"/>
    </row>
    <row r="323" spans="2:103" ht="15" customHeight="1" x14ac:dyDescent="0.25">
      <c r="B323" t="s">
        <v>254</v>
      </c>
      <c r="S323" s="87">
        <f t="shared" ref="S323:BE323" si="429">-S541</f>
        <v>-84</v>
      </c>
      <c r="T323" s="87">
        <f t="shared" si="429"/>
        <v>-82</v>
      </c>
      <c r="U323" s="87">
        <f t="shared" si="429"/>
        <v>-97</v>
      </c>
      <c r="V323" s="87">
        <f t="shared" si="429"/>
        <v>-89</v>
      </c>
      <c r="W323" s="87">
        <f t="shared" si="429"/>
        <v>-84</v>
      </c>
      <c r="X323" s="87">
        <f t="shared" si="429"/>
        <v>-90</v>
      </c>
      <c r="Y323" s="87">
        <f t="shared" si="429"/>
        <v>-86</v>
      </c>
      <c r="Z323" s="87">
        <f t="shared" si="429"/>
        <v>-97</v>
      </c>
      <c r="AA323" s="87">
        <f t="shared" si="429"/>
        <v>-95</v>
      </c>
      <c r="AB323" s="87">
        <f t="shared" si="429"/>
        <v>-99</v>
      </c>
      <c r="AC323" s="87">
        <f t="shared" si="429"/>
        <v>-97</v>
      </c>
      <c r="AD323" s="87">
        <f t="shared" si="429"/>
        <v>-95</v>
      </c>
      <c r="AE323" s="87">
        <f t="shared" si="429"/>
        <v>-93</v>
      </c>
      <c r="AF323" s="87">
        <f t="shared" si="429"/>
        <v>-102</v>
      </c>
      <c r="AG323" s="87">
        <f t="shared" si="429"/>
        <v>-103</v>
      </c>
      <c r="AH323" s="87">
        <f t="shared" si="429"/>
        <v>-110</v>
      </c>
      <c r="AI323" s="87">
        <f t="shared" si="429"/>
        <v>-99</v>
      </c>
      <c r="AJ323" s="87">
        <f t="shared" si="429"/>
        <v>-100</v>
      </c>
      <c r="AK323" s="87">
        <f t="shared" si="429"/>
        <v>-89</v>
      </c>
      <c r="AL323" s="87">
        <f t="shared" si="429"/>
        <v>-109</v>
      </c>
      <c r="AM323" s="87">
        <f t="shared" si="429"/>
        <v>-94</v>
      </c>
      <c r="AN323" s="87">
        <f t="shared" si="429"/>
        <v>-108</v>
      </c>
      <c r="AO323" s="87">
        <f t="shared" si="429"/>
        <v>-106</v>
      </c>
      <c r="AP323" s="87">
        <f t="shared" si="429"/>
        <v>-121</v>
      </c>
      <c r="AQ323" s="87">
        <f t="shared" si="429"/>
        <v>-112</v>
      </c>
      <c r="AR323" s="87">
        <f t="shared" si="429"/>
        <v>-108</v>
      </c>
      <c r="AS323" s="87">
        <f t="shared" si="429"/>
        <v>-124</v>
      </c>
      <c r="AT323" s="87">
        <f t="shared" si="429"/>
        <v>-149</v>
      </c>
      <c r="AU323" s="87">
        <f t="shared" si="429"/>
        <v>-142</v>
      </c>
      <c r="AV323" s="87">
        <f t="shared" si="429"/>
        <v>-145</v>
      </c>
      <c r="AW323" s="87">
        <f t="shared" si="429"/>
        <v>-135</v>
      </c>
      <c r="AX323" s="87">
        <f t="shared" si="429"/>
        <v>-139</v>
      </c>
      <c r="AY323" s="87">
        <f t="shared" si="429"/>
        <v>-138</v>
      </c>
      <c r="AZ323" s="87">
        <f t="shared" si="429"/>
        <v>-146</v>
      </c>
      <c r="BA323" s="87">
        <f t="shared" si="429"/>
        <v>-133</v>
      </c>
      <c r="BB323" s="87">
        <f t="shared" si="429"/>
        <v>-151</v>
      </c>
      <c r="BC323" s="87">
        <f t="shared" si="429"/>
        <v>-137</v>
      </c>
      <c r="BD323" s="87">
        <f t="shared" si="429"/>
        <v>-148</v>
      </c>
      <c r="BE323" s="87">
        <f t="shared" si="429"/>
        <v>-143</v>
      </c>
      <c r="BF323" s="87">
        <f>-BF541</f>
        <v>-155</v>
      </c>
      <c r="BG323" s="74">
        <f>-180+26+4</f>
        <v>-150</v>
      </c>
      <c r="BH323" s="74">
        <f>32+1+-197</f>
        <v>-164</v>
      </c>
      <c r="BI323" s="24">
        <f t="shared" ref="BI323:CD323" si="430">+BE323*(1+BI325)</f>
        <v>-147.29</v>
      </c>
      <c r="BJ323" s="24">
        <f t="shared" si="430"/>
        <v>-162.75</v>
      </c>
      <c r="BK323" s="24">
        <f t="shared" si="430"/>
        <v>-153</v>
      </c>
      <c r="BL323" s="24">
        <f t="shared" si="430"/>
        <v>-167.28</v>
      </c>
      <c r="BM323" s="24">
        <f t="shared" si="430"/>
        <v>-150.23579999999998</v>
      </c>
      <c r="BN323" s="24">
        <f t="shared" si="430"/>
        <v>-166.005</v>
      </c>
      <c r="BO323" s="24">
        <f t="shared" si="430"/>
        <v>-156.06</v>
      </c>
      <c r="BP323" s="24">
        <f t="shared" si="430"/>
        <v>-170.62559999999999</v>
      </c>
      <c r="BQ323" s="24">
        <f t="shared" si="430"/>
        <v>-153.24051599999999</v>
      </c>
      <c r="BR323" s="24">
        <f t="shared" si="430"/>
        <v>-169.32509999999999</v>
      </c>
      <c r="BS323" s="24">
        <f t="shared" si="430"/>
        <v>-159.18120000000002</v>
      </c>
      <c r="BT323" s="24">
        <f t="shared" si="430"/>
        <v>-174.03811199999998</v>
      </c>
      <c r="BU323" s="24">
        <f t="shared" si="430"/>
        <v>-156.30532631999998</v>
      </c>
      <c r="BV323" s="24">
        <f t="shared" si="430"/>
        <v>-172.711602</v>
      </c>
      <c r="BW323" s="24">
        <f t="shared" si="430"/>
        <v>-162.36482400000003</v>
      </c>
      <c r="BX323" s="24">
        <f t="shared" si="430"/>
        <v>-177.51887423999997</v>
      </c>
      <c r="BY323" s="24">
        <f t="shared" si="430"/>
        <v>-159.43143284639999</v>
      </c>
      <c r="BZ323" s="24">
        <f t="shared" si="430"/>
        <v>-176.16583403999999</v>
      </c>
      <c r="CA323" s="24">
        <f t="shared" si="430"/>
        <v>-165.61212048000004</v>
      </c>
      <c r="CB323" s="24">
        <f t="shared" si="430"/>
        <v>-181.06925172479998</v>
      </c>
      <c r="CC323" s="24">
        <f t="shared" si="430"/>
        <v>-162.62006150332797</v>
      </c>
      <c r="CD323" s="24">
        <f t="shared" si="430"/>
        <v>-179.6891507208</v>
      </c>
      <c r="CG323" s="29"/>
      <c r="CH323" s="29"/>
      <c r="CI323" s="29"/>
      <c r="CJ323" s="29">
        <f t="shared" ref="CJ323:CX323" si="431">+SUMIFS($S323:$CD323,$S$5:$CD$5,"&lt;="&amp;CJ$5,$S$5:$CD$5,"&gt;"&amp;CI$5)</f>
        <v>-352</v>
      </c>
      <c r="CK323" s="29">
        <f t="shared" si="431"/>
        <v>-357</v>
      </c>
      <c r="CL323" s="29">
        <f t="shared" si="431"/>
        <v>-386</v>
      </c>
      <c r="CM323" s="29">
        <f t="shared" si="431"/>
        <v>-408</v>
      </c>
      <c r="CN323" s="29">
        <f t="shared" si="431"/>
        <v>-397</v>
      </c>
      <c r="CO323" s="29">
        <f t="shared" si="431"/>
        <v>-429</v>
      </c>
      <c r="CP323" s="29">
        <f t="shared" si="431"/>
        <v>-493</v>
      </c>
      <c r="CQ323" s="29">
        <f t="shared" si="431"/>
        <v>-561</v>
      </c>
      <c r="CR323" s="29">
        <f t="shared" si="431"/>
        <v>-568</v>
      </c>
      <c r="CS323" s="29">
        <f t="shared" si="431"/>
        <v>-583</v>
      </c>
      <c r="CT323" s="97">
        <f t="shared" si="431"/>
        <v>-624.04</v>
      </c>
      <c r="CU323" s="97">
        <f t="shared" si="431"/>
        <v>-636.52080000000001</v>
      </c>
      <c r="CV323" s="97">
        <f t="shared" si="431"/>
        <v>-649.251216</v>
      </c>
      <c r="CW323" s="97">
        <f t="shared" si="431"/>
        <v>-662.23624031999998</v>
      </c>
      <c r="CX323" s="97">
        <f t="shared" si="431"/>
        <v>-675.48096512639995</v>
      </c>
    </row>
    <row r="324" spans="2:103" ht="15" customHeight="1" x14ac:dyDescent="0.25">
      <c r="B324" s="37" t="s">
        <v>240</v>
      </c>
      <c r="C324" s="37"/>
      <c r="D324" s="37"/>
      <c r="E324" s="37"/>
      <c r="F324" s="37"/>
      <c r="G324" s="37"/>
      <c r="H324" s="37"/>
      <c r="I324" s="37"/>
      <c r="J324" s="37"/>
      <c r="K324" s="37"/>
      <c r="L324" s="37"/>
      <c r="M324" s="37"/>
      <c r="N324" s="37"/>
      <c r="O324" s="37"/>
      <c r="P324" s="37"/>
      <c r="Q324" s="37"/>
      <c r="R324" s="37"/>
      <c r="S324" s="82">
        <f t="shared" ref="S324:CD324" si="432">-(S323/S$259)</f>
        <v>0.10838709677419354</v>
      </c>
      <c r="T324" s="82">
        <f t="shared" si="432"/>
        <v>6.7213114754098358E-2</v>
      </c>
      <c r="U324" s="82">
        <f t="shared" si="432"/>
        <v>6.7927170868347334E-2</v>
      </c>
      <c r="V324" s="82">
        <f t="shared" si="432"/>
        <v>9.9330357142857137E-2</v>
      </c>
      <c r="W324" s="82">
        <f t="shared" si="432"/>
        <v>0.12121212121212122</v>
      </c>
      <c r="X324" s="82">
        <f t="shared" si="432"/>
        <v>7.8534031413612565E-2</v>
      </c>
      <c r="Y324" s="82">
        <f t="shared" si="432"/>
        <v>4.7698280643372157E-2</v>
      </c>
      <c r="Z324" s="82">
        <f t="shared" si="432"/>
        <v>0.10497835497835498</v>
      </c>
      <c r="AA324" s="82">
        <f t="shared" si="432"/>
        <v>0.13929618768328444</v>
      </c>
      <c r="AB324" s="82">
        <f t="shared" si="432"/>
        <v>9.0163934426229511E-2</v>
      </c>
      <c r="AC324" s="82">
        <f t="shared" si="432"/>
        <v>4.6859903381642511E-2</v>
      </c>
      <c r="AD324" s="82">
        <f t="shared" si="432"/>
        <v>8.6996336996336993E-2</v>
      </c>
      <c r="AE324" s="82">
        <f t="shared" si="432"/>
        <v>0.12</v>
      </c>
      <c r="AF324" s="82">
        <f t="shared" si="432"/>
        <v>8.6513994910941472E-2</v>
      </c>
      <c r="AG324" s="82">
        <f t="shared" si="432"/>
        <v>5.2257737189244036E-2</v>
      </c>
      <c r="AH324" s="82">
        <f t="shared" si="432"/>
        <v>8.7649402390438252E-2</v>
      </c>
      <c r="AI324" s="82">
        <f t="shared" si="432"/>
        <v>0.12406015037593984</v>
      </c>
      <c r="AJ324" s="82">
        <f t="shared" si="432"/>
        <v>7.8988941548183256E-2</v>
      </c>
      <c r="AK324" s="82">
        <f t="shared" si="432"/>
        <v>5.3711526855763428E-2</v>
      </c>
      <c r="AL324" s="82">
        <f t="shared" si="432"/>
        <v>7.7250177179305463E-2</v>
      </c>
      <c r="AM324" s="82">
        <f t="shared" si="432"/>
        <v>0.12020460358056266</v>
      </c>
      <c r="AN324" s="82">
        <f t="shared" si="432"/>
        <v>8.225437928408226E-2</v>
      </c>
      <c r="AO324" s="82">
        <f t="shared" si="432"/>
        <v>5.2449282533399311E-2</v>
      </c>
      <c r="AP324" s="82">
        <f t="shared" si="432"/>
        <v>9.6337579617834401E-2</v>
      </c>
      <c r="AQ324" s="82">
        <f t="shared" si="432"/>
        <v>8.0575539568345317E-2</v>
      </c>
      <c r="AR324" s="82">
        <f t="shared" si="432"/>
        <v>0.11868131868131868</v>
      </c>
      <c r="AS324" s="82">
        <f t="shared" si="432"/>
        <v>5.1666666666666666E-2</v>
      </c>
      <c r="AT324" s="82">
        <f t="shared" si="432"/>
        <v>0.1</v>
      </c>
      <c r="AU324" s="82">
        <f t="shared" si="432"/>
        <v>0.1062874251497006</v>
      </c>
      <c r="AV324" s="82">
        <f t="shared" si="432"/>
        <v>7.833603457590492E-2</v>
      </c>
      <c r="AW324" s="82">
        <f t="shared" si="432"/>
        <v>5.2386495925494762E-2</v>
      </c>
      <c r="AX324" s="82">
        <f t="shared" si="432"/>
        <v>7.9383209594517418E-2</v>
      </c>
      <c r="AY324" s="82">
        <f t="shared" si="432"/>
        <v>0.10623556581986143</v>
      </c>
      <c r="AZ324" s="82">
        <f t="shared" si="432"/>
        <v>8.3238312428734321E-2</v>
      </c>
      <c r="BA324" s="82">
        <f t="shared" si="432"/>
        <v>5.6789069171648165E-2</v>
      </c>
      <c r="BB324" s="82">
        <f t="shared" si="432"/>
        <v>7.7595066803699903E-2</v>
      </c>
      <c r="BC324" s="82">
        <f t="shared" si="432"/>
        <v>8.681875792141952E-2</v>
      </c>
      <c r="BD324" s="82">
        <f t="shared" si="432"/>
        <v>8.1318681318681321E-2</v>
      </c>
      <c r="BE324" s="82">
        <f t="shared" si="432"/>
        <v>6.043956043956044E-2</v>
      </c>
      <c r="BF324" s="82">
        <f t="shared" si="432"/>
        <v>9.3037214885954386E-2</v>
      </c>
      <c r="BG324" s="82">
        <f t="shared" si="432"/>
        <v>0.11885895404120443</v>
      </c>
      <c r="BH324" s="82">
        <f t="shared" si="432"/>
        <v>7.888407888407889E-2</v>
      </c>
      <c r="BI324" s="82">
        <f t="shared" si="432"/>
        <v>6.304264490326035E-2</v>
      </c>
      <c r="BJ324" s="82">
        <f t="shared" si="432"/>
        <v>0.10206991641975406</v>
      </c>
      <c r="BK324" s="82">
        <f t="shared" si="432"/>
        <v>0.12479337449950212</v>
      </c>
      <c r="BL324" s="82">
        <f t="shared" si="432"/>
        <v>7.8034447846606542E-2</v>
      </c>
      <c r="BM324" s="82">
        <f t="shared" si="432"/>
        <v>5.8237256576230606E-2</v>
      </c>
      <c r="BN324" s="82">
        <f t="shared" si="432"/>
        <v>0.10248424388616829</v>
      </c>
      <c r="BO324" s="82">
        <f t="shared" si="432"/>
        <v>9.9320598938231822E-2</v>
      </c>
      <c r="BP324" s="82">
        <f t="shared" si="432"/>
        <v>7.7646623303502943E-2</v>
      </c>
      <c r="BQ324" s="82">
        <f t="shared" si="432"/>
        <v>6.2245737460953299E-2</v>
      </c>
      <c r="BR324" s="82">
        <f t="shared" si="432"/>
        <v>0.10123047996430838</v>
      </c>
      <c r="BS324" s="82">
        <f t="shared" si="432"/>
        <v>0.10111115331014023</v>
      </c>
      <c r="BT324" s="82">
        <f t="shared" si="432"/>
        <v>7.8253625246152397E-2</v>
      </c>
      <c r="BU324" s="82">
        <f t="shared" si="432"/>
        <v>6.303993538935819E-2</v>
      </c>
      <c r="BV324" s="82">
        <f t="shared" si="432"/>
        <v>0.10273218674587484</v>
      </c>
      <c r="BW324" s="82">
        <f t="shared" si="432"/>
        <v>0.10030418581700472</v>
      </c>
      <c r="BX324" s="82">
        <f t="shared" si="432"/>
        <v>7.7674741092810348E-2</v>
      </c>
      <c r="BY324" s="82">
        <f t="shared" si="432"/>
        <v>6.2238401568607153E-2</v>
      </c>
      <c r="BZ324" s="82">
        <f t="shared" si="432"/>
        <v>0.10105925061018603</v>
      </c>
      <c r="CA324" s="82">
        <f t="shared" si="432"/>
        <v>9.9411827768258854E-2</v>
      </c>
      <c r="CB324" s="82">
        <f t="shared" si="432"/>
        <v>7.704038293989994E-2</v>
      </c>
      <c r="CC324" s="82">
        <f t="shared" si="432"/>
        <v>6.1406149300790219E-2</v>
      </c>
      <c r="CD324" s="82">
        <f t="shared" si="432"/>
        <v>9.9342310540286347E-2</v>
      </c>
      <c r="CG324" s="82"/>
      <c r="CH324" s="82"/>
      <c r="CI324" s="82"/>
      <c r="CJ324" s="82">
        <f t="shared" ref="CJ324:CX324" si="433">-(CJ323/CJ$259)</f>
        <v>8.1500347302616349E-2</v>
      </c>
      <c r="CK324" s="82">
        <f t="shared" si="433"/>
        <v>7.8186596583442833E-2</v>
      </c>
      <c r="CL324" s="82">
        <f t="shared" si="433"/>
        <v>7.8106029947389716E-2</v>
      </c>
      <c r="CM324" s="82">
        <f t="shared" si="433"/>
        <v>7.8764478764478771E-2</v>
      </c>
      <c r="CN324" s="82">
        <f t="shared" si="433"/>
        <v>7.7357755261106775E-2</v>
      </c>
      <c r="CO324" s="82">
        <f t="shared" si="433"/>
        <v>7.985852568875651E-2</v>
      </c>
      <c r="CP324" s="82">
        <f t="shared" si="433"/>
        <v>7.9644588045234249E-2</v>
      </c>
      <c r="CQ324" s="82">
        <f>-(CQ323/CQ$259)</f>
        <v>7.4650698602794413E-2</v>
      </c>
      <c r="CR324" s="82">
        <f t="shared" si="433"/>
        <v>7.7373654815420245E-2</v>
      </c>
      <c r="CS324" s="82">
        <f t="shared" si="433"/>
        <v>7.8465679676985201E-2</v>
      </c>
      <c r="CT324" s="108">
        <f t="shared" si="433"/>
        <v>8.5815847972407572E-2</v>
      </c>
      <c r="CU324" s="108">
        <f t="shared" si="433"/>
        <v>8.4093259363677397E-2</v>
      </c>
      <c r="CV324" s="108">
        <f t="shared" si="433"/>
        <v>8.2149681523124532E-2</v>
      </c>
      <c r="CW324" s="108">
        <f t="shared" si="433"/>
        <v>8.3206031048613252E-2</v>
      </c>
      <c r="CX324" s="108">
        <f t="shared" si="433"/>
        <v>8.2285857207735527E-2</v>
      </c>
    </row>
    <row r="325" spans="2:103" ht="15" customHeight="1" x14ac:dyDescent="0.25">
      <c r="B325" s="37" t="s">
        <v>170</v>
      </c>
      <c r="C325" s="37"/>
      <c r="D325" s="37"/>
      <c r="E325" s="37"/>
      <c r="F325" s="37"/>
      <c r="G325" s="37"/>
      <c r="H325" s="37"/>
      <c r="I325" s="37"/>
      <c r="J325" s="37"/>
      <c r="K325" s="37"/>
      <c r="L325" s="37"/>
      <c r="M325" s="37"/>
      <c r="N325" s="37"/>
      <c r="O325" s="37"/>
      <c r="P325" s="37"/>
      <c r="Q325" s="37"/>
      <c r="R325" s="37"/>
      <c r="S325" s="82" t="str">
        <f>+IFERROR(S323/#REF!-1,"")</f>
        <v/>
      </c>
      <c r="T325" s="82" t="str">
        <f>+IFERROR(T323/#REF!-1,"")</f>
        <v/>
      </c>
      <c r="U325" s="82" t="str">
        <f>+IFERROR(U323/A323-1,"")</f>
        <v/>
      </c>
      <c r="V325" s="82" t="str">
        <f>+IFERROR(V323/B323-1,"")</f>
        <v/>
      </c>
      <c r="W325" s="82">
        <f t="shared" ref="W325:BB325" si="434">+IFERROR(W323/S323-1,"")</f>
        <v>0</v>
      </c>
      <c r="X325" s="82">
        <f t="shared" si="434"/>
        <v>9.7560975609756184E-2</v>
      </c>
      <c r="Y325" s="82">
        <f t="shared" si="434"/>
        <v>-0.11340206185567014</v>
      </c>
      <c r="Z325" s="82">
        <f t="shared" si="434"/>
        <v>8.98876404494382E-2</v>
      </c>
      <c r="AA325" s="82">
        <f t="shared" si="434"/>
        <v>0.13095238095238093</v>
      </c>
      <c r="AB325" s="82">
        <f t="shared" si="434"/>
        <v>0.10000000000000009</v>
      </c>
      <c r="AC325" s="82">
        <f t="shared" si="434"/>
        <v>0.12790697674418605</v>
      </c>
      <c r="AD325" s="82">
        <f t="shared" si="434"/>
        <v>-2.0618556701030966E-2</v>
      </c>
      <c r="AE325" s="82">
        <f t="shared" si="434"/>
        <v>-2.1052631578947323E-2</v>
      </c>
      <c r="AF325" s="82">
        <f t="shared" si="434"/>
        <v>3.0303030303030276E-2</v>
      </c>
      <c r="AG325" s="82">
        <f t="shared" si="434"/>
        <v>6.1855670103092786E-2</v>
      </c>
      <c r="AH325" s="82">
        <f t="shared" si="434"/>
        <v>0.15789473684210531</v>
      </c>
      <c r="AI325" s="82">
        <f t="shared" si="434"/>
        <v>6.4516129032258007E-2</v>
      </c>
      <c r="AJ325" s="82">
        <f t="shared" si="434"/>
        <v>-1.9607843137254943E-2</v>
      </c>
      <c r="AK325" s="82">
        <f t="shared" si="434"/>
        <v>-0.13592233009708743</v>
      </c>
      <c r="AL325" s="82">
        <f t="shared" si="434"/>
        <v>-9.0909090909090384E-3</v>
      </c>
      <c r="AM325" s="82">
        <f t="shared" si="434"/>
        <v>-5.0505050505050497E-2</v>
      </c>
      <c r="AN325" s="82">
        <f t="shared" si="434"/>
        <v>8.0000000000000071E-2</v>
      </c>
      <c r="AO325" s="82">
        <f t="shared" si="434"/>
        <v>0.1910112359550562</v>
      </c>
      <c r="AP325" s="82">
        <f t="shared" si="434"/>
        <v>0.11009174311926606</v>
      </c>
      <c r="AQ325" s="82">
        <f t="shared" si="434"/>
        <v>0.1914893617021276</v>
      </c>
      <c r="AR325" s="82">
        <f t="shared" si="434"/>
        <v>0</v>
      </c>
      <c r="AS325" s="82">
        <f t="shared" si="434"/>
        <v>0.16981132075471694</v>
      </c>
      <c r="AT325" s="82">
        <f t="shared" si="434"/>
        <v>0.23140495867768585</v>
      </c>
      <c r="AU325" s="82">
        <f t="shared" si="434"/>
        <v>0.26785714285714279</v>
      </c>
      <c r="AV325" s="82">
        <f t="shared" si="434"/>
        <v>0.34259259259259256</v>
      </c>
      <c r="AW325" s="82">
        <f t="shared" si="434"/>
        <v>8.870967741935476E-2</v>
      </c>
      <c r="AX325" s="82">
        <f t="shared" si="434"/>
        <v>-6.7114093959731558E-2</v>
      </c>
      <c r="AY325" s="82">
        <f t="shared" si="434"/>
        <v>-2.8169014084507005E-2</v>
      </c>
      <c r="AZ325" s="82">
        <f t="shared" si="434"/>
        <v>6.8965517241379448E-3</v>
      </c>
      <c r="BA325" s="82">
        <f t="shared" si="434"/>
        <v>-1.4814814814814836E-2</v>
      </c>
      <c r="BB325" s="82">
        <f t="shared" si="434"/>
        <v>8.6330935251798468E-2</v>
      </c>
      <c r="BC325" s="82">
        <f>+IFERROR(BC323/AY323-1,"")</f>
        <v>-7.2463768115942351E-3</v>
      </c>
      <c r="BD325" s="82">
        <f t="shared" ref="BD325:BE325" si="435">+IFERROR(BD323/AZ323-1,"")</f>
        <v>1.3698630136986356E-2</v>
      </c>
      <c r="BE325" s="82">
        <f t="shared" si="435"/>
        <v>7.5187969924812137E-2</v>
      </c>
      <c r="BF325" s="82">
        <f>+IFERROR(BF323/BB323-1,"")</f>
        <v>2.6490066225165476E-2</v>
      </c>
      <c r="BG325" s="82">
        <f>+IFERROR(BG323/BC323-1,"")</f>
        <v>9.4890510948905105E-2</v>
      </c>
      <c r="BH325" s="82">
        <f>+IFERROR(BH323/BD323-1,"")</f>
        <v>0.10810810810810811</v>
      </c>
      <c r="BI325" s="102">
        <v>0.03</v>
      </c>
      <c r="BJ325" s="102">
        <v>0.05</v>
      </c>
      <c r="BK325" s="102">
        <v>0.02</v>
      </c>
      <c r="BL325" s="102">
        <v>0.02</v>
      </c>
      <c r="BM325" s="102">
        <v>0.02</v>
      </c>
      <c r="BN325" s="102">
        <v>0.02</v>
      </c>
      <c r="BO325" s="102">
        <v>0.02</v>
      </c>
      <c r="BP325" s="102">
        <v>0.02</v>
      </c>
      <c r="BQ325" s="102">
        <v>0.02</v>
      </c>
      <c r="BR325" s="102">
        <v>0.02</v>
      </c>
      <c r="BS325" s="102">
        <v>0.02</v>
      </c>
      <c r="BT325" s="102">
        <v>0.02</v>
      </c>
      <c r="BU325" s="102">
        <v>0.02</v>
      </c>
      <c r="BV325" s="102">
        <v>0.02</v>
      </c>
      <c r="BW325" s="102">
        <v>0.02</v>
      </c>
      <c r="BX325" s="102">
        <v>0.02</v>
      </c>
      <c r="BY325" s="102">
        <v>0.02</v>
      </c>
      <c r="BZ325" s="102">
        <v>0.02</v>
      </c>
      <c r="CA325" s="102">
        <v>0.02</v>
      </c>
      <c r="CB325" s="102">
        <v>0.02</v>
      </c>
      <c r="CC325" s="102">
        <v>0.02</v>
      </c>
      <c r="CD325" s="102">
        <v>0.02</v>
      </c>
      <c r="CE325" s="102"/>
      <c r="CG325" s="82"/>
      <c r="CH325" s="82"/>
      <c r="CI325" s="82"/>
      <c r="CJ325" s="82" t="str">
        <f t="shared" ref="CJ325:CX325" si="436">+IFERROR(CJ323/CI323-1,"")</f>
        <v/>
      </c>
      <c r="CK325" s="82">
        <f t="shared" si="436"/>
        <v>1.4204545454545414E-2</v>
      </c>
      <c r="CL325" s="82">
        <f t="shared" si="436"/>
        <v>8.1232492997198813E-2</v>
      </c>
      <c r="CM325" s="82">
        <f t="shared" si="436"/>
        <v>5.6994818652849721E-2</v>
      </c>
      <c r="CN325" s="82">
        <f t="shared" si="436"/>
        <v>-2.6960784313725505E-2</v>
      </c>
      <c r="CO325" s="82">
        <f t="shared" si="436"/>
        <v>8.0604534005037864E-2</v>
      </c>
      <c r="CP325" s="82">
        <f t="shared" si="436"/>
        <v>0.14918414918414924</v>
      </c>
      <c r="CQ325" s="82">
        <f>+IFERROR(CQ323/CP323-1,"")</f>
        <v>0.13793103448275867</v>
      </c>
      <c r="CR325" s="82">
        <f>+IFERROR(CR323/CQ323-1,"")</f>
        <v>1.2477718360071277E-2</v>
      </c>
      <c r="CS325" s="82">
        <f t="shared" si="436"/>
        <v>2.6408450704225261E-2</v>
      </c>
      <c r="CT325" s="108">
        <f t="shared" si="436"/>
        <v>7.0394511149228123E-2</v>
      </c>
      <c r="CU325" s="108">
        <f t="shared" si="436"/>
        <v>2.0000000000000018E-2</v>
      </c>
      <c r="CV325" s="108">
        <f t="shared" si="436"/>
        <v>2.0000000000000018E-2</v>
      </c>
      <c r="CW325" s="108">
        <f t="shared" si="436"/>
        <v>2.0000000000000018E-2</v>
      </c>
      <c r="CX325" s="108">
        <f t="shared" si="436"/>
        <v>2.0000000000000018E-2</v>
      </c>
    </row>
    <row r="326" spans="2:103" x14ac:dyDescent="0.25">
      <c r="B326" s="37" t="s">
        <v>228</v>
      </c>
      <c r="C326" s="37"/>
      <c r="D326" s="37"/>
      <c r="E326" s="37"/>
      <c r="F326" s="37"/>
      <c r="G326" s="37"/>
      <c r="H326" s="37"/>
      <c r="I326" s="37"/>
      <c r="J326" s="37"/>
      <c r="K326" s="37"/>
      <c r="L326" s="37"/>
      <c r="M326" s="37"/>
      <c r="N326" s="37"/>
      <c r="O326" s="37"/>
      <c r="P326" s="37"/>
      <c r="Q326" s="37"/>
      <c r="R326" s="37"/>
      <c r="W326" s="24">
        <f>-W323+S323</f>
        <v>0</v>
      </c>
      <c r="X326" s="24">
        <f t="shared" ref="X326:BB326" si="437">-X323+T323</f>
        <v>8</v>
      </c>
      <c r="Y326" s="24">
        <f t="shared" si="437"/>
        <v>-11</v>
      </c>
      <c r="Z326" s="24">
        <f t="shared" si="437"/>
        <v>8</v>
      </c>
      <c r="AA326" s="24">
        <f t="shared" si="437"/>
        <v>11</v>
      </c>
      <c r="AB326" s="24">
        <f t="shared" si="437"/>
        <v>9</v>
      </c>
      <c r="AC326" s="24">
        <f t="shared" si="437"/>
        <v>11</v>
      </c>
      <c r="AD326" s="24">
        <f t="shared" si="437"/>
        <v>-2</v>
      </c>
      <c r="AE326" s="24">
        <f t="shared" si="437"/>
        <v>-2</v>
      </c>
      <c r="AF326" s="24">
        <f t="shared" si="437"/>
        <v>3</v>
      </c>
      <c r="AG326" s="24">
        <f t="shared" si="437"/>
        <v>6</v>
      </c>
      <c r="AH326" s="24">
        <f t="shared" si="437"/>
        <v>15</v>
      </c>
      <c r="AI326" s="24">
        <f t="shared" si="437"/>
        <v>6</v>
      </c>
      <c r="AJ326" s="24">
        <f t="shared" si="437"/>
        <v>-2</v>
      </c>
      <c r="AK326" s="24">
        <f t="shared" si="437"/>
        <v>-14</v>
      </c>
      <c r="AL326" s="24">
        <f t="shared" si="437"/>
        <v>-1</v>
      </c>
      <c r="AM326" s="24">
        <f t="shared" si="437"/>
        <v>-5</v>
      </c>
      <c r="AN326" s="24">
        <f t="shared" si="437"/>
        <v>8</v>
      </c>
      <c r="AO326" s="24">
        <f t="shared" si="437"/>
        <v>17</v>
      </c>
      <c r="AP326" s="24">
        <f t="shared" si="437"/>
        <v>12</v>
      </c>
      <c r="AQ326" s="24">
        <f t="shared" si="437"/>
        <v>18</v>
      </c>
      <c r="AR326" s="24">
        <f t="shared" si="437"/>
        <v>0</v>
      </c>
      <c r="AS326" s="24">
        <f t="shared" si="437"/>
        <v>18</v>
      </c>
      <c r="AT326" s="24">
        <f t="shared" si="437"/>
        <v>28</v>
      </c>
      <c r="AU326" s="24">
        <f t="shared" si="437"/>
        <v>30</v>
      </c>
      <c r="AV326" s="24">
        <f t="shared" si="437"/>
        <v>37</v>
      </c>
      <c r="AW326" s="24">
        <f t="shared" si="437"/>
        <v>11</v>
      </c>
      <c r="AX326" s="24">
        <f t="shared" si="437"/>
        <v>-10</v>
      </c>
      <c r="AY326" s="24">
        <f t="shared" si="437"/>
        <v>-4</v>
      </c>
      <c r="AZ326" s="24">
        <f t="shared" si="437"/>
        <v>1</v>
      </c>
      <c r="BA326" s="24">
        <f t="shared" si="437"/>
        <v>-2</v>
      </c>
      <c r="BB326" s="24">
        <f t="shared" si="437"/>
        <v>12</v>
      </c>
      <c r="BC326" s="24">
        <f>-BC323+AY323</f>
        <v>-1</v>
      </c>
      <c r="BD326" s="24">
        <f t="shared" ref="BD326:BV326" si="438">-BD323+AZ323</f>
        <v>2</v>
      </c>
      <c r="BE326" s="24">
        <f t="shared" si="438"/>
        <v>10</v>
      </c>
      <c r="BF326" s="24">
        <f t="shared" si="438"/>
        <v>4</v>
      </c>
      <c r="BG326" s="24">
        <f t="shared" si="438"/>
        <v>13</v>
      </c>
      <c r="BH326" s="24">
        <f t="shared" si="438"/>
        <v>16</v>
      </c>
      <c r="BI326" s="24">
        <f t="shared" si="438"/>
        <v>4.289999999999992</v>
      </c>
      <c r="BJ326" s="24">
        <f t="shared" si="438"/>
        <v>7.75</v>
      </c>
      <c r="BK326" s="24">
        <f t="shared" si="438"/>
        <v>3</v>
      </c>
      <c r="BL326" s="24">
        <f t="shared" si="438"/>
        <v>3.2800000000000011</v>
      </c>
      <c r="BM326" s="24">
        <f t="shared" si="438"/>
        <v>2.9457999999999913</v>
      </c>
      <c r="BN326" s="24">
        <f t="shared" si="438"/>
        <v>3.2549999999999955</v>
      </c>
      <c r="BO326" s="24">
        <f t="shared" si="438"/>
        <v>3.0600000000000023</v>
      </c>
      <c r="BP326" s="24">
        <f t="shared" si="438"/>
        <v>3.3455999999999904</v>
      </c>
      <c r="BQ326" s="24">
        <f t="shared" si="438"/>
        <v>3.0047160000000019</v>
      </c>
      <c r="BR326" s="24">
        <f t="shared" si="438"/>
        <v>3.3200999999999965</v>
      </c>
      <c r="BS326" s="24">
        <f t="shared" si="438"/>
        <v>3.121200000000016</v>
      </c>
      <c r="BT326" s="24">
        <f t="shared" si="438"/>
        <v>3.4125119999999924</v>
      </c>
      <c r="BU326" s="24">
        <f t="shared" si="438"/>
        <v>3.0648103199999923</v>
      </c>
      <c r="BV326" s="24">
        <f t="shared" si="438"/>
        <v>3.3865020000000072</v>
      </c>
      <c r="BW326" s="24">
        <f t="shared" ref="BW326:CD326" si="439">-BW323+BO323</f>
        <v>6.3048240000000249</v>
      </c>
      <c r="BX326" s="24">
        <f t="shared" si="439"/>
        <v>6.8932742399999825</v>
      </c>
      <c r="BY326" s="24">
        <f t="shared" si="439"/>
        <v>6.1909168464000004</v>
      </c>
      <c r="BZ326" s="24">
        <f t="shared" si="439"/>
        <v>6.840734040000001</v>
      </c>
      <c r="CA326" s="24">
        <f t="shared" si="439"/>
        <v>6.4309204800000259</v>
      </c>
      <c r="CB326" s="24">
        <f t="shared" si="439"/>
        <v>7.0311397247999992</v>
      </c>
      <c r="CC326" s="24">
        <f t="shared" si="439"/>
        <v>6.314735183327997</v>
      </c>
      <c r="CD326" s="24">
        <f t="shared" si="439"/>
        <v>6.9775487208000015</v>
      </c>
      <c r="CG326" s="24"/>
      <c r="CH326" s="24"/>
      <c r="CI326" s="24"/>
      <c r="CJ326" s="24">
        <f t="shared" ref="CJ326:CX326" si="440">-CJ323+CI323</f>
        <v>352</v>
      </c>
      <c r="CK326" s="24">
        <f t="shared" si="440"/>
        <v>5</v>
      </c>
      <c r="CL326" s="24">
        <f t="shared" si="440"/>
        <v>29</v>
      </c>
      <c r="CM326" s="24">
        <f t="shared" si="440"/>
        <v>22</v>
      </c>
      <c r="CN326" s="24">
        <f t="shared" si="440"/>
        <v>-11</v>
      </c>
      <c r="CO326" s="24">
        <f t="shared" si="440"/>
        <v>32</v>
      </c>
      <c r="CP326" s="24">
        <f t="shared" si="440"/>
        <v>64</v>
      </c>
      <c r="CQ326" s="24">
        <f>-CQ323+CP323</f>
        <v>68</v>
      </c>
      <c r="CR326" s="24">
        <f>-CR323+CQ323</f>
        <v>7</v>
      </c>
      <c r="CS326" s="24">
        <f t="shared" si="440"/>
        <v>15</v>
      </c>
      <c r="CT326" s="24">
        <f t="shared" si="440"/>
        <v>41.039999999999964</v>
      </c>
      <c r="CU326" s="24">
        <f t="shared" si="440"/>
        <v>12.480800000000045</v>
      </c>
      <c r="CV326" s="24">
        <f t="shared" si="440"/>
        <v>12.730415999999991</v>
      </c>
      <c r="CW326" s="24">
        <f t="shared" si="440"/>
        <v>12.98502431999998</v>
      </c>
      <c r="CX326" s="24">
        <f t="shared" si="440"/>
        <v>13.244724806399972</v>
      </c>
    </row>
    <row r="327" spans="2:103" x14ac:dyDescent="0.25">
      <c r="B327" s="37" t="s">
        <v>218</v>
      </c>
      <c r="C327" s="37"/>
      <c r="D327" s="37"/>
      <c r="E327" s="37"/>
      <c r="F327" s="37"/>
      <c r="G327" s="37"/>
      <c r="H327" s="37"/>
      <c r="I327" s="37"/>
      <c r="J327" s="37"/>
      <c r="K327" s="37"/>
      <c r="L327" s="37"/>
      <c r="M327" s="37"/>
      <c r="N327" s="37"/>
      <c r="O327" s="37"/>
      <c r="P327" s="37"/>
      <c r="Q327" s="37"/>
      <c r="R327" s="37"/>
      <c r="T327" s="82">
        <f>+T323/S323-1</f>
        <v>-2.3809523809523836E-2</v>
      </c>
      <c r="U327" s="82">
        <f t="shared" ref="U327:BV327" si="441">+U323/T323-1</f>
        <v>0.18292682926829262</v>
      </c>
      <c r="V327" s="82">
        <f t="shared" si="441"/>
        <v>-8.2474226804123751E-2</v>
      </c>
      <c r="W327" s="82">
        <f t="shared" si="441"/>
        <v>-5.6179775280898903E-2</v>
      </c>
      <c r="X327" s="82">
        <f t="shared" si="441"/>
        <v>7.1428571428571397E-2</v>
      </c>
      <c r="Y327" s="82">
        <f t="shared" si="441"/>
        <v>-4.4444444444444398E-2</v>
      </c>
      <c r="Z327" s="82">
        <f t="shared" si="441"/>
        <v>0.12790697674418605</v>
      </c>
      <c r="AA327" s="82">
        <f t="shared" si="441"/>
        <v>-2.0618556701030966E-2</v>
      </c>
      <c r="AB327" s="82">
        <f t="shared" si="441"/>
        <v>4.2105263157894646E-2</v>
      </c>
      <c r="AC327" s="82">
        <f t="shared" si="441"/>
        <v>-2.0202020202020221E-2</v>
      </c>
      <c r="AD327" s="82">
        <f t="shared" si="441"/>
        <v>-2.0618556701030966E-2</v>
      </c>
      <c r="AE327" s="82">
        <f t="shared" si="441"/>
        <v>-2.1052631578947323E-2</v>
      </c>
      <c r="AF327" s="82">
        <f t="shared" si="441"/>
        <v>9.6774193548387011E-2</v>
      </c>
      <c r="AG327" s="82">
        <f t="shared" si="441"/>
        <v>9.8039215686274161E-3</v>
      </c>
      <c r="AH327" s="82">
        <f t="shared" si="441"/>
        <v>6.7961165048543659E-2</v>
      </c>
      <c r="AI327" s="82">
        <f t="shared" si="441"/>
        <v>-9.9999999999999978E-2</v>
      </c>
      <c r="AJ327" s="82">
        <f t="shared" si="441"/>
        <v>1.0101010101010166E-2</v>
      </c>
      <c r="AK327" s="82">
        <f t="shared" si="441"/>
        <v>-0.10999999999999999</v>
      </c>
      <c r="AL327" s="82">
        <f t="shared" si="441"/>
        <v>0.22471910112359561</v>
      </c>
      <c r="AM327" s="82">
        <f t="shared" si="441"/>
        <v>-0.13761467889908252</v>
      </c>
      <c r="AN327" s="82">
        <f t="shared" si="441"/>
        <v>0.14893617021276606</v>
      </c>
      <c r="AO327" s="82">
        <f t="shared" si="441"/>
        <v>-1.851851851851849E-2</v>
      </c>
      <c r="AP327" s="82">
        <f t="shared" si="441"/>
        <v>0.14150943396226423</v>
      </c>
      <c r="AQ327" s="82">
        <f t="shared" si="441"/>
        <v>-7.4380165289256173E-2</v>
      </c>
      <c r="AR327" s="82">
        <f t="shared" si="441"/>
        <v>-3.5714285714285698E-2</v>
      </c>
      <c r="AS327" s="82">
        <f t="shared" si="441"/>
        <v>0.14814814814814814</v>
      </c>
      <c r="AT327" s="82">
        <f t="shared" si="441"/>
        <v>0.20161290322580649</v>
      </c>
      <c r="AU327" s="82">
        <f t="shared" si="441"/>
        <v>-4.6979865771812124E-2</v>
      </c>
      <c r="AV327" s="82">
        <f t="shared" si="441"/>
        <v>2.1126760563380254E-2</v>
      </c>
      <c r="AW327" s="82">
        <f t="shared" si="441"/>
        <v>-6.8965517241379337E-2</v>
      </c>
      <c r="AX327" s="82">
        <f t="shared" si="441"/>
        <v>2.9629629629629672E-2</v>
      </c>
      <c r="AY327" s="82">
        <f t="shared" si="441"/>
        <v>-7.194244604316502E-3</v>
      </c>
      <c r="AZ327" s="82">
        <f t="shared" si="441"/>
        <v>5.7971014492753659E-2</v>
      </c>
      <c r="BA327" s="82">
        <f t="shared" si="441"/>
        <v>-8.9041095890410982E-2</v>
      </c>
      <c r="BB327" s="82">
        <f t="shared" si="441"/>
        <v>0.13533834586466176</v>
      </c>
      <c r="BC327" s="82">
        <f>+BC323/BB323-1</f>
        <v>-9.27152317880795E-2</v>
      </c>
      <c r="BD327" s="82">
        <f>+BD323/BC323-1</f>
        <v>8.0291970802919721E-2</v>
      </c>
      <c r="BE327" s="82">
        <f t="shared" si="441"/>
        <v>-3.3783783783783772E-2</v>
      </c>
      <c r="BF327" s="82">
        <f t="shared" si="441"/>
        <v>8.3916083916083961E-2</v>
      </c>
      <c r="BG327" s="82">
        <f t="shared" si="441"/>
        <v>-3.2258064516129004E-2</v>
      </c>
      <c r="BH327" s="82">
        <f t="shared" si="441"/>
        <v>9.3333333333333268E-2</v>
      </c>
      <c r="BI327" s="82">
        <f t="shared" si="441"/>
        <v>-0.10189024390243906</v>
      </c>
      <c r="BJ327" s="82">
        <f t="shared" si="441"/>
        <v>0.10496299816688182</v>
      </c>
      <c r="BK327" s="82">
        <f t="shared" si="441"/>
        <v>-5.9907834101382451E-2</v>
      </c>
      <c r="BL327" s="82">
        <f t="shared" si="441"/>
        <v>9.3333333333333268E-2</v>
      </c>
      <c r="BM327" s="82">
        <f t="shared" si="441"/>
        <v>-0.10189024390243917</v>
      </c>
      <c r="BN327" s="82">
        <f t="shared" si="441"/>
        <v>0.10496299816688182</v>
      </c>
      <c r="BO327" s="82">
        <f t="shared" si="441"/>
        <v>-5.9907834101382451E-2</v>
      </c>
      <c r="BP327" s="82">
        <f t="shared" si="441"/>
        <v>9.3333333333333268E-2</v>
      </c>
      <c r="BQ327" s="82">
        <f t="shared" si="441"/>
        <v>-0.10189024390243906</v>
      </c>
      <c r="BR327" s="82">
        <f t="shared" si="441"/>
        <v>0.10496299816688182</v>
      </c>
      <c r="BS327" s="82">
        <f t="shared" si="441"/>
        <v>-5.990783410138234E-2</v>
      </c>
      <c r="BT327" s="82">
        <f t="shared" si="441"/>
        <v>9.3333333333333046E-2</v>
      </c>
      <c r="BU327" s="82">
        <f t="shared" si="441"/>
        <v>-0.10189024390243906</v>
      </c>
      <c r="BV327" s="82">
        <f t="shared" si="441"/>
        <v>0.10496299816688182</v>
      </c>
      <c r="BW327" s="82">
        <f>+BW323/BR323-1</f>
        <v>-4.1105990783409929E-2</v>
      </c>
      <c r="BX327" s="82">
        <f t="shared" ref="BX327:BZ327" si="442">+BX323/BW323-1</f>
        <v>9.3333333333333046E-2</v>
      </c>
      <c r="BY327" s="82">
        <f t="shared" si="442"/>
        <v>-0.10189024390243895</v>
      </c>
      <c r="BZ327" s="82">
        <f t="shared" si="442"/>
        <v>0.10496299816688182</v>
      </c>
      <c r="CA327" s="82">
        <f>+CA323/BV323-1</f>
        <v>-4.1105990783409929E-2</v>
      </c>
      <c r="CB327" s="82">
        <f t="shared" ref="CB327:CD327" si="443">+CB323/CA323-1</f>
        <v>9.3333333333333046E-2</v>
      </c>
      <c r="CC327" s="82">
        <f t="shared" si="443"/>
        <v>-0.10189024390243906</v>
      </c>
      <c r="CD327" s="82">
        <f t="shared" si="443"/>
        <v>0.10496299816688182</v>
      </c>
      <c r="CG327" s="82"/>
      <c r="CH327" s="82"/>
      <c r="CI327" s="82"/>
      <c r="CJ327" s="82"/>
      <c r="CK327" s="82"/>
      <c r="CL327" s="82"/>
      <c r="CM327" s="82"/>
      <c r="CN327" s="82"/>
      <c r="CO327" s="82"/>
      <c r="CP327" s="82"/>
      <c r="CQ327" s="82"/>
      <c r="CR327" s="82"/>
      <c r="CS327" s="82"/>
      <c r="CT327" s="108"/>
      <c r="CU327" s="108"/>
      <c r="CV327" s="108"/>
      <c r="CW327" s="108"/>
      <c r="CX327" s="108"/>
    </row>
    <row r="328" spans="2:103" x14ac:dyDescent="0.25">
      <c r="BF328" s="4" t="s">
        <v>255</v>
      </c>
      <c r="BG328" s="36"/>
      <c r="CT328" s="60"/>
      <c r="CU328" s="60"/>
      <c r="CV328" s="60"/>
      <c r="CW328" s="60"/>
      <c r="CX328" s="60"/>
    </row>
    <row r="329" spans="2:103" s="10" customFormat="1" x14ac:dyDescent="0.25">
      <c r="B329" s="10" t="s">
        <v>256</v>
      </c>
      <c r="S329" s="36">
        <f t="shared" ref="S329:BE329" si="444">+S323+S317+S311</f>
        <v>-459</v>
      </c>
      <c r="T329" s="36">
        <f t="shared" si="444"/>
        <v>-497</v>
      </c>
      <c r="U329" s="36">
        <f t="shared" si="444"/>
        <v>-521</v>
      </c>
      <c r="V329" s="36">
        <f t="shared" si="444"/>
        <v>-513</v>
      </c>
      <c r="W329" s="36">
        <f t="shared" si="444"/>
        <v>-472</v>
      </c>
      <c r="X329" s="36">
        <f t="shared" si="444"/>
        <v>-479</v>
      </c>
      <c r="Y329" s="36">
        <f t="shared" si="444"/>
        <v>-511</v>
      </c>
      <c r="Z329" s="36">
        <f t="shared" si="444"/>
        <v>-499</v>
      </c>
      <c r="AA329" s="36">
        <f t="shared" si="444"/>
        <v>-483</v>
      </c>
      <c r="AB329" s="36">
        <f t="shared" si="444"/>
        <v>-498</v>
      </c>
      <c r="AC329" s="36">
        <f t="shared" si="444"/>
        <v>-587</v>
      </c>
      <c r="AD329" s="36">
        <f t="shared" si="444"/>
        <v>-556</v>
      </c>
      <c r="AE329" s="36">
        <f t="shared" si="444"/>
        <v>-504</v>
      </c>
      <c r="AF329" s="36">
        <f t="shared" si="444"/>
        <v>-548</v>
      </c>
      <c r="AG329" s="36">
        <f t="shared" si="444"/>
        <v>-616</v>
      </c>
      <c r="AH329" s="36">
        <f t="shared" si="444"/>
        <v>-523</v>
      </c>
      <c r="AI329" s="36">
        <f t="shared" si="444"/>
        <v>-547</v>
      </c>
      <c r="AJ329" s="36">
        <f t="shared" si="444"/>
        <v>-537</v>
      </c>
      <c r="AK329" s="36">
        <f t="shared" si="444"/>
        <v>-553</v>
      </c>
      <c r="AL329" s="36">
        <f t="shared" si="444"/>
        <v>-678</v>
      </c>
      <c r="AM329" s="36">
        <f t="shared" si="444"/>
        <v>-529</v>
      </c>
      <c r="AN329" s="36">
        <f t="shared" si="444"/>
        <v>-576</v>
      </c>
      <c r="AO329" s="36">
        <f t="shared" si="444"/>
        <v>-627</v>
      </c>
      <c r="AP329" s="36">
        <f t="shared" si="444"/>
        <v>-621</v>
      </c>
      <c r="AQ329" s="36">
        <f t="shared" si="444"/>
        <v>-594</v>
      </c>
      <c r="AR329" s="36">
        <f t="shared" si="444"/>
        <v>-599</v>
      </c>
      <c r="AS329" s="36">
        <f t="shared" si="444"/>
        <v>-706</v>
      </c>
      <c r="AT329" s="36">
        <f t="shared" si="444"/>
        <v>-730</v>
      </c>
      <c r="AU329" s="36">
        <f t="shared" si="444"/>
        <v>-750</v>
      </c>
      <c r="AV329" s="36">
        <f t="shared" si="444"/>
        <v>-815</v>
      </c>
      <c r="AW329" s="36">
        <f t="shared" si="444"/>
        <v>-867</v>
      </c>
      <c r="AX329" s="36">
        <f t="shared" si="444"/>
        <v>-866</v>
      </c>
      <c r="AY329" s="36">
        <f t="shared" si="444"/>
        <v>-850</v>
      </c>
      <c r="AZ329" s="36">
        <f t="shared" si="444"/>
        <v>-833</v>
      </c>
      <c r="BA329" s="36">
        <f t="shared" si="444"/>
        <v>-835</v>
      </c>
      <c r="BB329" s="36">
        <f t="shared" si="444"/>
        <v>-930</v>
      </c>
      <c r="BC329" s="36">
        <f t="shared" si="444"/>
        <v>-858</v>
      </c>
      <c r="BD329" s="36">
        <f t="shared" si="444"/>
        <v>-904</v>
      </c>
      <c r="BE329" s="36">
        <f t="shared" si="444"/>
        <v>-881</v>
      </c>
      <c r="BF329" s="36">
        <f>+BF323+BF317+BF311</f>
        <v>-909</v>
      </c>
      <c r="BG329" s="36">
        <f>+BG323+BG317+BG311</f>
        <v>-871</v>
      </c>
      <c r="BH329" s="36">
        <f t="shared" ref="BH329:CD329" si="445">+BH323+BH317+BH311</f>
        <v>-946</v>
      </c>
      <c r="BI329" s="36">
        <f t="shared" si="445"/>
        <v>-921.71</v>
      </c>
      <c r="BJ329" s="36">
        <f t="shared" si="445"/>
        <v>-943.45</v>
      </c>
      <c r="BK329" s="36">
        <f t="shared" si="445"/>
        <v>-904.77</v>
      </c>
      <c r="BL329" s="36">
        <f t="shared" si="445"/>
        <v>-995.92</v>
      </c>
      <c r="BM329" s="36">
        <f t="shared" si="445"/>
        <v>-953.28560000000004</v>
      </c>
      <c r="BN329" s="36">
        <f t="shared" si="445"/>
        <v>-968.9190000000001</v>
      </c>
      <c r="BO329" s="36">
        <f t="shared" si="445"/>
        <v>-926.33010000000002</v>
      </c>
      <c r="BP329" s="36">
        <f t="shared" si="445"/>
        <v>-1018.4928</v>
      </c>
      <c r="BQ329" s="36">
        <f t="shared" si="445"/>
        <v>-974.71475000000009</v>
      </c>
      <c r="BR329" s="36">
        <f t="shared" si="445"/>
        <v>-991.70652000000007</v>
      </c>
      <c r="BS329" s="36">
        <f t="shared" si="445"/>
        <v>-952.55940300000009</v>
      </c>
      <c r="BT329" s="36">
        <f t="shared" si="445"/>
        <v>-1047.341328</v>
      </c>
      <c r="BU329" s="36">
        <f t="shared" si="445"/>
        <v>-1002.42378734</v>
      </c>
      <c r="BV329" s="36">
        <f t="shared" si="445"/>
        <v>-1019.7644646000001</v>
      </c>
      <c r="BW329" s="36">
        <f t="shared" si="445"/>
        <v>-979.54437309000014</v>
      </c>
      <c r="BX329" s="36">
        <f t="shared" si="445"/>
        <v>-1077.0211867200001</v>
      </c>
      <c r="BY329" s="36">
        <f t="shared" si="445"/>
        <v>-1030.9334476970002</v>
      </c>
      <c r="BZ329" s="36">
        <f t="shared" si="445"/>
        <v>-1048.6302825180001</v>
      </c>
      <c r="CA329" s="36">
        <f t="shared" si="445"/>
        <v>-1007.3070560427001</v>
      </c>
      <c r="CB329" s="36">
        <f t="shared" si="445"/>
        <v>-1107.5566335792003</v>
      </c>
      <c r="CC329" s="36">
        <f t="shared" si="445"/>
        <v>-1060.2671367994462</v>
      </c>
      <c r="CD329" s="36">
        <f t="shared" si="445"/>
        <v>-1078.3275326531402</v>
      </c>
      <c r="CE329"/>
      <c r="CG329" s="29"/>
      <c r="CH329" s="29"/>
      <c r="CI329" s="29"/>
      <c r="CJ329" s="29">
        <f t="shared" ref="CJ329:CX329" si="446">+SUMIFS($S329:$CD329,$S$5:$CD$5,"&lt;="&amp;CJ$5,$S$5:$CD$5,"&gt;"&amp;CI$5)</f>
        <v>-1990</v>
      </c>
      <c r="CK329" s="29">
        <f t="shared" si="446"/>
        <v>-1961</v>
      </c>
      <c r="CL329" s="29">
        <f t="shared" si="446"/>
        <v>-2124</v>
      </c>
      <c r="CM329" s="29">
        <f t="shared" si="446"/>
        <v>-2191</v>
      </c>
      <c r="CN329" s="29">
        <f t="shared" si="446"/>
        <v>-2315</v>
      </c>
      <c r="CO329" s="29">
        <f t="shared" si="446"/>
        <v>-2353</v>
      </c>
      <c r="CP329" s="29">
        <f t="shared" si="446"/>
        <v>-2629</v>
      </c>
      <c r="CQ329" s="29">
        <f t="shared" si="446"/>
        <v>-3298</v>
      </c>
      <c r="CR329" s="29">
        <f t="shared" si="446"/>
        <v>-3448</v>
      </c>
      <c r="CS329" s="29">
        <f t="shared" si="446"/>
        <v>-3552</v>
      </c>
      <c r="CT329" s="97">
        <f t="shared" si="446"/>
        <v>-3682.16</v>
      </c>
      <c r="CU329" s="97">
        <f t="shared" si="446"/>
        <v>-3822.8946000000005</v>
      </c>
      <c r="CV329" s="97">
        <f t="shared" si="446"/>
        <v>-3911.2441700000004</v>
      </c>
      <c r="CW329" s="97">
        <f t="shared" si="446"/>
        <v>-4022.0889829400003</v>
      </c>
      <c r="CX329" s="97">
        <f t="shared" si="446"/>
        <v>-4136.129290025001</v>
      </c>
      <c r="CY329"/>
    </row>
    <row r="330" spans="2:103" x14ac:dyDescent="0.25">
      <c r="B330" s="37" t="s">
        <v>240</v>
      </c>
      <c r="C330" s="37"/>
      <c r="D330" s="37"/>
      <c r="E330" s="37"/>
      <c r="F330" s="37"/>
      <c r="G330" s="37"/>
      <c r="H330" s="37"/>
      <c r="I330" s="37"/>
      <c r="J330" s="37"/>
      <c r="K330" s="37"/>
      <c r="L330" s="37"/>
      <c r="M330" s="37"/>
      <c r="N330" s="37"/>
      <c r="O330" s="37"/>
      <c r="P330" s="37"/>
      <c r="Q330" s="37"/>
      <c r="R330" s="37"/>
      <c r="S330" s="82">
        <f t="shared" ref="S330:CD330" si="447">-(S329/S$259)</f>
        <v>0.59225806451612906</v>
      </c>
      <c r="T330" s="82">
        <f t="shared" si="447"/>
        <v>0.40737704918032785</v>
      </c>
      <c r="U330" s="82">
        <f t="shared" si="447"/>
        <v>0.36484593837535012</v>
      </c>
      <c r="V330" s="82">
        <f t="shared" si="447"/>
        <v>0.5725446428571429</v>
      </c>
      <c r="W330" s="82">
        <f t="shared" si="447"/>
        <v>0.68109668109668109</v>
      </c>
      <c r="X330" s="82">
        <f t="shared" si="447"/>
        <v>0.41797556719022688</v>
      </c>
      <c r="Y330" s="82">
        <f t="shared" si="447"/>
        <v>0.28341652800887412</v>
      </c>
      <c r="Z330" s="82">
        <f t="shared" si="447"/>
        <v>0.54004329004328999</v>
      </c>
      <c r="AA330" s="82">
        <f t="shared" si="447"/>
        <v>0.7082111436950147</v>
      </c>
      <c r="AB330" s="82">
        <f t="shared" si="447"/>
        <v>0.45355191256830601</v>
      </c>
      <c r="AC330" s="82">
        <f t="shared" si="447"/>
        <v>0.28357487922705316</v>
      </c>
      <c r="AD330" s="82">
        <f t="shared" si="447"/>
        <v>0.50915750915750912</v>
      </c>
      <c r="AE330" s="82">
        <f t="shared" si="447"/>
        <v>0.65032258064516124</v>
      </c>
      <c r="AF330" s="82">
        <f t="shared" si="447"/>
        <v>0.46480067854113655</v>
      </c>
      <c r="AG330" s="82">
        <f t="shared" si="447"/>
        <v>0.31253170979198375</v>
      </c>
      <c r="AH330" s="82">
        <f t="shared" si="447"/>
        <v>0.41673306772908364</v>
      </c>
      <c r="AI330" s="82">
        <f t="shared" si="447"/>
        <v>0.68546365914786966</v>
      </c>
      <c r="AJ330" s="82">
        <f t="shared" si="447"/>
        <v>0.42417061611374407</v>
      </c>
      <c r="AK330" s="82">
        <f t="shared" si="447"/>
        <v>0.33373566686783346</v>
      </c>
      <c r="AL330" s="82">
        <f t="shared" si="447"/>
        <v>0.4805102763997165</v>
      </c>
      <c r="AM330" s="82">
        <f t="shared" si="447"/>
        <v>0.67647058823529416</v>
      </c>
      <c r="AN330" s="82">
        <f t="shared" si="447"/>
        <v>0.43869002284843867</v>
      </c>
      <c r="AO330" s="82">
        <f t="shared" si="447"/>
        <v>0.31024245423057895</v>
      </c>
      <c r="AP330" s="82">
        <f t="shared" si="447"/>
        <v>0.49442675159235666</v>
      </c>
      <c r="AQ330" s="82">
        <f t="shared" si="447"/>
        <v>0.42733812949640287</v>
      </c>
      <c r="AR330" s="82">
        <f t="shared" si="447"/>
        <v>0.65824175824175823</v>
      </c>
      <c r="AS330" s="82">
        <f t="shared" si="447"/>
        <v>0.29416666666666669</v>
      </c>
      <c r="AT330" s="82">
        <f t="shared" si="447"/>
        <v>0.48993288590604028</v>
      </c>
      <c r="AU330" s="82">
        <f t="shared" si="447"/>
        <v>0.56137724550898205</v>
      </c>
      <c r="AV330" s="82">
        <f t="shared" si="447"/>
        <v>0.44030253916801732</v>
      </c>
      <c r="AW330" s="82">
        <f t="shared" si="447"/>
        <v>0.33643771827706637</v>
      </c>
      <c r="AX330" s="82">
        <f t="shared" si="447"/>
        <v>0.4945745288406625</v>
      </c>
      <c r="AY330" s="82">
        <f t="shared" si="447"/>
        <v>0.65434949961508848</v>
      </c>
      <c r="AZ330" s="82">
        <f t="shared" si="447"/>
        <v>0.47491448118586088</v>
      </c>
      <c r="BA330" s="82">
        <f t="shared" si="447"/>
        <v>0.35653287788215199</v>
      </c>
      <c r="BB330" s="82">
        <f t="shared" si="447"/>
        <v>0.47790339157245632</v>
      </c>
      <c r="BC330" s="82">
        <f t="shared" si="447"/>
        <v>0.54372623574144485</v>
      </c>
      <c r="BD330" s="82">
        <f t="shared" si="447"/>
        <v>0.49670329670329672</v>
      </c>
      <c r="BE330" s="82">
        <f t="shared" si="447"/>
        <v>0.3723584108199493</v>
      </c>
      <c r="BF330" s="82">
        <f t="shared" si="447"/>
        <v>0.54561824729891961</v>
      </c>
      <c r="BG330" s="82">
        <f t="shared" si="447"/>
        <v>0.69017432646592713</v>
      </c>
      <c r="BH330" s="82">
        <f t="shared" si="447"/>
        <v>0.455026455026455</v>
      </c>
      <c r="BI330" s="82">
        <f t="shared" si="447"/>
        <v>0.3945076803162747</v>
      </c>
      <c r="BJ330" s="82">
        <f t="shared" si="447"/>
        <v>0.59169193638228557</v>
      </c>
      <c r="BK330" s="82">
        <f t="shared" si="447"/>
        <v>0.73796929049617332</v>
      </c>
      <c r="BL330" s="82">
        <f t="shared" si="447"/>
        <v>0.46458672464964362</v>
      </c>
      <c r="BM330" s="82">
        <f t="shared" si="447"/>
        <v>0.36953068494743563</v>
      </c>
      <c r="BN330" s="82">
        <f t="shared" si="447"/>
        <v>0.59816831482149524</v>
      </c>
      <c r="BO330" s="82">
        <f t="shared" si="447"/>
        <v>0.58954030723127115</v>
      </c>
      <c r="BP330" s="82">
        <f t="shared" si="447"/>
        <v>0.46348570659344185</v>
      </c>
      <c r="BQ330" s="82">
        <f t="shared" si="447"/>
        <v>0.39592556858669636</v>
      </c>
      <c r="BR330" s="82">
        <f t="shared" si="447"/>
        <v>0.59288863259690383</v>
      </c>
      <c r="BS330" s="82">
        <f t="shared" si="447"/>
        <v>0.60506127503592544</v>
      </c>
      <c r="BT330" s="82">
        <f t="shared" si="447"/>
        <v>0.47092131053524405</v>
      </c>
      <c r="BU330" s="82">
        <f t="shared" si="447"/>
        <v>0.40429032250184771</v>
      </c>
      <c r="BV330" s="82">
        <f t="shared" si="447"/>
        <v>0.60657554096507249</v>
      </c>
      <c r="BW330" s="82">
        <f t="shared" si="447"/>
        <v>0.60513354059017577</v>
      </c>
      <c r="BX330" s="82">
        <f t="shared" si="447"/>
        <v>0.47125885733617962</v>
      </c>
      <c r="BY330" s="82">
        <f t="shared" si="447"/>
        <v>0.40245294646565294</v>
      </c>
      <c r="BZ330" s="82">
        <f t="shared" si="447"/>
        <v>0.601556999380223</v>
      </c>
      <c r="CA330" s="82">
        <f t="shared" si="447"/>
        <v>0.60465523462192405</v>
      </c>
      <c r="CB330" s="82">
        <f t="shared" si="447"/>
        <v>0.47123731039797162</v>
      </c>
      <c r="CC330" s="82">
        <f t="shared" si="447"/>
        <v>0.4003621785599667</v>
      </c>
      <c r="CD330" s="82">
        <f t="shared" si="447"/>
        <v>0.596160359060392</v>
      </c>
      <c r="CG330" s="82"/>
      <c r="CH330" s="82"/>
      <c r="CI330" s="82"/>
      <c r="CJ330" s="82">
        <f t="shared" ref="CJ330:CX330" si="448">-(CJ329/CJ$259)</f>
        <v>0.46075480435285948</v>
      </c>
      <c r="CK330" s="82">
        <f t="shared" si="448"/>
        <v>0.42947875602277708</v>
      </c>
      <c r="CL330" s="82">
        <f t="shared" si="448"/>
        <v>0.42978551193848646</v>
      </c>
      <c r="CM330" s="82">
        <f t="shared" si="448"/>
        <v>0.42297297297297298</v>
      </c>
      <c r="CN330" s="82">
        <f t="shared" si="448"/>
        <v>0.45109119251753704</v>
      </c>
      <c r="CO330" s="82">
        <f t="shared" si="448"/>
        <v>0.43801191362621</v>
      </c>
      <c r="CP330" s="82">
        <f t="shared" si="448"/>
        <v>0.42471728594507269</v>
      </c>
      <c r="CQ330" s="82">
        <f>-(CQ329/CQ$259)</f>
        <v>0.43885562208915502</v>
      </c>
      <c r="CR330" s="82">
        <f t="shared" si="448"/>
        <v>0.46969077782318486</v>
      </c>
      <c r="CS330" s="82">
        <f t="shared" si="448"/>
        <v>0.47806191117092867</v>
      </c>
      <c r="CT330" s="108">
        <f t="shared" si="448"/>
        <v>0.50635805840984593</v>
      </c>
      <c r="CU330" s="108">
        <f t="shared" si="448"/>
        <v>0.50505759924546345</v>
      </c>
      <c r="CV330" s="108">
        <f t="shared" si="448"/>
        <v>0.49488927399202215</v>
      </c>
      <c r="CW330" s="108">
        <f t="shared" si="448"/>
        <v>0.50535147492544119</v>
      </c>
      <c r="CX330" s="108">
        <f t="shared" si="448"/>
        <v>0.50385571425842091</v>
      </c>
    </row>
    <row r="331" spans="2:103" x14ac:dyDescent="0.25">
      <c r="B331" s="37" t="s">
        <v>170</v>
      </c>
      <c r="C331" s="37"/>
      <c r="D331" s="37"/>
      <c r="E331" s="37"/>
      <c r="F331" s="37"/>
      <c r="G331" s="37"/>
      <c r="H331" s="37"/>
      <c r="I331" s="37"/>
      <c r="J331" s="37"/>
      <c r="K331" s="37"/>
      <c r="L331" s="37"/>
      <c r="M331" s="37"/>
      <c r="N331" s="37"/>
      <c r="O331" s="37"/>
      <c r="P331" s="37"/>
      <c r="Q331" s="37"/>
      <c r="R331" s="37"/>
      <c r="S331" s="82" t="str">
        <f>+IFERROR(S329/#REF!-1,"")</f>
        <v/>
      </c>
      <c r="T331" s="82" t="str">
        <f>+IFERROR(T329/#REF!-1,"")</f>
        <v/>
      </c>
      <c r="U331" s="82" t="str">
        <f>+IFERROR(U329/A329-1,"")</f>
        <v/>
      </c>
      <c r="V331" s="82" t="str">
        <f>+IFERROR(V329/B329-1,"")</f>
        <v/>
      </c>
      <c r="W331" s="82">
        <f t="shared" ref="W331:BB331" si="449">+IFERROR(W329/S329-1,"")</f>
        <v>2.8322440087146017E-2</v>
      </c>
      <c r="X331" s="82">
        <f t="shared" si="449"/>
        <v>-3.6217303822937641E-2</v>
      </c>
      <c r="Y331" s="82">
        <f t="shared" si="449"/>
        <v>-1.9193857965451033E-2</v>
      </c>
      <c r="Z331" s="82">
        <f t="shared" si="449"/>
        <v>-2.7290448343079921E-2</v>
      </c>
      <c r="AA331" s="82">
        <f t="shared" si="449"/>
        <v>2.3305084745762761E-2</v>
      </c>
      <c r="AB331" s="82">
        <f t="shared" si="449"/>
        <v>3.9665970772442494E-2</v>
      </c>
      <c r="AC331" s="82">
        <f t="shared" si="449"/>
        <v>0.14872798434442269</v>
      </c>
      <c r="AD331" s="82">
        <f t="shared" si="449"/>
        <v>0.11422845691382766</v>
      </c>
      <c r="AE331" s="82">
        <f t="shared" si="449"/>
        <v>4.3478260869565188E-2</v>
      </c>
      <c r="AF331" s="82">
        <f t="shared" si="449"/>
        <v>0.10040160642570273</v>
      </c>
      <c r="AG331" s="82">
        <f t="shared" si="449"/>
        <v>4.9403747870528036E-2</v>
      </c>
      <c r="AH331" s="82">
        <f t="shared" si="449"/>
        <v>-5.9352517985611475E-2</v>
      </c>
      <c r="AI331" s="82">
        <f t="shared" si="449"/>
        <v>8.5317460317460236E-2</v>
      </c>
      <c r="AJ331" s="82">
        <f t="shared" si="449"/>
        <v>-2.007299270072993E-2</v>
      </c>
      <c r="AK331" s="82">
        <f t="shared" si="449"/>
        <v>-0.10227272727272729</v>
      </c>
      <c r="AL331" s="82">
        <f t="shared" si="449"/>
        <v>0.29636711281070749</v>
      </c>
      <c r="AM331" s="82">
        <f t="shared" si="449"/>
        <v>-3.2906764168190161E-2</v>
      </c>
      <c r="AN331" s="82">
        <f t="shared" si="449"/>
        <v>7.2625698324022325E-2</v>
      </c>
      <c r="AO331" s="82">
        <f t="shared" si="449"/>
        <v>0.13381555153707048</v>
      </c>
      <c r="AP331" s="82">
        <f t="shared" si="449"/>
        <v>-8.4070796460177011E-2</v>
      </c>
      <c r="AQ331" s="82">
        <f t="shared" si="449"/>
        <v>0.12287334593572785</v>
      </c>
      <c r="AR331" s="82">
        <f t="shared" si="449"/>
        <v>3.993055555555558E-2</v>
      </c>
      <c r="AS331" s="82">
        <f t="shared" si="449"/>
        <v>0.12599681020733655</v>
      </c>
      <c r="AT331" s="82">
        <f t="shared" si="449"/>
        <v>0.17552334943639281</v>
      </c>
      <c r="AU331" s="82">
        <f t="shared" si="449"/>
        <v>0.26262626262626254</v>
      </c>
      <c r="AV331" s="82">
        <f t="shared" si="449"/>
        <v>0.36060100166944897</v>
      </c>
      <c r="AW331" s="82">
        <f t="shared" si="449"/>
        <v>0.22804532577903691</v>
      </c>
      <c r="AX331" s="82">
        <f t="shared" si="449"/>
        <v>0.1863013698630136</v>
      </c>
      <c r="AY331" s="82">
        <f t="shared" si="449"/>
        <v>0.1333333333333333</v>
      </c>
      <c r="AZ331" s="82">
        <f t="shared" si="449"/>
        <v>2.2085889570552242E-2</v>
      </c>
      <c r="BA331" s="82">
        <f t="shared" si="449"/>
        <v>-3.6908881199538612E-2</v>
      </c>
      <c r="BB331" s="82">
        <f t="shared" si="449"/>
        <v>7.390300230946889E-2</v>
      </c>
      <c r="BC331" s="82">
        <f>+IFERROR(BC329/AY329-1,"")</f>
        <v>9.4117647058824527E-3</v>
      </c>
      <c r="BD331" s="82">
        <f t="shared" ref="BD331:BE331" si="450">+IFERROR(BD329/AZ329-1,"")</f>
        <v>8.5234093637454933E-2</v>
      </c>
      <c r="BE331" s="82">
        <f t="shared" si="450"/>
        <v>5.5089820359281338E-2</v>
      </c>
      <c r="BF331" s="82">
        <f>+IFERROR(BF329/BB329-1,"")</f>
        <v>-2.2580645161290325E-2</v>
      </c>
      <c r="BG331" s="82">
        <f>+BG329/BC329-1</f>
        <v>1.5151515151515138E-2</v>
      </c>
      <c r="BH331" s="82">
        <f t="shared" ref="BH331:BV331" si="451">+BH329/BD329-1</f>
        <v>4.6460176991150348E-2</v>
      </c>
      <c r="BI331" s="82">
        <f t="shared" si="451"/>
        <v>4.6208853575482545E-2</v>
      </c>
      <c r="BJ331" s="82">
        <f t="shared" si="451"/>
        <v>3.7898789878987982E-2</v>
      </c>
      <c r="BK331" s="82">
        <f t="shared" si="451"/>
        <v>3.8771526980482252E-2</v>
      </c>
      <c r="BL331" s="82">
        <f t="shared" si="451"/>
        <v>5.2769556025370035E-2</v>
      </c>
      <c r="BM331" s="82">
        <f t="shared" si="451"/>
        <v>3.425762984018843E-2</v>
      </c>
      <c r="BN331" s="82">
        <f t="shared" si="451"/>
        <v>2.6995601250728862E-2</v>
      </c>
      <c r="BO331" s="82">
        <f t="shared" si="451"/>
        <v>2.3829371000364752E-2</v>
      </c>
      <c r="BP331" s="82">
        <f t="shared" si="451"/>
        <v>2.2665274319222384E-2</v>
      </c>
      <c r="BQ331" s="82">
        <f t="shared" si="451"/>
        <v>2.2479254905350521E-2</v>
      </c>
      <c r="BR331" s="82">
        <f t="shared" si="451"/>
        <v>2.3518498450334935E-2</v>
      </c>
      <c r="BS331" s="82">
        <f t="shared" si="451"/>
        <v>2.8315287390531907E-2</v>
      </c>
      <c r="BT331" s="82">
        <f t="shared" si="451"/>
        <v>2.8324724534135148E-2</v>
      </c>
      <c r="BU331" s="82">
        <f t="shared" si="451"/>
        <v>2.8427842443135232E-2</v>
      </c>
      <c r="BV331" s="82">
        <f t="shared" si="451"/>
        <v>2.8292588617850445E-2</v>
      </c>
      <c r="BW331" s="82">
        <f t="shared" ref="BW331:CD331" si="452">+BW329/BO329-1</f>
        <v>5.7446339150590164E-2</v>
      </c>
      <c r="BX331" s="82">
        <f t="shared" si="452"/>
        <v>5.7465685294977087E-2</v>
      </c>
      <c r="BY331" s="82">
        <f t="shared" si="452"/>
        <v>5.7677077008427391E-2</v>
      </c>
      <c r="BZ331" s="82">
        <f t="shared" si="452"/>
        <v>5.7399806666593278E-2</v>
      </c>
      <c r="CA331" s="82">
        <f t="shared" si="452"/>
        <v>5.7474266560465725E-2</v>
      </c>
      <c r="CB331" s="82">
        <f t="shared" si="452"/>
        <v>5.7493487528260889E-2</v>
      </c>
      <c r="CC331" s="82">
        <f t="shared" si="452"/>
        <v>5.7703488474607711E-2</v>
      </c>
      <c r="CD331" s="82">
        <f t="shared" si="452"/>
        <v>5.7428033713756932E-2</v>
      </c>
      <c r="CG331" s="82"/>
      <c r="CH331" s="82"/>
      <c r="CI331" s="82"/>
      <c r="CJ331" s="82" t="str">
        <f t="shared" ref="CJ331:CX331" si="453">+IFERROR(CJ329/CI329-1,"")</f>
        <v/>
      </c>
      <c r="CK331" s="82">
        <f t="shared" si="453"/>
        <v>-1.4572864321608092E-2</v>
      </c>
      <c r="CL331" s="82">
        <f t="shared" si="453"/>
        <v>8.3120856705762414E-2</v>
      </c>
      <c r="CM331" s="82">
        <f t="shared" si="453"/>
        <v>3.1544256120527248E-2</v>
      </c>
      <c r="CN331" s="82">
        <f t="shared" si="453"/>
        <v>5.6595162026471968E-2</v>
      </c>
      <c r="CO331" s="82">
        <f t="shared" si="453"/>
        <v>1.6414686825054092E-2</v>
      </c>
      <c r="CP331" s="82">
        <f t="shared" si="453"/>
        <v>0.11729706757331071</v>
      </c>
      <c r="CQ331" s="82">
        <f>+IFERROR(CQ329/CP329-1,"")</f>
        <v>0.2544693799923925</v>
      </c>
      <c r="CR331" s="82">
        <f>+IFERROR(CR329/CQ329-1,"")</f>
        <v>4.5482110369921225E-2</v>
      </c>
      <c r="CS331" s="82">
        <f t="shared" si="453"/>
        <v>3.0162412993039345E-2</v>
      </c>
      <c r="CT331" s="108">
        <f t="shared" si="453"/>
        <v>3.6644144144144075E-2</v>
      </c>
      <c r="CU331" s="108">
        <f t="shared" si="453"/>
        <v>3.8220663958111745E-2</v>
      </c>
      <c r="CV331" s="108">
        <f t="shared" si="453"/>
        <v>2.3110647622877067E-2</v>
      </c>
      <c r="CW331" s="108">
        <f t="shared" si="453"/>
        <v>2.8340039159457486E-2</v>
      </c>
      <c r="CX331" s="108">
        <f t="shared" si="453"/>
        <v>2.8353501767044875E-2</v>
      </c>
    </row>
    <row r="332" spans="2:103" x14ac:dyDescent="0.25">
      <c r="B332" s="37" t="s">
        <v>228</v>
      </c>
      <c r="C332" s="37"/>
      <c r="D332" s="37"/>
      <c r="E332" s="37"/>
      <c r="F332" s="37"/>
      <c r="G332" s="37"/>
      <c r="H332" s="37"/>
      <c r="I332" s="37"/>
      <c r="J332" s="37"/>
      <c r="K332" s="37"/>
      <c r="L332" s="37"/>
      <c r="M332" s="37"/>
      <c r="N332" s="37"/>
      <c r="O332" s="37"/>
      <c r="P332" s="37"/>
      <c r="Q332" s="37"/>
      <c r="R332" s="37"/>
      <c r="W332" s="24">
        <f>-W329+S329</f>
        <v>13</v>
      </c>
      <c r="X332" s="24">
        <f t="shared" ref="X332:BB332" si="454">-X329+T329</f>
        <v>-18</v>
      </c>
      <c r="Y332" s="24">
        <f t="shared" si="454"/>
        <v>-10</v>
      </c>
      <c r="Z332" s="24">
        <f t="shared" si="454"/>
        <v>-14</v>
      </c>
      <c r="AA332" s="24">
        <f t="shared" si="454"/>
        <v>11</v>
      </c>
      <c r="AB332" s="24">
        <f t="shared" si="454"/>
        <v>19</v>
      </c>
      <c r="AC332" s="24">
        <f t="shared" si="454"/>
        <v>76</v>
      </c>
      <c r="AD332" s="24">
        <f t="shared" si="454"/>
        <v>57</v>
      </c>
      <c r="AE332" s="24">
        <f t="shared" si="454"/>
        <v>21</v>
      </c>
      <c r="AF332" s="24">
        <f t="shared" si="454"/>
        <v>50</v>
      </c>
      <c r="AG332" s="24">
        <f t="shared" si="454"/>
        <v>29</v>
      </c>
      <c r="AH332" s="24">
        <f t="shared" si="454"/>
        <v>-33</v>
      </c>
      <c r="AI332" s="24">
        <f t="shared" si="454"/>
        <v>43</v>
      </c>
      <c r="AJ332" s="24">
        <f t="shared" si="454"/>
        <v>-11</v>
      </c>
      <c r="AK332" s="24">
        <f t="shared" si="454"/>
        <v>-63</v>
      </c>
      <c r="AL332" s="24">
        <f t="shared" si="454"/>
        <v>155</v>
      </c>
      <c r="AM332" s="24">
        <f t="shared" si="454"/>
        <v>-18</v>
      </c>
      <c r="AN332" s="24">
        <f t="shared" si="454"/>
        <v>39</v>
      </c>
      <c r="AO332" s="24">
        <f t="shared" si="454"/>
        <v>74</v>
      </c>
      <c r="AP332" s="24">
        <f t="shared" si="454"/>
        <v>-57</v>
      </c>
      <c r="AQ332" s="24">
        <f t="shared" si="454"/>
        <v>65</v>
      </c>
      <c r="AR332" s="24">
        <f t="shared" si="454"/>
        <v>23</v>
      </c>
      <c r="AS332" s="24">
        <f t="shared" si="454"/>
        <v>79</v>
      </c>
      <c r="AT332" s="24">
        <f t="shared" si="454"/>
        <v>109</v>
      </c>
      <c r="AU332" s="24">
        <f t="shared" si="454"/>
        <v>156</v>
      </c>
      <c r="AV332" s="24">
        <f t="shared" si="454"/>
        <v>216</v>
      </c>
      <c r="AW332" s="24">
        <f t="shared" si="454"/>
        <v>161</v>
      </c>
      <c r="AX332" s="24">
        <f t="shared" si="454"/>
        <v>136</v>
      </c>
      <c r="AY332" s="24">
        <f t="shared" si="454"/>
        <v>100</v>
      </c>
      <c r="AZ332" s="24">
        <f t="shared" si="454"/>
        <v>18</v>
      </c>
      <c r="BA332" s="24">
        <f t="shared" si="454"/>
        <v>-32</v>
      </c>
      <c r="BB332" s="24">
        <f t="shared" si="454"/>
        <v>64</v>
      </c>
      <c r="BC332" s="24">
        <f>-BC329+AY329</f>
        <v>8</v>
      </c>
      <c r="BD332" s="24">
        <f t="shared" ref="BD332:BF332" si="455">-BD329+AZ329</f>
        <v>71</v>
      </c>
      <c r="BE332" s="24">
        <f t="shared" si="455"/>
        <v>46</v>
      </c>
      <c r="BF332" s="24">
        <f t="shared" si="455"/>
        <v>-21</v>
      </c>
      <c r="BG332" s="24">
        <f>-BG329+BC329</f>
        <v>13</v>
      </c>
      <c r="BH332" s="24">
        <f t="shared" ref="BH332:BV332" si="456">-BH329+BD329</f>
        <v>42</v>
      </c>
      <c r="BI332" s="24">
        <f t="shared" si="456"/>
        <v>40.710000000000036</v>
      </c>
      <c r="BJ332" s="24">
        <f t="shared" si="456"/>
        <v>34.450000000000045</v>
      </c>
      <c r="BK332" s="24">
        <f t="shared" si="456"/>
        <v>33.769999999999982</v>
      </c>
      <c r="BL332" s="24">
        <f t="shared" si="456"/>
        <v>49.919999999999959</v>
      </c>
      <c r="BM332" s="24">
        <f t="shared" si="456"/>
        <v>31.575600000000009</v>
      </c>
      <c r="BN332" s="24">
        <f t="shared" si="456"/>
        <v>25.469000000000051</v>
      </c>
      <c r="BO332" s="24">
        <f t="shared" si="456"/>
        <v>21.560100000000034</v>
      </c>
      <c r="BP332" s="24">
        <f t="shared" si="456"/>
        <v>22.572800000000029</v>
      </c>
      <c r="BQ332" s="24">
        <f t="shared" si="456"/>
        <v>21.42915000000005</v>
      </c>
      <c r="BR332" s="24">
        <f t="shared" si="456"/>
        <v>22.787519999999972</v>
      </c>
      <c r="BS332" s="24">
        <f t="shared" si="456"/>
        <v>26.229303000000073</v>
      </c>
      <c r="BT332" s="24">
        <f t="shared" si="456"/>
        <v>28.848527999999988</v>
      </c>
      <c r="BU332" s="24">
        <f t="shared" si="456"/>
        <v>27.709037339999895</v>
      </c>
      <c r="BV332" s="24">
        <f t="shared" si="456"/>
        <v>28.057944600000042</v>
      </c>
      <c r="BW332" s="24">
        <f t="shared" ref="BW332:CD332" si="457">-BW329+BO329</f>
        <v>53.21427309000012</v>
      </c>
      <c r="BX332" s="24">
        <f t="shared" si="457"/>
        <v>58.528386720000071</v>
      </c>
      <c r="BY332" s="24">
        <f t="shared" si="457"/>
        <v>56.218697697000152</v>
      </c>
      <c r="BZ332" s="24">
        <f t="shared" si="457"/>
        <v>56.92376251799999</v>
      </c>
      <c r="CA332" s="24">
        <f t="shared" si="457"/>
        <v>54.747653042699994</v>
      </c>
      <c r="CB332" s="24">
        <f t="shared" si="457"/>
        <v>60.215305579200276</v>
      </c>
      <c r="CC332" s="24">
        <f t="shared" si="457"/>
        <v>57.843349459446245</v>
      </c>
      <c r="CD332" s="24">
        <f t="shared" si="457"/>
        <v>58.563068053140114</v>
      </c>
      <c r="CG332" s="24"/>
      <c r="CH332" s="24"/>
      <c r="CI332" s="24"/>
      <c r="CJ332" s="24">
        <f t="shared" ref="CJ332:CX332" si="458">-CJ329+CI329</f>
        <v>1990</v>
      </c>
      <c r="CK332" s="24">
        <f t="shared" si="458"/>
        <v>-29</v>
      </c>
      <c r="CL332" s="24">
        <f t="shared" si="458"/>
        <v>163</v>
      </c>
      <c r="CM332" s="24">
        <f t="shared" si="458"/>
        <v>67</v>
      </c>
      <c r="CN332" s="24">
        <f t="shared" si="458"/>
        <v>124</v>
      </c>
      <c r="CO332" s="24">
        <f t="shared" si="458"/>
        <v>38</v>
      </c>
      <c r="CP332" s="24">
        <f t="shared" si="458"/>
        <v>276</v>
      </c>
      <c r="CQ332" s="24">
        <f>-CQ329+CP329</f>
        <v>669</v>
      </c>
      <c r="CR332" s="24">
        <f>-CR329+CQ329</f>
        <v>150</v>
      </c>
      <c r="CS332" s="24">
        <f t="shared" si="458"/>
        <v>104</v>
      </c>
      <c r="CT332" s="24">
        <f t="shared" si="458"/>
        <v>130.15999999999985</v>
      </c>
      <c r="CU332" s="24">
        <f t="shared" si="458"/>
        <v>140.73460000000068</v>
      </c>
      <c r="CV332" s="24">
        <f t="shared" si="458"/>
        <v>88.349569999999858</v>
      </c>
      <c r="CW332" s="24">
        <f t="shared" si="458"/>
        <v>110.84481293999988</v>
      </c>
      <c r="CX332" s="24">
        <f t="shared" si="458"/>
        <v>114.04030708500068</v>
      </c>
    </row>
    <row r="333" spans="2:103" x14ac:dyDescent="0.25">
      <c r="B333" s="37" t="s">
        <v>218</v>
      </c>
      <c r="C333" s="37"/>
      <c r="D333" s="37"/>
      <c r="E333" s="37"/>
      <c r="F333" s="37"/>
      <c r="G333" s="37"/>
      <c r="H333" s="37"/>
      <c r="I333" s="37"/>
      <c r="J333" s="37"/>
      <c r="K333" s="37"/>
      <c r="L333" s="37"/>
      <c r="M333" s="37"/>
      <c r="N333" s="37"/>
      <c r="O333" s="37"/>
      <c r="P333" s="37"/>
      <c r="Q333" s="37"/>
      <c r="R333" s="37"/>
      <c r="T333" s="82">
        <f>+T329/S329-1</f>
        <v>8.2788671023965144E-2</v>
      </c>
      <c r="U333" s="82">
        <f t="shared" ref="U333:BV333" si="459">+U329/T329-1</f>
        <v>4.8289738430583595E-2</v>
      </c>
      <c r="V333" s="82">
        <f t="shared" si="459"/>
        <v>-1.5355086372360827E-2</v>
      </c>
      <c r="W333" s="82">
        <f t="shared" si="459"/>
        <v>-7.9922027290448394E-2</v>
      </c>
      <c r="X333" s="82">
        <f t="shared" si="459"/>
        <v>1.4830508474576343E-2</v>
      </c>
      <c r="Y333" s="82">
        <f t="shared" si="459"/>
        <v>6.6805845511482165E-2</v>
      </c>
      <c r="Z333" s="82">
        <f t="shared" si="459"/>
        <v>-2.3483365949119372E-2</v>
      </c>
      <c r="AA333" s="82">
        <f t="shared" si="459"/>
        <v>-3.2064128256513058E-2</v>
      </c>
      <c r="AB333" s="82">
        <f t="shared" si="459"/>
        <v>3.105590062111796E-2</v>
      </c>
      <c r="AC333" s="82">
        <f t="shared" si="459"/>
        <v>0.17871485943775101</v>
      </c>
      <c r="AD333" s="82">
        <f t="shared" si="459"/>
        <v>-5.2810902896081813E-2</v>
      </c>
      <c r="AE333" s="82">
        <f t="shared" si="459"/>
        <v>-9.3525179856115082E-2</v>
      </c>
      <c r="AF333" s="82">
        <f t="shared" si="459"/>
        <v>8.7301587301587213E-2</v>
      </c>
      <c r="AG333" s="82">
        <f t="shared" si="459"/>
        <v>0.12408759124087587</v>
      </c>
      <c r="AH333" s="82">
        <f t="shared" si="459"/>
        <v>-0.15097402597402598</v>
      </c>
      <c r="AI333" s="82">
        <f t="shared" si="459"/>
        <v>4.5889101338432159E-2</v>
      </c>
      <c r="AJ333" s="82">
        <f t="shared" si="459"/>
        <v>-1.8281535648994485E-2</v>
      </c>
      <c r="AK333" s="82">
        <f t="shared" si="459"/>
        <v>2.9795158286778367E-2</v>
      </c>
      <c r="AL333" s="82">
        <f t="shared" si="459"/>
        <v>0.22603978300180838</v>
      </c>
      <c r="AM333" s="82">
        <f t="shared" si="459"/>
        <v>-0.21976401179941008</v>
      </c>
      <c r="AN333" s="82">
        <f t="shared" si="459"/>
        <v>8.8846880907372361E-2</v>
      </c>
      <c r="AO333" s="82">
        <f t="shared" si="459"/>
        <v>8.8541666666666741E-2</v>
      </c>
      <c r="AP333" s="82">
        <f t="shared" si="459"/>
        <v>-9.5693779904306719E-3</v>
      </c>
      <c r="AQ333" s="82">
        <f t="shared" si="459"/>
        <v>-4.3478260869565188E-2</v>
      </c>
      <c r="AR333" s="82">
        <f t="shared" si="459"/>
        <v>8.4175084175084347E-3</v>
      </c>
      <c r="AS333" s="82">
        <f t="shared" si="459"/>
        <v>0.17863105175292149</v>
      </c>
      <c r="AT333" s="82">
        <f t="shared" si="459"/>
        <v>3.3994334277620331E-2</v>
      </c>
      <c r="AU333" s="82">
        <f t="shared" si="459"/>
        <v>2.7397260273972712E-2</v>
      </c>
      <c r="AV333" s="82">
        <f t="shared" si="459"/>
        <v>8.666666666666667E-2</v>
      </c>
      <c r="AW333" s="82">
        <f t="shared" si="459"/>
        <v>6.3803680981595168E-2</v>
      </c>
      <c r="AX333" s="82">
        <f t="shared" si="459"/>
        <v>-1.1534025374856371E-3</v>
      </c>
      <c r="AY333" s="82">
        <f t="shared" si="459"/>
        <v>-1.8475750577367167E-2</v>
      </c>
      <c r="AZ333" s="82">
        <f t="shared" si="459"/>
        <v>-2.0000000000000018E-2</v>
      </c>
      <c r="BA333" s="82">
        <f t="shared" si="459"/>
        <v>2.4009603841537164E-3</v>
      </c>
      <c r="BB333" s="82">
        <f t="shared" si="459"/>
        <v>0.11377245508982026</v>
      </c>
      <c r="BC333" s="82">
        <f>+BC329/BB329-1</f>
        <v>-7.7419354838709653E-2</v>
      </c>
      <c r="BD333" s="82">
        <f>+BD329/BC329-1</f>
        <v>5.3613053613053685E-2</v>
      </c>
      <c r="BE333" s="82">
        <f t="shared" si="459"/>
        <v>-2.5442477876106206E-2</v>
      </c>
      <c r="BF333" s="82">
        <f t="shared" si="459"/>
        <v>3.1782065834279338E-2</v>
      </c>
      <c r="BG333" s="82">
        <f t="shared" si="459"/>
        <v>-4.1804180418041792E-2</v>
      </c>
      <c r="BH333" s="82">
        <f t="shared" si="459"/>
        <v>8.6107921928817444E-2</v>
      </c>
      <c r="BI333" s="82">
        <f t="shared" si="459"/>
        <v>-2.5676532769555949E-2</v>
      </c>
      <c r="BJ333" s="82">
        <f t="shared" si="459"/>
        <v>2.3586594481995515E-2</v>
      </c>
      <c r="BK333" s="82">
        <f t="shared" si="459"/>
        <v>-4.099846308760402E-2</v>
      </c>
      <c r="BL333" s="82">
        <f t="shared" si="459"/>
        <v>0.10074383544989329</v>
      </c>
      <c r="BM333" s="82">
        <f t="shared" si="459"/>
        <v>-4.2809060968752477E-2</v>
      </c>
      <c r="BN333" s="82">
        <f t="shared" si="459"/>
        <v>1.639949245011163E-2</v>
      </c>
      <c r="BO333" s="82">
        <f t="shared" si="459"/>
        <v>-4.3955067451458829E-2</v>
      </c>
      <c r="BP333" s="82">
        <f t="shared" si="459"/>
        <v>9.9492286820864306E-2</v>
      </c>
      <c r="BQ333" s="82">
        <f t="shared" si="459"/>
        <v>-4.298317081868408E-2</v>
      </c>
      <c r="BR333" s="82">
        <f t="shared" si="459"/>
        <v>1.7432556550518896E-2</v>
      </c>
      <c r="BS333" s="82">
        <f t="shared" si="459"/>
        <v>-3.9474497959335775E-2</v>
      </c>
      <c r="BT333" s="82">
        <f t="shared" si="459"/>
        <v>9.9502377176155843E-2</v>
      </c>
      <c r="BU333" s="82">
        <f t="shared" si="459"/>
        <v>-4.2887203492460668E-2</v>
      </c>
      <c r="BV333" s="82">
        <f t="shared" si="459"/>
        <v>1.7298748771729322E-2</v>
      </c>
      <c r="BW333" s="82">
        <f>+BW329/BR329-1</f>
        <v>-1.2263856962440811E-2</v>
      </c>
      <c r="BX333" s="82">
        <f t="shared" ref="BX333:BZ333" si="460">+BX329/BW329-1</f>
        <v>9.9512402202369454E-2</v>
      </c>
      <c r="BY333" s="82">
        <f t="shared" si="460"/>
        <v>-4.2791859242209629E-2</v>
      </c>
      <c r="BZ333" s="82">
        <f t="shared" si="460"/>
        <v>1.7165836320989225E-2</v>
      </c>
      <c r="CA333" s="82">
        <f>+CA329/BV329-1</f>
        <v>-1.22159665194711E-2</v>
      </c>
      <c r="CB333" s="82">
        <f t="shared" ref="CB333:CD333" si="461">+CB329/CA329-1</f>
        <v>9.9522362059430103E-2</v>
      </c>
      <c r="CC333" s="82">
        <f t="shared" si="461"/>
        <v>-4.2697136512949596E-2</v>
      </c>
      <c r="CD333" s="82">
        <f t="shared" si="461"/>
        <v>1.7033816504217647E-2</v>
      </c>
      <c r="CG333" s="82"/>
      <c r="CH333" s="82"/>
      <c r="CI333" s="82"/>
      <c r="CJ333" s="82"/>
      <c r="CK333" s="82"/>
      <c r="CL333" s="82"/>
      <c r="CM333" s="82"/>
      <c r="CN333" s="82"/>
      <c r="CO333" s="82"/>
      <c r="CP333" s="82"/>
      <c r="CQ333" s="82"/>
      <c r="CR333" s="82"/>
      <c r="CS333" s="82"/>
      <c r="CT333" s="108"/>
      <c r="CU333" s="108"/>
      <c r="CV333" s="108"/>
      <c r="CW333" s="108"/>
      <c r="CX333" s="108"/>
    </row>
    <row r="334" spans="2:103" x14ac:dyDescent="0.25">
      <c r="CT334" s="60"/>
      <c r="CU334" s="60"/>
      <c r="CV334" s="60"/>
      <c r="CW334" s="60"/>
      <c r="CX334" s="60"/>
    </row>
    <row r="335" spans="2:103" s="60" customFormat="1" ht="15" customHeight="1" x14ac:dyDescent="0.25">
      <c r="B335" s="23" t="s">
        <v>257</v>
      </c>
      <c r="C335" s="23"/>
      <c r="D335" s="23"/>
      <c r="E335" s="23"/>
      <c r="F335" s="23"/>
      <c r="G335" s="23"/>
      <c r="H335" s="23"/>
      <c r="I335" s="23"/>
      <c r="J335" s="23"/>
      <c r="K335" s="23"/>
      <c r="L335" s="23"/>
      <c r="M335" s="23"/>
      <c r="N335" s="23"/>
      <c r="O335" s="23"/>
      <c r="P335" s="23"/>
      <c r="Q335" s="23"/>
      <c r="R335" s="23"/>
      <c r="T335" s="108"/>
      <c r="U335" s="108"/>
      <c r="V335" s="108"/>
      <c r="W335" s="108"/>
      <c r="X335" s="108"/>
      <c r="Y335" s="108"/>
      <c r="Z335" s="108"/>
      <c r="AA335" s="108"/>
      <c r="AB335" s="108"/>
      <c r="AC335" s="108"/>
      <c r="AD335" s="108"/>
      <c r="AE335" s="108"/>
      <c r="AF335" s="108"/>
      <c r="AG335" s="108"/>
      <c r="AH335" s="108"/>
      <c r="AI335" s="108"/>
      <c r="AJ335" s="108"/>
      <c r="AK335" s="108"/>
      <c r="AL335" s="108"/>
      <c r="AM335" s="108"/>
      <c r="AN335" s="108"/>
      <c r="AO335" s="108"/>
      <c r="AP335" s="108"/>
      <c r="AQ335" s="108"/>
      <c r="AR335" s="108"/>
      <c r="AS335" s="108"/>
      <c r="AT335" s="108"/>
      <c r="AU335" s="108"/>
      <c r="AV335" s="108"/>
      <c r="AW335" s="108"/>
      <c r="AX335" s="108"/>
      <c r="AY335" s="108"/>
      <c r="AZ335" s="108"/>
      <c r="BA335" s="108"/>
      <c r="BB335" s="108"/>
      <c r="BC335" s="108"/>
      <c r="BD335" s="108"/>
      <c r="BE335" s="108"/>
      <c r="BF335" s="108"/>
      <c r="BG335" s="108"/>
      <c r="BH335" s="108"/>
      <c r="BI335" s="108"/>
      <c r="BJ335" s="108"/>
      <c r="BK335" s="108"/>
      <c r="BL335" s="108"/>
      <c r="BM335" s="108"/>
      <c r="BN335" s="108"/>
      <c r="BO335" s="108"/>
      <c r="BP335" s="108"/>
      <c r="BQ335" s="108"/>
      <c r="BR335" s="108"/>
      <c r="BS335" s="108"/>
      <c r="BT335" s="108"/>
      <c r="BU335" s="108"/>
      <c r="BV335" s="108"/>
      <c r="BW335" s="108"/>
      <c r="BX335" s="108"/>
      <c r="BY335" s="108"/>
      <c r="BZ335" s="108"/>
      <c r="CA335" s="108"/>
      <c r="CB335" s="108"/>
      <c r="CC335" s="108"/>
      <c r="CD335" s="108"/>
      <c r="CE335"/>
      <c r="CG335" s="108"/>
      <c r="CH335" s="108"/>
      <c r="CI335" s="108"/>
      <c r="CJ335" s="108"/>
      <c r="CK335" s="108"/>
      <c r="CL335" s="108"/>
      <c r="CM335" s="108"/>
      <c r="CN335" s="108"/>
      <c r="CO335" s="148"/>
      <c r="CP335" s="148"/>
      <c r="CQ335" s="149"/>
      <c r="CR335" s="149"/>
      <c r="CS335" s="149"/>
      <c r="CT335" s="149"/>
      <c r="CU335" s="108"/>
      <c r="CV335" s="108"/>
      <c r="CW335" s="108"/>
      <c r="CX335" s="108"/>
    </row>
    <row r="336" spans="2:103" s="145" customFormat="1" ht="15" customHeight="1" x14ac:dyDescent="0.25">
      <c r="B336" s="97" t="s">
        <v>231</v>
      </c>
      <c r="C336" s="97"/>
      <c r="D336" s="97"/>
      <c r="E336" s="97"/>
      <c r="F336" s="97"/>
      <c r="G336" s="97"/>
      <c r="H336" s="97"/>
      <c r="I336" s="97"/>
      <c r="J336" s="97"/>
      <c r="K336" s="97"/>
      <c r="L336" s="97"/>
      <c r="M336" s="97"/>
      <c r="N336" s="97"/>
      <c r="O336" s="97"/>
      <c r="P336" s="97"/>
      <c r="Q336" s="97"/>
      <c r="R336" s="97"/>
      <c r="AM336" s="145">
        <f>650-5-70</f>
        <v>575</v>
      </c>
      <c r="AN336" s="145">
        <f>679-5-89</f>
        <v>585</v>
      </c>
      <c r="AO336" s="145">
        <f>733-5-95</f>
        <v>633</v>
      </c>
      <c r="AP336" s="145">
        <f>724-7-94</f>
        <v>623</v>
      </c>
      <c r="AQ336" s="145">
        <f>635-5-90</f>
        <v>540</v>
      </c>
      <c r="AR336" s="145">
        <f>755-5-110</f>
        <v>640</v>
      </c>
      <c r="AS336" s="145">
        <f>840-5-115</f>
        <v>720</v>
      </c>
      <c r="AT336" s="145">
        <f>837-4-114</f>
        <v>719</v>
      </c>
      <c r="AU336" s="145">
        <f>995-70-125</f>
        <v>800</v>
      </c>
      <c r="AV336" s="145">
        <f>1030-40-150</f>
        <v>840</v>
      </c>
      <c r="AW336" s="145">
        <f>1100-35-135</f>
        <v>930</v>
      </c>
      <c r="AX336" s="145">
        <f>1086-49-126</f>
        <v>911</v>
      </c>
      <c r="AY336" s="145">
        <f>1013-40-123</f>
        <v>850</v>
      </c>
      <c r="AZ336" s="145">
        <f>1036-40-148</f>
        <v>848</v>
      </c>
      <c r="BA336" s="145">
        <f>1080-35-150</f>
        <v>895</v>
      </c>
      <c r="BB336" s="145">
        <f>1075-35-140</f>
        <v>900</v>
      </c>
      <c r="BC336" s="145">
        <f>1065-25-20-140</f>
        <v>880</v>
      </c>
      <c r="BD336" s="145">
        <f>1110-25-10-155</f>
        <v>920</v>
      </c>
      <c r="BE336" s="145">
        <f>1050-25-155</f>
        <v>870</v>
      </c>
      <c r="BF336" s="145">
        <f>1125-75-150</f>
        <v>900</v>
      </c>
      <c r="BG336" s="145">
        <f>1065-20-65-135</f>
        <v>845</v>
      </c>
      <c r="BH336" s="145">
        <f>1190-20-65-160</f>
        <v>945</v>
      </c>
      <c r="BI336" s="145">
        <f>1100-20-5-165</f>
        <v>910</v>
      </c>
      <c r="BJ336" s="145">
        <f>3655-BI336-BH338-BG338</f>
        <v>928</v>
      </c>
      <c r="CE336"/>
      <c r="CN336" s="145">
        <f>2774-15-329</f>
        <v>2430</v>
      </c>
      <c r="CO336" s="145">
        <f>2746-23-353</f>
        <v>2370</v>
      </c>
      <c r="CP336" s="145">
        <f>2850-20-430</f>
        <v>2400</v>
      </c>
      <c r="CQ336" s="145">
        <f>4125-285-575</f>
        <v>3265</v>
      </c>
      <c r="CR336" s="145">
        <f>4200-140-595</f>
        <v>3465</v>
      </c>
      <c r="CS336" s="145">
        <f>4295-95-25-635</f>
        <v>3540</v>
      </c>
      <c r="CT336" s="145">
        <f>4345-70-95-615</f>
        <v>3565</v>
      </c>
    </row>
    <row r="337" spans="2:102" s="145" customFormat="1" ht="15" customHeight="1" x14ac:dyDescent="0.25">
      <c r="B337" s="97" t="s">
        <v>232</v>
      </c>
      <c r="C337" s="97"/>
      <c r="D337" s="97"/>
      <c r="E337" s="97"/>
      <c r="F337" s="97"/>
      <c r="G337" s="97"/>
      <c r="H337" s="97"/>
      <c r="I337" s="97"/>
      <c r="J337" s="97"/>
      <c r="K337" s="97"/>
      <c r="L337" s="97"/>
      <c r="M337" s="97"/>
      <c r="N337" s="97"/>
      <c r="O337" s="97"/>
      <c r="P337" s="97"/>
      <c r="Q337" s="97"/>
      <c r="R337" s="97"/>
      <c r="AM337" s="145">
        <f>650-5-70</f>
        <v>575</v>
      </c>
      <c r="AN337" s="145">
        <f>679-5-89</f>
        <v>585</v>
      </c>
      <c r="AO337" s="145">
        <f>733-5-95</f>
        <v>633</v>
      </c>
      <c r="AP337" s="145">
        <f>724-7-94</f>
        <v>623</v>
      </c>
      <c r="AQ337" s="145">
        <f>635-5-90</f>
        <v>540</v>
      </c>
      <c r="AR337" s="145">
        <f>755-5-110</f>
        <v>640</v>
      </c>
      <c r="AS337" s="145">
        <f>840-5-115</f>
        <v>720</v>
      </c>
      <c r="AT337" s="145">
        <f>837-4-114</f>
        <v>719</v>
      </c>
      <c r="AU337" s="145">
        <f>995-70-125</f>
        <v>800</v>
      </c>
      <c r="AV337" s="145">
        <f>1030-40-150</f>
        <v>840</v>
      </c>
      <c r="AW337" s="145">
        <f>1100-35-135</f>
        <v>930</v>
      </c>
      <c r="AX337" s="145">
        <f>1086-49-126</f>
        <v>911</v>
      </c>
      <c r="AY337" s="145">
        <f>1013-40-123</f>
        <v>850</v>
      </c>
      <c r="AZ337" s="145">
        <f>1041-40-148</f>
        <v>853</v>
      </c>
      <c r="BA337" s="145">
        <f>1090-35-150</f>
        <v>905</v>
      </c>
      <c r="BB337" s="145">
        <f>1085-35-140</f>
        <v>910</v>
      </c>
      <c r="BC337" s="145">
        <f>1085-25-20-140</f>
        <v>900</v>
      </c>
      <c r="BD337" s="145">
        <f>1120-25-10-155</f>
        <v>930</v>
      </c>
      <c r="BE337" s="145">
        <f>1110-25-155</f>
        <v>930</v>
      </c>
      <c r="BF337" s="145">
        <f>1205-75-150</f>
        <v>980</v>
      </c>
      <c r="BG337" s="145">
        <f>1085-20-65-135</f>
        <v>865</v>
      </c>
      <c r="BH337" s="145">
        <f>1200-20-65-160</f>
        <v>955</v>
      </c>
      <c r="BI337" s="145">
        <f>1150-20-5-165</f>
        <v>960</v>
      </c>
      <c r="BJ337" s="145">
        <f>3725-BI337-BH338-BG338</f>
        <v>948</v>
      </c>
      <c r="CE337"/>
      <c r="CN337" s="145">
        <f>2774-15-329</f>
        <v>2430</v>
      </c>
      <c r="CO337" s="145">
        <f>2746-23-353</f>
        <v>2370</v>
      </c>
      <c r="CP337" s="145">
        <f>2850-20-430</f>
        <v>2400</v>
      </c>
      <c r="CQ337" s="145">
        <f>4125-285-575</f>
        <v>3265</v>
      </c>
      <c r="CR337" s="145">
        <f>4315-140-595</f>
        <v>3580</v>
      </c>
      <c r="CS337" s="145">
        <f>4415-95-25-635</f>
        <v>3660</v>
      </c>
      <c r="CT337" s="145">
        <f>4435-70-95-615</f>
        <v>3655</v>
      </c>
    </row>
    <row r="338" spans="2:102" s="151" customFormat="1" ht="15" customHeight="1" x14ac:dyDescent="0.25">
      <c r="B338" s="112" t="s">
        <v>233</v>
      </c>
      <c r="C338" s="112"/>
      <c r="D338" s="112"/>
      <c r="E338" s="112"/>
      <c r="F338" s="112"/>
      <c r="G338" s="112"/>
      <c r="H338" s="112"/>
      <c r="I338" s="112"/>
      <c r="J338" s="112"/>
      <c r="K338" s="112"/>
      <c r="L338" s="112"/>
      <c r="M338" s="112"/>
      <c r="N338" s="112"/>
      <c r="O338" s="112"/>
      <c r="P338" s="112"/>
      <c r="Q338" s="112"/>
      <c r="R338" s="112"/>
      <c r="S338" s="47"/>
      <c r="T338" s="47"/>
      <c r="U338" s="47"/>
      <c r="V338" s="47"/>
      <c r="W338" s="47"/>
      <c r="X338" s="47"/>
      <c r="Y338" s="47"/>
      <c r="Z338" s="47"/>
      <c r="AA338" s="47"/>
      <c r="AB338" s="47"/>
      <c r="AC338" s="47"/>
      <c r="AD338" s="47"/>
      <c r="AE338" s="47"/>
      <c r="AF338" s="47"/>
      <c r="AG338" s="47"/>
      <c r="AH338" s="47"/>
      <c r="AI338" s="47"/>
      <c r="AJ338" s="47"/>
      <c r="AK338" s="47"/>
      <c r="AL338" s="47"/>
      <c r="AM338" s="47">
        <f t="shared" ref="AM338:BJ338" si="462">-AM329</f>
        <v>529</v>
      </c>
      <c r="AN338" s="47">
        <f t="shared" si="462"/>
        <v>576</v>
      </c>
      <c r="AO338" s="47">
        <f t="shared" si="462"/>
        <v>627</v>
      </c>
      <c r="AP338" s="47">
        <f t="shared" si="462"/>
        <v>621</v>
      </c>
      <c r="AQ338" s="47">
        <f t="shared" si="462"/>
        <v>594</v>
      </c>
      <c r="AR338" s="47">
        <f t="shared" si="462"/>
        <v>599</v>
      </c>
      <c r="AS338" s="47">
        <f t="shared" si="462"/>
        <v>706</v>
      </c>
      <c r="AT338" s="47">
        <f t="shared" si="462"/>
        <v>730</v>
      </c>
      <c r="AU338" s="47">
        <f t="shared" si="462"/>
        <v>750</v>
      </c>
      <c r="AV338" s="47">
        <f t="shared" si="462"/>
        <v>815</v>
      </c>
      <c r="AW338" s="47">
        <f t="shared" si="462"/>
        <v>867</v>
      </c>
      <c r="AX338" s="47">
        <f t="shared" si="462"/>
        <v>866</v>
      </c>
      <c r="AY338" s="47">
        <f t="shared" si="462"/>
        <v>850</v>
      </c>
      <c r="AZ338" s="47">
        <f t="shared" si="462"/>
        <v>833</v>
      </c>
      <c r="BA338" s="47">
        <f t="shared" si="462"/>
        <v>835</v>
      </c>
      <c r="BB338" s="47">
        <f t="shared" si="462"/>
        <v>930</v>
      </c>
      <c r="BC338" s="47">
        <f t="shared" si="462"/>
        <v>858</v>
      </c>
      <c r="BD338" s="47">
        <f t="shared" si="462"/>
        <v>904</v>
      </c>
      <c r="BE338" s="47">
        <f t="shared" si="462"/>
        <v>881</v>
      </c>
      <c r="BF338" s="47">
        <f t="shared" si="462"/>
        <v>909</v>
      </c>
      <c r="BG338" s="47">
        <f t="shared" si="462"/>
        <v>871</v>
      </c>
      <c r="BH338" s="47">
        <f t="shared" si="462"/>
        <v>946</v>
      </c>
      <c r="BI338" s="47">
        <f t="shared" si="462"/>
        <v>921.71</v>
      </c>
      <c r="BJ338" s="47">
        <f t="shared" si="462"/>
        <v>943.45</v>
      </c>
      <c r="BK338" s="150"/>
      <c r="BL338" s="150"/>
      <c r="BM338" s="150"/>
      <c r="BN338" s="150"/>
      <c r="BO338" s="150"/>
      <c r="BP338" s="150"/>
      <c r="BQ338" s="150"/>
      <c r="BR338" s="150"/>
      <c r="BS338" s="150"/>
      <c r="BT338" s="150"/>
      <c r="BU338" s="150"/>
      <c r="BV338" s="150"/>
      <c r="BW338" s="150"/>
      <c r="BX338" s="150"/>
      <c r="BY338" s="150"/>
      <c r="BZ338" s="150"/>
      <c r="CA338" s="150"/>
      <c r="CB338" s="150"/>
      <c r="CC338" s="150"/>
      <c r="CD338" s="150"/>
      <c r="CE338"/>
      <c r="CG338" s="150"/>
      <c r="CH338" s="150"/>
      <c r="CI338" s="150"/>
      <c r="CJ338" s="150"/>
      <c r="CK338" s="150"/>
      <c r="CL338" s="150"/>
      <c r="CM338" s="150"/>
      <c r="CN338" s="47">
        <f t="shared" ref="CN338:CT338" si="463">-CN329</f>
        <v>2315</v>
      </c>
      <c r="CO338" s="47">
        <f t="shared" si="463"/>
        <v>2353</v>
      </c>
      <c r="CP338" s="47">
        <f t="shared" si="463"/>
        <v>2629</v>
      </c>
      <c r="CQ338" s="47">
        <f t="shared" si="463"/>
        <v>3298</v>
      </c>
      <c r="CR338" s="47">
        <f t="shared" si="463"/>
        <v>3448</v>
      </c>
      <c r="CS338" s="47">
        <f t="shared" si="463"/>
        <v>3552</v>
      </c>
      <c r="CT338" s="47">
        <f t="shared" si="463"/>
        <v>3682.16</v>
      </c>
      <c r="CU338" s="152"/>
      <c r="CV338" s="152"/>
      <c r="CW338" s="152"/>
      <c r="CX338" s="152"/>
    </row>
    <row r="339" spans="2:102" s="39" customFormat="1" ht="15" customHeight="1" x14ac:dyDescent="0.25">
      <c r="B339" s="23" t="s">
        <v>234</v>
      </c>
      <c r="C339" s="23"/>
      <c r="D339" s="23"/>
      <c r="E339" s="23"/>
      <c r="F339" s="23"/>
      <c r="G339" s="23"/>
      <c r="H339" s="23"/>
      <c r="I339" s="23"/>
      <c r="J339" s="23"/>
      <c r="K339" s="23"/>
      <c r="L339" s="23"/>
      <c r="M339" s="23"/>
      <c r="N339" s="23"/>
      <c r="O339" s="23"/>
      <c r="P339" s="23"/>
      <c r="Q339" s="23"/>
      <c r="R339" s="23"/>
      <c r="S339" s="108"/>
      <c r="T339" s="108"/>
      <c r="U339" s="108"/>
      <c r="V339" s="108"/>
      <c r="W339" s="108"/>
      <c r="X339" s="108"/>
      <c r="Y339" s="108"/>
      <c r="Z339" s="108"/>
      <c r="AA339" s="108"/>
      <c r="AB339" s="108"/>
      <c r="AC339" s="108"/>
      <c r="AD339" s="108"/>
      <c r="AE339" s="108"/>
      <c r="AF339" s="108"/>
      <c r="AG339" s="108"/>
      <c r="AH339" s="108"/>
      <c r="AI339" s="108"/>
      <c r="AJ339" s="108"/>
      <c r="AK339" s="108"/>
      <c r="AL339" s="108"/>
      <c r="AM339" s="108">
        <f t="shared" ref="AM339:BF339" si="464">+AM338/AM337-1</f>
        <v>-7.999999999999996E-2</v>
      </c>
      <c r="AN339" s="108">
        <f t="shared" si="464"/>
        <v>-1.538461538461533E-2</v>
      </c>
      <c r="AO339" s="108">
        <f t="shared" si="464"/>
        <v>-9.4786729857819774E-3</v>
      </c>
      <c r="AP339" s="108">
        <f t="shared" si="464"/>
        <v>-3.2102728731941976E-3</v>
      </c>
      <c r="AQ339" s="108">
        <f t="shared" si="464"/>
        <v>0.10000000000000009</v>
      </c>
      <c r="AR339" s="108">
        <f t="shared" si="464"/>
        <v>-6.4062500000000022E-2</v>
      </c>
      <c r="AS339" s="108">
        <f t="shared" si="464"/>
        <v>-1.9444444444444486E-2</v>
      </c>
      <c r="AT339" s="108">
        <f t="shared" si="464"/>
        <v>1.5299026425591E-2</v>
      </c>
      <c r="AU339" s="108">
        <f t="shared" si="464"/>
        <v>-6.25E-2</v>
      </c>
      <c r="AV339" s="108">
        <f t="shared" si="464"/>
        <v>-2.9761904761904767E-2</v>
      </c>
      <c r="AW339" s="108">
        <f t="shared" si="464"/>
        <v>-6.7741935483870974E-2</v>
      </c>
      <c r="AX339" s="108">
        <f t="shared" si="464"/>
        <v>-4.9396267837541141E-2</v>
      </c>
      <c r="AY339" s="108">
        <f t="shared" si="464"/>
        <v>0</v>
      </c>
      <c r="AZ339" s="108">
        <f t="shared" si="464"/>
        <v>-2.3446658851113744E-2</v>
      </c>
      <c r="BA339" s="108">
        <f t="shared" si="464"/>
        <v>-7.7348066298342566E-2</v>
      </c>
      <c r="BB339" s="108">
        <f t="shared" si="464"/>
        <v>2.19780219780219E-2</v>
      </c>
      <c r="BC339" s="108">
        <f t="shared" si="464"/>
        <v>-4.6666666666666634E-2</v>
      </c>
      <c r="BD339" s="108">
        <f t="shared" si="464"/>
        <v>-2.7956989247311825E-2</v>
      </c>
      <c r="BE339" s="108">
        <f t="shared" si="464"/>
        <v>-5.2688172043010795E-2</v>
      </c>
      <c r="BF339" s="108">
        <f t="shared" si="464"/>
        <v>-7.2448979591836715E-2</v>
      </c>
      <c r="BG339" s="108">
        <f>+BG338/BG337-1</f>
        <v>6.9364161849712058E-3</v>
      </c>
      <c r="BH339" s="108">
        <f>+BH338/BH337-1</f>
        <v>-9.4240837696335511E-3</v>
      </c>
      <c r="BI339" s="108">
        <f>+BI338/BI337-1</f>
        <v>-3.9885416666666673E-2</v>
      </c>
      <c r="BJ339" s="108">
        <f>+BJ338/BJ337-1</f>
        <v>-4.7995780590717185E-3</v>
      </c>
      <c r="BK339" s="102"/>
      <c r="BL339" s="102"/>
      <c r="BM339" s="102"/>
      <c r="BN339" s="102"/>
      <c r="BO339" s="102"/>
      <c r="BP339" s="102"/>
      <c r="BQ339" s="102"/>
      <c r="BR339" s="102"/>
      <c r="BS339" s="102"/>
      <c r="BT339" s="102"/>
      <c r="BU339" s="102"/>
      <c r="BV339" s="102"/>
      <c r="BW339" s="102"/>
      <c r="BX339" s="102"/>
      <c r="BY339" s="102"/>
      <c r="BZ339" s="102"/>
      <c r="CA339" s="102"/>
      <c r="CB339" s="102"/>
      <c r="CC339" s="102"/>
      <c r="CD339" s="102"/>
      <c r="CE339"/>
      <c r="CG339" s="102"/>
      <c r="CH339" s="102"/>
      <c r="CI339" s="102"/>
      <c r="CJ339" s="102"/>
      <c r="CK339" s="102"/>
      <c r="CL339" s="102"/>
      <c r="CM339" s="102"/>
      <c r="CN339" s="108">
        <f>+CN338/CN337-1</f>
        <v>-4.7325102880658387E-2</v>
      </c>
      <c r="CO339" s="108">
        <f t="shared" ref="CO339:CT339" si="465">+CO338/CO337-1</f>
        <v>-7.1729957805907185E-3</v>
      </c>
      <c r="CP339" s="108">
        <f t="shared" si="465"/>
        <v>9.5416666666666705E-2</v>
      </c>
      <c r="CQ339" s="108">
        <f t="shared" si="465"/>
        <v>1.0107197549770186E-2</v>
      </c>
      <c r="CR339" s="108">
        <f t="shared" si="465"/>
        <v>-3.6871508379888285E-2</v>
      </c>
      <c r="CS339" s="108">
        <f t="shared" si="465"/>
        <v>-2.9508196721311442E-2</v>
      </c>
      <c r="CT339" s="108">
        <f t="shared" si="465"/>
        <v>7.430916552667588E-3</v>
      </c>
      <c r="CU339" s="102"/>
      <c r="CV339" s="102"/>
      <c r="CW339" s="102"/>
      <c r="CX339" s="102"/>
    </row>
    <row r="340" spans="2:102" s="39" customFormat="1" ht="15" customHeight="1" x14ac:dyDescent="0.25">
      <c r="B340" s="23" t="s">
        <v>235</v>
      </c>
      <c r="C340" s="23"/>
      <c r="D340" s="23"/>
      <c r="E340" s="23"/>
      <c r="F340" s="23"/>
      <c r="G340" s="23"/>
      <c r="H340" s="23"/>
      <c r="I340" s="23"/>
      <c r="J340" s="23"/>
      <c r="K340" s="23"/>
      <c r="L340" s="23"/>
      <c r="M340" s="23"/>
      <c r="N340" s="23"/>
      <c r="O340" s="23"/>
      <c r="P340" s="23"/>
      <c r="Q340" s="23"/>
      <c r="R340" s="23"/>
      <c r="S340" s="97"/>
      <c r="T340" s="97"/>
      <c r="U340" s="97"/>
      <c r="V340" s="97"/>
      <c r="W340" s="97"/>
      <c r="X340" s="97"/>
      <c r="Y340" s="97"/>
      <c r="Z340" s="97"/>
      <c r="AA340" s="97"/>
      <c r="AB340" s="97"/>
      <c r="AC340" s="97"/>
      <c r="AD340" s="97"/>
      <c r="AE340" s="97"/>
      <c r="AF340" s="97"/>
      <c r="AG340" s="97"/>
      <c r="AH340" s="97"/>
      <c r="AI340" s="97"/>
      <c r="AJ340" s="97"/>
      <c r="AK340" s="97"/>
      <c r="AL340" s="97"/>
      <c r="AM340" s="97">
        <f t="shared" ref="AM340:BF340" si="466">+AM338-AM337</f>
        <v>-46</v>
      </c>
      <c r="AN340" s="97">
        <f t="shared" si="466"/>
        <v>-9</v>
      </c>
      <c r="AO340" s="97">
        <f t="shared" si="466"/>
        <v>-6</v>
      </c>
      <c r="AP340" s="97">
        <f t="shared" si="466"/>
        <v>-2</v>
      </c>
      <c r="AQ340" s="97">
        <f t="shared" si="466"/>
        <v>54</v>
      </c>
      <c r="AR340" s="97">
        <f t="shared" si="466"/>
        <v>-41</v>
      </c>
      <c r="AS340" s="97">
        <f t="shared" si="466"/>
        <v>-14</v>
      </c>
      <c r="AT340" s="97">
        <f t="shared" si="466"/>
        <v>11</v>
      </c>
      <c r="AU340" s="97">
        <f t="shared" si="466"/>
        <v>-50</v>
      </c>
      <c r="AV340" s="97">
        <f t="shared" si="466"/>
        <v>-25</v>
      </c>
      <c r="AW340" s="97">
        <f t="shared" si="466"/>
        <v>-63</v>
      </c>
      <c r="AX340" s="97">
        <f t="shared" si="466"/>
        <v>-45</v>
      </c>
      <c r="AY340" s="97">
        <f t="shared" si="466"/>
        <v>0</v>
      </c>
      <c r="AZ340" s="97">
        <f t="shared" si="466"/>
        <v>-20</v>
      </c>
      <c r="BA340" s="97">
        <f t="shared" si="466"/>
        <v>-70</v>
      </c>
      <c r="BB340" s="97">
        <f t="shared" si="466"/>
        <v>20</v>
      </c>
      <c r="BC340" s="97">
        <f t="shared" si="466"/>
        <v>-42</v>
      </c>
      <c r="BD340" s="97">
        <f t="shared" si="466"/>
        <v>-26</v>
      </c>
      <c r="BE340" s="97">
        <f t="shared" si="466"/>
        <v>-49</v>
      </c>
      <c r="BF340" s="97">
        <f t="shared" si="466"/>
        <v>-71</v>
      </c>
      <c r="BG340" s="97">
        <f>+BG338-BG337</f>
        <v>6</v>
      </c>
      <c r="BH340" s="97">
        <f>+BH338-BH337</f>
        <v>-9</v>
      </c>
      <c r="BI340" s="97">
        <f>+BI338-BI337</f>
        <v>-38.289999999999964</v>
      </c>
      <c r="BJ340" s="97">
        <f>+BJ338-BJ337</f>
        <v>-4.5499999999999545</v>
      </c>
      <c r="BK340" s="102"/>
      <c r="BL340" s="102"/>
      <c r="BM340" s="102"/>
      <c r="BN340" s="102"/>
      <c r="BO340" s="102"/>
      <c r="BP340" s="102"/>
      <c r="BQ340" s="102"/>
      <c r="BR340" s="102"/>
      <c r="BS340" s="102"/>
      <c r="BT340" s="102"/>
      <c r="BU340" s="102"/>
      <c r="BV340" s="102"/>
      <c r="BW340" s="102"/>
      <c r="BX340" s="102"/>
      <c r="BY340" s="102"/>
      <c r="BZ340" s="102"/>
      <c r="CA340" s="102"/>
      <c r="CB340" s="102"/>
      <c r="CC340" s="102"/>
      <c r="CD340" s="102"/>
      <c r="CE340"/>
      <c r="CG340" s="102"/>
      <c r="CH340" s="102"/>
      <c r="CI340" s="102"/>
      <c r="CJ340" s="102"/>
      <c r="CK340" s="102"/>
      <c r="CL340" s="102"/>
      <c r="CM340" s="102"/>
      <c r="CN340" s="97">
        <f>+CN338-CN337</f>
        <v>-115</v>
      </c>
      <c r="CO340" s="97">
        <f t="shared" ref="CO340:CT340" si="467">+CO338-CO337</f>
        <v>-17</v>
      </c>
      <c r="CP340" s="97">
        <f t="shared" si="467"/>
        <v>229</v>
      </c>
      <c r="CQ340" s="97">
        <f t="shared" si="467"/>
        <v>33</v>
      </c>
      <c r="CR340" s="97">
        <f t="shared" si="467"/>
        <v>-132</v>
      </c>
      <c r="CS340" s="97">
        <f t="shared" si="467"/>
        <v>-108</v>
      </c>
      <c r="CT340" s="97">
        <f t="shared" si="467"/>
        <v>27.159999999999854</v>
      </c>
      <c r="CU340" s="102"/>
      <c r="CV340" s="102"/>
      <c r="CW340" s="102"/>
      <c r="CX340" s="102"/>
    </row>
    <row r="341" spans="2:102" s="39" customFormat="1" ht="15" customHeight="1" x14ac:dyDescent="0.25">
      <c r="B341" s="23"/>
      <c r="C341" s="23"/>
      <c r="D341" s="23"/>
      <c r="E341" s="23"/>
      <c r="F341" s="23"/>
      <c r="G341" s="23"/>
      <c r="H341" s="23"/>
      <c r="I341" s="23"/>
      <c r="J341" s="23"/>
      <c r="K341" s="23"/>
      <c r="L341" s="23"/>
      <c r="M341" s="23"/>
      <c r="N341" s="23"/>
      <c r="O341" s="23"/>
      <c r="P341" s="23"/>
      <c r="Q341" s="23"/>
      <c r="R341" s="23"/>
      <c r="T341" s="102"/>
      <c r="U341" s="102"/>
      <c r="V341" s="102"/>
      <c r="W341" s="102"/>
      <c r="X341" s="102"/>
      <c r="Y341" s="102"/>
      <c r="Z341" s="102"/>
      <c r="AA341" s="102"/>
      <c r="AB341" s="102"/>
      <c r="AC341" s="102"/>
      <c r="AD341" s="102"/>
      <c r="AE341" s="102"/>
      <c r="AF341" s="102"/>
      <c r="AG341" s="102"/>
      <c r="AH341" s="102"/>
      <c r="AI341" s="102"/>
      <c r="AJ341" s="102"/>
      <c r="AK341" s="102"/>
      <c r="AL341" s="102"/>
      <c r="AM341" s="102"/>
      <c r="AN341" s="102"/>
      <c r="AO341" s="102"/>
      <c r="AP341" s="102"/>
      <c r="AQ341" s="102"/>
      <c r="AR341" s="102"/>
      <c r="AS341" s="102"/>
      <c r="AT341" s="102"/>
      <c r="AU341" s="102"/>
      <c r="AV341" s="102"/>
      <c r="AW341" s="102"/>
      <c r="AX341" s="102"/>
      <c r="AY341" s="102"/>
      <c r="AZ341" s="102"/>
      <c r="BA341" s="102"/>
      <c r="BB341" s="102"/>
      <c r="BC341" s="102"/>
      <c r="BD341" s="102"/>
      <c r="BE341" s="102"/>
      <c r="BF341" s="102"/>
      <c r="BG341" s="36"/>
      <c r="BH341" s="36"/>
      <c r="BI341" s="102"/>
      <c r="BJ341" s="102"/>
      <c r="BK341" s="102"/>
      <c r="BL341" s="102"/>
      <c r="BM341" s="102"/>
      <c r="BN341" s="102"/>
      <c r="BO341" s="102"/>
      <c r="BP341" s="102"/>
      <c r="BQ341" s="102"/>
      <c r="BR341" s="102"/>
      <c r="BS341" s="102"/>
      <c r="BT341" s="102"/>
      <c r="BU341" s="102"/>
      <c r="BV341" s="102"/>
      <c r="BW341" s="102"/>
      <c r="BX341" s="102"/>
      <c r="BY341" s="102"/>
      <c r="BZ341" s="102"/>
      <c r="CA341" s="102"/>
      <c r="CB341" s="102"/>
      <c r="CC341" s="102"/>
      <c r="CD341" s="102"/>
      <c r="CE341"/>
      <c r="CG341" s="102"/>
      <c r="CH341" s="102"/>
      <c r="CI341" s="102"/>
      <c r="CJ341" s="102"/>
      <c r="CK341" s="102"/>
      <c r="CL341" s="102"/>
      <c r="CM341" s="102"/>
      <c r="CN341" s="102"/>
      <c r="CO341" s="153"/>
      <c r="CP341" s="153"/>
      <c r="CQ341" s="154"/>
      <c r="CR341" s="154"/>
      <c r="CS341" s="154"/>
      <c r="CT341" s="154"/>
      <c r="CU341" s="102"/>
      <c r="CV341" s="162"/>
      <c r="CW341" s="102"/>
      <c r="CX341" s="102"/>
    </row>
    <row r="342" spans="2:102" x14ac:dyDescent="0.25">
      <c r="B342" s="10" t="s">
        <v>258</v>
      </c>
      <c r="C342" s="10"/>
      <c r="D342" s="10"/>
      <c r="E342" s="10"/>
      <c r="F342" s="10"/>
      <c r="G342" s="10"/>
      <c r="H342" s="10"/>
      <c r="I342" s="10"/>
      <c r="J342" s="10"/>
      <c r="K342" s="10"/>
      <c r="L342" s="10"/>
      <c r="M342" s="10"/>
      <c r="N342" s="10"/>
      <c r="O342" s="10"/>
      <c r="P342" s="10"/>
      <c r="Q342" s="10"/>
      <c r="R342" s="10"/>
      <c r="S342" s="36">
        <f t="shared" ref="S342:BE342" si="468">+S329+S290</f>
        <v>85</v>
      </c>
      <c r="T342" s="36">
        <f t="shared" si="468"/>
        <v>309</v>
      </c>
      <c r="U342" s="36">
        <f t="shared" si="468"/>
        <v>519</v>
      </c>
      <c r="V342" s="36">
        <f t="shared" si="468"/>
        <v>163</v>
      </c>
      <c r="W342" s="36">
        <f t="shared" si="468"/>
        <v>60</v>
      </c>
      <c r="X342" s="36">
        <f t="shared" si="468"/>
        <v>270</v>
      </c>
      <c r="Y342" s="36">
        <f t="shared" si="468"/>
        <v>758</v>
      </c>
      <c r="Z342" s="36">
        <f t="shared" si="468"/>
        <v>212</v>
      </c>
      <c r="AA342" s="36">
        <f t="shared" si="468"/>
        <v>34</v>
      </c>
      <c r="AB342" s="36">
        <f t="shared" si="468"/>
        <v>212</v>
      </c>
      <c r="AC342" s="36">
        <f t="shared" si="468"/>
        <v>985</v>
      </c>
      <c r="AD342" s="36">
        <f t="shared" si="468"/>
        <v>335</v>
      </c>
      <c r="AE342" s="36">
        <f t="shared" si="468"/>
        <v>118</v>
      </c>
      <c r="AF342" s="36">
        <f t="shared" si="468"/>
        <v>243</v>
      </c>
      <c r="AG342" s="36">
        <f t="shared" si="468"/>
        <v>855</v>
      </c>
      <c r="AH342" s="36">
        <f t="shared" si="468"/>
        <v>501</v>
      </c>
      <c r="AI342" s="36">
        <f t="shared" si="468"/>
        <v>38</v>
      </c>
      <c r="AJ342" s="36">
        <f t="shared" si="468"/>
        <v>313</v>
      </c>
      <c r="AK342" s="36">
        <f t="shared" si="468"/>
        <v>693</v>
      </c>
      <c r="AL342" s="36">
        <f t="shared" si="468"/>
        <v>459</v>
      </c>
      <c r="AM342" s="36">
        <f t="shared" si="468"/>
        <v>69</v>
      </c>
      <c r="AN342" s="36">
        <f t="shared" si="468"/>
        <v>335</v>
      </c>
      <c r="AO342" s="36">
        <f t="shared" si="468"/>
        <v>892</v>
      </c>
      <c r="AP342" s="36">
        <f t="shared" si="468"/>
        <v>370</v>
      </c>
      <c r="AQ342" s="36">
        <f t="shared" si="468"/>
        <v>509</v>
      </c>
      <c r="AR342" s="36">
        <f t="shared" si="468"/>
        <v>27</v>
      </c>
      <c r="AS342" s="36">
        <f t="shared" si="468"/>
        <v>1094</v>
      </c>
      <c r="AT342" s="36">
        <f t="shared" si="468"/>
        <v>446</v>
      </c>
      <c r="AU342" s="36">
        <f t="shared" si="468"/>
        <v>294</v>
      </c>
      <c r="AV342" s="36">
        <f t="shared" si="468"/>
        <v>566</v>
      </c>
      <c r="AW342" s="36">
        <f t="shared" si="468"/>
        <v>1124</v>
      </c>
      <c r="AX342" s="36">
        <f t="shared" si="468"/>
        <v>513</v>
      </c>
      <c r="AY342" s="36">
        <f t="shared" si="468"/>
        <v>167</v>
      </c>
      <c r="AZ342" s="36">
        <f t="shared" si="468"/>
        <v>499</v>
      </c>
      <c r="BA342" s="36">
        <f t="shared" si="468"/>
        <v>967</v>
      </c>
      <c r="BB342" s="36">
        <f t="shared" si="468"/>
        <v>595</v>
      </c>
      <c r="BC342" s="36">
        <f t="shared" si="468"/>
        <v>370</v>
      </c>
      <c r="BD342" s="36">
        <f t="shared" si="468"/>
        <v>477</v>
      </c>
      <c r="BE342" s="36">
        <f t="shared" si="468"/>
        <v>974</v>
      </c>
      <c r="BF342" s="36">
        <f>+BF329+BF290</f>
        <v>431</v>
      </c>
      <c r="BG342" s="36">
        <f t="shared" ref="BG342:CD342" si="469">+BG329+BG290</f>
        <v>142</v>
      </c>
      <c r="BH342" s="36">
        <f t="shared" si="469"/>
        <v>691</v>
      </c>
      <c r="BI342" s="36">
        <f>+BI329+BI290</f>
        <v>982.4193426728018</v>
      </c>
      <c r="BJ342" s="36">
        <f t="shared" si="469"/>
        <v>348.09117710717373</v>
      </c>
      <c r="BK342" s="36">
        <f t="shared" si="469"/>
        <v>79.451301538635335</v>
      </c>
      <c r="BL342" s="36">
        <f t="shared" si="469"/>
        <v>692.81492544548803</v>
      </c>
      <c r="BM342" s="36">
        <f t="shared" si="469"/>
        <v>1145.5355119246415</v>
      </c>
      <c r="BN342" s="36">
        <f t="shared" si="469"/>
        <v>342.87392868883239</v>
      </c>
      <c r="BO342" s="36">
        <f t="shared" si="469"/>
        <v>334.09010864416916</v>
      </c>
      <c r="BP342" s="36">
        <f t="shared" si="469"/>
        <v>713.27778767708082</v>
      </c>
      <c r="BQ342" s="36">
        <f t="shared" si="469"/>
        <v>1029.8214641897782</v>
      </c>
      <c r="BR342" s="36">
        <f t="shared" si="469"/>
        <v>362.37374588104137</v>
      </c>
      <c r="BS342" s="36">
        <f t="shared" si="469"/>
        <v>310.29571971423036</v>
      </c>
      <c r="BT342" s="36">
        <f t="shared" si="469"/>
        <v>705.67962389891204</v>
      </c>
      <c r="BU342" s="36">
        <f t="shared" si="469"/>
        <v>1016.1937019426036</v>
      </c>
      <c r="BV342" s="36">
        <f t="shared" si="469"/>
        <v>341.12685775576824</v>
      </c>
      <c r="BW342" s="36">
        <f t="shared" si="469"/>
        <v>321.26998916555544</v>
      </c>
      <c r="BX342" s="36">
        <f t="shared" si="469"/>
        <v>746.35969259568878</v>
      </c>
      <c r="BY342" s="36">
        <f t="shared" si="469"/>
        <v>1067.492991125896</v>
      </c>
      <c r="BZ342" s="36">
        <f t="shared" si="469"/>
        <v>368.68056841095813</v>
      </c>
      <c r="CA342" s="36">
        <f t="shared" si="469"/>
        <v>366.78792891565683</v>
      </c>
      <c r="CB342" s="36">
        <f t="shared" si="469"/>
        <v>816.85616709812757</v>
      </c>
      <c r="CC342" s="36">
        <f t="shared" si="469"/>
        <v>1173.2031184527573</v>
      </c>
      <c r="CD342" s="36">
        <f t="shared" si="469"/>
        <v>441.06711940166656</v>
      </c>
      <c r="CG342" s="29"/>
      <c r="CH342" s="29"/>
      <c r="CI342" s="29"/>
      <c r="CJ342" s="29">
        <f t="shared" ref="CJ342:CX342" si="470">+SUMIFS($S342:$CD342,$S$5:$CD$5,"&lt;="&amp;CJ$5,$S$5:$CD$5,"&gt;"&amp;CI$5)</f>
        <v>1076</v>
      </c>
      <c r="CK342" s="29">
        <f t="shared" si="470"/>
        <v>1300</v>
      </c>
      <c r="CL342" s="29">
        <f t="shared" si="470"/>
        <v>1566</v>
      </c>
      <c r="CM342" s="29">
        <f t="shared" si="470"/>
        <v>1717</v>
      </c>
      <c r="CN342" s="29">
        <f t="shared" si="470"/>
        <v>1503</v>
      </c>
      <c r="CO342" s="29">
        <f t="shared" si="470"/>
        <v>1666</v>
      </c>
      <c r="CP342" s="29">
        <f t="shared" si="470"/>
        <v>2076</v>
      </c>
      <c r="CQ342" s="29">
        <f t="shared" si="470"/>
        <v>2497</v>
      </c>
      <c r="CR342" s="29">
        <f t="shared" si="470"/>
        <v>2228</v>
      </c>
      <c r="CS342" s="29">
        <f t="shared" si="470"/>
        <v>2252</v>
      </c>
      <c r="CT342" s="97">
        <f t="shared" si="470"/>
        <v>2163.5105197799758</v>
      </c>
      <c r="CU342" s="97">
        <f t="shared" si="470"/>
        <v>2260.6756675975976</v>
      </c>
      <c r="CV342" s="97">
        <f t="shared" si="470"/>
        <v>2439.5631063920696</v>
      </c>
      <c r="CW342" s="97">
        <f t="shared" si="470"/>
        <v>2373.2959033115139</v>
      </c>
      <c r="CX342" s="97">
        <f t="shared" si="470"/>
        <v>2503.8032412980983</v>
      </c>
    </row>
    <row r="343" spans="2:102" x14ac:dyDescent="0.25">
      <c r="B343" s="37" t="s">
        <v>243</v>
      </c>
      <c r="C343" s="37"/>
      <c r="D343" s="37"/>
      <c r="E343" s="37"/>
      <c r="F343" s="37"/>
      <c r="G343" s="37"/>
      <c r="H343" s="37"/>
      <c r="I343" s="37"/>
      <c r="J343" s="37"/>
      <c r="K343" s="37"/>
      <c r="L343" s="37"/>
      <c r="M343" s="37"/>
      <c r="N343" s="37"/>
      <c r="O343" s="37"/>
      <c r="P343" s="37"/>
      <c r="Q343" s="37"/>
      <c r="R343" s="37"/>
      <c r="S343" s="82">
        <f t="shared" ref="S343:CD343" si="471">+(S342/S$259)</f>
        <v>0.10967741935483871</v>
      </c>
      <c r="T343" s="82">
        <f t="shared" si="471"/>
        <v>0.25327868852459018</v>
      </c>
      <c r="U343" s="82">
        <f t="shared" si="471"/>
        <v>0.36344537815126049</v>
      </c>
      <c r="V343" s="82">
        <f t="shared" si="471"/>
        <v>0.18191964285714285</v>
      </c>
      <c r="W343" s="82">
        <f t="shared" si="471"/>
        <v>8.6580086580086577E-2</v>
      </c>
      <c r="X343" s="82">
        <f t="shared" si="471"/>
        <v>0.2356020942408377</v>
      </c>
      <c r="Y343" s="82">
        <f t="shared" si="471"/>
        <v>0.42041042706600112</v>
      </c>
      <c r="Z343" s="82">
        <f t="shared" si="471"/>
        <v>0.22943722943722944</v>
      </c>
      <c r="AA343" s="82">
        <f t="shared" si="471"/>
        <v>4.9853372434017593E-2</v>
      </c>
      <c r="AB343" s="82">
        <f t="shared" si="471"/>
        <v>0.19307832422586521</v>
      </c>
      <c r="AC343" s="82">
        <f t="shared" si="471"/>
        <v>0.47584541062801933</v>
      </c>
      <c r="AD343" s="82">
        <f t="shared" si="471"/>
        <v>0.3067765567765568</v>
      </c>
      <c r="AE343" s="82">
        <f t="shared" si="471"/>
        <v>0.15225806451612903</v>
      </c>
      <c r="AF343" s="82">
        <f t="shared" si="471"/>
        <v>0.20610687022900764</v>
      </c>
      <c r="AG343" s="82">
        <f t="shared" si="471"/>
        <v>0.43378995433789952</v>
      </c>
      <c r="AH343" s="82">
        <f t="shared" si="471"/>
        <v>0.39920318725099602</v>
      </c>
      <c r="AI343" s="82">
        <f t="shared" si="471"/>
        <v>4.7619047619047616E-2</v>
      </c>
      <c r="AJ343" s="82">
        <f t="shared" si="471"/>
        <v>0.24723538704581358</v>
      </c>
      <c r="AK343" s="82">
        <f t="shared" si="471"/>
        <v>0.41822570911285456</v>
      </c>
      <c r="AL343" s="82">
        <f t="shared" si="471"/>
        <v>0.3253012048192771</v>
      </c>
      <c r="AM343" s="82">
        <f t="shared" si="471"/>
        <v>8.8235294117647065E-2</v>
      </c>
      <c r="AN343" s="82">
        <f t="shared" si="471"/>
        <v>0.25514089870525514</v>
      </c>
      <c r="AO343" s="82">
        <f t="shared" si="471"/>
        <v>0.44136566056407717</v>
      </c>
      <c r="AP343" s="82">
        <f t="shared" si="471"/>
        <v>0.29458598726114649</v>
      </c>
      <c r="AQ343" s="82">
        <f t="shared" si="471"/>
        <v>0.36618705035971222</v>
      </c>
      <c r="AR343" s="82">
        <f t="shared" si="471"/>
        <v>2.9670329670329669E-2</v>
      </c>
      <c r="AS343" s="82">
        <f t="shared" si="471"/>
        <v>0.45583333333333331</v>
      </c>
      <c r="AT343" s="82">
        <f t="shared" si="471"/>
        <v>0.29932885906040269</v>
      </c>
      <c r="AU343" s="82">
        <f t="shared" si="471"/>
        <v>0.22005988023952097</v>
      </c>
      <c r="AV343" s="82">
        <f t="shared" si="471"/>
        <v>0.30578065910318747</v>
      </c>
      <c r="AW343" s="82">
        <f t="shared" si="471"/>
        <v>0.43616608459448969</v>
      </c>
      <c r="AX343" s="82">
        <f t="shared" si="471"/>
        <v>0.29297544260422614</v>
      </c>
      <c r="AY343" s="82">
        <f t="shared" si="471"/>
        <v>0.12856043110084681</v>
      </c>
      <c r="AZ343" s="82">
        <f t="shared" si="471"/>
        <v>0.2844925883694413</v>
      </c>
      <c r="BA343" s="82">
        <f t="shared" si="471"/>
        <v>0.41289496157130656</v>
      </c>
      <c r="BB343" s="82">
        <f t="shared" si="471"/>
        <v>0.30575539568345322</v>
      </c>
      <c r="BC343" s="82">
        <f t="shared" si="471"/>
        <v>0.23447401774397972</v>
      </c>
      <c r="BD343" s="82">
        <f t="shared" si="471"/>
        <v>0.2620879120879121</v>
      </c>
      <c r="BE343" s="82">
        <f t="shared" si="471"/>
        <v>0.41166525781910396</v>
      </c>
      <c r="BF343" s="82">
        <f t="shared" si="471"/>
        <v>0.258703481392557</v>
      </c>
      <c r="BG343" s="82">
        <f t="shared" si="471"/>
        <v>0.11251980982567353</v>
      </c>
      <c r="BH343" s="82">
        <f t="shared" si="471"/>
        <v>0.33237133237133237</v>
      </c>
      <c r="BI343" s="82">
        <f t="shared" si="471"/>
        <v>0.42049231968372525</v>
      </c>
      <c r="BJ343" s="82">
        <f t="shared" si="471"/>
        <v>0.21830806361771446</v>
      </c>
      <c r="BK343" s="82">
        <f t="shared" si="471"/>
        <v>6.4803895603815609E-2</v>
      </c>
      <c r="BL343" s="82">
        <f t="shared" si="471"/>
        <v>0.32319123724908255</v>
      </c>
      <c r="BM343" s="82">
        <f t="shared" si="471"/>
        <v>0.44405425021958167</v>
      </c>
      <c r="BN343" s="82">
        <f t="shared" si="471"/>
        <v>0.21167540333095375</v>
      </c>
      <c r="BO343" s="82">
        <f t="shared" si="471"/>
        <v>0.21262354024015009</v>
      </c>
      <c r="BP343" s="82">
        <f t="shared" si="471"/>
        <v>0.3245914545678858</v>
      </c>
      <c r="BQ343" s="82">
        <f t="shared" si="471"/>
        <v>0.41830971445966325</v>
      </c>
      <c r="BR343" s="82">
        <f t="shared" si="471"/>
        <v>0.2166440074271454</v>
      </c>
      <c r="BS343" s="82">
        <f t="shared" si="471"/>
        <v>0.19709838905288968</v>
      </c>
      <c r="BT343" s="82">
        <f t="shared" si="471"/>
        <v>0.3172982526518745</v>
      </c>
      <c r="BU343" s="82">
        <f t="shared" si="471"/>
        <v>0.40984390501437173</v>
      </c>
      <c r="BV343" s="82">
        <f t="shared" si="471"/>
        <v>0.20290882401171328</v>
      </c>
      <c r="BW343" s="82">
        <f t="shared" si="471"/>
        <v>0.19847109673637781</v>
      </c>
      <c r="BX343" s="82">
        <f t="shared" si="471"/>
        <v>0.3265753916741358</v>
      </c>
      <c r="BY343" s="82">
        <f t="shared" si="471"/>
        <v>0.41672495986018054</v>
      </c>
      <c r="BZ343" s="82">
        <f t="shared" si="471"/>
        <v>0.21149720751010645</v>
      </c>
      <c r="CA343" s="82">
        <f t="shared" si="471"/>
        <v>0.22017143619173132</v>
      </c>
      <c r="CB343" s="82">
        <f t="shared" si="471"/>
        <v>0.34755162083347457</v>
      </c>
      <c r="CC343" s="82">
        <f t="shared" si="471"/>
        <v>0.44300737059054901</v>
      </c>
      <c r="CD343" s="82">
        <f t="shared" si="471"/>
        <v>0.2438468130599156</v>
      </c>
      <c r="CG343" s="82"/>
      <c r="CH343" s="82"/>
      <c r="CI343" s="82"/>
      <c r="CJ343" s="82">
        <f t="shared" ref="CJ343:CX343" si="472">+(CJ342/CJ$259)</f>
        <v>0.24913174345913405</v>
      </c>
      <c r="CK343" s="82">
        <f t="shared" si="472"/>
        <v>0.28471309680245294</v>
      </c>
      <c r="CL343" s="82">
        <f t="shared" si="472"/>
        <v>0.31687575880210439</v>
      </c>
      <c r="CM343" s="82">
        <f t="shared" si="472"/>
        <v>0.33146718146718146</v>
      </c>
      <c r="CN343" s="82">
        <f t="shared" si="472"/>
        <v>0.29286827747466876</v>
      </c>
      <c r="CO343" s="82">
        <f t="shared" si="472"/>
        <v>0.310126582278481</v>
      </c>
      <c r="CP343" s="82">
        <f t="shared" si="472"/>
        <v>0.33537964458804526</v>
      </c>
      <c r="CQ343" s="82">
        <f>+(CQ342/CQ$259)</f>
        <v>0.33226879574184964</v>
      </c>
      <c r="CR343" s="82">
        <f t="shared" si="472"/>
        <v>0.30350088543795123</v>
      </c>
      <c r="CS343" s="82">
        <f t="shared" si="472"/>
        <v>0.30309555854643339</v>
      </c>
      <c r="CT343" s="108">
        <f t="shared" si="472"/>
        <v>0.2975185722904668</v>
      </c>
      <c r="CU343" s="108">
        <f t="shared" si="472"/>
        <v>0.29866672896225754</v>
      </c>
      <c r="CV343" s="108">
        <f t="shared" si="472"/>
        <v>0.30867763865023379</v>
      </c>
      <c r="CW343" s="108">
        <f t="shared" si="472"/>
        <v>0.2981904652682002</v>
      </c>
      <c r="CX343" s="108">
        <f t="shared" si="472"/>
        <v>0.30500873692446329</v>
      </c>
    </row>
    <row r="344" spans="2:102" x14ac:dyDescent="0.25">
      <c r="B344" s="37" t="s">
        <v>245</v>
      </c>
      <c r="C344" s="37"/>
      <c r="D344" s="37"/>
      <c r="E344" s="37"/>
      <c r="F344" s="37"/>
      <c r="G344" s="37"/>
      <c r="H344" s="37"/>
      <c r="I344" s="37"/>
      <c r="J344" s="37"/>
      <c r="K344" s="37"/>
      <c r="L344" s="37"/>
      <c r="M344" s="37"/>
      <c r="N344" s="37"/>
      <c r="O344" s="37"/>
      <c r="P344" s="37"/>
      <c r="Q344" s="37"/>
      <c r="R344" s="37"/>
      <c r="W344" s="163">
        <f>+(W343-S343)*10^4</f>
        <v>-230.97332774752135</v>
      </c>
      <c r="X344" s="163">
        <f t="shared" ref="X344:BB344" si="473">+(X343-T343)*10^4</f>
        <v>-176.76594283752485</v>
      </c>
      <c r="Y344" s="163">
        <f t="shared" si="473"/>
        <v>569.65048914740635</v>
      </c>
      <c r="Z344" s="163">
        <f t="shared" si="473"/>
        <v>475.17586580086589</v>
      </c>
      <c r="AA344" s="163">
        <f t="shared" si="473"/>
        <v>-367.26714146068986</v>
      </c>
      <c r="AB344" s="163">
        <f t="shared" si="473"/>
        <v>-425.23770014972484</v>
      </c>
      <c r="AC344" s="163">
        <f t="shared" si="473"/>
        <v>554.34983562018203</v>
      </c>
      <c r="AD344" s="163">
        <f t="shared" si="473"/>
        <v>773.3932733932736</v>
      </c>
      <c r="AE344" s="163">
        <f t="shared" si="473"/>
        <v>1024.0469208211143</v>
      </c>
      <c r="AF344" s="163">
        <f t="shared" si="473"/>
        <v>130.28546003142432</v>
      </c>
      <c r="AG344" s="163">
        <f t="shared" si="473"/>
        <v>-420.5545629011981</v>
      </c>
      <c r="AH344" s="163">
        <f t="shared" si="473"/>
        <v>924.26630474439219</v>
      </c>
      <c r="AI344" s="163">
        <f t="shared" si="473"/>
        <v>-1046.3901689708141</v>
      </c>
      <c r="AJ344" s="163">
        <f t="shared" si="473"/>
        <v>411.28516816805933</v>
      </c>
      <c r="AK344" s="163">
        <f t="shared" si="473"/>
        <v>-155.64245225044959</v>
      </c>
      <c r="AL344" s="163">
        <f t="shared" si="473"/>
        <v>-739.0198243171892</v>
      </c>
      <c r="AM344" s="163">
        <f t="shared" si="473"/>
        <v>406.16246498599446</v>
      </c>
      <c r="AN344" s="163">
        <f t="shared" si="473"/>
        <v>79.055116594415608</v>
      </c>
      <c r="AO344" s="163">
        <f t="shared" si="473"/>
        <v>231.39951451222606</v>
      </c>
      <c r="AP344" s="163">
        <f t="shared" si="473"/>
        <v>-307.15217558130615</v>
      </c>
      <c r="AQ344" s="163">
        <f t="shared" si="473"/>
        <v>2779.5175624206513</v>
      </c>
      <c r="AR344" s="163">
        <f t="shared" si="473"/>
        <v>-2254.7056903492548</v>
      </c>
      <c r="AS344" s="163">
        <f t="shared" si="473"/>
        <v>144.67672769256146</v>
      </c>
      <c r="AT344" s="163">
        <f t="shared" si="473"/>
        <v>47.428717992561985</v>
      </c>
      <c r="AU344" s="163">
        <f t="shared" si="473"/>
        <v>-1461.2717012019125</v>
      </c>
      <c r="AV344" s="163">
        <f t="shared" si="473"/>
        <v>2761.1032943285777</v>
      </c>
      <c r="AW344" s="163">
        <f t="shared" si="473"/>
        <v>-196.67248738843622</v>
      </c>
      <c r="AX344" s="163">
        <f t="shared" si="473"/>
        <v>-63.534164561765415</v>
      </c>
      <c r="AY344" s="163">
        <f t="shared" si="473"/>
        <v>-914.99449138674163</v>
      </c>
      <c r="AZ344" s="163">
        <f t="shared" si="473"/>
        <v>-212.88070733746167</v>
      </c>
      <c r="BA344" s="163">
        <f t="shared" si="473"/>
        <v>-232.71123023183128</v>
      </c>
      <c r="BB344" s="163">
        <f t="shared" si="473"/>
        <v>127.7995307922708</v>
      </c>
      <c r="BC344" s="163">
        <f>+(BC343-AY343)*10^4</f>
        <v>1059.1358664313291</v>
      </c>
      <c r="BD344" s="163">
        <f t="shared" ref="BD344:BF344" si="474">+(BD343-AZ343)*10^4</f>
        <v>-224.046762815292</v>
      </c>
      <c r="BE344" s="163">
        <f t="shared" si="474"/>
        <v>-12.297037522026045</v>
      </c>
      <c r="BF344" s="163">
        <f t="shared" si="474"/>
        <v>-470.51914290896224</v>
      </c>
      <c r="BG344" s="163">
        <f>+(BG343-BC343)*10^4</f>
        <v>-1219.5420791830618</v>
      </c>
      <c r="BH344" s="163">
        <f t="shared" ref="BH344" si="475">+(BH343-BD343)*10^4</f>
        <v>702.83420283420276</v>
      </c>
      <c r="BI344" s="163">
        <f>+(BI343-BE343)*10^4</f>
        <v>88.270618646212881</v>
      </c>
      <c r="BJ344" s="163">
        <f t="shared" ref="BJ344:BL344" si="476">+(BJ343-BF343)*10^4</f>
        <v>-403.95417774842542</v>
      </c>
      <c r="BK344" s="163">
        <f t="shared" si="476"/>
        <v>-477.15914221857918</v>
      </c>
      <c r="BL344" s="163">
        <f t="shared" si="476"/>
        <v>-91.800951222498213</v>
      </c>
      <c r="BM344" s="163">
        <f>+(BM343-BI343)*10^4</f>
        <v>235.61930535856425</v>
      </c>
      <c r="BN344" s="163">
        <f t="shared" ref="BN344:BV344" si="477">+(BN343-BJ343)*10^4</f>
        <v>-66.326602867607107</v>
      </c>
      <c r="BO344" s="163">
        <f t="shared" si="477"/>
        <v>1478.1964463633449</v>
      </c>
      <c r="BP344" s="163">
        <f t="shared" si="477"/>
        <v>14.00217318803243</v>
      </c>
      <c r="BQ344" s="163">
        <f t="shared" si="477"/>
        <v>-257.44535759918421</v>
      </c>
      <c r="BR344" s="163">
        <f t="shared" si="477"/>
        <v>49.686040961916532</v>
      </c>
      <c r="BS344" s="163">
        <f t="shared" si="477"/>
        <v>-155.25151187260417</v>
      </c>
      <c r="BT344" s="163">
        <f t="shared" si="477"/>
        <v>-72.932019160112944</v>
      </c>
      <c r="BU344" s="163">
        <f t="shared" si="477"/>
        <v>-84.658094452915165</v>
      </c>
      <c r="BV344" s="163">
        <f t="shared" si="477"/>
        <v>-137.35183415432118</v>
      </c>
      <c r="BW344" s="163">
        <f t="shared" ref="BW344:CD344" si="478">+(BW343-BO343)*10^4</f>
        <v>-141.5244350377229</v>
      </c>
      <c r="BX344" s="163">
        <f t="shared" si="478"/>
        <v>19.8393710625</v>
      </c>
      <c r="BY344" s="163">
        <f t="shared" si="478"/>
        <v>-15.847545994827072</v>
      </c>
      <c r="BZ344" s="163">
        <f t="shared" si="478"/>
        <v>-51.467999170389525</v>
      </c>
      <c r="CA344" s="163">
        <f t="shared" si="478"/>
        <v>230.73047138841645</v>
      </c>
      <c r="CB344" s="163">
        <f t="shared" si="478"/>
        <v>302.53368181600069</v>
      </c>
      <c r="CC344" s="163">
        <f t="shared" si="478"/>
        <v>331.63465576177276</v>
      </c>
      <c r="CD344" s="163">
        <f t="shared" si="478"/>
        <v>409.37989048202309</v>
      </c>
      <c r="CG344" s="82"/>
      <c r="CH344" s="82"/>
      <c r="CI344" s="158"/>
      <c r="CJ344" s="159">
        <f>+(CJ343-CI343)*10^4</f>
        <v>2491.3174345913403</v>
      </c>
      <c r="CK344" s="159">
        <f>+(CK343-CJ343)*10^4</f>
        <v>355.81353343318881</v>
      </c>
      <c r="CL344" s="159">
        <f t="shared" ref="CL344:CP344" si="479">+(CL343-CK343)*10^4</f>
        <v>321.62661999651453</v>
      </c>
      <c r="CM344" s="159">
        <f t="shared" si="479"/>
        <v>145.9142266507707</v>
      </c>
      <c r="CN344" s="159">
        <f t="shared" si="479"/>
        <v>-385.98903992512703</v>
      </c>
      <c r="CO344" s="159">
        <f t="shared" si="479"/>
        <v>172.5830480381224</v>
      </c>
      <c r="CP344" s="159">
        <f t="shared" si="479"/>
        <v>252.53062309564257</v>
      </c>
      <c r="CQ344" s="159">
        <f>+(CQ343-CP343)*10^4</f>
        <v>-31.108488461956128</v>
      </c>
      <c r="CR344" s="159">
        <f>+(CR343-CQ343)*10^4</f>
        <v>-287.67910303898412</v>
      </c>
      <c r="CS344" s="159">
        <f t="shared" ref="CS344:CX344" si="480">+(CS343-CR343)*10^4</f>
        <v>-4.0532689151784318</v>
      </c>
      <c r="CT344" s="159">
        <f t="shared" si="480"/>
        <v>-55.769862559665874</v>
      </c>
      <c r="CU344" s="159">
        <f t="shared" si="480"/>
        <v>11.481566717907455</v>
      </c>
      <c r="CV344" s="159">
        <f t="shared" si="480"/>
        <v>100.10909687976243</v>
      </c>
      <c r="CW344" s="159">
        <f t="shared" si="480"/>
        <v>-104.87173382033588</v>
      </c>
      <c r="CX344" s="159">
        <f t="shared" si="480"/>
        <v>68.182716562630858</v>
      </c>
    </row>
    <row r="345" spans="2:102" x14ac:dyDescent="0.25">
      <c r="B345" s="37" t="s">
        <v>170</v>
      </c>
      <c r="C345" s="37"/>
      <c r="D345" s="37"/>
      <c r="E345" s="37"/>
      <c r="F345" s="37"/>
      <c r="G345" s="37"/>
      <c r="H345" s="37"/>
      <c r="I345" s="37"/>
      <c r="J345" s="37"/>
      <c r="K345" s="37"/>
      <c r="L345" s="37"/>
      <c r="M345" s="37"/>
      <c r="N345" s="37"/>
      <c r="O345" s="37"/>
      <c r="P345" s="37"/>
      <c r="Q345" s="37"/>
      <c r="R345" s="37"/>
      <c r="W345" s="82">
        <f>+IFERROR(W342/S342-1,"")</f>
        <v>-0.29411764705882348</v>
      </c>
      <c r="X345" s="82">
        <f t="shared" ref="X345:BB345" si="481">+IFERROR(X342/T342-1,"")</f>
        <v>-0.12621359223300976</v>
      </c>
      <c r="Y345" s="82">
        <f t="shared" si="481"/>
        <v>0.46050096339113678</v>
      </c>
      <c r="Z345" s="82">
        <f t="shared" si="481"/>
        <v>0.30061349693251538</v>
      </c>
      <c r="AA345" s="82">
        <f t="shared" si="481"/>
        <v>-0.43333333333333335</v>
      </c>
      <c r="AB345" s="82">
        <f t="shared" si="481"/>
        <v>-0.21481481481481479</v>
      </c>
      <c r="AC345" s="82">
        <f t="shared" si="481"/>
        <v>0.29947229551451193</v>
      </c>
      <c r="AD345" s="82">
        <f t="shared" si="481"/>
        <v>0.58018867924528306</v>
      </c>
      <c r="AE345" s="82">
        <f t="shared" si="481"/>
        <v>2.4705882352941178</v>
      </c>
      <c r="AF345" s="82">
        <f t="shared" si="481"/>
        <v>0.14622641509433953</v>
      </c>
      <c r="AG345" s="82">
        <f t="shared" si="481"/>
        <v>-0.13197969543147203</v>
      </c>
      <c r="AH345" s="82">
        <f t="shared" si="481"/>
        <v>0.4955223880597015</v>
      </c>
      <c r="AI345" s="82">
        <f t="shared" si="481"/>
        <v>-0.67796610169491522</v>
      </c>
      <c r="AJ345" s="82">
        <f t="shared" si="481"/>
        <v>0.2880658436213992</v>
      </c>
      <c r="AK345" s="82">
        <f t="shared" si="481"/>
        <v>-0.18947368421052635</v>
      </c>
      <c r="AL345" s="82">
        <f t="shared" si="481"/>
        <v>-8.3832335329341312E-2</v>
      </c>
      <c r="AM345" s="82">
        <f t="shared" si="481"/>
        <v>0.81578947368421062</v>
      </c>
      <c r="AN345" s="82">
        <f t="shared" si="481"/>
        <v>7.0287539936102261E-2</v>
      </c>
      <c r="AO345" s="82">
        <f t="shared" si="481"/>
        <v>0.28715728715728717</v>
      </c>
      <c r="AP345" s="82">
        <f t="shared" si="481"/>
        <v>-0.1938997821350763</v>
      </c>
      <c r="AQ345" s="82">
        <f t="shared" si="481"/>
        <v>6.3768115942028984</v>
      </c>
      <c r="AR345" s="82">
        <f t="shared" si="481"/>
        <v>-0.91940298507462681</v>
      </c>
      <c r="AS345" s="82">
        <f t="shared" si="481"/>
        <v>0.22645739910313911</v>
      </c>
      <c r="AT345" s="82">
        <f t="shared" si="481"/>
        <v>0.20540540540540531</v>
      </c>
      <c r="AU345" s="82">
        <f t="shared" si="481"/>
        <v>-0.42239685658153237</v>
      </c>
      <c r="AV345" s="82">
        <f t="shared" si="481"/>
        <v>19.962962962962962</v>
      </c>
      <c r="AW345" s="82">
        <f t="shared" si="481"/>
        <v>2.7422303473491727E-2</v>
      </c>
      <c r="AX345" s="82">
        <f t="shared" si="481"/>
        <v>0.15022421524663687</v>
      </c>
      <c r="AY345" s="82">
        <f t="shared" si="481"/>
        <v>-0.43197278911564629</v>
      </c>
      <c r="AZ345" s="82">
        <f t="shared" si="481"/>
        <v>-0.11837455830388688</v>
      </c>
      <c r="BA345" s="82">
        <f t="shared" si="481"/>
        <v>-0.13967971530249113</v>
      </c>
      <c r="BB345" s="82">
        <f t="shared" si="481"/>
        <v>0.15984405458089679</v>
      </c>
      <c r="BC345" s="82">
        <f>+IFERROR(BC342/AY342-1,"")</f>
        <v>1.215568862275449</v>
      </c>
      <c r="BD345" s="82">
        <f t="shared" ref="BD345:BF345" si="482">+IFERROR(BD342/AZ342-1,"")</f>
        <v>-4.4088176352705455E-2</v>
      </c>
      <c r="BE345" s="82">
        <f t="shared" si="482"/>
        <v>7.2388831437435464E-3</v>
      </c>
      <c r="BF345" s="82">
        <f t="shared" si="482"/>
        <v>-0.27563025210084036</v>
      </c>
      <c r="BG345" s="82">
        <f>+IFERROR(BG342/BC342-1,"")</f>
        <v>-0.61621621621621614</v>
      </c>
      <c r="BH345" s="82">
        <f t="shared" ref="BH345" si="483">+IFERROR(BH342/BD342-1,"")</f>
        <v>0.44863731656184491</v>
      </c>
      <c r="BI345" s="82">
        <f>+IFERROR(BI342/BE342-1,"")</f>
        <v>8.6440889864494164E-3</v>
      </c>
      <c r="BJ345" s="82">
        <f t="shared" ref="BJ345:BL345" si="484">+IFERROR(BJ342/BF342-1,"")</f>
        <v>-0.19236385822001456</v>
      </c>
      <c r="BK345" s="82">
        <f t="shared" si="484"/>
        <v>-0.44048379198144127</v>
      </c>
      <c r="BL345" s="82">
        <f t="shared" si="484"/>
        <v>2.6265201816035866E-3</v>
      </c>
      <c r="BM345" s="82">
        <f>+IFERROR(BM342/BI342-1,"")</f>
        <v>0.16603517679941082</v>
      </c>
      <c r="BN345" s="82">
        <f t="shared" ref="BN345:BV345" si="485">+IFERROR(BN342/BJ342-1,"")</f>
        <v>-1.4988166208921183E-2</v>
      </c>
      <c r="BO345" s="82">
        <f t="shared" si="485"/>
        <v>3.2049670952427238</v>
      </c>
      <c r="BP345" s="82">
        <f t="shared" si="485"/>
        <v>2.9535827650414737E-2</v>
      </c>
      <c r="BQ345" s="82">
        <f t="shared" si="485"/>
        <v>-0.10101306029391377</v>
      </c>
      <c r="BR345" s="82">
        <f t="shared" si="485"/>
        <v>5.6871682448348615E-2</v>
      </c>
      <c r="BS345" s="82">
        <f t="shared" si="485"/>
        <v>-7.1221470837622425E-2</v>
      </c>
      <c r="BT345" s="82">
        <f t="shared" si="485"/>
        <v>-1.0652460947807696E-2</v>
      </c>
      <c r="BU345" s="82">
        <f t="shared" si="485"/>
        <v>-1.3233130907692181E-2</v>
      </c>
      <c r="BV345" s="82">
        <f t="shared" si="485"/>
        <v>-5.8632526132972096E-2</v>
      </c>
      <c r="BW345" s="82">
        <f t="shared" ref="BW345:CD345" si="486">+IFERROR(BW342/BO342-1,"")</f>
        <v>-3.8373238676958521E-2</v>
      </c>
      <c r="BX345" s="82">
        <f t="shared" si="486"/>
        <v>4.638011373709694E-2</v>
      </c>
      <c r="BY345" s="82">
        <f t="shared" si="486"/>
        <v>3.658063872824413E-2</v>
      </c>
      <c r="BZ345" s="82">
        <f t="shared" si="486"/>
        <v>1.7404192775011706E-2</v>
      </c>
      <c r="CA345" s="82">
        <f t="shared" si="486"/>
        <v>0.18205926028710118</v>
      </c>
      <c r="CB345" s="82">
        <f t="shared" si="486"/>
        <v>0.15754534980755164</v>
      </c>
      <c r="CC345" s="82">
        <f t="shared" si="486"/>
        <v>0.1545073702090527</v>
      </c>
      <c r="CD345" s="82">
        <f t="shared" si="486"/>
        <v>0.29297095603492807</v>
      </c>
      <c r="CG345" s="82"/>
      <c r="CH345" s="82"/>
      <c r="CI345" s="82"/>
      <c r="CJ345" s="82" t="str">
        <f>+IFERROR(CJ342/CI342-1,"")</f>
        <v/>
      </c>
      <c r="CK345" s="82">
        <f t="shared" ref="CK345:CP345" si="487">+IFERROR(CK342/CJ342-1,"")</f>
        <v>0.20817843866171004</v>
      </c>
      <c r="CL345" s="82">
        <f t="shared" si="487"/>
        <v>0.20461538461538464</v>
      </c>
      <c r="CM345" s="82">
        <f t="shared" si="487"/>
        <v>9.6424010217113665E-2</v>
      </c>
      <c r="CN345" s="82">
        <f t="shared" si="487"/>
        <v>-0.12463599301106576</v>
      </c>
      <c r="CO345" s="82">
        <f t="shared" si="487"/>
        <v>0.10844976713240184</v>
      </c>
      <c r="CP345" s="82">
        <f t="shared" si="487"/>
        <v>0.24609843937575038</v>
      </c>
      <c r="CQ345" s="82">
        <f>+IFERROR(CQ342/CP342-1,"")</f>
        <v>0.20279383429672437</v>
      </c>
      <c r="CR345" s="82">
        <f>+IFERROR(CR342/CQ342-1,"")</f>
        <v>-0.10772927513015618</v>
      </c>
      <c r="CS345" s="82">
        <f t="shared" ref="CS345:CX345" si="488">+IFERROR(CS342/CR342-1,"")</f>
        <v>1.0771992818671361E-2</v>
      </c>
      <c r="CT345" s="108">
        <f t="shared" si="488"/>
        <v>-3.9293730115463665E-2</v>
      </c>
      <c r="CU345" s="108">
        <f t="shared" si="488"/>
        <v>4.4910873753229108E-2</v>
      </c>
      <c r="CV345" s="108">
        <f t="shared" si="488"/>
        <v>7.9130076621992451E-2</v>
      </c>
      <c r="CW345" s="108">
        <f t="shared" si="488"/>
        <v>-2.7163553550602737E-2</v>
      </c>
      <c r="CX345" s="108">
        <f t="shared" si="488"/>
        <v>5.4989914154608632E-2</v>
      </c>
    </row>
    <row r="346" spans="2:102" x14ac:dyDescent="0.25">
      <c r="B346" s="37" t="s">
        <v>218</v>
      </c>
      <c r="C346" s="37"/>
      <c r="D346" s="37"/>
      <c r="E346" s="37"/>
      <c r="F346" s="37"/>
      <c r="G346" s="37"/>
      <c r="H346" s="37"/>
      <c r="I346" s="37"/>
      <c r="J346" s="37"/>
      <c r="K346" s="37"/>
      <c r="L346" s="37"/>
      <c r="M346" s="37"/>
      <c r="N346" s="37"/>
      <c r="O346" s="37"/>
      <c r="P346" s="37"/>
      <c r="Q346" s="37"/>
      <c r="R346" s="37"/>
      <c r="T346" s="82">
        <f>+T342/S342-1</f>
        <v>2.6352941176470588</v>
      </c>
      <c r="U346" s="82">
        <f t="shared" ref="U346:BV346" si="489">+U342/T342-1</f>
        <v>0.67961165048543681</v>
      </c>
      <c r="V346" s="82">
        <f t="shared" si="489"/>
        <v>-0.68593448940269752</v>
      </c>
      <c r="W346" s="82">
        <f t="shared" si="489"/>
        <v>-0.63190184049079756</v>
      </c>
      <c r="X346" s="82">
        <f t="shared" si="489"/>
        <v>3.5</v>
      </c>
      <c r="Y346" s="82">
        <f t="shared" si="489"/>
        <v>1.8074074074074074</v>
      </c>
      <c r="Z346" s="82">
        <f t="shared" si="489"/>
        <v>-0.72031662269129293</v>
      </c>
      <c r="AA346" s="82">
        <f t="shared" si="489"/>
        <v>-0.839622641509434</v>
      </c>
      <c r="AB346" s="82">
        <f t="shared" si="489"/>
        <v>5.2352941176470589</v>
      </c>
      <c r="AC346" s="82">
        <f t="shared" si="489"/>
        <v>3.6462264150943398</v>
      </c>
      <c r="AD346" s="82">
        <f t="shared" si="489"/>
        <v>-0.65989847715736039</v>
      </c>
      <c r="AE346" s="82">
        <f t="shared" si="489"/>
        <v>-0.64776119402985077</v>
      </c>
      <c r="AF346" s="82">
        <f t="shared" si="489"/>
        <v>1.0593220338983049</v>
      </c>
      <c r="AG346" s="82">
        <f t="shared" si="489"/>
        <v>2.5185185185185186</v>
      </c>
      <c r="AH346" s="82">
        <f t="shared" si="489"/>
        <v>-0.4140350877192982</v>
      </c>
      <c r="AI346" s="82">
        <f t="shared" si="489"/>
        <v>-0.92415169660678642</v>
      </c>
      <c r="AJ346" s="82">
        <f t="shared" si="489"/>
        <v>7.2368421052631575</v>
      </c>
      <c r="AK346" s="82">
        <f t="shared" si="489"/>
        <v>1.2140575079872202</v>
      </c>
      <c r="AL346" s="82">
        <f t="shared" si="489"/>
        <v>-0.33766233766233766</v>
      </c>
      <c r="AM346" s="82">
        <f t="shared" si="489"/>
        <v>-0.84967320261437906</v>
      </c>
      <c r="AN346" s="82">
        <f t="shared" si="489"/>
        <v>3.8550724637681162</v>
      </c>
      <c r="AO346" s="82">
        <f t="shared" si="489"/>
        <v>1.6626865671641791</v>
      </c>
      <c r="AP346" s="82">
        <f t="shared" si="489"/>
        <v>-0.58520179372197312</v>
      </c>
      <c r="AQ346" s="82">
        <f t="shared" si="489"/>
        <v>0.37567567567567561</v>
      </c>
      <c r="AR346" s="82">
        <f t="shared" si="489"/>
        <v>-0.94695481335952847</v>
      </c>
      <c r="AS346" s="82">
        <f t="shared" si="489"/>
        <v>39.518518518518519</v>
      </c>
      <c r="AT346" s="82">
        <f t="shared" si="489"/>
        <v>-0.59232175502742224</v>
      </c>
      <c r="AU346" s="82">
        <f t="shared" si="489"/>
        <v>-0.34080717488789236</v>
      </c>
      <c r="AV346" s="82">
        <f t="shared" si="489"/>
        <v>0.9251700680272108</v>
      </c>
      <c r="AW346" s="82">
        <f t="shared" si="489"/>
        <v>0.98586572438162534</v>
      </c>
      <c r="AX346" s="82">
        <f t="shared" si="489"/>
        <v>-0.54359430604982206</v>
      </c>
      <c r="AY346" s="82">
        <f t="shared" si="489"/>
        <v>-0.67446393762183243</v>
      </c>
      <c r="AZ346" s="82">
        <f t="shared" si="489"/>
        <v>1.9880239520958085</v>
      </c>
      <c r="BA346" s="82">
        <f t="shared" si="489"/>
        <v>0.93787575150300606</v>
      </c>
      <c r="BB346" s="82">
        <f t="shared" si="489"/>
        <v>-0.38469493278179934</v>
      </c>
      <c r="BC346" s="82">
        <f>+BC342/BB342-1</f>
        <v>-0.37815126050420167</v>
      </c>
      <c r="BD346" s="82">
        <f>+BD342/BC342-1</f>
        <v>0.28918918918918912</v>
      </c>
      <c r="BE346" s="82">
        <f t="shared" si="489"/>
        <v>1.041928721174004</v>
      </c>
      <c r="BF346" s="82">
        <f t="shared" si="489"/>
        <v>-0.55749486652977409</v>
      </c>
      <c r="BG346" s="82">
        <f t="shared" si="489"/>
        <v>-0.67053364269141524</v>
      </c>
      <c r="BH346" s="82">
        <f t="shared" si="489"/>
        <v>3.8661971830985919</v>
      </c>
      <c r="BI346" s="82">
        <f>+BI342/BH342-1</f>
        <v>0.42173566233401139</v>
      </c>
      <c r="BJ346" s="82">
        <f>+BJ342/BI342-1</f>
        <v>-0.64567963802489303</v>
      </c>
      <c r="BK346" s="82">
        <f t="shared" si="489"/>
        <v>-0.77175146408789019</v>
      </c>
      <c r="BL346" s="82">
        <f t="shared" si="489"/>
        <v>7.7199946637574985</v>
      </c>
      <c r="BM346" s="82">
        <f t="shared" si="489"/>
        <v>0.65345097204430003</v>
      </c>
      <c r="BN346" s="82">
        <f t="shared" si="489"/>
        <v>-0.7006867747707255</v>
      </c>
      <c r="BO346" s="82">
        <f t="shared" si="489"/>
        <v>-2.5618220896097332E-2</v>
      </c>
      <c r="BP346" s="82">
        <f t="shared" si="489"/>
        <v>1.1349862483859847</v>
      </c>
      <c r="BQ346" s="82">
        <f t="shared" si="489"/>
        <v>0.44378737426210857</v>
      </c>
      <c r="BR346" s="82">
        <f t="shared" si="489"/>
        <v>-0.64811983583373611</v>
      </c>
      <c r="BS346" s="82">
        <f t="shared" si="489"/>
        <v>-0.143713574062032</v>
      </c>
      <c r="BT346" s="82">
        <f t="shared" si="489"/>
        <v>1.2742164298908603</v>
      </c>
      <c r="BU346" s="82">
        <f t="shared" si="489"/>
        <v>0.44002131778736531</v>
      </c>
      <c r="BV346" s="82">
        <f t="shared" si="489"/>
        <v>-0.66430921870146009</v>
      </c>
      <c r="BW346" s="82">
        <f>+BW342/BR342-1</f>
        <v>-0.11342917963206778</v>
      </c>
      <c r="BX346" s="82">
        <f t="shared" ref="BX346:BZ346" si="490">+BX342/BW342-1</f>
        <v>1.3231541001829399</v>
      </c>
      <c r="BY346" s="82">
        <f t="shared" si="490"/>
        <v>0.43026613269182623</v>
      </c>
      <c r="BZ346" s="82">
        <f t="shared" si="490"/>
        <v>-0.65462951843636286</v>
      </c>
      <c r="CA346" s="82">
        <f>+CA342/BV342-1</f>
        <v>7.5224423338313695E-2</v>
      </c>
      <c r="CB346" s="82">
        <f t="shared" ref="CB346:CD346" si="491">+CB342/CA342-1</f>
        <v>1.2270530262896528</v>
      </c>
      <c r="CC346" s="82">
        <f t="shared" si="491"/>
        <v>0.43624197956483357</v>
      </c>
      <c r="CD346" s="82">
        <f t="shared" si="491"/>
        <v>-0.62404880070268276</v>
      </c>
      <c r="CG346" s="82"/>
      <c r="CH346" s="82"/>
      <c r="CI346" s="24"/>
      <c r="CJ346" s="24"/>
      <c r="CK346" s="24"/>
      <c r="CL346" s="24"/>
      <c r="CM346" s="24"/>
      <c r="CN346" s="24"/>
      <c r="CO346" s="24"/>
      <c r="CP346" s="24"/>
      <c r="CQ346" s="24"/>
      <c r="CR346" s="24"/>
      <c r="CS346" s="24"/>
      <c r="CT346" s="164" t="s">
        <v>259</v>
      </c>
      <c r="CU346" s="164"/>
      <c r="CV346" s="164"/>
      <c r="CW346" s="24"/>
      <c r="CX346" s="24"/>
    </row>
    <row r="347" spans="2:102" x14ac:dyDescent="0.25">
      <c r="CT347" s="60"/>
      <c r="CU347" s="60"/>
      <c r="CV347" s="60"/>
      <c r="CW347" s="60"/>
      <c r="CX347" s="60"/>
    </row>
    <row r="348" spans="2:102" s="138" customFormat="1" ht="15" customHeight="1" x14ac:dyDescent="0.25">
      <c r="B348" s="139" t="s">
        <v>260</v>
      </c>
      <c r="C348" s="140"/>
      <c r="D348" s="140"/>
      <c r="E348" s="140"/>
      <c r="F348" s="140"/>
      <c r="G348" s="140"/>
      <c r="H348" s="140"/>
      <c r="I348" s="140"/>
      <c r="J348" s="140"/>
      <c r="K348" s="140"/>
      <c r="L348" s="140"/>
      <c r="M348" s="140"/>
      <c r="N348" s="140"/>
      <c r="O348" s="140"/>
      <c r="P348" s="140"/>
      <c r="Q348" s="140"/>
      <c r="R348" s="140"/>
      <c r="T348" s="141"/>
      <c r="U348" s="141"/>
      <c r="V348" s="141"/>
      <c r="W348" s="141"/>
      <c r="X348" s="141"/>
      <c r="Y348" s="141"/>
      <c r="Z348" s="141"/>
      <c r="AA348" s="141"/>
      <c r="AB348" s="141"/>
      <c r="AC348" s="141"/>
      <c r="AD348" s="141"/>
      <c r="AE348" s="141"/>
      <c r="AF348" s="141"/>
      <c r="AG348" s="141"/>
      <c r="AH348" s="141"/>
      <c r="AI348" s="141"/>
      <c r="AJ348" s="141"/>
      <c r="AK348" s="141"/>
      <c r="AL348" s="141"/>
      <c r="AM348" s="141"/>
      <c r="AN348" s="141"/>
      <c r="AO348" s="141"/>
      <c r="AP348" s="141"/>
      <c r="AQ348" s="141"/>
      <c r="AR348" s="141"/>
      <c r="AS348" s="141"/>
      <c r="AT348" s="141"/>
      <c r="AU348" s="141"/>
      <c r="AV348" s="141"/>
      <c r="AW348" s="141"/>
      <c r="AX348" s="141"/>
      <c r="AY348" s="141"/>
      <c r="AZ348" s="141"/>
      <c r="BA348" s="141"/>
      <c r="BB348" s="142"/>
      <c r="BC348" s="142"/>
      <c r="BD348" s="142"/>
      <c r="BE348" s="142"/>
      <c r="BF348" s="142"/>
      <c r="BG348" s="142"/>
      <c r="BH348" s="142" t="e">
        <f t="shared" ref="BH348:CD348" si="492">+BH544</f>
        <v>#NAME?</v>
      </c>
      <c r="BI348" s="142" t="e">
        <f t="shared" si="492"/>
        <v>#NAME?</v>
      </c>
      <c r="BJ348" s="142" t="e">
        <f t="shared" si="492"/>
        <v>#NAME?</v>
      </c>
      <c r="BK348" s="142" t="e">
        <f t="shared" si="492"/>
        <v>#NAME?</v>
      </c>
      <c r="BL348" s="142" t="e">
        <f t="shared" si="492"/>
        <v>#NAME?</v>
      </c>
      <c r="BM348" s="142" t="e">
        <f t="shared" si="492"/>
        <v>#NAME?</v>
      </c>
      <c r="BN348" s="142" t="e">
        <f t="shared" si="492"/>
        <v>#NAME?</v>
      </c>
      <c r="BO348" s="142" t="e">
        <f t="shared" si="492"/>
        <v>#NAME?</v>
      </c>
      <c r="BP348" s="142" t="e">
        <f t="shared" si="492"/>
        <v>#NAME?</v>
      </c>
      <c r="BQ348" s="142" t="e">
        <f t="shared" si="492"/>
        <v>#NAME?</v>
      </c>
      <c r="BR348" s="142" t="e">
        <f t="shared" si="492"/>
        <v>#NAME?</v>
      </c>
      <c r="BS348" s="142" t="e">
        <f t="shared" si="492"/>
        <v>#NAME?</v>
      </c>
      <c r="BT348" s="142" t="e">
        <f t="shared" si="492"/>
        <v>#NAME?</v>
      </c>
      <c r="BU348" s="142" t="e">
        <f t="shared" si="492"/>
        <v>#NAME?</v>
      </c>
      <c r="BV348" s="142" t="e">
        <f t="shared" si="492"/>
        <v>#NAME?</v>
      </c>
      <c r="BW348" s="142" t="e">
        <f t="shared" si="492"/>
        <v>#NAME?</v>
      </c>
      <c r="BX348" s="142" t="e">
        <f t="shared" si="492"/>
        <v>#NAME?</v>
      </c>
      <c r="BY348" s="142" t="e">
        <f t="shared" si="492"/>
        <v>#NAME?</v>
      </c>
      <c r="BZ348" s="142" t="e">
        <f t="shared" si="492"/>
        <v>#NAME?</v>
      </c>
      <c r="CA348" s="142" t="e">
        <f t="shared" si="492"/>
        <v>#NAME?</v>
      </c>
      <c r="CB348" s="142" t="e">
        <f t="shared" si="492"/>
        <v>#NAME?</v>
      </c>
      <c r="CC348" s="142" t="e">
        <f t="shared" si="492"/>
        <v>#NAME?</v>
      </c>
      <c r="CD348" s="142" t="e">
        <f t="shared" si="492"/>
        <v>#NAME?</v>
      </c>
      <c r="CE348" s="142"/>
      <c r="CG348" s="141"/>
      <c r="CH348" s="141"/>
      <c r="CI348" s="141"/>
      <c r="CJ348" s="141"/>
      <c r="CK348" s="141"/>
      <c r="CL348" s="141"/>
      <c r="CM348" s="141"/>
      <c r="CN348" s="141"/>
      <c r="CO348" s="141"/>
      <c r="CP348" s="141"/>
      <c r="CQ348" s="141"/>
      <c r="CR348" s="141"/>
      <c r="CS348" s="141"/>
      <c r="CT348" s="142" t="e">
        <f t="shared" ref="CT348:CX348" si="493">+CT544</f>
        <v>#NAME?</v>
      </c>
      <c r="CU348" s="142" t="e">
        <f t="shared" si="493"/>
        <v>#NAME?</v>
      </c>
      <c r="CV348" s="142" t="e">
        <f t="shared" si="493"/>
        <v>#NAME?</v>
      </c>
      <c r="CW348" s="142" t="e">
        <f t="shared" si="493"/>
        <v>#NAME?</v>
      </c>
      <c r="CX348" s="142" t="e">
        <f t="shared" si="493"/>
        <v>#NAME?</v>
      </c>
    </row>
    <row r="349" spans="2:102" s="52" customFormat="1" ht="15" customHeight="1" x14ac:dyDescent="0.25">
      <c r="B349" s="41" t="s">
        <v>220</v>
      </c>
      <c r="C349" s="41"/>
      <c r="D349" s="41"/>
      <c r="E349" s="41"/>
      <c r="F349" s="41"/>
      <c r="G349" s="41"/>
      <c r="H349" s="41"/>
      <c r="I349" s="41"/>
      <c r="J349" s="41"/>
      <c r="K349" s="41"/>
      <c r="L349" s="41"/>
      <c r="M349" s="41"/>
      <c r="N349" s="41"/>
      <c r="O349" s="41"/>
      <c r="P349" s="41"/>
      <c r="Q349" s="41"/>
      <c r="R349" s="41"/>
      <c r="W349" s="52" t="str">
        <f t="shared" ref="W349:AL350" si="494">+IFERROR(W347/S347-1,"")</f>
        <v/>
      </c>
      <c r="X349" s="52" t="str">
        <f t="shared" si="494"/>
        <v/>
      </c>
      <c r="Y349" s="52" t="str">
        <f t="shared" si="494"/>
        <v/>
      </c>
      <c r="Z349" s="52" t="str">
        <f t="shared" si="494"/>
        <v/>
      </c>
      <c r="AA349" s="52" t="str">
        <f t="shared" si="494"/>
        <v/>
      </c>
      <c r="AB349" s="52" t="str">
        <f t="shared" si="494"/>
        <v/>
      </c>
      <c r="AC349" s="52" t="str">
        <f t="shared" si="494"/>
        <v/>
      </c>
      <c r="AD349" s="52" t="str">
        <f t="shared" si="494"/>
        <v/>
      </c>
      <c r="AE349" s="52" t="str">
        <f t="shared" si="494"/>
        <v/>
      </c>
      <c r="AF349" s="52" t="str">
        <f t="shared" si="494"/>
        <v/>
      </c>
      <c r="AG349" s="52" t="str">
        <f t="shared" si="494"/>
        <v/>
      </c>
      <c r="AH349" s="52" t="str">
        <f t="shared" si="494"/>
        <v/>
      </c>
      <c r="AI349" s="52" t="str">
        <f t="shared" si="494"/>
        <v/>
      </c>
      <c r="AJ349" s="52" t="str">
        <f t="shared" si="494"/>
        <v/>
      </c>
      <c r="AK349" s="52" t="str">
        <f t="shared" si="494"/>
        <v/>
      </c>
      <c r="AL349" s="52" t="str">
        <f t="shared" si="494"/>
        <v/>
      </c>
      <c r="BH349" s="52" t="e">
        <f>+BH342-BH348</f>
        <v>#NAME?</v>
      </c>
      <c r="BI349" s="52" t="e">
        <f t="shared" ref="BI349:CD349" si="495">+BI342-BI348</f>
        <v>#NAME?</v>
      </c>
      <c r="BJ349" s="52" t="e">
        <f t="shared" si="495"/>
        <v>#NAME?</v>
      </c>
      <c r="BK349" s="52" t="e">
        <f t="shared" si="495"/>
        <v>#NAME?</v>
      </c>
      <c r="BL349" s="52" t="e">
        <f t="shared" si="495"/>
        <v>#NAME?</v>
      </c>
      <c r="BM349" s="52" t="e">
        <f t="shared" si="495"/>
        <v>#NAME?</v>
      </c>
      <c r="BN349" s="52" t="e">
        <f t="shared" si="495"/>
        <v>#NAME?</v>
      </c>
      <c r="BO349" s="52" t="e">
        <f t="shared" si="495"/>
        <v>#NAME?</v>
      </c>
      <c r="BP349" s="52" t="e">
        <f t="shared" si="495"/>
        <v>#NAME?</v>
      </c>
      <c r="BQ349" s="52" t="e">
        <f t="shared" si="495"/>
        <v>#NAME?</v>
      </c>
      <c r="BR349" s="52" t="e">
        <f t="shared" si="495"/>
        <v>#NAME?</v>
      </c>
      <c r="BS349" s="52" t="e">
        <f t="shared" si="495"/>
        <v>#NAME?</v>
      </c>
      <c r="BT349" s="52" t="e">
        <f t="shared" si="495"/>
        <v>#NAME?</v>
      </c>
      <c r="BU349" s="52" t="e">
        <f t="shared" si="495"/>
        <v>#NAME?</v>
      </c>
      <c r="BV349" s="52" t="e">
        <f t="shared" si="495"/>
        <v>#NAME?</v>
      </c>
      <c r="BW349" s="52" t="e">
        <f t="shared" si="495"/>
        <v>#NAME?</v>
      </c>
      <c r="BX349" s="52" t="e">
        <f t="shared" si="495"/>
        <v>#NAME?</v>
      </c>
      <c r="BY349" s="52" t="e">
        <f t="shared" si="495"/>
        <v>#NAME?</v>
      </c>
      <c r="BZ349" s="52" t="e">
        <f t="shared" si="495"/>
        <v>#NAME?</v>
      </c>
      <c r="CA349" s="52" t="e">
        <f t="shared" si="495"/>
        <v>#NAME?</v>
      </c>
      <c r="CB349" s="52" t="e">
        <f t="shared" si="495"/>
        <v>#NAME?</v>
      </c>
      <c r="CC349" s="52" t="e">
        <f t="shared" si="495"/>
        <v>#NAME?</v>
      </c>
      <c r="CD349" s="52" t="e">
        <f t="shared" si="495"/>
        <v>#NAME?</v>
      </c>
      <c r="CT349" s="52" t="e">
        <f t="shared" ref="CT349:CX349" si="496">+CT342-CT348</f>
        <v>#NAME?</v>
      </c>
      <c r="CU349" s="52" t="e">
        <f t="shared" si="496"/>
        <v>#NAME?</v>
      </c>
      <c r="CV349" s="52" t="e">
        <f t="shared" si="496"/>
        <v>#NAME?</v>
      </c>
      <c r="CW349" s="52" t="e">
        <f t="shared" si="496"/>
        <v>#NAME?</v>
      </c>
      <c r="CX349" s="52" t="e">
        <f t="shared" si="496"/>
        <v>#NAME?</v>
      </c>
    </row>
    <row r="350" spans="2:102" ht="15" customHeight="1" x14ac:dyDescent="0.25">
      <c r="B350" s="37" t="s">
        <v>221</v>
      </c>
      <c r="C350" s="37"/>
      <c r="D350" s="37"/>
      <c r="E350" s="37"/>
      <c r="F350" s="37"/>
      <c r="G350" s="37"/>
      <c r="H350" s="37"/>
      <c r="I350" s="37"/>
      <c r="J350" s="37"/>
      <c r="K350" s="37"/>
      <c r="L350" s="37"/>
      <c r="M350" s="37"/>
      <c r="N350" s="37"/>
      <c r="O350" s="37"/>
      <c r="P350" s="37"/>
      <c r="Q350" s="37"/>
      <c r="R350" s="37"/>
      <c r="S350" s="82"/>
      <c r="T350" s="82"/>
      <c r="U350" s="82"/>
      <c r="V350" s="82"/>
      <c r="W350" s="82" t="str">
        <f t="shared" si="494"/>
        <v/>
      </c>
      <c r="X350" s="82" t="str">
        <f t="shared" si="494"/>
        <v/>
      </c>
      <c r="Y350" s="82" t="str">
        <f t="shared" si="494"/>
        <v/>
      </c>
      <c r="Z350" s="82" t="str">
        <f t="shared" si="494"/>
        <v/>
      </c>
      <c r="AA350" s="82" t="str">
        <f t="shared" si="494"/>
        <v/>
      </c>
      <c r="AB350" s="82" t="str">
        <f t="shared" si="494"/>
        <v/>
      </c>
      <c r="AC350" s="82" t="str">
        <f t="shared" si="494"/>
        <v/>
      </c>
      <c r="AD350" s="82" t="str">
        <f t="shared" si="494"/>
        <v/>
      </c>
      <c r="AE350" s="82" t="str">
        <f t="shared" si="494"/>
        <v/>
      </c>
      <c r="AF350" s="82" t="str">
        <f t="shared" si="494"/>
        <v/>
      </c>
      <c r="AG350" s="82" t="str">
        <f t="shared" si="494"/>
        <v/>
      </c>
      <c r="AH350" s="82" t="str">
        <f t="shared" si="494"/>
        <v/>
      </c>
      <c r="AI350" s="82" t="str">
        <f t="shared" si="494"/>
        <v/>
      </c>
      <c r="AJ350" s="82" t="str">
        <f t="shared" si="494"/>
        <v/>
      </c>
      <c r="AK350" s="82" t="str">
        <f t="shared" si="494"/>
        <v/>
      </c>
      <c r="AL350" s="82" t="str">
        <f t="shared" si="494"/>
        <v/>
      </c>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t="e">
        <f>+BH342/BH348-1</f>
        <v>#NAME?</v>
      </c>
      <c r="BI350" s="82" t="e">
        <f t="shared" ref="BI350:CD350" si="497">+BI342/BI348-1</f>
        <v>#NAME?</v>
      </c>
      <c r="BJ350" s="82" t="e">
        <f t="shared" si="497"/>
        <v>#NAME?</v>
      </c>
      <c r="BK350" s="82" t="e">
        <f t="shared" si="497"/>
        <v>#NAME?</v>
      </c>
      <c r="BL350" s="82" t="e">
        <f t="shared" si="497"/>
        <v>#NAME?</v>
      </c>
      <c r="BM350" s="82" t="e">
        <f t="shared" si="497"/>
        <v>#NAME?</v>
      </c>
      <c r="BN350" s="82" t="e">
        <f t="shared" si="497"/>
        <v>#NAME?</v>
      </c>
      <c r="BO350" s="82" t="e">
        <f t="shared" si="497"/>
        <v>#NAME?</v>
      </c>
      <c r="BP350" s="82" t="e">
        <f t="shared" si="497"/>
        <v>#NAME?</v>
      </c>
      <c r="BQ350" s="82" t="e">
        <f t="shared" si="497"/>
        <v>#NAME?</v>
      </c>
      <c r="BR350" s="82" t="e">
        <f t="shared" si="497"/>
        <v>#NAME?</v>
      </c>
      <c r="BS350" s="82" t="e">
        <f t="shared" si="497"/>
        <v>#NAME?</v>
      </c>
      <c r="BT350" s="82" t="e">
        <f t="shared" si="497"/>
        <v>#NAME?</v>
      </c>
      <c r="BU350" s="82" t="e">
        <f t="shared" si="497"/>
        <v>#NAME?</v>
      </c>
      <c r="BV350" s="82" t="e">
        <f t="shared" si="497"/>
        <v>#NAME?</v>
      </c>
      <c r="BW350" s="82" t="e">
        <f t="shared" si="497"/>
        <v>#NAME?</v>
      </c>
      <c r="BX350" s="82" t="e">
        <f t="shared" si="497"/>
        <v>#NAME?</v>
      </c>
      <c r="BY350" s="82" t="e">
        <f t="shared" si="497"/>
        <v>#NAME?</v>
      </c>
      <c r="BZ350" s="82" t="e">
        <f t="shared" si="497"/>
        <v>#NAME?</v>
      </c>
      <c r="CA350" s="82" t="e">
        <f t="shared" si="497"/>
        <v>#NAME?</v>
      </c>
      <c r="CB350" s="82" t="e">
        <f t="shared" si="497"/>
        <v>#NAME?</v>
      </c>
      <c r="CC350" s="82" t="e">
        <f t="shared" si="497"/>
        <v>#NAME?</v>
      </c>
      <c r="CD350" s="82" t="e">
        <f t="shared" si="497"/>
        <v>#NAME?</v>
      </c>
      <c r="CE350" s="82"/>
      <c r="CG350" s="82"/>
      <c r="CH350" s="82"/>
      <c r="CI350" s="82"/>
      <c r="CJ350" s="82"/>
      <c r="CK350" s="82"/>
      <c r="CL350" s="82"/>
      <c r="CM350" s="82"/>
      <c r="CN350" s="82"/>
      <c r="CO350" s="82"/>
      <c r="CP350" s="82"/>
      <c r="CQ350" s="82"/>
      <c r="CR350" s="82"/>
      <c r="CS350" s="82"/>
      <c r="CT350" s="82" t="e">
        <f t="shared" ref="CT350:CX350" si="498">+CT342/CT348-1</f>
        <v>#NAME?</v>
      </c>
      <c r="CU350" s="82" t="e">
        <f t="shared" si="498"/>
        <v>#NAME?</v>
      </c>
      <c r="CV350" s="82" t="e">
        <f t="shared" si="498"/>
        <v>#NAME?</v>
      </c>
      <c r="CW350" s="82" t="e">
        <f t="shared" si="498"/>
        <v>#NAME?</v>
      </c>
      <c r="CX350" s="82" t="e">
        <f t="shared" si="498"/>
        <v>#NAME?</v>
      </c>
    </row>
    <row r="351" spans="2:102" ht="15" customHeight="1" x14ac:dyDescent="0.25">
      <c r="B351" s="37"/>
      <c r="C351" s="37"/>
      <c r="D351" s="37"/>
      <c r="E351" s="37"/>
      <c r="F351" s="37"/>
      <c r="G351" s="37"/>
      <c r="H351" s="37"/>
      <c r="I351" s="37"/>
      <c r="J351" s="37"/>
      <c r="K351" s="37"/>
      <c r="L351" s="37"/>
      <c r="M351" s="37"/>
      <c r="N351" s="37"/>
      <c r="O351" s="37"/>
      <c r="P351" s="37"/>
      <c r="Q351" s="37"/>
      <c r="R351" s="37"/>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2"/>
      <c r="BK351" s="82"/>
      <c r="BL351" s="82"/>
      <c r="BM351" s="82"/>
      <c r="BN351" s="82"/>
      <c r="BO351" s="82"/>
      <c r="BP351" s="82"/>
      <c r="BQ351" s="82"/>
      <c r="BR351" s="82"/>
      <c r="BS351" s="82"/>
      <c r="BT351" s="82"/>
      <c r="BU351" s="82"/>
      <c r="BV351" s="82"/>
      <c r="BW351" s="82"/>
      <c r="BX351" s="82"/>
      <c r="BY351" s="82"/>
      <c r="BZ351" s="82"/>
      <c r="CA351" s="82"/>
      <c r="CB351" s="82"/>
      <c r="CC351" s="82"/>
      <c r="CD351" s="82"/>
      <c r="CG351" s="82"/>
      <c r="CH351" s="82"/>
      <c r="CI351" s="82"/>
      <c r="CJ351" s="82"/>
      <c r="CK351" s="82"/>
      <c r="CL351" s="82"/>
      <c r="CM351" s="82"/>
      <c r="CN351" s="82"/>
      <c r="CO351" s="82"/>
      <c r="CP351" s="82"/>
      <c r="CQ351" s="82"/>
      <c r="CR351" s="82"/>
      <c r="CS351" s="82"/>
      <c r="CT351" s="108"/>
      <c r="CU351" s="108"/>
      <c r="CV351" s="108"/>
      <c r="CW351" s="108"/>
      <c r="CX351" s="108"/>
    </row>
    <row r="352" spans="2:102" s="60" customFormat="1" ht="15" customHeight="1" x14ac:dyDescent="0.25">
      <c r="B352" s="23" t="s">
        <v>261</v>
      </c>
      <c r="C352" s="23"/>
      <c r="D352" s="23"/>
      <c r="E352" s="23"/>
      <c r="F352" s="23"/>
      <c r="G352" s="23"/>
      <c r="H352" s="23"/>
      <c r="I352" s="23"/>
      <c r="J352" s="23"/>
      <c r="K352" s="23"/>
      <c r="L352" s="23"/>
      <c r="M352" s="23"/>
      <c r="N352" s="23"/>
      <c r="O352" s="23"/>
      <c r="P352" s="23"/>
      <c r="Q352" s="23"/>
      <c r="R352" s="23"/>
      <c r="T352" s="108"/>
      <c r="U352" s="108"/>
      <c r="V352" s="108"/>
      <c r="W352" s="108"/>
      <c r="X352" s="108"/>
      <c r="Y352" s="108"/>
      <c r="Z352" s="108"/>
      <c r="AA352" s="108"/>
      <c r="AB352" s="108"/>
      <c r="AC352" s="108"/>
      <c r="AD352" s="108"/>
      <c r="AE352" s="108"/>
      <c r="AF352" s="108"/>
      <c r="AG352" s="108"/>
      <c r="AH352" s="108"/>
      <c r="AI352" s="108"/>
      <c r="AJ352" s="108"/>
      <c r="AK352" s="108"/>
      <c r="AL352" s="108"/>
      <c r="AM352" s="108"/>
      <c r="AN352" s="108"/>
      <c r="AO352" s="108"/>
      <c r="AP352" s="108"/>
      <c r="AQ352" s="108"/>
      <c r="AR352" s="108"/>
      <c r="AS352" s="108"/>
      <c r="AT352" s="108"/>
      <c r="AU352" s="108"/>
      <c r="AV352" s="108"/>
      <c r="AW352" s="108"/>
      <c r="AX352" s="108"/>
      <c r="AY352" s="108"/>
      <c r="AZ352" s="108"/>
      <c r="BA352" s="108"/>
      <c r="BB352" s="108"/>
      <c r="BC352" s="108"/>
      <c r="BD352" s="108"/>
      <c r="BE352" s="108"/>
      <c r="BF352" s="108"/>
      <c r="BG352" s="108"/>
      <c r="BH352" s="108"/>
      <c r="BI352" s="108"/>
      <c r="BJ352" s="108"/>
      <c r="BK352" s="108"/>
      <c r="BL352" s="108"/>
      <c r="BM352" s="108"/>
      <c r="BN352" s="108"/>
      <c r="BO352" s="108"/>
      <c r="BP352" s="108"/>
      <c r="BQ352" s="108"/>
      <c r="BR352" s="108"/>
      <c r="BS352" s="108"/>
      <c r="BT352" s="108"/>
      <c r="BU352" s="108"/>
      <c r="BV352" s="108"/>
      <c r="BW352" s="108"/>
      <c r="BX352" s="108"/>
      <c r="BY352" s="108"/>
      <c r="BZ352" s="108"/>
      <c r="CA352" s="108"/>
      <c r="CB352" s="108"/>
      <c r="CC352" s="108"/>
      <c r="CD352" s="108"/>
      <c r="CE352"/>
      <c r="CG352" s="108"/>
      <c r="CH352" s="108"/>
      <c r="CI352" s="108"/>
      <c r="CJ352" s="108"/>
      <c r="CK352" s="108"/>
      <c r="CL352" s="108"/>
      <c r="CM352" s="108"/>
      <c r="CN352" s="108"/>
      <c r="CO352" s="148"/>
      <c r="CP352" s="148"/>
      <c r="CQ352" s="149"/>
      <c r="CR352" s="149"/>
      <c r="CS352" s="149"/>
      <c r="CT352" s="149"/>
      <c r="CU352" s="108"/>
      <c r="CV352" s="108"/>
      <c r="CW352" s="108"/>
      <c r="CX352" s="108"/>
    </row>
    <row r="353" spans="2:103" s="145" customFormat="1" ht="15" customHeight="1" x14ac:dyDescent="0.25">
      <c r="B353" s="97" t="s">
        <v>231</v>
      </c>
      <c r="C353" s="97"/>
      <c r="D353" s="97"/>
      <c r="E353" s="97"/>
      <c r="F353" s="97"/>
      <c r="G353" s="97"/>
      <c r="H353" s="97"/>
      <c r="I353" s="97"/>
      <c r="J353" s="97"/>
      <c r="K353" s="97"/>
      <c r="L353" s="97"/>
      <c r="M353" s="97"/>
      <c r="N353" s="97"/>
      <c r="O353" s="97"/>
      <c r="P353" s="97"/>
      <c r="Q353" s="97"/>
      <c r="R353" s="97"/>
      <c r="AM353" s="145">
        <f>310+7-405+70</f>
        <v>-18</v>
      </c>
      <c r="AN353" s="145">
        <f>243+7-50+90</f>
        <v>290</v>
      </c>
      <c r="AO353" s="145">
        <f>306+11+470+95</f>
        <v>882</v>
      </c>
      <c r="AP353" s="145">
        <f>359-131+10+94</f>
        <v>332</v>
      </c>
      <c r="AQ353" s="145">
        <f>374-220+5+90</f>
        <v>249</v>
      </c>
      <c r="AR353" s="145">
        <f>83+5+110-250</f>
        <v>-52</v>
      </c>
      <c r="AS353" s="145">
        <f>227+5+675+115</f>
        <v>1022</v>
      </c>
      <c r="AT353" s="145">
        <f>172+4+58+114</f>
        <v>348</v>
      </c>
      <c r="AU353" s="145">
        <f>220+75-225+125</f>
        <v>195</v>
      </c>
      <c r="AV353" s="145">
        <f>212+75-50+150</f>
        <v>387</v>
      </c>
      <c r="AW353" s="145">
        <f>8+85+875+135</f>
        <v>1103</v>
      </c>
      <c r="AX353" s="145">
        <f>259+91+2+127</f>
        <v>479</v>
      </c>
      <c r="AY353" s="145">
        <f>337+70-475+125</f>
        <v>57</v>
      </c>
      <c r="AZ353" s="145">
        <f>338+70-125+150</f>
        <v>433</v>
      </c>
      <c r="BA353" s="145">
        <f>184+65+600+150</f>
        <v>999</v>
      </c>
      <c r="BB353" s="145">
        <f>235+60-25+140</f>
        <v>410</v>
      </c>
      <c r="BC353" s="145">
        <f>410+45-325+20+140</f>
        <v>290</v>
      </c>
      <c r="BD353" s="145">
        <f>290+40-125+10+155</f>
        <v>370</v>
      </c>
      <c r="BE353" s="145">
        <f>286+40+425+155</f>
        <v>906</v>
      </c>
      <c r="BF353" s="145">
        <f>158+105+155</f>
        <v>418</v>
      </c>
      <c r="BG353" s="145">
        <f>290+30-425+65+140</f>
        <v>100</v>
      </c>
      <c r="BH353" s="145">
        <f>300+30+65+165+50</f>
        <v>610</v>
      </c>
      <c r="BI353" s="145">
        <f>338+30+5+170+525</f>
        <v>1068</v>
      </c>
      <c r="BJ353" s="145">
        <f>2322+100-BI353-BH355-BG355</f>
        <v>521</v>
      </c>
      <c r="CE353"/>
      <c r="CN353" s="145">
        <f>1245+20+250+330</f>
        <v>1845</v>
      </c>
      <c r="CO353" s="145">
        <f>1361+35-125+355</f>
        <v>1626</v>
      </c>
      <c r="CP353" s="145">
        <f>1270+20+25+430</f>
        <v>1745</v>
      </c>
      <c r="CQ353" s="145">
        <f>790+325+500+575</f>
        <v>2190</v>
      </c>
      <c r="CR353" s="145">
        <f>1321+250+300+600</f>
        <v>2471</v>
      </c>
      <c r="CS353" s="145">
        <f>1346+160+25+640</f>
        <v>2171</v>
      </c>
      <c r="CT353" s="145">
        <f>1329+110+200+625+95</f>
        <v>2359</v>
      </c>
    </row>
    <row r="354" spans="2:103" s="145" customFormat="1" ht="15" customHeight="1" x14ac:dyDescent="0.25">
      <c r="B354" s="97" t="s">
        <v>232</v>
      </c>
      <c r="C354" s="97"/>
      <c r="D354" s="97"/>
      <c r="E354" s="97"/>
      <c r="F354" s="97"/>
      <c r="G354" s="97"/>
      <c r="H354" s="97"/>
      <c r="I354" s="97"/>
      <c r="J354" s="97"/>
      <c r="K354" s="97"/>
      <c r="L354" s="97"/>
      <c r="M354" s="97"/>
      <c r="N354" s="97"/>
      <c r="O354" s="97"/>
      <c r="P354" s="97"/>
      <c r="Q354" s="97"/>
      <c r="R354" s="97"/>
      <c r="AM354" s="145">
        <f>310+7-405+70</f>
        <v>-18</v>
      </c>
      <c r="AN354" s="145">
        <f>243+7-50+90</f>
        <v>290</v>
      </c>
      <c r="AO354" s="145">
        <f>306+11+470+95</f>
        <v>882</v>
      </c>
      <c r="AP354" s="145">
        <f>359-131+10+94</f>
        <v>332</v>
      </c>
      <c r="AQ354" s="145">
        <f>374-220+5+90</f>
        <v>249</v>
      </c>
      <c r="AR354" s="145">
        <f>83+5+110-250</f>
        <v>-52</v>
      </c>
      <c r="AS354" s="145">
        <f>227+5+675+115</f>
        <v>1022</v>
      </c>
      <c r="AT354" s="145">
        <f>172+4+58+114</f>
        <v>348</v>
      </c>
      <c r="AU354" s="145">
        <f>220+75-225+125</f>
        <v>195</v>
      </c>
      <c r="AV354" s="145">
        <f>212+75-50+150</f>
        <v>387</v>
      </c>
      <c r="AW354" s="145">
        <f>8+85+875+135</f>
        <v>1103</v>
      </c>
      <c r="AX354" s="145">
        <f>259+91+2+127</f>
        <v>479</v>
      </c>
      <c r="AY354" s="145">
        <f>375+70-475+125</f>
        <v>95</v>
      </c>
      <c r="AZ354" s="145">
        <f>373+70-125+150</f>
        <v>468</v>
      </c>
      <c r="BA354" s="145">
        <f>253+65+600+150</f>
        <v>1068</v>
      </c>
      <c r="BB354" s="145">
        <f>304+60-25+140</f>
        <v>479</v>
      </c>
      <c r="BC354" s="145">
        <f>479+45-325+20+140</f>
        <v>359</v>
      </c>
      <c r="BD354" s="145">
        <f>358+40-125+10+155</f>
        <v>438</v>
      </c>
      <c r="BE354" s="145">
        <f>387+40+425+155</f>
        <v>1007</v>
      </c>
      <c r="BF354" s="145">
        <f>325+105+155</f>
        <v>585</v>
      </c>
      <c r="BG354" s="145">
        <f>357+30-425+65+140</f>
        <v>167</v>
      </c>
      <c r="BH354" s="145">
        <f>365+30+65+165+50</f>
        <v>675</v>
      </c>
      <c r="BI354" s="145">
        <f>403+30+5+170+525</f>
        <v>1133</v>
      </c>
      <c r="BJ354" s="145">
        <f>2521+100-BI354-BH355-BG355</f>
        <v>655</v>
      </c>
      <c r="CE354"/>
      <c r="CN354" s="145">
        <f>1245+20+250+330</f>
        <v>1845</v>
      </c>
      <c r="CO354" s="145">
        <f>1361+35-125+355</f>
        <v>1626</v>
      </c>
      <c r="CP354" s="145">
        <f>1270+20+25+430</f>
        <v>1745</v>
      </c>
      <c r="CQ354" s="145">
        <f>790+325+500+575</f>
        <v>2190</v>
      </c>
      <c r="CR354" s="145">
        <f>1358+250+300+600</f>
        <v>2508</v>
      </c>
      <c r="CS354" s="145">
        <f>1551+160+25+640</f>
        <v>2376</v>
      </c>
      <c r="CT354" s="145">
        <f>1596+110+200+625+95</f>
        <v>2626</v>
      </c>
    </row>
    <row r="355" spans="2:103" s="151" customFormat="1" ht="15" customHeight="1" x14ac:dyDescent="0.25">
      <c r="B355" s="112" t="s">
        <v>233</v>
      </c>
      <c r="C355" s="112"/>
      <c r="D355" s="112"/>
      <c r="E355" s="112"/>
      <c r="F355" s="112"/>
      <c r="G355" s="112"/>
      <c r="H355" s="112"/>
      <c r="I355" s="112"/>
      <c r="J355" s="112"/>
      <c r="K355" s="112"/>
      <c r="L355" s="112"/>
      <c r="M355" s="112"/>
      <c r="N355" s="112"/>
      <c r="O355" s="112"/>
      <c r="P355" s="112"/>
      <c r="Q355" s="112"/>
      <c r="R355" s="112"/>
      <c r="S355" s="47"/>
      <c r="T355" s="47"/>
      <c r="U355" s="47"/>
      <c r="V355" s="47"/>
      <c r="W355" s="47"/>
      <c r="X355" s="47"/>
      <c r="Y355" s="47"/>
      <c r="Z355" s="47"/>
      <c r="AA355" s="47"/>
      <c r="AB355" s="47"/>
      <c r="AC355" s="47"/>
      <c r="AD355" s="47"/>
      <c r="AE355" s="47"/>
      <c r="AF355" s="47"/>
      <c r="AG355" s="47"/>
      <c r="AH355" s="47"/>
      <c r="AI355" s="47"/>
      <c r="AJ355" s="47"/>
      <c r="AK355" s="47"/>
      <c r="AL355" s="47"/>
      <c r="AM355" s="47">
        <f t="shared" ref="AM355:BJ355" si="499">+AM342</f>
        <v>69</v>
      </c>
      <c r="AN355" s="47">
        <f t="shared" si="499"/>
        <v>335</v>
      </c>
      <c r="AO355" s="47">
        <f t="shared" si="499"/>
        <v>892</v>
      </c>
      <c r="AP355" s="47">
        <f t="shared" si="499"/>
        <v>370</v>
      </c>
      <c r="AQ355" s="47">
        <f t="shared" si="499"/>
        <v>509</v>
      </c>
      <c r="AR355" s="47">
        <f t="shared" si="499"/>
        <v>27</v>
      </c>
      <c r="AS355" s="47">
        <f t="shared" si="499"/>
        <v>1094</v>
      </c>
      <c r="AT355" s="47">
        <f t="shared" si="499"/>
        <v>446</v>
      </c>
      <c r="AU355" s="47">
        <f t="shared" si="499"/>
        <v>294</v>
      </c>
      <c r="AV355" s="47">
        <f t="shared" si="499"/>
        <v>566</v>
      </c>
      <c r="AW355" s="47">
        <f t="shared" si="499"/>
        <v>1124</v>
      </c>
      <c r="AX355" s="47">
        <f t="shared" si="499"/>
        <v>513</v>
      </c>
      <c r="AY355" s="47">
        <f t="shared" si="499"/>
        <v>167</v>
      </c>
      <c r="AZ355" s="47">
        <f t="shared" si="499"/>
        <v>499</v>
      </c>
      <c r="BA355" s="47">
        <f t="shared" si="499"/>
        <v>967</v>
      </c>
      <c r="BB355" s="47">
        <f t="shared" si="499"/>
        <v>595</v>
      </c>
      <c r="BC355" s="47">
        <f t="shared" si="499"/>
        <v>370</v>
      </c>
      <c r="BD355" s="47">
        <f t="shared" si="499"/>
        <v>477</v>
      </c>
      <c r="BE355" s="47">
        <f t="shared" si="499"/>
        <v>974</v>
      </c>
      <c r="BF355" s="47">
        <f t="shared" si="499"/>
        <v>431</v>
      </c>
      <c r="BG355" s="47">
        <f t="shared" si="499"/>
        <v>142</v>
      </c>
      <c r="BH355" s="47">
        <f t="shared" si="499"/>
        <v>691</v>
      </c>
      <c r="BI355" s="47">
        <f t="shared" si="499"/>
        <v>982.4193426728018</v>
      </c>
      <c r="BJ355" s="47">
        <f t="shared" si="499"/>
        <v>348.09117710717373</v>
      </c>
      <c r="BK355" s="150"/>
      <c r="BL355" s="150"/>
      <c r="BM355" s="150"/>
      <c r="BN355" s="150"/>
      <c r="BO355" s="150"/>
      <c r="BP355" s="150"/>
      <c r="BQ355" s="150"/>
      <c r="BR355" s="150"/>
      <c r="BS355" s="150"/>
      <c r="BT355" s="150"/>
      <c r="BU355" s="150"/>
      <c r="BV355" s="150"/>
      <c r="BW355" s="150"/>
      <c r="BX355" s="150"/>
      <c r="BY355" s="150"/>
      <c r="BZ355" s="150"/>
      <c r="CA355" s="150"/>
      <c r="CB355" s="150"/>
      <c r="CC355" s="150"/>
      <c r="CD355" s="150"/>
      <c r="CE355"/>
      <c r="CG355" s="150"/>
      <c r="CH355" s="150"/>
      <c r="CI355" s="150"/>
      <c r="CJ355" s="150"/>
      <c r="CK355" s="150"/>
      <c r="CL355" s="150"/>
      <c r="CM355" s="150"/>
      <c r="CN355" s="47">
        <f t="shared" ref="CN355:CT355" si="500">+CN342</f>
        <v>1503</v>
      </c>
      <c r="CO355" s="47">
        <f t="shared" si="500"/>
        <v>1666</v>
      </c>
      <c r="CP355" s="47">
        <f t="shared" si="500"/>
        <v>2076</v>
      </c>
      <c r="CQ355" s="47">
        <f t="shared" si="500"/>
        <v>2497</v>
      </c>
      <c r="CR355" s="47">
        <f t="shared" si="500"/>
        <v>2228</v>
      </c>
      <c r="CS355" s="47">
        <f t="shared" si="500"/>
        <v>2252</v>
      </c>
      <c r="CT355" s="47">
        <f t="shared" si="500"/>
        <v>2163.5105197799758</v>
      </c>
      <c r="CU355" s="152"/>
      <c r="CV355" s="152"/>
      <c r="CW355" s="152"/>
      <c r="CX355" s="152"/>
    </row>
    <row r="356" spans="2:103" s="39" customFormat="1" ht="15" customHeight="1" x14ac:dyDescent="0.25">
      <c r="B356" s="23" t="s">
        <v>234</v>
      </c>
      <c r="C356" s="23"/>
      <c r="D356" s="23"/>
      <c r="E356" s="23"/>
      <c r="F356" s="23"/>
      <c r="G356" s="23"/>
      <c r="H356" s="23"/>
      <c r="I356" s="23"/>
      <c r="J356" s="23"/>
      <c r="K356" s="23"/>
      <c r="L356" s="23"/>
      <c r="M356" s="23"/>
      <c r="N356" s="23"/>
      <c r="O356" s="23"/>
      <c r="P356" s="23"/>
      <c r="Q356" s="23"/>
      <c r="R356" s="23"/>
      <c r="S356" s="108"/>
      <c r="T356" s="108"/>
      <c r="U356" s="108"/>
      <c r="V356" s="108"/>
      <c r="W356" s="108"/>
      <c r="X356" s="108"/>
      <c r="Y356" s="108"/>
      <c r="Z356" s="108"/>
      <c r="AA356" s="108"/>
      <c r="AB356" s="108"/>
      <c r="AC356" s="108"/>
      <c r="AD356" s="108"/>
      <c r="AE356" s="108"/>
      <c r="AF356" s="108"/>
      <c r="AG356" s="108"/>
      <c r="AH356" s="108"/>
      <c r="AI356" s="108"/>
      <c r="AJ356" s="108"/>
      <c r="AK356" s="108"/>
      <c r="AL356" s="108"/>
      <c r="AM356" s="108">
        <f t="shared" ref="AM356:BF356" si="501">+AM355/AM354-1</f>
        <v>-4.8333333333333339</v>
      </c>
      <c r="AN356" s="108">
        <f t="shared" si="501"/>
        <v>0.15517241379310343</v>
      </c>
      <c r="AO356" s="108">
        <f t="shared" si="501"/>
        <v>1.133786848072571E-2</v>
      </c>
      <c r="AP356" s="108">
        <f t="shared" si="501"/>
        <v>0.1144578313253013</v>
      </c>
      <c r="AQ356" s="108">
        <f t="shared" si="501"/>
        <v>1.0441767068273093</v>
      </c>
      <c r="AR356" s="108">
        <f t="shared" si="501"/>
        <v>-1.5192307692307692</v>
      </c>
      <c r="AS356" s="108">
        <f t="shared" si="501"/>
        <v>7.0450097847358117E-2</v>
      </c>
      <c r="AT356" s="108">
        <f t="shared" si="501"/>
        <v>0.28160919540229878</v>
      </c>
      <c r="AU356" s="108">
        <f t="shared" si="501"/>
        <v>0.50769230769230766</v>
      </c>
      <c r="AV356" s="108">
        <f t="shared" si="501"/>
        <v>0.46253229974160215</v>
      </c>
      <c r="AW356" s="108">
        <f t="shared" si="501"/>
        <v>1.9038984587488761E-2</v>
      </c>
      <c r="AX356" s="108">
        <f t="shared" si="501"/>
        <v>7.0981210855949994E-2</v>
      </c>
      <c r="AY356" s="108">
        <f t="shared" si="501"/>
        <v>0.75789473684210518</v>
      </c>
      <c r="AZ356" s="108">
        <f t="shared" si="501"/>
        <v>6.6239316239316226E-2</v>
      </c>
      <c r="BA356" s="108">
        <f t="shared" si="501"/>
        <v>-9.4569288389513062E-2</v>
      </c>
      <c r="BB356" s="108">
        <f t="shared" si="501"/>
        <v>0.24217118997912324</v>
      </c>
      <c r="BC356" s="108">
        <f t="shared" si="501"/>
        <v>3.0640668523676862E-2</v>
      </c>
      <c r="BD356" s="108">
        <f t="shared" si="501"/>
        <v>8.9041095890410871E-2</v>
      </c>
      <c r="BE356" s="108">
        <f t="shared" si="501"/>
        <v>-3.277060575968227E-2</v>
      </c>
      <c r="BF356" s="108">
        <f t="shared" si="501"/>
        <v>-0.2632478632478632</v>
      </c>
      <c r="BG356" s="108">
        <f>+BG355/BG354-1</f>
        <v>-0.14970059880239517</v>
      </c>
      <c r="BH356" s="108">
        <f>+BH355/BH354-1</f>
        <v>2.3703703703703782E-2</v>
      </c>
      <c r="BI356" s="108">
        <f>+BI355/BI354-1</f>
        <v>-0.13290437539911581</v>
      </c>
      <c r="BJ356" s="108">
        <f>+BJ355/BJ354-1</f>
        <v>-0.46856308838599425</v>
      </c>
      <c r="BK356" s="102"/>
      <c r="BL356" s="102"/>
      <c r="BM356" s="102"/>
      <c r="BN356" s="102"/>
      <c r="BO356" s="102"/>
      <c r="BP356" s="102"/>
      <c r="BQ356" s="102"/>
      <c r="BR356" s="102"/>
      <c r="BS356" s="102"/>
      <c r="BT356" s="102"/>
      <c r="BU356" s="102"/>
      <c r="BV356" s="102"/>
      <c r="BW356" s="102"/>
      <c r="BX356" s="102"/>
      <c r="BY356" s="102"/>
      <c r="BZ356" s="102"/>
      <c r="CA356" s="102"/>
      <c r="CB356" s="102"/>
      <c r="CC356" s="102"/>
      <c r="CD356" s="102"/>
      <c r="CE356"/>
      <c r="CG356" s="102"/>
      <c r="CH356" s="102"/>
      <c r="CI356" s="102"/>
      <c r="CJ356" s="102"/>
      <c r="CK356" s="102"/>
      <c r="CL356" s="102"/>
      <c r="CM356" s="102"/>
      <c r="CN356" s="108">
        <f>+CN355/CN354-1</f>
        <v>-0.18536585365853664</v>
      </c>
      <c r="CO356" s="108">
        <f t="shared" ref="CO356:CT356" si="502">+CO355/CO354-1</f>
        <v>2.4600246002460135E-2</v>
      </c>
      <c r="CP356" s="108">
        <f t="shared" si="502"/>
        <v>0.18968481375358159</v>
      </c>
      <c r="CQ356" s="108">
        <f t="shared" si="502"/>
        <v>0.14018264840182648</v>
      </c>
      <c r="CR356" s="108">
        <f t="shared" si="502"/>
        <v>-0.11164274322169054</v>
      </c>
      <c r="CS356" s="108">
        <f t="shared" si="502"/>
        <v>-5.2188552188552229E-2</v>
      </c>
      <c r="CT356" s="108">
        <f t="shared" si="502"/>
        <v>-0.17611937555979595</v>
      </c>
      <c r="CU356" s="102"/>
      <c r="CV356" s="102"/>
      <c r="CW356" s="102"/>
      <c r="CX356" s="102"/>
    </row>
    <row r="357" spans="2:103" s="39" customFormat="1" ht="15" customHeight="1" x14ac:dyDescent="0.25">
      <c r="B357" s="23" t="s">
        <v>235</v>
      </c>
      <c r="C357" s="23"/>
      <c r="D357" s="23"/>
      <c r="E357" s="23"/>
      <c r="F357" s="23"/>
      <c r="G357" s="23"/>
      <c r="H357" s="23"/>
      <c r="I357" s="23"/>
      <c r="J357" s="23"/>
      <c r="K357" s="23"/>
      <c r="L357" s="23"/>
      <c r="M357" s="23"/>
      <c r="N357" s="23"/>
      <c r="O357" s="23"/>
      <c r="P357" s="23"/>
      <c r="Q357" s="23"/>
      <c r="R357" s="23"/>
      <c r="S357" s="97"/>
      <c r="T357" s="97"/>
      <c r="U357" s="97"/>
      <c r="V357" s="97"/>
      <c r="W357" s="97"/>
      <c r="X357" s="97"/>
      <c r="Y357" s="97"/>
      <c r="Z357" s="97"/>
      <c r="AA357" s="97"/>
      <c r="AB357" s="97"/>
      <c r="AC357" s="97"/>
      <c r="AD357" s="97"/>
      <c r="AE357" s="97"/>
      <c r="AF357" s="97"/>
      <c r="AG357" s="97"/>
      <c r="AH357" s="97"/>
      <c r="AI357" s="97"/>
      <c r="AJ357" s="97"/>
      <c r="AK357" s="97"/>
      <c r="AL357" s="97"/>
      <c r="AM357" s="97">
        <f t="shared" ref="AM357:BF357" si="503">+AM355-AM354</f>
        <v>87</v>
      </c>
      <c r="AN357" s="97">
        <f t="shared" si="503"/>
        <v>45</v>
      </c>
      <c r="AO357" s="97">
        <f t="shared" si="503"/>
        <v>10</v>
      </c>
      <c r="AP357" s="97">
        <f t="shared" si="503"/>
        <v>38</v>
      </c>
      <c r="AQ357" s="97">
        <f t="shared" si="503"/>
        <v>260</v>
      </c>
      <c r="AR357" s="97">
        <f t="shared" si="503"/>
        <v>79</v>
      </c>
      <c r="AS357" s="97">
        <f t="shared" si="503"/>
        <v>72</v>
      </c>
      <c r="AT357" s="97">
        <f t="shared" si="503"/>
        <v>98</v>
      </c>
      <c r="AU357" s="97">
        <f t="shared" si="503"/>
        <v>99</v>
      </c>
      <c r="AV357" s="97">
        <f t="shared" si="503"/>
        <v>179</v>
      </c>
      <c r="AW357" s="97">
        <f t="shared" si="503"/>
        <v>21</v>
      </c>
      <c r="AX357" s="97">
        <f t="shared" si="503"/>
        <v>34</v>
      </c>
      <c r="AY357" s="97">
        <f t="shared" si="503"/>
        <v>72</v>
      </c>
      <c r="AZ357" s="97">
        <f t="shared" si="503"/>
        <v>31</v>
      </c>
      <c r="BA357" s="97">
        <f t="shared" si="503"/>
        <v>-101</v>
      </c>
      <c r="BB357" s="97">
        <f t="shared" si="503"/>
        <v>116</v>
      </c>
      <c r="BC357" s="97">
        <f t="shared" si="503"/>
        <v>11</v>
      </c>
      <c r="BD357" s="97">
        <f t="shared" si="503"/>
        <v>39</v>
      </c>
      <c r="BE357" s="97">
        <f t="shared" si="503"/>
        <v>-33</v>
      </c>
      <c r="BF357" s="97">
        <f t="shared" si="503"/>
        <v>-154</v>
      </c>
      <c r="BG357" s="97">
        <f>+BG355-BG354</f>
        <v>-25</v>
      </c>
      <c r="BH357" s="97">
        <f>+BH355-BH354</f>
        <v>16</v>
      </c>
      <c r="BI357" s="97">
        <f>+BI355-BI354</f>
        <v>-150.5806573271982</v>
      </c>
      <c r="BJ357" s="97">
        <f>+BJ355-BJ354</f>
        <v>-306.90882289282627</v>
      </c>
      <c r="BK357" s="102"/>
      <c r="BL357" s="102"/>
      <c r="BM357" s="102"/>
      <c r="BN357" s="102"/>
      <c r="BO357" s="102"/>
      <c r="BP357" s="102"/>
      <c r="BQ357" s="102"/>
      <c r="BR357" s="102"/>
      <c r="BS357" s="102"/>
      <c r="BT357" s="102"/>
      <c r="BU357" s="102"/>
      <c r="BV357" s="102"/>
      <c r="BW357" s="102"/>
      <c r="BX357" s="102"/>
      <c r="BY357" s="102"/>
      <c r="BZ357" s="102"/>
      <c r="CA357" s="102"/>
      <c r="CB357" s="102"/>
      <c r="CC357" s="102"/>
      <c r="CD357" s="102"/>
      <c r="CE357"/>
      <c r="CG357" s="102"/>
      <c r="CH357" s="102"/>
      <c r="CI357" s="102"/>
      <c r="CJ357" s="102"/>
      <c r="CK357" s="102"/>
      <c r="CL357" s="102"/>
      <c r="CM357" s="102"/>
      <c r="CN357" s="97">
        <f>+CN355-CN354</f>
        <v>-342</v>
      </c>
      <c r="CO357" s="97">
        <f t="shared" ref="CO357:CT357" si="504">+CO355-CO354</f>
        <v>40</v>
      </c>
      <c r="CP357" s="97">
        <f t="shared" si="504"/>
        <v>331</v>
      </c>
      <c r="CQ357" s="97">
        <f t="shared" si="504"/>
        <v>307</v>
      </c>
      <c r="CR357" s="97">
        <f t="shared" si="504"/>
        <v>-280</v>
      </c>
      <c r="CS357" s="97">
        <f t="shared" si="504"/>
        <v>-124</v>
      </c>
      <c r="CT357" s="97">
        <f t="shared" si="504"/>
        <v>-462.48948022002423</v>
      </c>
      <c r="CU357" s="102"/>
      <c r="CV357" s="102"/>
      <c r="CW357" s="102"/>
      <c r="CX357" s="102"/>
    </row>
    <row r="358" spans="2:103" ht="15" customHeight="1" x14ac:dyDescent="0.25">
      <c r="S358" s="87"/>
      <c r="T358" s="87"/>
      <c r="U358" s="87"/>
      <c r="V358" s="87"/>
      <c r="W358" s="87"/>
      <c r="X358" s="87"/>
      <c r="Y358" s="87"/>
      <c r="Z358" s="87"/>
      <c r="AA358" s="87"/>
      <c r="AB358" s="87"/>
      <c r="AC358" s="87"/>
      <c r="AD358" s="87"/>
      <c r="AE358" s="87"/>
      <c r="AF358" s="87"/>
      <c r="AG358" s="87"/>
      <c r="AH358" s="87"/>
      <c r="AI358" s="87"/>
      <c r="AJ358" s="87"/>
      <c r="AK358" s="87"/>
      <c r="AL358" s="87"/>
      <c r="AM358" s="87"/>
      <c r="AN358" s="87"/>
      <c r="AO358" s="87"/>
      <c r="AP358" s="87"/>
      <c r="AQ358" s="87"/>
      <c r="AR358" s="87"/>
      <c r="AS358" s="87"/>
      <c r="AT358" s="87"/>
      <c r="AU358" s="87"/>
      <c r="AV358" s="87"/>
      <c r="AW358" s="87"/>
      <c r="AX358" s="87"/>
      <c r="AY358" s="87"/>
      <c r="AZ358" s="87"/>
      <c r="BA358" s="87"/>
      <c r="BB358" s="87"/>
      <c r="BC358" s="87"/>
      <c r="BD358" s="87"/>
      <c r="BE358" s="87"/>
      <c r="BG358" s="24"/>
      <c r="BH358" s="24"/>
      <c r="BI358" s="24"/>
      <c r="BJ358" s="24"/>
      <c r="BK358" s="24"/>
      <c r="BL358" s="24"/>
      <c r="BM358" s="24"/>
      <c r="BN358" s="24"/>
      <c r="BO358" s="24"/>
      <c r="BP358" s="24"/>
      <c r="BQ358" s="24"/>
      <c r="BR358" s="24"/>
      <c r="BS358" s="24"/>
      <c r="BT358" s="24"/>
      <c r="BU358" s="24"/>
      <c r="BV358" s="24"/>
      <c r="BW358" s="24"/>
      <c r="BX358" s="24"/>
      <c r="BY358" s="24"/>
      <c r="BZ358" s="24"/>
      <c r="CA358" s="24"/>
      <c r="CB358" s="24"/>
      <c r="CC358" s="24"/>
      <c r="CD358" s="24"/>
      <c r="CG358" s="29"/>
      <c r="CH358" s="29"/>
      <c r="CI358" s="29"/>
      <c r="CJ358" s="29"/>
      <c r="CK358" s="29"/>
      <c r="CL358" s="29"/>
      <c r="CM358" s="29"/>
      <c r="CN358" s="29"/>
      <c r="CO358" s="29"/>
      <c r="CP358" s="29"/>
      <c r="CQ358" s="29"/>
      <c r="CR358" s="29"/>
      <c r="CS358" s="29"/>
      <c r="CT358" s="97"/>
      <c r="CU358" s="97"/>
      <c r="CV358" s="97"/>
      <c r="CW358" s="97"/>
      <c r="CX358" s="97"/>
    </row>
    <row r="359" spans="2:103" x14ac:dyDescent="0.25">
      <c r="B359" t="s">
        <v>262</v>
      </c>
      <c r="S359" s="87">
        <f t="shared" ref="S359:BE359" si="505">+S566</f>
        <v>56</v>
      </c>
      <c r="T359" s="87">
        <f t="shared" si="505"/>
        <v>56</v>
      </c>
      <c r="U359" s="87">
        <f t="shared" si="505"/>
        <v>53</v>
      </c>
      <c r="V359" s="87">
        <f t="shared" si="505"/>
        <v>55</v>
      </c>
      <c r="W359" s="87">
        <f t="shared" si="505"/>
        <v>49</v>
      </c>
      <c r="X359" s="87">
        <f t="shared" si="505"/>
        <v>50</v>
      </c>
      <c r="Y359" s="87">
        <f t="shared" si="505"/>
        <v>50</v>
      </c>
      <c r="Z359" s="87">
        <f t="shared" si="505"/>
        <v>48</v>
      </c>
      <c r="AA359" s="87">
        <f t="shared" si="505"/>
        <v>46</v>
      </c>
      <c r="AB359" s="87">
        <f t="shared" si="505"/>
        <v>45</v>
      </c>
      <c r="AC359" s="87">
        <f t="shared" si="505"/>
        <v>49</v>
      </c>
      <c r="AD359" s="87">
        <f t="shared" si="505"/>
        <v>32</v>
      </c>
      <c r="AE359" s="87">
        <f t="shared" si="505"/>
        <v>31</v>
      </c>
      <c r="AF359" s="87">
        <f t="shared" si="505"/>
        <v>32</v>
      </c>
      <c r="AG359" s="87">
        <f t="shared" si="505"/>
        <v>34</v>
      </c>
      <c r="AH359" s="87">
        <f t="shared" si="505"/>
        <v>39</v>
      </c>
      <c r="AI359" s="87">
        <f t="shared" si="505"/>
        <v>38</v>
      </c>
      <c r="AJ359" s="87">
        <f t="shared" si="505"/>
        <v>36</v>
      </c>
      <c r="AK359" s="87">
        <f t="shared" si="505"/>
        <v>34</v>
      </c>
      <c r="AL359" s="87">
        <f t="shared" si="505"/>
        <v>37</v>
      </c>
      <c r="AM359" s="87">
        <f t="shared" si="505"/>
        <v>37</v>
      </c>
      <c r="AN359" s="87">
        <f t="shared" si="505"/>
        <v>35</v>
      </c>
      <c r="AO359" s="87">
        <f t="shared" si="505"/>
        <v>39</v>
      </c>
      <c r="AP359" s="87">
        <f t="shared" si="505"/>
        <v>39</v>
      </c>
      <c r="AQ359" s="87">
        <f t="shared" si="505"/>
        <v>37</v>
      </c>
      <c r="AR359" s="87">
        <f t="shared" si="505"/>
        <v>40</v>
      </c>
      <c r="AS359" s="87">
        <f t="shared" si="505"/>
        <v>46</v>
      </c>
      <c r="AT359" s="87">
        <f t="shared" si="505"/>
        <v>58</v>
      </c>
      <c r="AU359" s="87">
        <f t="shared" si="505"/>
        <v>105</v>
      </c>
      <c r="AV359" s="87">
        <f t="shared" si="505"/>
        <v>94</v>
      </c>
      <c r="AW359" s="87">
        <f t="shared" si="505"/>
        <v>146</v>
      </c>
      <c r="AX359" s="87">
        <f t="shared" si="505"/>
        <v>141</v>
      </c>
      <c r="AY359" s="87">
        <f t="shared" si="505"/>
        <v>114</v>
      </c>
      <c r="AZ359" s="87">
        <f t="shared" si="505"/>
        <v>127</v>
      </c>
      <c r="BA359" s="87">
        <f t="shared" si="505"/>
        <v>122</v>
      </c>
      <c r="BB359" s="87">
        <f t="shared" si="505"/>
        <v>173</v>
      </c>
      <c r="BC359" s="87">
        <f t="shared" si="505"/>
        <v>88</v>
      </c>
      <c r="BD359" s="87">
        <f t="shared" si="505"/>
        <v>85</v>
      </c>
      <c r="BE359" s="87">
        <f t="shared" si="505"/>
        <v>82</v>
      </c>
      <c r="BF359" s="87">
        <f>+BF566</f>
        <v>149</v>
      </c>
      <c r="BG359" s="87">
        <f>+BG566</f>
        <v>80</v>
      </c>
      <c r="BH359" s="73">
        <v>80</v>
      </c>
      <c r="BI359" s="73">
        <v>80</v>
      </c>
      <c r="BJ359" s="73">
        <v>80</v>
      </c>
      <c r="BK359" s="73">
        <v>80</v>
      </c>
      <c r="BL359" s="73">
        <v>80</v>
      </c>
      <c r="BM359" s="73">
        <v>80</v>
      </c>
      <c r="BN359" s="73">
        <v>80</v>
      </c>
      <c r="BO359" s="73">
        <v>80</v>
      </c>
      <c r="BP359" s="73">
        <v>80</v>
      </c>
      <c r="BQ359" s="73">
        <v>80</v>
      </c>
      <c r="BR359" s="73">
        <v>80</v>
      </c>
      <c r="BS359" s="73">
        <v>80</v>
      </c>
      <c r="BT359" s="73">
        <v>80</v>
      </c>
      <c r="BU359" s="73">
        <v>80</v>
      </c>
      <c r="BV359" s="73">
        <v>80</v>
      </c>
      <c r="BW359" s="73">
        <v>80</v>
      </c>
      <c r="BX359" s="73">
        <v>80</v>
      </c>
      <c r="BY359" s="73">
        <v>80</v>
      </c>
      <c r="BZ359" s="73">
        <v>80</v>
      </c>
      <c r="CA359" s="73">
        <v>80</v>
      </c>
      <c r="CB359" s="73">
        <v>80</v>
      </c>
      <c r="CC359" s="73">
        <v>80</v>
      </c>
      <c r="CD359" s="73">
        <v>80</v>
      </c>
      <c r="CE359" s="73"/>
      <c r="CG359" s="29"/>
      <c r="CH359" s="29"/>
      <c r="CI359" s="29">
        <f t="shared" ref="CI359:CX359" si="506">+SUMIFS($S359:$CD359,$S$5:$CD$5,"&lt;="&amp;CI$5,$S$5:$CD$5,"&gt;"&amp;CH$5)</f>
        <v>0</v>
      </c>
      <c r="CJ359" s="29">
        <f t="shared" si="506"/>
        <v>220</v>
      </c>
      <c r="CK359" s="29">
        <f t="shared" si="506"/>
        <v>197</v>
      </c>
      <c r="CL359" s="29">
        <f t="shared" si="506"/>
        <v>172</v>
      </c>
      <c r="CM359" s="29">
        <f t="shared" si="506"/>
        <v>136</v>
      </c>
      <c r="CN359" s="29">
        <f t="shared" si="506"/>
        <v>145</v>
      </c>
      <c r="CO359" s="29">
        <f t="shared" si="506"/>
        <v>150</v>
      </c>
      <c r="CP359" s="29">
        <f t="shared" si="506"/>
        <v>181</v>
      </c>
      <c r="CQ359" s="29">
        <f t="shared" si="506"/>
        <v>486</v>
      </c>
      <c r="CR359" s="29">
        <f t="shared" si="506"/>
        <v>536</v>
      </c>
      <c r="CS359" s="29">
        <f t="shared" si="506"/>
        <v>404</v>
      </c>
      <c r="CT359" s="97">
        <f t="shared" si="506"/>
        <v>320</v>
      </c>
      <c r="CU359" s="97">
        <f t="shared" si="506"/>
        <v>320</v>
      </c>
      <c r="CV359" s="97">
        <f t="shared" si="506"/>
        <v>320</v>
      </c>
      <c r="CW359" s="97">
        <f t="shared" si="506"/>
        <v>320</v>
      </c>
      <c r="CX359" s="97">
        <f t="shared" si="506"/>
        <v>320</v>
      </c>
    </row>
    <row r="360" spans="2:103" x14ac:dyDescent="0.25">
      <c r="B360" s="37" t="s">
        <v>240</v>
      </c>
      <c r="C360" s="37"/>
      <c r="D360" s="37"/>
      <c r="E360" s="37"/>
      <c r="F360" s="37"/>
      <c r="G360" s="37"/>
      <c r="H360" s="37"/>
      <c r="I360" s="37"/>
      <c r="J360" s="37"/>
      <c r="K360" s="37"/>
      <c r="L360" s="37"/>
      <c r="M360" s="37"/>
      <c r="N360" s="37"/>
      <c r="O360" s="37"/>
      <c r="P360" s="37"/>
      <c r="Q360" s="37"/>
      <c r="R360" s="37"/>
      <c r="S360" s="82">
        <f t="shared" ref="S360:CD360" si="507">(S359/S$259)</f>
        <v>7.2258064516129039E-2</v>
      </c>
      <c r="T360" s="82">
        <f t="shared" si="507"/>
        <v>4.5901639344262293E-2</v>
      </c>
      <c r="U360" s="82">
        <f t="shared" si="507"/>
        <v>3.711484593837535E-2</v>
      </c>
      <c r="V360" s="82">
        <f t="shared" si="507"/>
        <v>6.1383928571428568E-2</v>
      </c>
      <c r="W360" s="82">
        <f t="shared" si="507"/>
        <v>7.0707070707070704E-2</v>
      </c>
      <c r="X360" s="82">
        <f t="shared" si="507"/>
        <v>4.3630017452006981E-2</v>
      </c>
      <c r="Y360" s="82">
        <f t="shared" si="507"/>
        <v>2.7731558513588463E-2</v>
      </c>
      <c r="Z360" s="82">
        <f t="shared" si="507"/>
        <v>5.1948051948051951E-2</v>
      </c>
      <c r="AA360" s="82">
        <f t="shared" si="507"/>
        <v>6.7448680351906154E-2</v>
      </c>
      <c r="AB360" s="82">
        <f t="shared" si="507"/>
        <v>4.0983606557377046E-2</v>
      </c>
      <c r="AC360" s="82">
        <f t="shared" si="507"/>
        <v>2.3671497584541065E-2</v>
      </c>
      <c r="AD360" s="82">
        <f t="shared" si="507"/>
        <v>2.9304029304029304E-2</v>
      </c>
      <c r="AE360" s="82">
        <f t="shared" si="507"/>
        <v>0.04</v>
      </c>
      <c r="AF360" s="82">
        <f t="shared" si="507"/>
        <v>2.7141645462256149E-2</v>
      </c>
      <c r="AG360" s="82">
        <f t="shared" si="507"/>
        <v>1.7250126839167934E-2</v>
      </c>
      <c r="AH360" s="82">
        <f t="shared" si="507"/>
        <v>3.1075697211155377E-2</v>
      </c>
      <c r="AI360" s="82">
        <f t="shared" si="507"/>
        <v>4.7619047619047616E-2</v>
      </c>
      <c r="AJ360" s="82">
        <f t="shared" si="507"/>
        <v>2.843601895734597E-2</v>
      </c>
      <c r="AK360" s="82">
        <f t="shared" si="507"/>
        <v>2.051901025950513E-2</v>
      </c>
      <c r="AL360" s="82">
        <f t="shared" si="507"/>
        <v>2.6222537207654145E-2</v>
      </c>
      <c r="AM360" s="82">
        <f t="shared" si="507"/>
        <v>4.7314578005115092E-2</v>
      </c>
      <c r="AN360" s="82">
        <f t="shared" si="507"/>
        <v>2.6656511805026657E-2</v>
      </c>
      <c r="AO360" s="82">
        <f t="shared" si="507"/>
        <v>1.9297377535873329E-2</v>
      </c>
      <c r="AP360" s="82">
        <f t="shared" si="507"/>
        <v>3.1050955414012739E-2</v>
      </c>
      <c r="AQ360" s="82">
        <f t="shared" si="507"/>
        <v>2.6618705035971222E-2</v>
      </c>
      <c r="AR360" s="82">
        <f t="shared" si="507"/>
        <v>4.3956043956043959E-2</v>
      </c>
      <c r="AS360" s="82">
        <f t="shared" si="507"/>
        <v>1.9166666666666665E-2</v>
      </c>
      <c r="AT360" s="82">
        <f t="shared" si="507"/>
        <v>3.8926174496644296E-2</v>
      </c>
      <c r="AU360" s="82">
        <f t="shared" si="507"/>
        <v>7.859281437125748E-2</v>
      </c>
      <c r="AV360" s="82">
        <f t="shared" si="507"/>
        <v>5.0783360345759046E-2</v>
      </c>
      <c r="AW360" s="82">
        <f t="shared" si="507"/>
        <v>5.6655025223127667E-2</v>
      </c>
      <c r="AX360" s="82">
        <f t="shared" si="507"/>
        <v>8.0525414049114785E-2</v>
      </c>
      <c r="AY360" s="82">
        <f t="shared" si="507"/>
        <v>8.7759815242494224E-2</v>
      </c>
      <c r="AZ360" s="82">
        <f t="shared" si="507"/>
        <v>7.2405929304446975E-2</v>
      </c>
      <c r="BA360" s="82">
        <f t="shared" si="507"/>
        <v>5.2092228864218618E-2</v>
      </c>
      <c r="BB360" s="82">
        <f t="shared" si="507"/>
        <v>8.8900308324768751E-2</v>
      </c>
      <c r="BC360" s="82">
        <f t="shared" si="507"/>
        <v>5.5766793409378963E-2</v>
      </c>
      <c r="BD360" s="82">
        <f t="shared" si="507"/>
        <v>4.6703296703296704E-2</v>
      </c>
      <c r="BE360" s="82">
        <f t="shared" si="507"/>
        <v>3.4657650042265425E-2</v>
      </c>
      <c r="BF360" s="82">
        <f t="shared" si="507"/>
        <v>8.9435774309723895E-2</v>
      </c>
      <c r="BG360" s="82">
        <f t="shared" si="507"/>
        <v>6.3391442155309036E-2</v>
      </c>
      <c r="BH360" s="82">
        <f t="shared" si="507"/>
        <v>3.8480038480038482E-2</v>
      </c>
      <c r="BI360" s="82">
        <f t="shared" si="507"/>
        <v>3.4241371391546122E-2</v>
      </c>
      <c r="BJ360" s="82">
        <f t="shared" si="507"/>
        <v>5.0172616366084943E-2</v>
      </c>
      <c r="BK360" s="82">
        <f t="shared" si="507"/>
        <v>6.5251437646798485E-2</v>
      </c>
      <c r="BL360" s="82">
        <f t="shared" si="507"/>
        <v>3.7319200309233164E-2</v>
      </c>
      <c r="BM360" s="82">
        <f t="shared" si="507"/>
        <v>3.1011120692261425E-2</v>
      </c>
      <c r="BN360" s="82">
        <f t="shared" si="507"/>
        <v>4.9388509447868822E-2</v>
      </c>
      <c r="BO360" s="82">
        <f t="shared" si="507"/>
        <v>5.0914058151086419E-2</v>
      </c>
      <c r="BP360" s="82">
        <f t="shared" si="507"/>
        <v>3.6405614774572138E-2</v>
      </c>
      <c r="BQ360" s="82">
        <f t="shared" si="507"/>
        <v>3.249570757694567E-2</v>
      </c>
      <c r="BR360" s="82">
        <f t="shared" si="507"/>
        <v>4.7827749088260811E-2</v>
      </c>
      <c r="BS360" s="82">
        <f t="shared" si="507"/>
        <v>5.0815625619176241E-2</v>
      </c>
      <c r="BT360" s="82">
        <f t="shared" si="507"/>
        <v>3.597079942864579E-2</v>
      </c>
      <c r="BU360" s="82">
        <f t="shared" si="507"/>
        <v>3.2265022247699025E-2</v>
      </c>
      <c r="BV360" s="82">
        <f t="shared" si="507"/>
        <v>4.7585540545620017E-2</v>
      </c>
      <c r="BW360" s="82">
        <f t="shared" si="507"/>
        <v>4.9421633748455117E-2</v>
      </c>
      <c r="BX360" s="82">
        <f t="shared" si="507"/>
        <v>3.5004611842139793E-2</v>
      </c>
      <c r="BY360" s="82">
        <f t="shared" si="507"/>
        <v>3.1230178620332213E-2</v>
      </c>
      <c r="BZ360" s="82">
        <f t="shared" si="507"/>
        <v>4.5892781042771162E-2</v>
      </c>
      <c r="CA360" s="82">
        <f t="shared" si="507"/>
        <v>4.8021522811315838E-2</v>
      </c>
      <c r="CB360" s="82">
        <f t="shared" si="507"/>
        <v>3.4037974843786546E-2</v>
      </c>
      <c r="CC360" s="82">
        <f t="shared" si="507"/>
        <v>3.0208400480543938E-2</v>
      </c>
      <c r="CD360" s="82">
        <f t="shared" si="507"/>
        <v>4.4228518034299745E-2</v>
      </c>
      <c r="CG360" s="82"/>
      <c r="CH360" s="82"/>
      <c r="CI360" s="82" t="e">
        <f t="shared" ref="CI360:CX360" si="508">(CI359/CI$259)</f>
        <v>#DIV/0!</v>
      </c>
      <c r="CJ360" s="82">
        <f t="shared" si="508"/>
        <v>5.0937717064135218E-2</v>
      </c>
      <c r="CK360" s="82">
        <f t="shared" si="508"/>
        <v>4.3144984669294791E-2</v>
      </c>
      <c r="CL360" s="82">
        <f t="shared" si="508"/>
        <v>3.480372318899231E-2</v>
      </c>
      <c r="CM360" s="82">
        <f t="shared" si="508"/>
        <v>2.6254826254826256E-2</v>
      </c>
      <c r="CN360" s="82">
        <f t="shared" si="508"/>
        <v>2.8254091971940763E-2</v>
      </c>
      <c r="CO360" s="82">
        <f t="shared" si="508"/>
        <v>2.7922561429635145E-2</v>
      </c>
      <c r="CP360" s="82">
        <f t="shared" si="508"/>
        <v>2.924071082390953E-2</v>
      </c>
      <c r="CQ360" s="82">
        <f>(CQ359/CQ$259)</f>
        <v>6.4670658682634732E-2</v>
      </c>
      <c r="CR360" s="82">
        <f t="shared" si="508"/>
        <v>7.3014575670889523E-2</v>
      </c>
      <c r="CS360" s="82">
        <f t="shared" si="508"/>
        <v>5.4374158815612382E-2</v>
      </c>
      <c r="CT360" s="108">
        <f t="shared" si="508"/>
        <v>4.4005306312368479E-2</v>
      </c>
      <c r="CU360" s="108">
        <f t="shared" si="508"/>
        <v>4.227645506066223E-2</v>
      </c>
      <c r="CV360" s="108">
        <f t="shared" si="508"/>
        <v>4.0489563114503045E-2</v>
      </c>
      <c r="CW360" s="108">
        <f t="shared" si="508"/>
        <v>4.0206090084544892E-2</v>
      </c>
      <c r="CX360" s="108">
        <f t="shared" si="508"/>
        <v>3.8981815426209779E-2</v>
      </c>
    </row>
    <row r="361" spans="2:103" x14ac:dyDescent="0.25">
      <c r="B361" s="10"/>
      <c r="C361" s="10"/>
      <c r="D361" s="10"/>
      <c r="E361" s="10"/>
      <c r="F361" s="10"/>
      <c r="G361" s="10"/>
      <c r="H361" s="10"/>
      <c r="I361" s="10"/>
      <c r="J361" s="10"/>
      <c r="K361" s="10"/>
      <c r="L361" s="10"/>
      <c r="M361" s="10"/>
      <c r="N361" s="10"/>
      <c r="O361" s="10"/>
      <c r="P361" s="10"/>
      <c r="Q361" s="10"/>
      <c r="R361" s="10"/>
      <c r="CT361" s="60"/>
      <c r="CU361" s="60"/>
      <c r="CV361" s="60"/>
      <c r="CW361" s="60"/>
      <c r="CX361" s="60"/>
    </row>
    <row r="362" spans="2:103" s="10" customFormat="1" x14ac:dyDescent="0.25">
      <c r="B362" s="10" t="s">
        <v>263</v>
      </c>
      <c r="S362" s="57">
        <f t="shared" ref="S362:CD362" si="509">+S359+S342</f>
        <v>141</v>
      </c>
      <c r="T362" s="57">
        <f t="shared" si="509"/>
        <v>365</v>
      </c>
      <c r="U362" s="57">
        <f t="shared" si="509"/>
        <v>572</v>
      </c>
      <c r="V362" s="57">
        <f t="shared" si="509"/>
        <v>218</v>
      </c>
      <c r="W362" s="57">
        <f t="shared" si="509"/>
        <v>109</v>
      </c>
      <c r="X362" s="57">
        <f t="shared" si="509"/>
        <v>320</v>
      </c>
      <c r="Y362" s="57">
        <f t="shared" si="509"/>
        <v>808</v>
      </c>
      <c r="Z362" s="57">
        <f t="shared" si="509"/>
        <v>260</v>
      </c>
      <c r="AA362" s="57">
        <f t="shared" si="509"/>
        <v>80</v>
      </c>
      <c r="AB362" s="57">
        <f t="shared" si="509"/>
        <v>257</v>
      </c>
      <c r="AC362" s="57">
        <f t="shared" si="509"/>
        <v>1034</v>
      </c>
      <c r="AD362" s="57">
        <f t="shared" si="509"/>
        <v>367</v>
      </c>
      <c r="AE362" s="57">
        <f t="shared" si="509"/>
        <v>149</v>
      </c>
      <c r="AF362" s="57">
        <f t="shared" si="509"/>
        <v>275</v>
      </c>
      <c r="AG362" s="57">
        <f t="shared" si="509"/>
        <v>889</v>
      </c>
      <c r="AH362" s="57">
        <f t="shared" si="509"/>
        <v>540</v>
      </c>
      <c r="AI362" s="57">
        <f t="shared" si="509"/>
        <v>76</v>
      </c>
      <c r="AJ362" s="57">
        <f t="shared" si="509"/>
        <v>349</v>
      </c>
      <c r="AK362" s="57">
        <f t="shared" si="509"/>
        <v>727</v>
      </c>
      <c r="AL362" s="57">
        <f t="shared" si="509"/>
        <v>496</v>
      </c>
      <c r="AM362" s="57">
        <f t="shared" si="509"/>
        <v>106</v>
      </c>
      <c r="AN362" s="57">
        <f t="shared" si="509"/>
        <v>370</v>
      </c>
      <c r="AO362" s="57">
        <f t="shared" si="509"/>
        <v>931</v>
      </c>
      <c r="AP362" s="57">
        <f t="shared" si="509"/>
        <v>409</v>
      </c>
      <c r="AQ362" s="57">
        <f t="shared" si="509"/>
        <v>546</v>
      </c>
      <c r="AR362" s="57">
        <f t="shared" si="509"/>
        <v>67</v>
      </c>
      <c r="AS362" s="57">
        <f t="shared" si="509"/>
        <v>1140</v>
      </c>
      <c r="AT362" s="57">
        <f t="shared" si="509"/>
        <v>504</v>
      </c>
      <c r="AU362" s="57">
        <f t="shared" si="509"/>
        <v>399</v>
      </c>
      <c r="AV362" s="57">
        <f t="shared" si="509"/>
        <v>660</v>
      </c>
      <c r="AW362" s="57">
        <f t="shared" si="509"/>
        <v>1270</v>
      </c>
      <c r="AX362" s="57">
        <f t="shared" si="509"/>
        <v>654</v>
      </c>
      <c r="AY362" s="57">
        <f t="shared" si="509"/>
        <v>281</v>
      </c>
      <c r="AZ362" s="57">
        <f t="shared" si="509"/>
        <v>626</v>
      </c>
      <c r="BA362" s="57">
        <f t="shared" si="509"/>
        <v>1089</v>
      </c>
      <c r="BB362" s="57">
        <f t="shared" si="509"/>
        <v>768</v>
      </c>
      <c r="BC362" s="57">
        <f t="shared" si="509"/>
        <v>458</v>
      </c>
      <c r="BD362" s="57">
        <f t="shared" si="509"/>
        <v>562</v>
      </c>
      <c r="BE362" s="57">
        <f t="shared" si="509"/>
        <v>1056</v>
      </c>
      <c r="BF362" s="57">
        <f t="shared" si="509"/>
        <v>580</v>
      </c>
      <c r="BG362" s="57">
        <f t="shared" si="509"/>
        <v>222</v>
      </c>
      <c r="BH362" s="57">
        <f t="shared" si="509"/>
        <v>771</v>
      </c>
      <c r="BI362" s="57">
        <f t="shared" si="509"/>
        <v>1062.4193426728018</v>
      </c>
      <c r="BJ362" s="57">
        <f t="shared" si="509"/>
        <v>428.09117710717373</v>
      </c>
      <c r="BK362" s="57">
        <f t="shared" si="509"/>
        <v>159.45130153863533</v>
      </c>
      <c r="BL362" s="57">
        <f t="shared" si="509"/>
        <v>772.81492544548803</v>
      </c>
      <c r="BM362" s="57">
        <f t="shared" si="509"/>
        <v>1225.5355119246415</v>
      </c>
      <c r="BN362" s="57">
        <f t="shared" si="509"/>
        <v>422.87392868883239</v>
      </c>
      <c r="BO362" s="57">
        <f t="shared" si="509"/>
        <v>414.09010864416916</v>
      </c>
      <c r="BP362" s="57">
        <f t="shared" si="509"/>
        <v>793.27778767708082</v>
      </c>
      <c r="BQ362" s="57">
        <f t="shared" si="509"/>
        <v>1109.8214641897782</v>
      </c>
      <c r="BR362" s="57">
        <f t="shared" si="509"/>
        <v>442.37374588104137</v>
      </c>
      <c r="BS362" s="57">
        <f t="shared" si="509"/>
        <v>390.29571971423036</v>
      </c>
      <c r="BT362" s="57">
        <f t="shared" si="509"/>
        <v>785.67962389891204</v>
      </c>
      <c r="BU362" s="57">
        <f t="shared" si="509"/>
        <v>1096.1937019426036</v>
      </c>
      <c r="BV362" s="57">
        <f t="shared" si="509"/>
        <v>421.12685775576824</v>
      </c>
      <c r="BW362" s="57">
        <f t="shared" si="509"/>
        <v>401.26998916555544</v>
      </c>
      <c r="BX362" s="57">
        <f t="shared" si="509"/>
        <v>826.35969259568878</v>
      </c>
      <c r="BY362" s="57">
        <f t="shared" si="509"/>
        <v>1147.492991125896</v>
      </c>
      <c r="BZ362" s="57">
        <f t="shared" si="509"/>
        <v>448.68056841095813</v>
      </c>
      <c r="CA362" s="57">
        <f t="shared" si="509"/>
        <v>446.78792891565683</v>
      </c>
      <c r="CB362" s="57">
        <f t="shared" si="509"/>
        <v>896.85616709812757</v>
      </c>
      <c r="CC362" s="57">
        <f t="shared" si="509"/>
        <v>1253.2031184527573</v>
      </c>
      <c r="CD362" s="57">
        <f t="shared" si="509"/>
        <v>521.06711940166656</v>
      </c>
      <c r="CE362"/>
      <c r="CG362" s="29"/>
      <c r="CH362" s="29"/>
      <c r="CI362" s="29">
        <f t="shared" ref="CI362:CX362" si="510">+SUMIFS($S362:$CD362,$S$5:$CD$5,"&lt;="&amp;CI$5,$S$5:$CD$5,"&gt;"&amp;CH$5)</f>
        <v>0</v>
      </c>
      <c r="CJ362" s="29">
        <f t="shared" si="510"/>
        <v>1296</v>
      </c>
      <c r="CK362" s="29">
        <f t="shared" si="510"/>
        <v>1497</v>
      </c>
      <c r="CL362" s="29">
        <f t="shared" si="510"/>
        <v>1738</v>
      </c>
      <c r="CM362" s="29">
        <f t="shared" si="510"/>
        <v>1853</v>
      </c>
      <c r="CN362" s="29">
        <f t="shared" si="510"/>
        <v>1648</v>
      </c>
      <c r="CO362" s="29">
        <f t="shared" si="510"/>
        <v>1816</v>
      </c>
      <c r="CP362" s="29">
        <f t="shared" si="510"/>
        <v>2257</v>
      </c>
      <c r="CQ362" s="29">
        <f t="shared" si="510"/>
        <v>2983</v>
      </c>
      <c r="CR362" s="29">
        <f t="shared" si="510"/>
        <v>2764</v>
      </c>
      <c r="CS362" s="29">
        <f t="shared" si="510"/>
        <v>2656</v>
      </c>
      <c r="CT362" s="97">
        <f t="shared" si="510"/>
        <v>2483.5105197799753</v>
      </c>
      <c r="CU362" s="97">
        <f t="shared" si="510"/>
        <v>2580.6756675975976</v>
      </c>
      <c r="CV362" s="97">
        <f t="shared" si="510"/>
        <v>2759.5631063920696</v>
      </c>
      <c r="CW362" s="97">
        <f t="shared" si="510"/>
        <v>2693.2959033115139</v>
      </c>
      <c r="CX362" s="97">
        <f t="shared" si="510"/>
        <v>2823.8032412980983</v>
      </c>
      <c r="CY362"/>
    </row>
    <row r="363" spans="2:103" x14ac:dyDescent="0.25">
      <c r="B363" s="37" t="s">
        <v>243</v>
      </c>
      <c r="C363" s="37"/>
      <c r="D363" s="37"/>
      <c r="E363" s="37"/>
      <c r="F363" s="37"/>
      <c r="G363" s="37"/>
      <c r="H363" s="37"/>
      <c r="I363" s="37"/>
      <c r="J363" s="37"/>
      <c r="K363" s="37"/>
      <c r="L363" s="37"/>
      <c r="M363" s="37"/>
      <c r="N363" s="37"/>
      <c r="O363" s="37"/>
      <c r="P363" s="37"/>
      <c r="Q363" s="37"/>
      <c r="R363" s="37"/>
      <c r="S363" s="82">
        <f t="shared" ref="S363:CD363" si="511">+(S362/S$259)</f>
        <v>0.18193548387096775</v>
      </c>
      <c r="T363" s="82">
        <f t="shared" si="511"/>
        <v>0.29918032786885246</v>
      </c>
      <c r="U363" s="82">
        <f t="shared" si="511"/>
        <v>0.40056022408963587</v>
      </c>
      <c r="V363" s="82">
        <f t="shared" si="511"/>
        <v>0.24330357142857142</v>
      </c>
      <c r="W363" s="82">
        <f t="shared" si="511"/>
        <v>0.15728715728715728</v>
      </c>
      <c r="X363" s="82">
        <f t="shared" si="511"/>
        <v>0.27923211169284468</v>
      </c>
      <c r="Y363" s="82">
        <f t="shared" si="511"/>
        <v>0.44814198557958956</v>
      </c>
      <c r="Z363" s="82">
        <f t="shared" si="511"/>
        <v>0.2813852813852814</v>
      </c>
      <c r="AA363" s="82">
        <f t="shared" si="511"/>
        <v>0.11730205278592376</v>
      </c>
      <c r="AB363" s="82">
        <f t="shared" si="511"/>
        <v>0.23406193078324225</v>
      </c>
      <c r="AC363" s="82">
        <f t="shared" si="511"/>
        <v>0.4995169082125604</v>
      </c>
      <c r="AD363" s="82">
        <f t="shared" si="511"/>
        <v>0.33608058608058611</v>
      </c>
      <c r="AE363" s="82">
        <f t="shared" si="511"/>
        <v>0.19225806451612903</v>
      </c>
      <c r="AF363" s="82">
        <f t="shared" si="511"/>
        <v>0.23324851569126379</v>
      </c>
      <c r="AG363" s="82">
        <f t="shared" si="511"/>
        <v>0.45104008117706745</v>
      </c>
      <c r="AH363" s="82">
        <f t="shared" si="511"/>
        <v>0.4302788844621514</v>
      </c>
      <c r="AI363" s="82">
        <f t="shared" si="511"/>
        <v>9.5238095238095233E-2</v>
      </c>
      <c r="AJ363" s="82">
        <f t="shared" si="511"/>
        <v>0.27567140600315954</v>
      </c>
      <c r="AK363" s="82">
        <f t="shared" si="511"/>
        <v>0.4387447193723597</v>
      </c>
      <c r="AL363" s="82">
        <f t="shared" si="511"/>
        <v>0.35152374202693126</v>
      </c>
      <c r="AM363" s="82">
        <f t="shared" si="511"/>
        <v>0.13554987212276215</v>
      </c>
      <c r="AN363" s="82">
        <f t="shared" si="511"/>
        <v>0.28179741051028179</v>
      </c>
      <c r="AO363" s="82">
        <f t="shared" si="511"/>
        <v>0.46066303809995052</v>
      </c>
      <c r="AP363" s="82">
        <f t="shared" si="511"/>
        <v>0.32563694267515925</v>
      </c>
      <c r="AQ363" s="82">
        <f t="shared" si="511"/>
        <v>0.39280575539568346</v>
      </c>
      <c r="AR363" s="82">
        <f t="shared" si="511"/>
        <v>7.3626373626373628E-2</v>
      </c>
      <c r="AS363" s="82">
        <f t="shared" si="511"/>
        <v>0.47499999999999998</v>
      </c>
      <c r="AT363" s="82">
        <f t="shared" si="511"/>
        <v>0.338255033557047</v>
      </c>
      <c r="AU363" s="82">
        <f t="shared" si="511"/>
        <v>0.29865269461077842</v>
      </c>
      <c r="AV363" s="82">
        <f t="shared" si="511"/>
        <v>0.3565640194489465</v>
      </c>
      <c r="AW363" s="82">
        <f t="shared" si="511"/>
        <v>0.4928211098176174</v>
      </c>
      <c r="AX363" s="82">
        <f t="shared" si="511"/>
        <v>0.37350085665334093</v>
      </c>
      <c r="AY363" s="82">
        <f t="shared" si="511"/>
        <v>0.21632024634334104</v>
      </c>
      <c r="AZ363" s="82">
        <f t="shared" si="511"/>
        <v>0.35689851767388825</v>
      </c>
      <c r="BA363" s="82">
        <f t="shared" si="511"/>
        <v>0.46498719043552517</v>
      </c>
      <c r="BB363" s="82">
        <f t="shared" si="511"/>
        <v>0.39465570400822197</v>
      </c>
      <c r="BC363" s="82">
        <f t="shared" si="511"/>
        <v>0.2902408111533587</v>
      </c>
      <c r="BD363" s="82">
        <f t="shared" si="511"/>
        <v>0.3087912087912088</v>
      </c>
      <c r="BE363" s="82">
        <f t="shared" si="511"/>
        <v>0.44632290786136941</v>
      </c>
      <c r="BF363" s="82">
        <f t="shared" si="511"/>
        <v>0.34813925570228094</v>
      </c>
      <c r="BG363" s="82">
        <f t="shared" si="511"/>
        <v>0.17591125198098256</v>
      </c>
      <c r="BH363" s="82">
        <f t="shared" si="511"/>
        <v>0.37085137085137088</v>
      </c>
      <c r="BI363" s="82">
        <f t="shared" si="511"/>
        <v>0.45473369107527134</v>
      </c>
      <c r="BJ363" s="82">
        <f t="shared" si="511"/>
        <v>0.26848067998379943</v>
      </c>
      <c r="BK363" s="82">
        <f t="shared" si="511"/>
        <v>0.13005533325061411</v>
      </c>
      <c r="BL363" s="82">
        <f t="shared" si="511"/>
        <v>0.36051043755831574</v>
      </c>
      <c r="BM363" s="82">
        <f t="shared" si="511"/>
        <v>0.47506537091184309</v>
      </c>
      <c r="BN363" s="82">
        <f t="shared" si="511"/>
        <v>0.26106391277882257</v>
      </c>
      <c r="BO363" s="82">
        <f t="shared" si="511"/>
        <v>0.26353759839123653</v>
      </c>
      <c r="BP363" s="82">
        <f t="shared" si="511"/>
        <v>0.36099706934245795</v>
      </c>
      <c r="BQ363" s="82">
        <f t="shared" si="511"/>
        <v>0.45080542203660895</v>
      </c>
      <c r="BR363" s="82">
        <f t="shared" si="511"/>
        <v>0.26447175651540622</v>
      </c>
      <c r="BS363" s="82">
        <f t="shared" si="511"/>
        <v>0.24791401467206592</v>
      </c>
      <c r="BT363" s="82">
        <f t="shared" si="511"/>
        <v>0.35326905208052034</v>
      </c>
      <c r="BU363" s="82">
        <f t="shared" si="511"/>
        <v>0.44210892726207074</v>
      </c>
      <c r="BV363" s="82">
        <f t="shared" si="511"/>
        <v>0.25049436455733332</v>
      </c>
      <c r="BW363" s="82">
        <f t="shared" si="511"/>
        <v>0.24789273048483293</v>
      </c>
      <c r="BX363" s="82">
        <f t="shared" si="511"/>
        <v>0.36158000351627562</v>
      </c>
      <c r="BY363" s="82">
        <f t="shared" si="511"/>
        <v>0.44795513848051277</v>
      </c>
      <c r="BZ363" s="82">
        <f t="shared" si="511"/>
        <v>0.25738998855287759</v>
      </c>
      <c r="CA363" s="82">
        <f t="shared" si="511"/>
        <v>0.26819295900304718</v>
      </c>
      <c r="CB363" s="82">
        <f t="shared" si="511"/>
        <v>0.38158959567726114</v>
      </c>
      <c r="CC363" s="82">
        <f t="shared" si="511"/>
        <v>0.47321577107109292</v>
      </c>
      <c r="CD363" s="82">
        <f t="shared" si="511"/>
        <v>0.28807533109421535</v>
      </c>
      <c r="CG363" s="82"/>
      <c r="CH363" s="82"/>
      <c r="CI363" s="82" t="e">
        <f t="shared" ref="CI363:CX363" si="512">+(CI362/CI$259)</f>
        <v>#DIV/0!</v>
      </c>
      <c r="CJ363" s="82">
        <f t="shared" si="512"/>
        <v>0.30006946052326927</v>
      </c>
      <c r="CK363" s="82">
        <f t="shared" si="512"/>
        <v>0.32785808147174772</v>
      </c>
      <c r="CL363" s="82">
        <f t="shared" si="512"/>
        <v>0.35167948199109672</v>
      </c>
      <c r="CM363" s="82">
        <f t="shared" si="512"/>
        <v>0.35772200772200774</v>
      </c>
      <c r="CN363" s="82">
        <f t="shared" si="512"/>
        <v>0.32112236944660949</v>
      </c>
      <c r="CO363" s="82">
        <f t="shared" si="512"/>
        <v>0.33804914370811617</v>
      </c>
      <c r="CP363" s="82">
        <f t="shared" si="512"/>
        <v>0.36462035541195476</v>
      </c>
      <c r="CQ363" s="82">
        <f>+(CQ362/CQ$259)</f>
        <v>0.39693945442448436</v>
      </c>
      <c r="CR363" s="82">
        <f t="shared" si="512"/>
        <v>0.37651546110884077</v>
      </c>
      <c r="CS363" s="82">
        <f t="shared" si="512"/>
        <v>0.35746971736204575</v>
      </c>
      <c r="CT363" s="108">
        <f t="shared" si="512"/>
        <v>0.34152387860283523</v>
      </c>
      <c r="CU363" s="108">
        <f t="shared" si="512"/>
        <v>0.34094318402291973</v>
      </c>
      <c r="CV363" s="108">
        <f t="shared" si="512"/>
        <v>0.34916720176473681</v>
      </c>
      <c r="CW363" s="108">
        <f t="shared" si="512"/>
        <v>0.3383965553527451</v>
      </c>
      <c r="CX363" s="108">
        <f t="shared" si="512"/>
        <v>0.34399055235067311</v>
      </c>
    </row>
    <row r="364" spans="2:103" x14ac:dyDescent="0.25">
      <c r="B364" s="37" t="s">
        <v>245</v>
      </c>
      <c r="C364" s="37"/>
      <c r="D364" s="37"/>
      <c r="E364" s="37"/>
      <c r="F364" s="37"/>
      <c r="G364" s="37"/>
      <c r="H364" s="37"/>
      <c r="I364" s="37"/>
      <c r="J364" s="37"/>
      <c r="K364" s="37"/>
      <c r="L364" s="37"/>
      <c r="M364" s="37"/>
      <c r="N364" s="37"/>
      <c r="O364" s="37"/>
      <c r="P364" s="37"/>
      <c r="Q364" s="37"/>
      <c r="R364" s="37"/>
      <c r="W364" s="163">
        <f t="shared" ref="W364:BB364" si="513">+(W363-S363)*10^4</f>
        <v>-246.4832658381047</v>
      </c>
      <c r="X364" s="163">
        <f t="shared" si="513"/>
        <v>-199.48216176007782</v>
      </c>
      <c r="Y364" s="163">
        <f t="shared" si="513"/>
        <v>475.81761489953686</v>
      </c>
      <c r="Z364" s="163">
        <f t="shared" si="513"/>
        <v>380.81709956709983</v>
      </c>
      <c r="AA364" s="163">
        <f t="shared" si="513"/>
        <v>-399.85104501233519</v>
      </c>
      <c r="AB364" s="163">
        <f t="shared" si="513"/>
        <v>-451.70180909602425</v>
      </c>
      <c r="AC364" s="163">
        <f t="shared" si="513"/>
        <v>513.74922632970834</v>
      </c>
      <c r="AD364" s="163">
        <f t="shared" si="513"/>
        <v>546.95304695304708</v>
      </c>
      <c r="AE364" s="163">
        <f t="shared" si="513"/>
        <v>749.56011730205273</v>
      </c>
      <c r="AF364" s="163">
        <f t="shared" si="513"/>
        <v>-8.1341509197846449</v>
      </c>
      <c r="AG364" s="163">
        <f t="shared" si="513"/>
        <v>-484.76827035492943</v>
      </c>
      <c r="AH364" s="163">
        <f t="shared" si="513"/>
        <v>941.98298381565291</v>
      </c>
      <c r="AI364" s="163">
        <f t="shared" si="513"/>
        <v>-970.19969278033807</v>
      </c>
      <c r="AJ364" s="163">
        <f t="shared" si="513"/>
        <v>424.22890311895748</v>
      </c>
      <c r="AK364" s="163">
        <f t="shared" si="513"/>
        <v>-122.9536180470775</v>
      </c>
      <c r="AL364" s="163">
        <f t="shared" si="513"/>
        <v>-787.55142435220137</v>
      </c>
      <c r="AM364" s="163">
        <f t="shared" si="513"/>
        <v>403.11776884666915</v>
      </c>
      <c r="AN364" s="163">
        <f t="shared" si="513"/>
        <v>61.260045071222514</v>
      </c>
      <c r="AO364" s="163">
        <f t="shared" si="513"/>
        <v>219.18318727590813</v>
      </c>
      <c r="AP364" s="163">
        <f t="shared" si="513"/>
        <v>-258.86799351772015</v>
      </c>
      <c r="AQ364" s="163">
        <f t="shared" si="513"/>
        <v>2572.558832729213</v>
      </c>
      <c r="AR364" s="163">
        <f t="shared" si="513"/>
        <v>-2081.7103688390816</v>
      </c>
      <c r="AS364" s="163">
        <f t="shared" si="513"/>
        <v>143.36961900049459</v>
      </c>
      <c r="AT364" s="163">
        <f t="shared" si="513"/>
        <v>126.18090881887755</v>
      </c>
      <c r="AU364" s="163">
        <f t="shared" si="513"/>
        <v>-941.5306078490504</v>
      </c>
      <c r="AV364" s="163">
        <f t="shared" si="513"/>
        <v>2829.3764582257286</v>
      </c>
      <c r="AW364" s="163">
        <f t="shared" si="513"/>
        <v>178.2110981761742</v>
      </c>
      <c r="AX364" s="163">
        <f t="shared" si="513"/>
        <v>352.45823096293924</v>
      </c>
      <c r="AY364" s="163">
        <f t="shared" si="513"/>
        <v>-823.32448267437383</v>
      </c>
      <c r="AZ364" s="163">
        <f t="shared" si="513"/>
        <v>3.344982249417483</v>
      </c>
      <c r="BA364" s="163">
        <f t="shared" si="513"/>
        <v>-278.33919382092233</v>
      </c>
      <c r="BB364" s="163">
        <f t="shared" si="513"/>
        <v>211.54847354881045</v>
      </c>
      <c r="BC364" s="163">
        <f>+(BC363-AY363)*10^4</f>
        <v>739.20564810017663</v>
      </c>
      <c r="BD364" s="163">
        <f t="shared" ref="BD364:BV364" si="514">+(BD363-AZ363)*10^4</f>
        <v>-481.07308882679445</v>
      </c>
      <c r="BE364" s="163">
        <f t="shared" si="514"/>
        <v>-186.64282574155754</v>
      </c>
      <c r="BF364" s="163">
        <f t="shared" si="514"/>
        <v>-465.16448305941037</v>
      </c>
      <c r="BG364" s="163">
        <f t="shared" si="514"/>
        <v>-1143.2955917237614</v>
      </c>
      <c r="BH364" s="163">
        <f t="shared" si="514"/>
        <v>620.60162060162077</v>
      </c>
      <c r="BI364" s="163">
        <f>+(BI363-BE363)*10^4</f>
        <v>84.107832139019294</v>
      </c>
      <c r="BJ364" s="163">
        <f t="shared" si="514"/>
        <v>-796.58575718481507</v>
      </c>
      <c r="BK364" s="163">
        <f t="shared" si="514"/>
        <v>-458.55918730368455</v>
      </c>
      <c r="BL364" s="163">
        <f t="shared" si="514"/>
        <v>-103.40933293055133</v>
      </c>
      <c r="BM364" s="163">
        <f>+(BM363-BI363)*10^4</f>
        <v>203.31679836571749</v>
      </c>
      <c r="BN364" s="163">
        <f t="shared" si="514"/>
        <v>-74.167672049768598</v>
      </c>
      <c r="BO364" s="163">
        <f t="shared" si="514"/>
        <v>1334.8226514062242</v>
      </c>
      <c r="BP364" s="163">
        <f t="shared" si="514"/>
        <v>4.8663178414221075</v>
      </c>
      <c r="BQ364" s="163">
        <f t="shared" si="514"/>
        <v>-242.59948875234139</v>
      </c>
      <c r="BR364" s="163">
        <f t="shared" si="514"/>
        <v>34.078437365836493</v>
      </c>
      <c r="BS364" s="163">
        <f t="shared" si="514"/>
        <v>-156.23583719170608</v>
      </c>
      <c r="BT364" s="163">
        <f t="shared" si="514"/>
        <v>-77.280172619376145</v>
      </c>
      <c r="BU364" s="163">
        <f t="shared" si="514"/>
        <v>-86.964947745382105</v>
      </c>
      <c r="BV364" s="163">
        <f t="shared" si="514"/>
        <v>-139.77391958072906</v>
      </c>
      <c r="BW364" s="163">
        <f t="shared" ref="BW364:CD364" si="515">+(BW363-BO363)*10^4</f>
        <v>-156.44867906403599</v>
      </c>
      <c r="BX364" s="163">
        <f t="shared" si="515"/>
        <v>5.8293417381766188</v>
      </c>
      <c r="BY364" s="163">
        <f t="shared" si="515"/>
        <v>-28.502835560961781</v>
      </c>
      <c r="BZ364" s="163">
        <f t="shared" si="515"/>
        <v>-70.817679625286289</v>
      </c>
      <c r="CA364" s="163">
        <f t="shared" si="515"/>
        <v>202.78944330981264</v>
      </c>
      <c r="CB364" s="163">
        <f t="shared" si="515"/>
        <v>283.20543596740799</v>
      </c>
      <c r="CC364" s="163">
        <f t="shared" si="515"/>
        <v>311.06843809022178</v>
      </c>
      <c r="CD364" s="163">
        <f t="shared" si="515"/>
        <v>375.80966536882033</v>
      </c>
      <c r="CG364" s="82"/>
      <c r="CH364" s="82"/>
      <c r="CI364" s="158"/>
      <c r="CJ364" s="159" t="e">
        <f t="shared" ref="CJ364:CX364" si="516">+(CJ363-CI363)*10^4</f>
        <v>#DIV/0!</v>
      </c>
      <c r="CK364" s="159">
        <f t="shared" si="516"/>
        <v>277.8862094847845</v>
      </c>
      <c r="CL364" s="159">
        <f t="shared" si="516"/>
        <v>238.21400519349001</v>
      </c>
      <c r="CM364" s="159">
        <f t="shared" si="516"/>
        <v>60.425257309110194</v>
      </c>
      <c r="CN364" s="159">
        <f t="shared" si="516"/>
        <v>-365.99638275398252</v>
      </c>
      <c r="CO364" s="159">
        <f t="shared" si="516"/>
        <v>169.26774261506682</v>
      </c>
      <c r="CP364" s="159">
        <f t="shared" si="516"/>
        <v>265.71211703838583</v>
      </c>
      <c r="CQ364" s="159">
        <f>+(CQ363-CP363)*10^4</f>
        <v>323.19099012529608</v>
      </c>
      <c r="CR364" s="159">
        <f>+(CR363-CQ363)*10^4</f>
        <v>-204.23993315643597</v>
      </c>
      <c r="CS364" s="159">
        <f t="shared" si="516"/>
        <v>-190.45743746795017</v>
      </c>
      <c r="CT364" s="159">
        <f t="shared" si="516"/>
        <v>-159.45838759210517</v>
      </c>
      <c r="CU364" s="159">
        <f t="shared" si="516"/>
        <v>-5.8069457991549722</v>
      </c>
      <c r="CV364" s="159">
        <f t="shared" si="516"/>
        <v>82.240177418170802</v>
      </c>
      <c r="CW364" s="159">
        <f t="shared" si="516"/>
        <v>-107.70646411991713</v>
      </c>
      <c r="CX364" s="159">
        <f t="shared" si="516"/>
        <v>55.939969979280079</v>
      </c>
    </row>
    <row r="365" spans="2:103" ht="15" customHeight="1" x14ac:dyDescent="0.25">
      <c r="B365" s="37" t="s">
        <v>244</v>
      </c>
      <c r="C365" s="37"/>
      <c r="D365" s="37"/>
      <c r="E365" s="37"/>
      <c r="F365" s="37"/>
      <c r="G365" s="37"/>
      <c r="H365" s="37"/>
      <c r="I365" s="37"/>
      <c r="J365" s="37"/>
      <c r="K365" s="37"/>
      <c r="L365" s="37"/>
      <c r="M365" s="37"/>
      <c r="N365" s="37"/>
      <c r="O365" s="37"/>
      <c r="P365" s="37"/>
      <c r="Q365" s="37"/>
      <c r="R365" s="37"/>
      <c r="S365" s="82"/>
      <c r="T365" s="82"/>
      <c r="U365" s="82"/>
      <c r="V365" s="82"/>
      <c r="W365" s="82">
        <f t="shared" ref="W365:AX365" si="517">+(W362-S362)/(W$259-S$259)</f>
        <v>0.3902439024390244</v>
      </c>
      <c r="X365" s="82">
        <f t="shared" si="517"/>
        <v>0.60810810810810811</v>
      </c>
      <c r="Y365" s="82">
        <f t="shared" si="517"/>
        <v>0.6293333333333333</v>
      </c>
      <c r="Z365" s="82">
        <f t="shared" si="517"/>
        <v>1.5</v>
      </c>
      <c r="AA365" s="82">
        <f t="shared" si="517"/>
        <v>2.6363636363636362</v>
      </c>
      <c r="AB365" s="82">
        <f t="shared" si="517"/>
        <v>1.3125</v>
      </c>
      <c r="AC365" s="82">
        <f t="shared" si="517"/>
        <v>0.84644194756554303</v>
      </c>
      <c r="AD365" s="82">
        <f t="shared" si="517"/>
        <v>0.63690476190476186</v>
      </c>
      <c r="AE365" s="82">
        <f t="shared" si="517"/>
        <v>0.74193548387096775</v>
      </c>
      <c r="AF365" s="82">
        <f t="shared" si="517"/>
        <v>0.22222222222222221</v>
      </c>
      <c r="AG365" s="82">
        <f t="shared" si="517"/>
        <v>1.4646464646464648</v>
      </c>
      <c r="AH365" s="82">
        <f t="shared" si="517"/>
        <v>1.0613496932515338</v>
      </c>
      <c r="AI365" s="82">
        <f t="shared" si="517"/>
        <v>-3.1739130434782608</v>
      </c>
      <c r="AJ365" s="82">
        <f t="shared" si="517"/>
        <v>0.85057471264367812</v>
      </c>
      <c r="AK365" s="82">
        <f t="shared" si="517"/>
        <v>0.51592356687898089</v>
      </c>
      <c r="AL365" s="82">
        <f t="shared" si="517"/>
        <v>-0.28205128205128205</v>
      </c>
      <c r="AM365" s="82">
        <f t="shared" si="517"/>
        <v>-1.875</v>
      </c>
      <c r="AN365" s="82">
        <f t="shared" si="517"/>
        <v>0.44680851063829785</v>
      </c>
      <c r="AO365" s="82">
        <f t="shared" si="517"/>
        <v>0.56043956043956045</v>
      </c>
      <c r="AP365" s="82">
        <f t="shared" si="517"/>
        <v>0.56129032258064515</v>
      </c>
      <c r="AQ365" s="82">
        <f t="shared" si="517"/>
        <v>0.72368421052631582</v>
      </c>
      <c r="AR365" s="82">
        <f t="shared" si="517"/>
        <v>0.75186104218362282</v>
      </c>
      <c r="AS365" s="82">
        <f t="shared" si="517"/>
        <v>0.55145118733509235</v>
      </c>
      <c r="AT365" s="82">
        <f t="shared" si="517"/>
        <v>0.40598290598290598</v>
      </c>
      <c r="AU365" s="82">
        <f t="shared" si="517"/>
        <v>2.7222222222222223</v>
      </c>
      <c r="AV365" s="82">
        <f t="shared" si="517"/>
        <v>0.6301806588735388</v>
      </c>
      <c r="AW365" s="82">
        <f t="shared" si="517"/>
        <v>0.7344632768361582</v>
      </c>
      <c r="AX365" s="82">
        <f t="shared" si="517"/>
        <v>0.57471264367816088</v>
      </c>
      <c r="AY365" s="82">
        <f>+(AY362-AU362)/(AY$259-AU$259)</f>
        <v>3.189189189189189</v>
      </c>
      <c r="AZ365" s="82">
        <f t="shared" ref="AZ365:BB365" si="518">+(AZ362-AV362)/(AZ$259-AV$259)</f>
        <v>0.35051546391752575</v>
      </c>
      <c r="BA365" s="82">
        <f t="shared" si="518"/>
        <v>0.77021276595744681</v>
      </c>
      <c r="BB365" s="82">
        <f t="shared" si="518"/>
        <v>0.58461538461538465</v>
      </c>
      <c r="BC365" s="82">
        <f>+(BC362-AY362)/(BC$259-AY$259)</f>
        <v>0.63440860215053763</v>
      </c>
      <c r="BD365" s="82">
        <f t="shared" ref="BD365:BH365" si="519">+(BD362-AZ362)/(BD$259-AZ$259)</f>
        <v>-0.96969696969696972</v>
      </c>
      <c r="BE365" s="82">
        <f t="shared" si="519"/>
        <v>-1.375</v>
      </c>
      <c r="BF365" s="82">
        <f t="shared" si="519"/>
        <v>0.67142857142857137</v>
      </c>
      <c r="BG365" s="82">
        <f t="shared" si="519"/>
        <v>0.74683544303797467</v>
      </c>
      <c r="BH365" s="82">
        <f t="shared" si="519"/>
        <v>0.806949806949807</v>
      </c>
      <c r="BI365" s="82">
        <f>+(BI362-BE362)/(BI$259-BE$259)</f>
        <v>-0.21654064322347708</v>
      </c>
      <c r="BJ365" s="82">
        <f t="shared" ref="BJ365:BL365" si="520">+(BJ362-BF362)/(BJ$259-BF$259)</f>
        <v>2.1244586888596735</v>
      </c>
      <c r="BK365" s="82">
        <f t="shared" si="520"/>
        <v>1.7387498894805409</v>
      </c>
      <c r="BL365" s="82">
        <f t="shared" si="520"/>
        <v>2.8064993694062731E-2</v>
      </c>
      <c r="BM365" s="82">
        <f>+(BM362-BI362)/(BM$259-BI$259)</f>
        <v>0.67025399123408735</v>
      </c>
      <c r="BN365" s="82">
        <f t="shared" ref="BN365:BV365" si="521">+(BN362-BJ362)/(BN$259-BJ$259)</f>
        <v>-0.20609569092547653</v>
      </c>
      <c r="BO365" s="82">
        <f t="shared" si="521"/>
        <v>0.73755196144418655</v>
      </c>
      <c r="BP365" s="82">
        <f t="shared" si="521"/>
        <v>0.38038893644017535</v>
      </c>
      <c r="BQ365" s="82">
        <f t="shared" si="521"/>
        <v>0.98182466558120884</v>
      </c>
      <c r="BR365" s="82">
        <f t="shared" si="521"/>
        <v>0.36890130212883987</v>
      </c>
      <c r="BS365" s="82">
        <f t="shared" si="521"/>
        <v>-7.8177342592922434</v>
      </c>
      <c r="BT365" s="82">
        <f t="shared" si="521"/>
        <v>-0.28604361596260902</v>
      </c>
      <c r="BU365" s="82">
        <f t="shared" si="521"/>
        <v>-0.77423455801204855</v>
      </c>
      <c r="BV365" s="82">
        <f t="shared" si="521"/>
        <v>-2.4955762095483331</v>
      </c>
      <c r="BW365" s="82">
        <f t="shared" ref="BW365:CD365" si="522">+(BW362-BO362)/(BW$259-BO$259)</f>
        <v>-0.27018706662248815</v>
      </c>
      <c r="BX365" s="82">
        <f t="shared" si="522"/>
        <v>0.37614484418265359</v>
      </c>
      <c r="BY365" s="82">
        <f t="shared" si="522"/>
        <v>0.37761706829231073</v>
      </c>
      <c r="BZ365" s="82">
        <f t="shared" si="522"/>
        <v>8.9427511209850499E-2</v>
      </c>
      <c r="CA365" s="82">
        <f t="shared" si="522"/>
        <v>0.61672193404292042</v>
      </c>
      <c r="CB365" s="82">
        <f t="shared" si="522"/>
        <v>0.88032805236883072</v>
      </c>
      <c r="CC365" s="82">
        <f t="shared" si="522"/>
        <v>0.93012428506029188</v>
      </c>
      <c r="CD365" s="82">
        <f t="shared" si="522"/>
        <v>0.78320172676714739</v>
      </c>
      <c r="CG365" s="82"/>
      <c r="CH365" s="82"/>
      <c r="CI365" s="82" t="e">
        <f>+(CI362-CH362)/(CI$259-CH$259)</f>
        <v>#DIV/0!</v>
      </c>
      <c r="CJ365" s="82">
        <f t="shared" ref="CJ365:CP365" si="523">+(CJ362-CI362)/(CJ$259-CI$259)</f>
        <v>0.30006946052326927</v>
      </c>
      <c r="CK365" s="82">
        <f t="shared" si="523"/>
        <v>0.81376518218623484</v>
      </c>
      <c r="CL365" s="82">
        <f t="shared" si="523"/>
        <v>0.64095744680851063</v>
      </c>
      <c r="CM365" s="82">
        <f t="shared" si="523"/>
        <v>0.48319327731092437</v>
      </c>
      <c r="CN365" s="82">
        <f t="shared" si="523"/>
        <v>4.270833333333333</v>
      </c>
      <c r="CO365" s="82">
        <f t="shared" si="523"/>
        <v>0.7</v>
      </c>
      <c r="CP365" s="82">
        <f t="shared" si="523"/>
        <v>0.53911980440097795</v>
      </c>
      <c r="CQ365" s="82">
        <f>+(CQ362-CP362)/(CQ$259-CP$259)</f>
        <v>0.54792452830188676</v>
      </c>
      <c r="CR365" s="82">
        <f>+(CR362-CQ362)/(CR$259-CQ$259)</f>
        <v>1.2586206896551724</v>
      </c>
      <c r="CS365" s="82">
        <f t="shared" ref="CS365:CX365" si="524">+(CS362-CR362)/(CS$259-CR$259)</f>
        <v>-1.2134831460674158</v>
      </c>
      <c r="CT365" s="82">
        <f t="shared" si="524"/>
        <v>1.0906722078561408</v>
      </c>
      <c r="CU365" s="82">
        <f t="shared" si="524"/>
        <v>0.32674317214362297</v>
      </c>
      <c r="CV365" s="82">
        <f t="shared" si="524"/>
        <v>0.53551696182036268</v>
      </c>
      <c r="CW365" s="82">
        <f t="shared" si="524"/>
        <v>-1.1892464093880157</v>
      </c>
      <c r="CX365" s="82">
        <f t="shared" si="524"/>
        <v>0.52210757616013836</v>
      </c>
    </row>
    <row r="366" spans="2:103" x14ac:dyDescent="0.25">
      <c r="B366" s="37" t="s">
        <v>170</v>
      </c>
      <c r="C366" s="37"/>
      <c r="D366" s="37"/>
      <c r="E366" s="37"/>
      <c r="F366" s="37"/>
      <c r="G366" s="37"/>
      <c r="H366" s="37"/>
      <c r="I366" s="37"/>
      <c r="J366" s="37"/>
      <c r="K366" s="37"/>
      <c r="L366" s="37"/>
      <c r="M366" s="37"/>
      <c r="N366" s="37"/>
      <c r="O366" s="37"/>
      <c r="P366" s="37"/>
      <c r="Q366" s="37"/>
      <c r="R366" s="37"/>
      <c r="W366" s="82">
        <f t="shared" ref="W366:BB366" si="525">+IFERROR(W362/S362-1,"")</f>
        <v>-0.22695035460992907</v>
      </c>
      <c r="X366" s="82">
        <f t="shared" si="525"/>
        <v>-0.12328767123287676</v>
      </c>
      <c r="Y366" s="82">
        <f t="shared" si="525"/>
        <v>0.41258741258741249</v>
      </c>
      <c r="Z366" s="82">
        <f t="shared" si="525"/>
        <v>0.19266055045871555</v>
      </c>
      <c r="AA366" s="82">
        <f t="shared" si="525"/>
        <v>-0.26605504587155959</v>
      </c>
      <c r="AB366" s="82">
        <f t="shared" si="525"/>
        <v>-0.19687500000000002</v>
      </c>
      <c r="AC366" s="82">
        <f t="shared" si="525"/>
        <v>0.27970297029702973</v>
      </c>
      <c r="AD366" s="82">
        <f t="shared" si="525"/>
        <v>0.41153846153846163</v>
      </c>
      <c r="AE366" s="82">
        <f t="shared" si="525"/>
        <v>0.86250000000000004</v>
      </c>
      <c r="AF366" s="82">
        <f t="shared" si="525"/>
        <v>7.0038910505836549E-2</v>
      </c>
      <c r="AG366" s="82">
        <f t="shared" si="525"/>
        <v>-0.14023210831721467</v>
      </c>
      <c r="AH366" s="82">
        <f t="shared" si="525"/>
        <v>0.47138964577656672</v>
      </c>
      <c r="AI366" s="82">
        <f t="shared" si="525"/>
        <v>-0.48993288590604023</v>
      </c>
      <c r="AJ366" s="82">
        <f t="shared" si="525"/>
        <v>0.26909090909090905</v>
      </c>
      <c r="AK366" s="82">
        <f t="shared" si="525"/>
        <v>-0.18222722159730032</v>
      </c>
      <c r="AL366" s="82">
        <f t="shared" si="525"/>
        <v>-8.1481481481481488E-2</v>
      </c>
      <c r="AM366" s="82">
        <f t="shared" si="525"/>
        <v>0.39473684210526305</v>
      </c>
      <c r="AN366" s="82">
        <f t="shared" si="525"/>
        <v>6.0171919770773741E-2</v>
      </c>
      <c r="AO366" s="82">
        <f t="shared" si="525"/>
        <v>0.28060522696011003</v>
      </c>
      <c r="AP366" s="82">
        <f t="shared" si="525"/>
        <v>-0.17540322580645162</v>
      </c>
      <c r="AQ366" s="82">
        <f t="shared" si="525"/>
        <v>4.1509433962264151</v>
      </c>
      <c r="AR366" s="82">
        <f t="shared" si="525"/>
        <v>-0.81891891891891888</v>
      </c>
      <c r="AS366" s="82">
        <f t="shared" si="525"/>
        <v>0.22448979591836737</v>
      </c>
      <c r="AT366" s="82">
        <f t="shared" si="525"/>
        <v>0.23227383863080675</v>
      </c>
      <c r="AU366" s="82">
        <f t="shared" si="525"/>
        <v>-0.26923076923076927</v>
      </c>
      <c r="AV366" s="82">
        <f t="shared" si="525"/>
        <v>8.8507462686567155</v>
      </c>
      <c r="AW366" s="82">
        <f t="shared" si="525"/>
        <v>0.11403508771929816</v>
      </c>
      <c r="AX366" s="82">
        <f t="shared" si="525"/>
        <v>0.29761904761904767</v>
      </c>
      <c r="AY366" s="82">
        <f t="shared" si="525"/>
        <v>-0.2957393483709273</v>
      </c>
      <c r="AZ366" s="82">
        <f t="shared" si="525"/>
        <v>-5.1515151515151514E-2</v>
      </c>
      <c r="BA366" s="82">
        <f t="shared" si="525"/>
        <v>-0.14251968503937007</v>
      </c>
      <c r="BB366" s="82">
        <f t="shared" si="525"/>
        <v>0.17431192660550465</v>
      </c>
      <c r="BC366" s="82">
        <f>+IFERROR(BC362/AY362-1,"")</f>
        <v>0.62989323843416378</v>
      </c>
      <c r="BD366" s="82">
        <f t="shared" ref="BD366:BV366" si="526">+IFERROR(BD362/AZ362-1,"")</f>
        <v>-0.10223642172523961</v>
      </c>
      <c r="BE366" s="82">
        <f t="shared" si="526"/>
        <v>-3.0303030303030276E-2</v>
      </c>
      <c r="BF366" s="82">
        <f t="shared" si="526"/>
        <v>-0.24479166666666663</v>
      </c>
      <c r="BG366" s="82">
        <f t="shared" si="526"/>
        <v>-0.51528384279475981</v>
      </c>
      <c r="BH366" s="82">
        <f t="shared" si="526"/>
        <v>0.37188612099644125</v>
      </c>
      <c r="BI366" s="82">
        <f>+IFERROR(BI362/BE362-1,"")</f>
        <v>6.0789229856077487E-3</v>
      </c>
      <c r="BJ366" s="82">
        <f t="shared" si="526"/>
        <v>-0.26191176360832114</v>
      </c>
      <c r="BK366" s="82">
        <f t="shared" si="526"/>
        <v>-0.2817508939701111</v>
      </c>
      <c r="BL366" s="82">
        <f t="shared" si="526"/>
        <v>2.3539889046537699E-3</v>
      </c>
      <c r="BM366" s="82">
        <f>+IFERROR(BM362/BI362-1,"")</f>
        <v>0.15353275557039181</v>
      </c>
      <c r="BN366" s="82">
        <f t="shared" si="526"/>
        <v>-1.2187236498534926E-2</v>
      </c>
      <c r="BO366" s="82">
        <f t="shared" si="526"/>
        <v>1.5969691350799944</v>
      </c>
      <c r="BP366" s="82">
        <f t="shared" si="526"/>
        <v>2.6478347606701647E-2</v>
      </c>
      <c r="BQ366" s="82">
        <f t="shared" si="526"/>
        <v>-9.4419171544968261E-2</v>
      </c>
      <c r="BR366" s="82">
        <f t="shared" si="526"/>
        <v>4.61126020529814E-2</v>
      </c>
      <c r="BS366" s="82">
        <f t="shared" si="526"/>
        <v>-5.7461862607265268E-2</v>
      </c>
      <c r="BT366" s="82">
        <f t="shared" si="526"/>
        <v>-9.5781879893778177E-3</v>
      </c>
      <c r="BU366" s="82">
        <f t="shared" si="526"/>
        <v>-1.2279238316158847E-2</v>
      </c>
      <c r="BV366" s="82">
        <f t="shared" si="526"/>
        <v>-4.8029270098200239E-2</v>
      </c>
      <c r="BW366" s="82">
        <f t="shared" ref="BW366:CD366" si="527">+IFERROR(BW362/BO362-1,"")</f>
        <v>-3.0959733669055467E-2</v>
      </c>
      <c r="BX366" s="82">
        <f t="shared" si="527"/>
        <v>4.1702799993278861E-2</v>
      </c>
      <c r="BY366" s="82">
        <f t="shared" si="527"/>
        <v>3.3943772175662357E-2</v>
      </c>
      <c r="BZ366" s="82">
        <f t="shared" si="527"/>
        <v>1.4256774025673602E-2</v>
      </c>
      <c r="CA366" s="82">
        <f t="shared" si="527"/>
        <v>0.14474206697114012</v>
      </c>
      <c r="CB366" s="82">
        <f t="shared" si="527"/>
        <v>0.14150366105653234</v>
      </c>
      <c r="CC366" s="82">
        <f t="shared" si="527"/>
        <v>0.14323145282800986</v>
      </c>
      <c r="CD366" s="82">
        <f t="shared" si="527"/>
        <v>0.23731628559263851</v>
      </c>
      <c r="CG366" s="82"/>
      <c r="CH366" s="82"/>
      <c r="CI366" s="82" t="str">
        <f t="shared" ref="CI366:CX366" si="528">+IFERROR(CI362/CH362-1,"")</f>
        <v/>
      </c>
      <c r="CJ366" s="82" t="str">
        <f t="shared" si="528"/>
        <v/>
      </c>
      <c r="CK366" s="82">
        <f t="shared" si="528"/>
        <v>0.15509259259259256</v>
      </c>
      <c r="CL366" s="82">
        <f t="shared" si="528"/>
        <v>0.16098864395457579</v>
      </c>
      <c r="CM366" s="82">
        <f t="shared" si="528"/>
        <v>6.616800920598398E-2</v>
      </c>
      <c r="CN366" s="82">
        <f t="shared" si="528"/>
        <v>-0.11063140852671349</v>
      </c>
      <c r="CO366" s="82">
        <f t="shared" si="528"/>
        <v>0.10194174757281549</v>
      </c>
      <c r="CP366" s="82">
        <f t="shared" si="528"/>
        <v>0.24284140969163004</v>
      </c>
      <c r="CQ366" s="82">
        <f>+IFERROR(CQ362/CP362-1,"")</f>
        <v>0.3216659282233052</v>
      </c>
      <c r="CR366" s="82">
        <f>+IFERROR(CR362/CQ362-1,"")</f>
        <v>-7.341602413677506E-2</v>
      </c>
      <c r="CS366" s="82">
        <f t="shared" si="528"/>
        <v>-3.9073806078147588E-2</v>
      </c>
      <c r="CT366" s="108">
        <f t="shared" si="528"/>
        <v>-6.4943328396093625E-2</v>
      </c>
      <c r="CU366" s="108">
        <f t="shared" si="528"/>
        <v>3.9124113646287428E-2</v>
      </c>
      <c r="CV366" s="108">
        <f t="shared" si="528"/>
        <v>6.9318063110581418E-2</v>
      </c>
      <c r="CW366" s="108">
        <f t="shared" si="528"/>
        <v>-2.4013657425357882E-2</v>
      </c>
      <c r="CX366" s="108">
        <f t="shared" si="528"/>
        <v>4.8456368208974254E-2</v>
      </c>
    </row>
    <row r="367" spans="2:103" x14ac:dyDescent="0.25">
      <c r="B367" s="37" t="s">
        <v>218</v>
      </c>
      <c r="C367" s="37"/>
      <c r="D367" s="37"/>
      <c r="E367" s="37"/>
      <c r="F367" s="37"/>
      <c r="G367" s="37"/>
      <c r="H367" s="37"/>
      <c r="I367" s="37"/>
      <c r="J367" s="37"/>
      <c r="K367" s="37"/>
      <c r="L367" s="37"/>
      <c r="M367" s="37"/>
      <c r="N367" s="37"/>
      <c r="O367" s="37"/>
      <c r="P367" s="37"/>
      <c r="Q367" s="37"/>
      <c r="R367" s="37"/>
      <c r="T367" s="82">
        <f t="shared" ref="T367:BV367" si="529">+T362/S362-1</f>
        <v>1.5886524822695036</v>
      </c>
      <c r="U367" s="82">
        <f t="shared" si="529"/>
        <v>0.56712328767123288</v>
      </c>
      <c r="V367" s="82">
        <f t="shared" si="529"/>
        <v>-0.61888111888111896</v>
      </c>
      <c r="W367" s="82">
        <f t="shared" si="529"/>
        <v>-0.5</v>
      </c>
      <c r="X367" s="82">
        <f t="shared" si="529"/>
        <v>1.9357798165137616</v>
      </c>
      <c r="Y367" s="82">
        <f t="shared" si="529"/>
        <v>1.5249999999999999</v>
      </c>
      <c r="Z367" s="82">
        <f t="shared" si="529"/>
        <v>-0.67821782178217815</v>
      </c>
      <c r="AA367" s="82">
        <f t="shared" si="529"/>
        <v>-0.69230769230769229</v>
      </c>
      <c r="AB367" s="82">
        <f t="shared" si="529"/>
        <v>2.2124999999999999</v>
      </c>
      <c r="AC367" s="82">
        <f t="shared" si="529"/>
        <v>3.0233463035019454</v>
      </c>
      <c r="AD367" s="82">
        <f t="shared" si="529"/>
        <v>-0.64506769825918764</v>
      </c>
      <c r="AE367" s="82">
        <f t="shared" si="529"/>
        <v>-0.59400544959128065</v>
      </c>
      <c r="AF367" s="82">
        <f t="shared" si="529"/>
        <v>0.84563758389261734</v>
      </c>
      <c r="AG367" s="82">
        <f t="shared" si="529"/>
        <v>2.2327272727272729</v>
      </c>
      <c r="AH367" s="82">
        <f t="shared" si="529"/>
        <v>-0.39257592800899888</v>
      </c>
      <c r="AI367" s="82">
        <f t="shared" si="529"/>
        <v>-0.85925925925925928</v>
      </c>
      <c r="AJ367" s="82">
        <f t="shared" si="529"/>
        <v>3.5921052631578947</v>
      </c>
      <c r="AK367" s="82">
        <f t="shared" si="529"/>
        <v>1.0830945558739256</v>
      </c>
      <c r="AL367" s="82">
        <f t="shared" si="529"/>
        <v>-0.31774415405777168</v>
      </c>
      <c r="AM367" s="82">
        <f t="shared" si="529"/>
        <v>-0.78629032258064513</v>
      </c>
      <c r="AN367" s="82">
        <f t="shared" si="529"/>
        <v>2.4905660377358489</v>
      </c>
      <c r="AO367" s="82">
        <f t="shared" si="529"/>
        <v>1.5162162162162161</v>
      </c>
      <c r="AP367" s="82">
        <f t="shared" si="529"/>
        <v>-0.56068743286788392</v>
      </c>
      <c r="AQ367" s="82">
        <f t="shared" si="529"/>
        <v>0.33496332518337413</v>
      </c>
      <c r="AR367" s="82">
        <f t="shared" si="529"/>
        <v>-0.87728937728937728</v>
      </c>
      <c r="AS367" s="82">
        <f t="shared" si="529"/>
        <v>16.014925373134329</v>
      </c>
      <c r="AT367" s="82">
        <f t="shared" si="529"/>
        <v>-0.55789473684210522</v>
      </c>
      <c r="AU367" s="82">
        <f t="shared" si="529"/>
        <v>-0.20833333333333337</v>
      </c>
      <c r="AV367" s="82">
        <f t="shared" si="529"/>
        <v>0.65413533834586457</v>
      </c>
      <c r="AW367" s="82">
        <f t="shared" si="529"/>
        <v>0.92424242424242431</v>
      </c>
      <c r="AX367" s="82">
        <f t="shared" si="529"/>
        <v>-0.48503937007874021</v>
      </c>
      <c r="AY367" s="82">
        <f t="shared" si="529"/>
        <v>-0.57033639143730885</v>
      </c>
      <c r="AZ367" s="82">
        <f t="shared" si="529"/>
        <v>1.2277580071174379</v>
      </c>
      <c r="BA367" s="82">
        <f t="shared" si="529"/>
        <v>0.73961661341853024</v>
      </c>
      <c r="BB367" s="82">
        <f t="shared" si="529"/>
        <v>-0.29476584022038566</v>
      </c>
      <c r="BC367" s="82">
        <f>+BC362/BB362-1</f>
        <v>-0.40364583333333337</v>
      </c>
      <c r="BD367" s="82">
        <f>+BD362/BC362-1</f>
        <v>0.22707423580786035</v>
      </c>
      <c r="BE367" s="82">
        <f t="shared" si="529"/>
        <v>0.87900355871886116</v>
      </c>
      <c r="BF367" s="82">
        <f t="shared" si="529"/>
        <v>-0.4507575757575758</v>
      </c>
      <c r="BG367" s="82">
        <f t="shared" si="529"/>
        <v>-0.61724137931034484</v>
      </c>
      <c r="BH367" s="82">
        <f t="shared" si="529"/>
        <v>2.4729729729729728</v>
      </c>
      <c r="BI367" s="82">
        <f>+BI362/BH362-1</f>
        <v>0.37797580113203866</v>
      </c>
      <c r="BJ367" s="82">
        <f>+BJ362/BI362-1</f>
        <v>-0.59706006855052629</v>
      </c>
      <c r="BK367" s="82">
        <f t="shared" si="529"/>
        <v>-0.6275295776564993</v>
      </c>
      <c r="BL367" s="82">
        <f t="shared" si="529"/>
        <v>3.8467144387544154</v>
      </c>
      <c r="BM367" s="82">
        <f t="shared" si="529"/>
        <v>0.5858072503169931</v>
      </c>
      <c r="BN367" s="82">
        <f t="shared" si="529"/>
        <v>-0.65494763344333418</v>
      </c>
      <c r="BO367" s="82">
        <f t="shared" si="529"/>
        <v>-2.0771722843965446E-2</v>
      </c>
      <c r="BP367" s="82">
        <f t="shared" si="529"/>
        <v>0.91571295985422951</v>
      </c>
      <c r="BQ367" s="82">
        <f t="shared" si="529"/>
        <v>0.39903257273800374</v>
      </c>
      <c r="BR367" s="82">
        <f t="shared" si="529"/>
        <v>-0.60140098191018954</v>
      </c>
      <c r="BS367" s="82">
        <f t="shared" si="529"/>
        <v>-0.11772404364343836</v>
      </c>
      <c r="BT367" s="82">
        <f t="shared" si="529"/>
        <v>1.0130367416639281</v>
      </c>
      <c r="BU367" s="82">
        <f t="shared" si="529"/>
        <v>0.39521717071237594</v>
      </c>
      <c r="BV367" s="82">
        <f t="shared" si="529"/>
        <v>-0.6158280630426225</v>
      </c>
      <c r="BW367" s="82">
        <f>+BW362/BR362-1</f>
        <v>-9.2916356583555348E-2</v>
      </c>
      <c r="BX367" s="82">
        <f t="shared" ref="BX367:BZ367" si="530">+BX362/BW362-1</f>
        <v>1.0593608166763508</v>
      </c>
      <c r="BY367" s="82">
        <f t="shared" si="530"/>
        <v>0.38861200686288488</v>
      </c>
      <c r="BZ367" s="82">
        <f t="shared" si="530"/>
        <v>-0.60899058043855914</v>
      </c>
      <c r="CA367" s="82">
        <f>+CA362/BV362-1</f>
        <v>6.0934302069070689E-2</v>
      </c>
      <c r="CB367" s="82">
        <f t="shared" ref="CB367:CD367" si="531">+CB362/CA362-1</f>
        <v>1.0073419827495678</v>
      </c>
      <c r="CC367" s="82">
        <f t="shared" si="531"/>
        <v>0.39732898588145726</v>
      </c>
      <c r="CD367" s="82">
        <f t="shared" si="531"/>
        <v>-0.58421175966670758</v>
      </c>
      <c r="CG367" s="82"/>
      <c r="CH367" s="82"/>
      <c r="CI367" s="82"/>
      <c r="CJ367" s="82"/>
      <c r="CK367" s="82"/>
      <c r="CL367" s="82"/>
      <c r="CM367" s="82"/>
      <c r="CN367" s="82"/>
      <c r="CO367" s="82"/>
      <c r="CP367" s="82"/>
      <c r="CQ367" s="82"/>
      <c r="CR367" s="82"/>
      <c r="CS367" s="82"/>
      <c r="CT367" s="108"/>
      <c r="CU367" s="108"/>
      <c r="CV367" s="108"/>
      <c r="CW367" s="108"/>
      <c r="CX367" s="108"/>
    </row>
    <row r="368" spans="2:103" x14ac:dyDescent="0.25">
      <c r="CT368" s="60"/>
      <c r="CU368" s="60"/>
      <c r="CV368" s="60"/>
      <c r="CW368" s="60"/>
      <c r="CX368" s="60"/>
    </row>
    <row r="369" spans="2:103" x14ac:dyDescent="0.25">
      <c r="B369" s="26" t="s">
        <v>264</v>
      </c>
      <c r="C369" s="26"/>
      <c r="D369" s="26"/>
      <c r="E369" s="26"/>
      <c r="F369" s="26"/>
      <c r="G369" s="26"/>
      <c r="H369" s="26"/>
      <c r="I369" s="26"/>
      <c r="J369" s="26"/>
      <c r="K369" s="26"/>
      <c r="L369" s="26"/>
      <c r="M369" s="26"/>
      <c r="N369" s="26"/>
      <c r="O369" s="26"/>
      <c r="P369" s="26"/>
      <c r="Q369" s="26"/>
      <c r="R369" s="26"/>
      <c r="S369" s="87">
        <f t="shared" ref="S369:BE369" si="532">+S546</f>
        <v>-3</v>
      </c>
      <c r="T369" s="87">
        <f t="shared" si="532"/>
        <v>-4.75</v>
      </c>
      <c r="U369" s="87">
        <f t="shared" si="532"/>
        <v>-1</v>
      </c>
      <c r="V369" s="87">
        <f t="shared" si="532"/>
        <v>3</v>
      </c>
      <c r="W369" s="87">
        <f t="shared" si="532"/>
        <v>3</v>
      </c>
      <c r="X369" s="87">
        <f t="shared" si="532"/>
        <v>2</v>
      </c>
      <c r="Y369" s="87">
        <f t="shared" si="532"/>
        <v>6</v>
      </c>
      <c r="Z369" s="87">
        <f t="shared" si="532"/>
        <v>-5</v>
      </c>
      <c r="AA369" s="87">
        <f t="shared" si="532"/>
        <v>-6</v>
      </c>
      <c r="AB369" s="87">
        <f t="shared" si="532"/>
        <v>-3</v>
      </c>
      <c r="AC369" s="87">
        <f t="shared" si="532"/>
        <v>-2</v>
      </c>
      <c r="AD369" s="87">
        <f t="shared" si="532"/>
        <v>-1</v>
      </c>
      <c r="AE369" s="87">
        <f t="shared" si="532"/>
        <v>6</v>
      </c>
      <c r="AF369" s="87">
        <f t="shared" si="532"/>
        <v>3</v>
      </c>
      <c r="AG369" s="87">
        <f t="shared" si="532"/>
        <v>5</v>
      </c>
      <c r="AH369" s="87">
        <f t="shared" si="532"/>
        <v>1</v>
      </c>
      <c r="AI369" s="87">
        <f t="shared" si="532"/>
        <v>19</v>
      </c>
      <c r="AJ369" s="87">
        <f t="shared" si="532"/>
        <v>18</v>
      </c>
      <c r="AK369" s="87">
        <f t="shared" si="532"/>
        <v>23</v>
      </c>
      <c r="AL369" s="87">
        <f t="shared" si="532"/>
        <v>23</v>
      </c>
      <c r="AM369" s="87">
        <f t="shared" si="532"/>
        <v>21</v>
      </c>
      <c r="AN369" s="87">
        <f t="shared" si="532"/>
        <v>16</v>
      </c>
      <c r="AO369" s="87">
        <f t="shared" si="532"/>
        <v>13</v>
      </c>
      <c r="AP369" s="87">
        <f t="shared" si="532"/>
        <v>13</v>
      </c>
      <c r="AQ369" s="87">
        <f t="shared" si="532"/>
        <v>-3</v>
      </c>
      <c r="AR369" s="87">
        <f t="shared" si="532"/>
        <v>-10</v>
      </c>
      <c r="AS369" s="87">
        <f t="shared" si="532"/>
        <v>-6</v>
      </c>
      <c r="AT369" s="87">
        <f t="shared" si="532"/>
        <v>-10</v>
      </c>
      <c r="AU369" s="87">
        <f t="shared" si="532"/>
        <v>-14</v>
      </c>
      <c r="AV369" s="87">
        <f t="shared" si="532"/>
        <v>-14</v>
      </c>
      <c r="AW369" s="87">
        <f t="shared" si="532"/>
        <v>-11</v>
      </c>
      <c r="AX369" s="87">
        <f t="shared" si="532"/>
        <v>-9</v>
      </c>
      <c r="AY369" s="87">
        <f t="shared" si="532"/>
        <v>-5</v>
      </c>
      <c r="AZ369" s="87">
        <f t="shared" si="532"/>
        <v>0</v>
      </c>
      <c r="BA369" s="87">
        <f t="shared" si="532"/>
        <v>-7</v>
      </c>
      <c r="BB369" s="87">
        <f t="shared" si="532"/>
        <v>6</v>
      </c>
      <c r="BC369" s="87">
        <f t="shared" si="532"/>
        <v>14</v>
      </c>
      <c r="BD369" s="87">
        <f t="shared" si="532"/>
        <v>14</v>
      </c>
      <c r="BE369" s="87">
        <f t="shared" si="532"/>
        <v>17</v>
      </c>
      <c r="BF369" s="87">
        <f>+BF546</f>
        <v>26</v>
      </c>
      <c r="BG369" s="87">
        <f>+BG546</f>
        <v>30</v>
      </c>
      <c r="BH369" s="73">
        <f>+BD369</f>
        <v>14</v>
      </c>
      <c r="BI369" s="73">
        <f>+BH369</f>
        <v>14</v>
      </c>
      <c r="BJ369" s="73">
        <f t="shared" ref="BJ369:CD369" si="533">+BI369</f>
        <v>14</v>
      </c>
      <c r="BK369" s="73">
        <f t="shared" si="533"/>
        <v>14</v>
      </c>
      <c r="BL369" s="73">
        <f t="shared" si="533"/>
        <v>14</v>
      </c>
      <c r="BM369" s="73">
        <f t="shared" si="533"/>
        <v>14</v>
      </c>
      <c r="BN369" s="73">
        <f t="shared" si="533"/>
        <v>14</v>
      </c>
      <c r="BO369" s="73">
        <f t="shared" si="533"/>
        <v>14</v>
      </c>
      <c r="BP369" s="73">
        <f t="shared" si="533"/>
        <v>14</v>
      </c>
      <c r="BQ369" s="73">
        <f t="shared" si="533"/>
        <v>14</v>
      </c>
      <c r="BR369" s="73">
        <f t="shared" si="533"/>
        <v>14</v>
      </c>
      <c r="BS369" s="73">
        <f t="shared" si="533"/>
        <v>14</v>
      </c>
      <c r="BT369" s="73">
        <f t="shared" si="533"/>
        <v>14</v>
      </c>
      <c r="BU369" s="73">
        <f t="shared" si="533"/>
        <v>14</v>
      </c>
      <c r="BV369" s="73">
        <f t="shared" si="533"/>
        <v>14</v>
      </c>
      <c r="BW369" s="73">
        <f t="shared" si="533"/>
        <v>14</v>
      </c>
      <c r="BX369" s="73">
        <f t="shared" si="533"/>
        <v>14</v>
      </c>
      <c r="BY369" s="73">
        <f t="shared" si="533"/>
        <v>14</v>
      </c>
      <c r="BZ369" s="73">
        <f t="shared" si="533"/>
        <v>14</v>
      </c>
      <c r="CA369" s="73">
        <f t="shared" si="533"/>
        <v>14</v>
      </c>
      <c r="CB369" s="73">
        <f t="shared" si="533"/>
        <v>14</v>
      </c>
      <c r="CC369" s="73">
        <f t="shared" si="533"/>
        <v>14</v>
      </c>
      <c r="CD369" s="73">
        <f t="shared" si="533"/>
        <v>14</v>
      </c>
      <c r="CE369" s="73"/>
      <c r="CG369" s="29"/>
      <c r="CH369" s="29"/>
      <c r="CI369" s="29">
        <f t="shared" ref="CI369:CX370" si="534">+SUMIFS($S369:$CD369,$S$5:$CD$5,"&lt;="&amp;CI$5,$S$5:$CD$5,"&gt;"&amp;CH$5)</f>
        <v>0</v>
      </c>
      <c r="CJ369" s="29">
        <f t="shared" si="534"/>
        <v>-5.75</v>
      </c>
      <c r="CK369" s="29">
        <f t="shared" si="534"/>
        <v>6</v>
      </c>
      <c r="CL369" s="29">
        <f t="shared" si="534"/>
        <v>-12</v>
      </c>
      <c r="CM369" s="29">
        <f t="shared" si="534"/>
        <v>15</v>
      </c>
      <c r="CN369" s="29">
        <f t="shared" si="534"/>
        <v>83</v>
      </c>
      <c r="CO369" s="29">
        <f t="shared" si="534"/>
        <v>63</v>
      </c>
      <c r="CP369" s="29">
        <f t="shared" si="534"/>
        <v>-29</v>
      </c>
      <c r="CQ369" s="29">
        <f t="shared" si="534"/>
        <v>-48</v>
      </c>
      <c r="CR369" s="29">
        <f t="shared" si="534"/>
        <v>-6</v>
      </c>
      <c r="CS369" s="29">
        <f t="shared" si="534"/>
        <v>71</v>
      </c>
      <c r="CT369" s="97">
        <f t="shared" si="534"/>
        <v>72</v>
      </c>
      <c r="CU369" s="97">
        <f t="shared" si="534"/>
        <v>56</v>
      </c>
      <c r="CV369" s="97">
        <f t="shared" si="534"/>
        <v>56</v>
      </c>
      <c r="CW369" s="97">
        <f t="shared" si="534"/>
        <v>56</v>
      </c>
      <c r="CX369" s="97">
        <f t="shared" si="534"/>
        <v>56</v>
      </c>
    </row>
    <row r="370" spans="2:103" s="10" customFormat="1" x14ac:dyDescent="0.25">
      <c r="B370" s="165" t="s">
        <v>265</v>
      </c>
      <c r="C370" s="165"/>
      <c r="D370" s="165"/>
      <c r="E370" s="165"/>
      <c r="F370" s="165"/>
      <c r="G370" s="165"/>
      <c r="H370" s="165"/>
      <c r="I370" s="165"/>
      <c r="J370" s="165"/>
      <c r="K370" s="165"/>
      <c r="L370" s="165"/>
      <c r="M370" s="165"/>
      <c r="N370" s="165"/>
      <c r="O370" s="165"/>
      <c r="P370" s="165"/>
      <c r="Q370" s="165"/>
      <c r="R370" s="165"/>
      <c r="S370" s="36">
        <f t="shared" ref="S370:CD370" si="535">+S369+S342</f>
        <v>82</v>
      </c>
      <c r="T370" s="36">
        <f t="shared" si="535"/>
        <v>304.25</v>
      </c>
      <c r="U370" s="36">
        <f t="shared" si="535"/>
        <v>518</v>
      </c>
      <c r="V370" s="36">
        <f t="shared" si="535"/>
        <v>166</v>
      </c>
      <c r="W370" s="36">
        <f t="shared" si="535"/>
        <v>63</v>
      </c>
      <c r="X370" s="36">
        <f t="shared" si="535"/>
        <v>272</v>
      </c>
      <c r="Y370" s="36">
        <f t="shared" si="535"/>
        <v>764</v>
      </c>
      <c r="Z370" s="36">
        <f t="shared" si="535"/>
        <v>207</v>
      </c>
      <c r="AA370" s="36">
        <f t="shared" si="535"/>
        <v>28</v>
      </c>
      <c r="AB370" s="36">
        <f t="shared" si="535"/>
        <v>209</v>
      </c>
      <c r="AC370" s="36">
        <f t="shared" si="535"/>
        <v>983</v>
      </c>
      <c r="AD370" s="36">
        <f t="shared" si="535"/>
        <v>334</v>
      </c>
      <c r="AE370" s="36">
        <f t="shared" si="535"/>
        <v>124</v>
      </c>
      <c r="AF370" s="36">
        <f t="shared" si="535"/>
        <v>246</v>
      </c>
      <c r="AG370" s="36">
        <f t="shared" si="535"/>
        <v>860</v>
      </c>
      <c r="AH370" s="36">
        <f t="shared" si="535"/>
        <v>502</v>
      </c>
      <c r="AI370" s="36">
        <f t="shared" si="535"/>
        <v>57</v>
      </c>
      <c r="AJ370" s="36">
        <f t="shared" si="535"/>
        <v>331</v>
      </c>
      <c r="AK370" s="36">
        <f t="shared" si="535"/>
        <v>716</v>
      </c>
      <c r="AL370" s="36">
        <f t="shared" si="535"/>
        <v>482</v>
      </c>
      <c r="AM370" s="36">
        <f t="shared" si="535"/>
        <v>90</v>
      </c>
      <c r="AN370" s="36">
        <f t="shared" si="535"/>
        <v>351</v>
      </c>
      <c r="AO370" s="36">
        <f t="shared" si="535"/>
        <v>905</v>
      </c>
      <c r="AP370" s="36">
        <f t="shared" si="535"/>
        <v>383</v>
      </c>
      <c r="AQ370" s="36">
        <f t="shared" si="535"/>
        <v>506</v>
      </c>
      <c r="AR370" s="36">
        <f t="shared" si="535"/>
        <v>17</v>
      </c>
      <c r="AS370" s="36">
        <f t="shared" si="535"/>
        <v>1088</v>
      </c>
      <c r="AT370" s="36">
        <f t="shared" si="535"/>
        <v>436</v>
      </c>
      <c r="AU370" s="36">
        <f t="shared" si="535"/>
        <v>280</v>
      </c>
      <c r="AV370" s="36">
        <f t="shared" si="535"/>
        <v>552</v>
      </c>
      <c r="AW370" s="36">
        <f t="shared" si="535"/>
        <v>1113</v>
      </c>
      <c r="AX370" s="36">
        <f t="shared" si="535"/>
        <v>504</v>
      </c>
      <c r="AY370" s="36">
        <f t="shared" si="535"/>
        <v>162</v>
      </c>
      <c r="AZ370" s="36">
        <f t="shared" si="535"/>
        <v>499</v>
      </c>
      <c r="BA370" s="36">
        <f t="shared" si="535"/>
        <v>960</v>
      </c>
      <c r="BB370" s="36">
        <f t="shared" si="535"/>
        <v>601</v>
      </c>
      <c r="BC370" s="36">
        <f t="shared" si="535"/>
        <v>384</v>
      </c>
      <c r="BD370" s="36">
        <f t="shared" si="535"/>
        <v>491</v>
      </c>
      <c r="BE370" s="36">
        <f t="shared" si="535"/>
        <v>991</v>
      </c>
      <c r="BF370" s="36">
        <f t="shared" si="535"/>
        <v>457</v>
      </c>
      <c r="BG370" s="36">
        <f t="shared" si="535"/>
        <v>172</v>
      </c>
      <c r="BH370" s="36">
        <f t="shared" si="535"/>
        <v>705</v>
      </c>
      <c r="BI370" s="36">
        <f t="shared" si="535"/>
        <v>996.4193426728018</v>
      </c>
      <c r="BJ370" s="36">
        <f t="shared" si="535"/>
        <v>362.09117710717373</v>
      </c>
      <c r="BK370" s="36">
        <f t="shared" si="535"/>
        <v>93.451301538635335</v>
      </c>
      <c r="BL370" s="36">
        <f t="shared" si="535"/>
        <v>706.81492544548803</v>
      </c>
      <c r="BM370" s="36">
        <f t="shared" si="535"/>
        <v>1159.5355119246415</v>
      </c>
      <c r="BN370" s="36">
        <f t="shared" si="535"/>
        <v>356.87392868883239</v>
      </c>
      <c r="BO370" s="36">
        <f t="shared" si="535"/>
        <v>348.09010864416916</v>
      </c>
      <c r="BP370" s="36">
        <f t="shared" si="535"/>
        <v>727.27778767708082</v>
      </c>
      <c r="BQ370" s="36">
        <f t="shared" si="535"/>
        <v>1043.8214641897782</v>
      </c>
      <c r="BR370" s="36">
        <f t="shared" si="535"/>
        <v>376.37374588104137</v>
      </c>
      <c r="BS370" s="36">
        <f t="shared" si="535"/>
        <v>324.29571971423036</v>
      </c>
      <c r="BT370" s="36">
        <f t="shared" si="535"/>
        <v>719.67962389891204</v>
      </c>
      <c r="BU370" s="36">
        <f t="shared" si="535"/>
        <v>1030.1937019426036</v>
      </c>
      <c r="BV370" s="36">
        <f t="shared" si="535"/>
        <v>355.12685775576824</v>
      </c>
      <c r="BW370" s="36">
        <f t="shared" si="535"/>
        <v>335.26998916555544</v>
      </c>
      <c r="BX370" s="36">
        <f t="shared" si="535"/>
        <v>760.35969259568878</v>
      </c>
      <c r="BY370" s="36">
        <f t="shared" si="535"/>
        <v>1081.492991125896</v>
      </c>
      <c r="BZ370" s="36">
        <f t="shared" si="535"/>
        <v>382.68056841095813</v>
      </c>
      <c r="CA370" s="36">
        <f t="shared" si="535"/>
        <v>380.78792891565683</v>
      </c>
      <c r="CB370" s="36">
        <f t="shared" si="535"/>
        <v>830.85616709812757</v>
      </c>
      <c r="CC370" s="36">
        <f t="shared" si="535"/>
        <v>1187.2031184527573</v>
      </c>
      <c r="CD370" s="36">
        <f t="shared" si="535"/>
        <v>455.06711940166656</v>
      </c>
      <c r="CE370"/>
      <c r="CG370" s="29"/>
      <c r="CH370" s="29"/>
      <c r="CI370" s="29">
        <f t="shared" si="534"/>
        <v>0</v>
      </c>
      <c r="CJ370" s="29">
        <f t="shared" si="534"/>
        <v>1070.25</v>
      </c>
      <c r="CK370" s="29">
        <f t="shared" si="534"/>
        <v>1306</v>
      </c>
      <c r="CL370" s="29">
        <f t="shared" si="534"/>
        <v>1554</v>
      </c>
      <c r="CM370" s="29">
        <f t="shared" si="534"/>
        <v>1732</v>
      </c>
      <c r="CN370" s="29">
        <f t="shared" si="534"/>
        <v>1586</v>
      </c>
      <c r="CO370" s="29">
        <f t="shared" si="534"/>
        <v>1729</v>
      </c>
      <c r="CP370" s="29">
        <f t="shared" si="534"/>
        <v>2047</v>
      </c>
      <c r="CQ370" s="29">
        <f t="shared" si="534"/>
        <v>2449</v>
      </c>
      <c r="CR370" s="29">
        <f t="shared" si="534"/>
        <v>2222</v>
      </c>
      <c r="CS370" s="29">
        <f t="shared" si="534"/>
        <v>2323</v>
      </c>
      <c r="CT370" s="97">
        <f t="shared" si="534"/>
        <v>2235.5105197799758</v>
      </c>
      <c r="CU370" s="97">
        <f t="shared" si="534"/>
        <v>2316.6756675975976</v>
      </c>
      <c r="CV370" s="97">
        <f t="shared" si="534"/>
        <v>2495.5631063920696</v>
      </c>
      <c r="CW370" s="97">
        <f t="shared" si="534"/>
        <v>2429.2959033115139</v>
      </c>
      <c r="CX370" s="97">
        <f t="shared" si="534"/>
        <v>2559.8032412980983</v>
      </c>
      <c r="CY370"/>
    </row>
    <row r="371" spans="2:103" x14ac:dyDescent="0.25">
      <c r="B371" s="165"/>
      <c r="C371" s="165"/>
      <c r="D371" s="165"/>
      <c r="E371" s="165"/>
      <c r="F371" s="165"/>
      <c r="G371" s="165"/>
      <c r="H371" s="165"/>
      <c r="I371" s="165"/>
      <c r="J371" s="165"/>
      <c r="K371" s="165"/>
      <c r="L371" s="165"/>
      <c r="M371" s="165"/>
      <c r="N371" s="165"/>
      <c r="O371" s="165"/>
      <c r="P371" s="165"/>
      <c r="Q371" s="165"/>
      <c r="R371" s="165"/>
      <c r="CT371" s="60"/>
      <c r="CU371" s="60"/>
      <c r="CV371" s="60"/>
      <c r="CW371" s="60"/>
      <c r="CX371" s="60"/>
    </row>
    <row r="372" spans="2:103" x14ac:dyDescent="0.25">
      <c r="B372" s="42" t="s">
        <v>266</v>
      </c>
      <c r="C372" s="42"/>
      <c r="D372" s="42"/>
      <c r="E372" s="42"/>
      <c r="F372" s="42"/>
      <c r="G372" s="42"/>
      <c r="H372" s="42"/>
      <c r="I372" s="42"/>
      <c r="J372" s="42"/>
      <c r="K372" s="42"/>
      <c r="L372" s="42"/>
      <c r="M372" s="42"/>
      <c r="N372" s="42"/>
      <c r="O372" s="42"/>
      <c r="P372" s="42"/>
      <c r="Q372" s="42"/>
      <c r="R372" s="42"/>
      <c r="S372" s="87">
        <f t="shared" ref="S372:BG372" si="536">-S549</f>
        <v>-21</v>
      </c>
      <c r="T372" s="87">
        <f t="shared" si="536"/>
        <v>-77</v>
      </c>
      <c r="U372" s="87">
        <f t="shared" si="536"/>
        <v>-130</v>
      </c>
      <c r="V372" s="87">
        <f t="shared" si="536"/>
        <v>-41</v>
      </c>
      <c r="W372" s="87">
        <f t="shared" si="536"/>
        <v>-14</v>
      </c>
      <c r="X372" s="87">
        <f t="shared" si="536"/>
        <v>-60</v>
      </c>
      <c r="Y372" s="87">
        <f t="shared" si="536"/>
        <v>-168</v>
      </c>
      <c r="Z372" s="87">
        <f t="shared" si="536"/>
        <v>-46</v>
      </c>
      <c r="AA372" s="87">
        <f t="shared" si="536"/>
        <v>-5.46</v>
      </c>
      <c r="AB372" s="87">
        <f t="shared" si="536"/>
        <v>-43.89</v>
      </c>
      <c r="AC372" s="87">
        <f t="shared" si="536"/>
        <v>-206.43</v>
      </c>
      <c r="AD372" s="87">
        <f t="shared" si="536"/>
        <v>-70.14</v>
      </c>
      <c r="AE372" s="87">
        <f t="shared" si="536"/>
        <v>-26.04</v>
      </c>
      <c r="AF372" s="87">
        <f t="shared" si="536"/>
        <v>-51.66</v>
      </c>
      <c r="AG372" s="87">
        <f t="shared" si="536"/>
        <v>-180.6</v>
      </c>
      <c r="AH372" s="87">
        <f t="shared" si="536"/>
        <v>-105.42</v>
      </c>
      <c r="AI372" s="87">
        <f t="shared" si="536"/>
        <v>-10.26</v>
      </c>
      <c r="AJ372" s="87">
        <f t="shared" si="536"/>
        <v>-59.58</v>
      </c>
      <c r="AK372" s="87">
        <f t="shared" si="536"/>
        <v>-128.88</v>
      </c>
      <c r="AL372" s="87">
        <f t="shared" si="536"/>
        <v>-86.76</v>
      </c>
      <c r="AM372" s="87">
        <f t="shared" si="536"/>
        <v>-16.2</v>
      </c>
      <c r="AN372" s="87">
        <f t="shared" si="536"/>
        <v>-63.18</v>
      </c>
      <c r="AO372" s="87">
        <f t="shared" si="536"/>
        <v>-162.9</v>
      </c>
      <c r="AP372" s="87">
        <f t="shared" si="536"/>
        <v>-68.94</v>
      </c>
      <c r="AQ372" s="87">
        <f t="shared" si="536"/>
        <v>-91.08</v>
      </c>
      <c r="AR372" s="87">
        <f t="shared" si="536"/>
        <v>-3.06</v>
      </c>
      <c r="AS372" s="87">
        <f t="shared" si="536"/>
        <v>-195.84</v>
      </c>
      <c r="AT372" s="87">
        <f t="shared" si="536"/>
        <v>-78.48</v>
      </c>
      <c r="AU372" s="87">
        <f t="shared" si="536"/>
        <v>-50.4</v>
      </c>
      <c r="AV372" s="87">
        <f t="shared" si="536"/>
        <v>-99.36</v>
      </c>
      <c r="AW372" s="87">
        <f t="shared" si="536"/>
        <v>-200.34</v>
      </c>
      <c r="AX372" s="87">
        <f t="shared" si="536"/>
        <v>-90.72</v>
      </c>
      <c r="AY372" s="87">
        <f t="shared" si="536"/>
        <v>-30.78</v>
      </c>
      <c r="AZ372" s="87">
        <f t="shared" si="536"/>
        <v>-94.81</v>
      </c>
      <c r="BA372" s="87">
        <f t="shared" si="536"/>
        <v>-182.4</v>
      </c>
      <c r="BB372" s="87">
        <f t="shared" si="536"/>
        <v>-114.19</v>
      </c>
      <c r="BC372" s="87">
        <f t="shared" si="536"/>
        <v>-72.959999999999994</v>
      </c>
      <c r="BD372" s="87">
        <f t="shared" si="536"/>
        <v>-93.29</v>
      </c>
      <c r="BE372" s="87">
        <f t="shared" si="536"/>
        <v>-188.29</v>
      </c>
      <c r="BF372" s="87">
        <f t="shared" si="536"/>
        <v>-86.83</v>
      </c>
      <c r="BG372" s="87">
        <f t="shared" si="536"/>
        <v>-32.68</v>
      </c>
      <c r="BH372" s="24">
        <f t="shared" ref="BH372:CD372" si="537">-BH373*BH370</f>
        <v>-133.94999999999999</v>
      </c>
      <c r="BI372" s="24">
        <f t="shared" si="537"/>
        <v>-189.31967510783235</v>
      </c>
      <c r="BJ372" s="24">
        <f t="shared" si="537"/>
        <v>-68.797323650363012</v>
      </c>
      <c r="BK372" s="24">
        <f t="shared" si="537"/>
        <v>-17.755747292340715</v>
      </c>
      <c r="BL372" s="24">
        <f t="shared" si="537"/>
        <v>-134.29483583464273</v>
      </c>
      <c r="BM372" s="24">
        <f t="shared" si="537"/>
        <v>-220.31174726568187</v>
      </c>
      <c r="BN372" s="24">
        <f t="shared" si="537"/>
        <v>-67.806046450878156</v>
      </c>
      <c r="BO372" s="24">
        <f t="shared" si="537"/>
        <v>-66.137120642392148</v>
      </c>
      <c r="BP372" s="24">
        <f t="shared" si="537"/>
        <v>-138.18277965864536</v>
      </c>
      <c r="BQ372" s="24">
        <f t="shared" si="537"/>
        <v>-198.32607819605786</v>
      </c>
      <c r="BR372" s="24">
        <f t="shared" si="537"/>
        <v>-71.511011717397864</v>
      </c>
      <c r="BS372" s="24">
        <f t="shared" si="537"/>
        <v>-61.616186745703772</v>
      </c>
      <c r="BT372" s="24">
        <f t="shared" si="537"/>
        <v>-136.7391285407933</v>
      </c>
      <c r="BU372" s="24">
        <f t="shared" si="537"/>
        <v>-195.7368033690947</v>
      </c>
      <c r="BV372" s="24">
        <f t="shared" si="537"/>
        <v>-67.474102973595961</v>
      </c>
      <c r="BW372" s="24">
        <f t="shared" si="537"/>
        <v>-63.701297941455536</v>
      </c>
      <c r="BX372" s="24">
        <f t="shared" si="537"/>
        <v>-144.46834159318087</v>
      </c>
      <c r="BY372" s="24">
        <f t="shared" si="537"/>
        <v>-205.48366831392025</v>
      </c>
      <c r="BZ372" s="24">
        <f t="shared" si="537"/>
        <v>-72.709307998082039</v>
      </c>
      <c r="CA372" s="24">
        <f t="shared" si="537"/>
        <v>-72.349706493974793</v>
      </c>
      <c r="CB372" s="24">
        <f t="shared" si="537"/>
        <v>-157.86267174864423</v>
      </c>
      <c r="CC372" s="24">
        <f t="shared" si="537"/>
        <v>-225.56859250602389</v>
      </c>
      <c r="CD372" s="24">
        <f t="shared" si="537"/>
        <v>-86.462752686316648</v>
      </c>
      <c r="CG372" s="29"/>
      <c r="CH372" s="29"/>
      <c r="CI372" s="29">
        <f t="shared" ref="CI372:CX372" si="538">+SUMIFS($S372:$CD372,$S$5:$CD$5,"&lt;="&amp;CI$5,$S$5:$CD$5,"&gt;"&amp;CH$5)</f>
        <v>0</v>
      </c>
      <c r="CJ372" s="29">
        <f t="shared" si="538"/>
        <v>-269</v>
      </c>
      <c r="CK372" s="29">
        <f t="shared" si="538"/>
        <v>-288</v>
      </c>
      <c r="CL372" s="29">
        <f t="shared" si="538"/>
        <v>-325.92</v>
      </c>
      <c r="CM372" s="29">
        <f t="shared" si="538"/>
        <v>-363.71999999999997</v>
      </c>
      <c r="CN372" s="29">
        <f t="shared" si="538"/>
        <v>-285.48</v>
      </c>
      <c r="CO372" s="29">
        <f t="shared" si="538"/>
        <v>-311.22000000000003</v>
      </c>
      <c r="CP372" s="29">
        <f t="shared" si="538"/>
        <v>-368.46000000000004</v>
      </c>
      <c r="CQ372" s="29">
        <f t="shared" si="538"/>
        <v>-440.82000000000005</v>
      </c>
      <c r="CR372" s="29">
        <f t="shared" si="538"/>
        <v>-422.18</v>
      </c>
      <c r="CS372" s="29">
        <f t="shared" si="538"/>
        <v>-441.36999999999995</v>
      </c>
      <c r="CT372" s="97">
        <f t="shared" si="538"/>
        <v>-424.74699875819539</v>
      </c>
      <c r="CU372" s="97">
        <f t="shared" si="538"/>
        <v>-440.16837684354346</v>
      </c>
      <c r="CV372" s="97">
        <f t="shared" si="538"/>
        <v>-474.15699021449325</v>
      </c>
      <c r="CW372" s="97">
        <f t="shared" si="538"/>
        <v>-461.56622162918774</v>
      </c>
      <c r="CX372" s="97">
        <f t="shared" si="538"/>
        <v>-486.36261584663873</v>
      </c>
    </row>
    <row r="373" spans="2:103" x14ac:dyDescent="0.25">
      <c r="B373" s="37" t="s">
        <v>267</v>
      </c>
      <c r="C373" s="37"/>
      <c r="D373" s="37"/>
      <c r="E373" s="37"/>
      <c r="F373" s="37"/>
      <c r="G373" s="37"/>
      <c r="H373" s="37"/>
      <c r="I373" s="37"/>
      <c r="J373" s="37"/>
      <c r="K373" s="37"/>
      <c r="L373" s="37"/>
      <c r="M373" s="37"/>
      <c r="N373" s="37"/>
      <c r="O373" s="37"/>
      <c r="P373" s="37"/>
      <c r="Q373" s="37"/>
      <c r="R373" s="37"/>
      <c r="S373" s="166">
        <f>-S372/S370</f>
        <v>0.25609756097560976</v>
      </c>
      <c r="T373" s="166">
        <f t="shared" ref="T373:BG373" si="539">-T372/T370</f>
        <v>0.25308134757600659</v>
      </c>
      <c r="U373" s="166">
        <f t="shared" si="539"/>
        <v>0.25096525096525096</v>
      </c>
      <c r="V373" s="166">
        <f t="shared" si="539"/>
        <v>0.24698795180722891</v>
      </c>
      <c r="W373" s="166">
        <f t="shared" si="539"/>
        <v>0.22222222222222221</v>
      </c>
      <c r="X373" s="166">
        <f t="shared" si="539"/>
        <v>0.22058823529411764</v>
      </c>
      <c r="Y373" s="166">
        <f t="shared" si="539"/>
        <v>0.21989528795811519</v>
      </c>
      <c r="Z373" s="166">
        <f t="shared" si="539"/>
        <v>0.22222222222222221</v>
      </c>
      <c r="AA373" s="166">
        <f t="shared" si="539"/>
        <v>0.19500000000000001</v>
      </c>
      <c r="AB373" s="166">
        <f t="shared" si="539"/>
        <v>0.21</v>
      </c>
      <c r="AC373" s="166">
        <f t="shared" si="539"/>
        <v>0.21000000000000002</v>
      </c>
      <c r="AD373" s="166">
        <f t="shared" si="539"/>
        <v>0.21</v>
      </c>
      <c r="AE373" s="166">
        <f t="shared" si="539"/>
        <v>0.21</v>
      </c>
      <c r="AF373" s="166">
        <f t="shared" si="539"/>
        <v>0.21</v>
      </c>
      <c r="AG373" s="166">
        <f t="shared" si="539"/>
        <v>0.21</v>
      </c>
      <c r="AH373" s="166">
        <f t="shared" si="539"/>
        <v>0.21</v>
      </c>
      <c r="AI373" s="166">
        <f t="shared" si="539"/>
        <v>0.18</v>
      </c>
      <c r="AJ373" s="166">
        <f t="shared" si="539"/>
        <v>0.18</v>
      </c>
      <c r="AK373" s="166">
        <f t="shared" si="539"/>
        <v>0.18</v>
      </c>
      <c r="AL373" s="166">
        <f t="shared" si="539"/>
        <v>0.18000000000000002</v>
      </c>
      <c r="AM373" s="166">
        <f t="shared" si="539"/>
        <v>0.18</v>
      </c>
      <c r="AN373" s="166">
        <f t="shared" si="539"/>
        <v>0.18</v>
      </c>
      <c r="AO373" s="166">
        <f t="shared" si="539"/>
        <v>0.18</v>
      </c>
      <c r="AP373" s="166">
        <f t="shared" si="539"/>
        <v>0.18</v>
      </c>
      <c r="AQ373" s="166">
        <f t="shared" si="539"/>
        <v>0.18</v>
      </c>
      <c r="AR373" s="166">
        <f t="shared" si="539"/>
        <v>0.18</v>
      </c>
      <c r="AS373" s="166">
        <f t="shared" si="539"/>
        <v>0.18</v>
      </c>
      <c r="AT373" s="166">
        <f t="shared" si="539"/>
        <v>0.18000000000000002</v>
      </c>
      <c r="AU373" s="166">
        <f t="shared" si="539"/>
        <v>0.18</v>
      </c>
      <c r="AV373" s="166">
        <f t="shared" si="539"/>
        <v>0.18</v>
      </c>
      <c r="AW373" s="166">
        <f t="shared" si="539"/>
        <v>0.18</v>
      </c>
      <c r="AX373" s="166">
        <f t="shared" si="539"/>
        <v>0.18</v>
      </c>
      <c r="AY373" s="166">
        <f t="shared" si="539"/>
        <v>0.19</v>
      </c>
      <c r="AZ373" s="166">
        <f t="shared" si="539"/>
        <v>0.19</v>
      </c>
      <c r="BA373" s="166">
        <f t="shared" si="539"/>
        <v>0.19</v>
      </c>
      <c r="BB373" s="166">
        <f t="shared" si="539"/>
        <v>0.19</v>
      </c>
      <c r="BC373" s="166">
        <f t="shared" si="539"/>
        <v>0.18999999999999997</v>
      </c>
      <c r="BD373" s="166">
        <f t="shared" si="539"/>
        <v>0.19</v>
      </c>
      <c r="BE373" s="166">
        <f t="shared" si="539"/>
        <v>0.19</v>
      </c>
      <c r="BF373" s="166">
        <f t="shared" si="539"/>
        <v>0.19</v>
      </c>
      <c r="BG373" s="166">
        <f t="shared" si="539"/>
        <v>0.19</v>
      </c>
      <c r="BH373" s="102">
        <v>0.19</v>
      </c>
      <c r="BI373" s="102">
        <v>0.19</v>
      </c>
      <c r="BJ373" s="102">
        <v>0.19</v>
      </c>
      <c r="BK373" s="102">
        <v>0.19</v>
      </c>
      <c r="BL373" s="102">
        <v>0.19</v>
      </c>
      <c r="BM373" s="102">
        <v>0.19</v>
      </c>
      <c r="BN373" s="102">
        <v>0.19</v>
      </c>
      <c r="BO373" s="102">
        <v>0.19</v>
      </c>
      <c r="BP373" s="102">
        <v>0.19</v>
      </c>
      <c r="BQ373" s="102">
        <v>0.19</v>
      </c>
      <c r="BR373" s="102">
        <v>0.19</v>
      </c>
      <c r="BS373" s="102">
        <v>0.19</v>
      </c>
      <c r="BT373" s="102">
        <v>0.19</v>
      </c>
      <c r="BU373" s="102">
        <v>0.19</v>
      </c>
      <c r="BV373" s="102">
        <v>0.19</v>
      </c>
      <c r="BW373" s="102">
        <v>0.19</v>
      </c>
      <c r="BX373" s="102">
        <v>0.19</v>
      </c>
      <c r="BY373" s="102">
        <v>0.19</v>
      </c>
      <c r="BZ373" s="102">
        <v>0.19</v>
      </c>
      <c r="CA373" s="102">
        <v>0.19</v>
      </c>
      <c r="CB373" s="102">
        <v>0.19</v>
      </c>
      <c r="CC373" s="102">
        <v>0.19</v>
      </c>
      <c r="CD373" s="102">
        <v>0.19</v>
      </c>
      <c r="CG373" s="166"/>
      <c r="CH373" s="166"/>
      <c r="CI373" s="166" t="e">
        <f t="shared" ref="CI373:CV373" si="540">-CI372/CI370</f>
        <v>#DIV/0!</v>
      </c>
      <c r="CJ373" s="166">
        <f t="shared" si="540"/>
        <v>0.25134314412520437</v>
      </c>
      <c r="CK373" s="166">
        <f t="shared" si="540"/>
        <v>0.22052067381316998</v>
      </c>
      <c r="CL373" s="166">
        <f t="shared" si="540"/>
        <v>0.20972972972972975</v>
      </c>
      <c r="CM373" s="166">
        <f t="shared" si="540"/>
        <v>0.21</v>
      </c>
      <c r="CN373" s="166">
        <f t="shared" si="540"/>
        <v>0.18000000000000002</v>
      </c>
      <c r="CO373" s="166">
        <f t="shared" si="540"/>
        <v>0.18000000000000002</v>
      </c>
      <c r="CP373" s="166">
        <f t="shared" si="540"/>
        <v>0.18000000000000002</v>
      </c>
      <c r="CQ373" s="166">
        <f t="shared" si="540"/>
        <v>0.18000000000000002</v>
      </c>
      <c r="CR373" s="166">
        <f t="shared" si="540"/>
        <v>0.19</v>
      </c>
      <c r="CS373" s="166">
        <f t="shared" si="540"/>
        <v>0.18999999999999997</v>
      </c>
      <c r="CT373" s="156">
        <f t="shared" si="540"/>
        <v>0.19</v>
      </c>
      <c r="CU373" s="156">
        <f t="shared" si="540"/>
        <v>0.18999999999999997</v>
      </c>
      <c r="CV373" s="156">
        <f t="shared" si="540"/>
        <v>0.19</v>
      </c>
      <c r="CW373" s="156">
        <f>-CW372/CW370</f>
        <v>0.19000000000000003</v>
      </c>
      <c r="CX373" s="156">
        <f>-CX372/CX370</f>
        <v>0.19000000000000003</v>
      </c>
    </row>
    <row r="374" spans="2:103" x14ac:dyDescent="0.25">
      <c r="B374" s="167"/>
      <c r="C374" s="167"/>
      <c r="D374" s="167"/>
      <c r="E374" s="167"/>
      <c r="F374" s="167"/>
      <c r="G374" s="167"/>
      <c r="H374" s="167"/>
      <c r="I374" s="167"/>
      <c r="J374" s="167"/>
      <c r="K374" s="167"/>
      <c r="L374" s="167"/>
      <c r="M374" s="167"/>
      <c r="N374" s="167"/>
      <c r="O374" s="167"/>
      <c r="P374" s="167"/>
      <c r="Q374" s="167"/>
      <c r="R374" s="167"/>
      <c r="CT374" s="60"/>
      <c r="CU374" s="60"/>
      <c r="CV374" s="60"/>
      <c r="CW374" s="60"/>
      <c r="CX374" s="60"/>
    </row>
    <row r="375" spans="2:103" x14ac:dyDescent="0.25">
      <c r="B375" t="s">
        <v>268</v>
      </c>
      <c r="S375" s="2">
        <f t="shared" ref="S375:CD375" si="541">+S372+S370</f>
        <v>61</v>
      </c>
      <c r="T375" s="2">
        <f t="shared" si="541"/>
        <v>227.25</v>
      </c>
      <c r="U375" s="2">
        <f t="shared" si="541"/>
        <v>388</v>
      </c>
      <c r="V375" s="2">
        <f t="shared" si="541"/>
        <v>125</v>
      </c>
      <c r="W375" s="2">
        <f t="shared" si="541"/>
        <v>49</v>
      </c>
      <c r="X375" s="2">
        <f t="shared" si="541"/>
        <v>212</v>
      </c>
      <c r="Y375" s="2">
        <f t="shared" si="541"/>
        <v>596</v>
      </c>
      <c r="Z375" s="2">
        <f t="shared" si="541"/>
        <v>161</v>
      </c>
      <c r="AA375" s="2">
        <f t="shared" si="541"/>
        <v>22.54</v>
      </c>
      <c r="AB375" s="2">
        <f t="shared" si="541"/>
        <v>165.11</v>
      </c>
      <c r="AC375" s="2">
        <f t="shared" si="541"/>
        <v>776.56999999999994</v>
      </c>
      <c r="AD375" s="2">
        <f t="shared" si="541"/>
        <v>263.86</v>
      </c>
      <c r="AE375" s="2">
        <f t="shared" si="541"/>
        <v>97.960000000000008</v>
      </c>
      <c r="AF375" s="2">
        <f t="shared" si="541"/>
        <v>194.34</v>
      </c>
      <c r="AG375" s="2">
        <f t="shared" si="541"/>
        <v>679.4</v>
      </c>
      <c r="AH375" s="2">
        <f t="shared" si="541"/>
        <v>396.58</v>
      </c>
      <c r="AI375" s="2">
        <f t="shared" si="541"/>
        <v>46.74</v>
      </c>
      <c r="AJ375" s="2">
        <f t="shared" si="541"/>
        <v>271.42</v>
      </c>
      <c r="AK375" s="2">
        <f t="shared" si="541"/>
        <v>587.12</v>
      </c>
      <c r="AL375" s="2">
        <f t="shared" si="541"/>
        <v>395.24</v>
      </c>
      <c r="AM375" s="2">
        <f t="shared" si="541"/>
        <v>73.8</v>
      </c>
      <c r="AN375" s="2">
        <f t="shared" si="541"/>
        <v>287.82</v>
      </c>
      <c r="AO375" s="2">
        <f t="shared" si="541"/>
        <v>742.1</v>
      </c>
      <c r="AP375" s="2">
        <f t="shared" si="541"/>
        <v>314.06</v>
      </c>
      <c r="AQ375" s="2">
        <f t="shared" si="541"/>
        <v>414.92</v>
      </c>
      <c r="AR375" s="2">
        <f t="shared" si="541"/>
        <v>13.94</v>
      </c>
      <c r="AS375" s="2">
        <f t="shared" si="541"/>
        <v>892.16</v>
      </c>
      <c r="AT375" s="2">
        <f t="shared" si="541"/>
        <v>357.52</v>
      </c>
      <c r="AU375" s="2">
        <f t="shared" si="541"/>
        <v>229.6</v>
      </c>
      <c r="AV375" s="2">
        <f t="shared" si="541"/>
        <v>452.64</v>
      </c>
      <c r="AW375" s="2">
        <f t="shared" si="541"/>
        <v>912.66</v>
      </c>
      <c r="AX375" s="2">
        <f t="shared" si="541"/>
        <v>413.28</v>
      </c>
      <c r="AY375" s="2">
        <f t="shared" si="541"/>
        <v>131.22</v>
      </c>
      <c r="AZ375" s="2">
        <f t="shared" si="541"/>
        <v>404.19</v>
      </c>
      <c r="BA375" s="2">
        <f t="shared" si="541"/>
        <v>777.6</v>
      </c>
      <c r="BB375" s="2">
        <f t="shared" si="541"/>
        <v>486.81</v>
      </c>
      <c r="BC375" s="2">
        <f t="shared" si="541"/>
        <v>311.04000000000002</v>
      </c>
      <c r="BD375" s="2">
        <f t="shared" si="541"/>
        <v>397.71</v>
      </c>
      <c r="BE375" s="2">
        <f t="shared" si="541"/>
        <v>802.71</v>
      </c>
      <c r="BF375" s="2">
        <f t="shared" si="541"/>
        <v>370.17</v>
      </c>
      <c r="BG375" s="2">
        <f t="shared" si="541"/>
        <v>139.32</v>
      </c>
      <c r="BH375" s="2">
        <f t="shared" si="541"/>
        <v>571.04999999999995</v>
      </c>
      <c r="BI375" s="2">
        <f t="shared" si="541"/>
        <v>807.09966756496942</v>
      </c>
      <c r="BJ375" s="2">
        <f t="shared" si="541"/>
        <v>293.29385345681072</v>
      </c>
      <c r="BK375" s="2">
        <f t="shared" si="541"/>
        <v>75.69555424629462</v>
      </c>
      <c r="BL375" s="2">
        <f t="shared" si="541"/>
        <v>572.52008961084528</v>
      </c>
      <c r="BM375" s="2">
        <f t="shared" si="541"/>
        <v>939.22376465895957</v>
      </c>
      <c r="BN375" s="2">
        <f t="shared" si="541"/>
        <v>289.06788223795422</v>
      </c>
      <c r="BO375" s="2">
        <f t="shared" si="541"/>
        <v>281.95298800177704</v>
      </c>
      <c r="BP375" s="2">
        <f t="shared" si="541"/>
        <v>589.09500801843546</v>
      </c>
      <c r="BQ375" s="2">
        <f t="shared" si="541"/>
        <v>845.49538599372033</v>
      </c>
      <c r="BR375" s="2">
        <f t="shared" si="541"/>
        <v>304.86273416364349</v>
      </c>
      <c r="BS375" s="2">
        <f t="shared" si="541"/>
        <v>262.67953296852659</v>
      </c>
      <c r="BT375" s="2">
        <f t="shared" si="541"/>
        <v>582.94049535811871</v>
      </c>
      <c r="BU375" s="2">
        <f t="shared" si="541"/>
        <v>834.45689857350897</v>
      </c>
      <c r="BV375" s="2">
        <f t="shared" si="541"/>
        <v>287.65275478217228</v>
      </c>
      <c r="BW375" s="2">
        <f t="shared" si="541"/>
        <v>271.56869122409989</v>
      </c>
      <c r="BX375" s="2">
        <f t="shared" si="541"/>
        <v>615.89135100250792</v>
      </c>
      <c r="BY375" s="2">
        <f t="shared" si="541"/>
        <v>876.00932281197572</v>
      </c>
      <c r="BZ375" s="2">
        <f t="shared" si="541"/>
        <v>309.97126041287606</v>
      </c>
      <c r="CA375" s="2">
        <f t="shared" si="541"/>
        <v>308.43822242168204</v>
      </c>
      <c r="CB375" s="2">
        <f t="shared" si="541"/>
        <v>672.99349534948328</v>
      </c>
      <c r="CC375" s="2">
        <f t="shared" si="541"/>
        <v>961.63452594673345</v>
      </c>
      <c r="CD375" s="2">
        <f t="shared" si="541"/>
        <v>368.6043667153499</v>
      </c>
      <c r="CG375" s="29"/>
      <c r="CH375" s="29"/>
      <c r="CI375" s="29">
        <f t="shared" ref="CI375:CX375" si="542">+SUMIFS($S375:$CD375,$S$5:$CD$5,"&lt;="&amp;CI$5,$S$5:$CD$5,"&gt;"&amp;CH$5)</f>
        <v>0</v>
      </c>
      <c r="CJ375" s="29">
        <f t="shared" si="542"/>
        <v>801.25</v>
      </c>
      <c r="CK375" s="29">
        <f t="shared" si="542"/>
        <v>1018</v>
      </c>
      <c r="CL375" s="29">
        <f t="shared" si="542"/>
        <v>1228.08</v>
      </c>
      <c r="CM375" s="29">
        <f t="shared" si="542"/>
        <v>1368.28</v>
      </c>
      <c r="CN375" s="29">
        <f t="shared" si="542"/>
        <v>1300.52</v>
      </c>
      <c r="CO375" s="29">
        <f t="shared" si="542"/>
        <v>1417.78</v>
      </c>
      <c r="CP375" s="29">
        <f t="shared" si="542"/>
        <v>1678.54</v>
      </c>
      <c r="CQ375" s="29">
        <f t="shared" si="542"/>
        <v>2008.18</v>
      </c>
      <c r="CR375" s="29">
        <f t="shared" si="542"/>
        <v>1799.82</v>
      </c>
      <c r="CS375" s="29">
        <f t="shared" si="542"/>
        <v>1881.63</v>
      </c>
      <c r="CT375" s="97">
        <f t="shared" si="542"/>
        <v>1810.76352102178</v>
      </c>
      <c r="CU375" s="97">
        <f t="shared" si="542"/>
        <v>1876.5072907540534</v>
      </c>
      <c r="CV375" s="97">
        <f t="shared" si="542"/>
        <v>2021.4061161775762</v>
      </c>
      <c r="CW375" s="97">
        <f t="shared" si="542"/>
        <v>1967.7296816823266</v>
      </c>
      <c r="CX375" s="97">
        <f t="shared" si="542"/>
        <v>2073.4406254514597</v>
      </c>
    </row>
    <row r="376" spans="2:103" x14ac:dyDescent="0.25">
      <c r="B376" s="168"/>
      <c r="C376" s="168"/>
      <c r="D376" s="168"/>
      <c r="E376" s="168"/>
      <c r="F376" s="168"/>
      <c r="G376" s="168"/>
      <c r="H376" s="168"/>
      <c r="I376" s="168"/>
      <c r="J376" s="168"/>
      <c r="K376" s="168"/>
      <c r="L376" s="168"/>
      <c r="M376" s="168"/>
      <c r="N376" s="168"/>
      <c r="O376" s="168"/>
      <c r="P376" s="168"/>
      <c r="Q376" s="168"/>
      <c r="R376" s="168"/>
      <c r="CT376" s="60"/>
      <c r="CU376" s="60"/>
      <c r="CV376" s="60"/>
      <c r="CW376" s="60"/>
      <c r="CX376" s="60"/>
    </row>
    <row r="377" spans="2:103" s="10" customFormat="1" x14ac:dyDescent="0.25">
      <c r="B377" s="10" t="s">
        <v>269</v>
      </c>
      <c r="S377" s="169">
        <f t="shared" ref="S377:CD377" si="543">+S375/S385</f>
        <v>0.19003115264797507</v>
      </c>
      <c r="T377" s="169">
        <f t="shared" si="543"/>
        <v>0.71238244514106586</v>
      </c>
      <c r="U377" s="169">
        <f t="shared" si="543"/>
        <v>1.2163009404388714</v>
      </c>
      <c r="V377" s="169">
        <f t="shared" si="543"/>
        <v>0.38580246913580246</v>
      </c>
      <c r="W377" s="169">
        <f t="shared" si="543"/>
        <v>0.15076923076923077</v>
      </c>
      <c r="X377" s="169">
        <f t="shared" si="543"/>
        <v>0.65030674846625769</v>
      </c>
      <c r="Y377" s="169">
        <f t="shared" si="543"/>
        <v>1.8338461538461539</v>
      </c>
      <c r="Z377" s="169">
        <f t="shared" si="543"/>
        <v>0.50470219435736674</v>
      </c>
      <c r="AA377" s="169">
        <f t="shared" si="543"/>
        <v>7.201277955271565E-2</v>
      </c>
      <c r="AB377" s="169">
        <f t="shared" si="543"/>
        <v>0.52582802547770702</v>
      </c>
      <c r="AC377" s="169">
        <f t="shared" si="543"/>
        <v>2.4810543130990412</v>
      </c>
      <c r="AD377" s="169">
        <f t="shared" si="543"/>
        <v>0.84570512820512822</v>
      </c>
      <c r="AE377" s="169">
        <f t="shared" si="543"/>
        <v>0.31297124600638981</v>
      </c>
      <c r="AF377" s="169">
        <f t="shared" si="543"/>
        <v>0.62288461538461537</v>
      </c>
      <c r="AG377" s="169">
        <f t="shared" si="543"/>
        <v>2.1845659163987139</v>
      </c>
      <c r="AH377" s="169">
        <f t="shared" si="543"/>
        <v>1.275176848874598</v>
      </c>
      <c r="AI377" s="169">
        <f t="shared" si="543"/>
        <v>0.15077419354838711</v>
      </c>
      <c r="AJ377" s="169">
        <f t="shared" si="543"/>
        <v>0.88410423452768738</v>
      </c>
      <c r="AK377" s="169">
        <f t="shared" si="543"/>
        <v>1.9313157894736843</v>
      </c>
      <c r="AL377" s="169">
        <f t="shared" si="543"/>
        <v>1.3130897009966778</v>
      </c>
      <c r="AM377" s="169">
        <f t="shared" si="543"/>
        <v>0.24682274247491637</v>
      </c>
      <c r="AN377" s="169">
        <f t="shared" si="543"/>
        <v>0.97236486486486484</v>
      </c>
      <c r="AO377" s="169">
        <f t="shared" si="543"/>
        <v>2.5241496598639457</v>
      </c>
      <c r="AP377" s="169">
        <f t="shared" si="543"/>
        <v>1.0755479452054795</v>
      </c>
      <c r="AQ377" s="169">
        <f t="shared" si="543"/>
        <v>1.4209589041095891</v>
      </c>
      <c r="AR377" s="169">
        <f t="shared" si="543"/>
        <v>4.7576791808873718E-2</v>
      </c>
      <c r="AS377" s="169">
        <f t="shared" si="543"/>
        <v>3.0553424657534247</v>
      </c>
      <c r="AT377" s="169">
        <f t="shared" si="543"/>
        <v>1.2328275862068965</v>
      </c>
      <c r="AU377" s="169">
        <f t="shared" si="543"/>
        <v>0.79446366782006916</v>
      </c>
      <c r="AV377" s="169">
        <f t="shared" si="543"/>
        <v>1.5771428571428572</v>
      </c>
      <c r="AW377" s="169">
        <f t="shared" si="543"/>
        <v>3.2023157894736842</v>
      </c>
      <c r="AX377" s="169">
        <f t="shared" si="543"/>
        <v>1.4603533568904592</v>
      </c>
      <c r="AY377" s="169">
        <f t="shared" si="543"/>
        <v>0.46697508896797152</v>
      </c>
      <c r="AZ377" s="169">
        <f t="shared" si="543"/>
        <v>1.4487096774193549</v>
      </c>
      <c r="BA377" s="169">
        <f t="shared" si="543"/>
        <v>2.7971223021582734</v>
      </c>
      <c r="BB377" s="169">
        <f t="shared" si="543"/>
        <v>1.7702181818181819</v>
      </c>
      <c r="BC377" s="169">
        <f t="shared" si="543"/>
        <v>1.1351824817518248</v>
      </c>
      <c r="BD377" s="169">
        <f t="shared" si="543"/>
        <v>1.4621691176470588</v>
      </c>
      <c r="BE377" s="169">
        <f t="shared" si="543"/>
        <v>2.9620295202952032</v>
      </c>
      <c r="BF377" s="169">
        <f t="shared" si="543"/>
        <v>1.371</v>
      </c>
      <c r="BG377" s="169">
        <f t="shared" si="543"/>
        <v>0.51985074626865668</v>
      </c>
      <c r="BH377" s="169">
        <f t="shared" si="543"/>
        <v>2.1468045112781953</v>
      </c>
      <c r="BI377" s="169">
        <f t="shared" si="543"/>
        <v>3.0558318592976943</v>
      </c>
      <c r="BJ377" s="169">
        <f t="shared" si="543"/>
        <v>1.1185530634471845</v>
      </c>
      <c r="BK377" s="169">
        <f t="shared" si="543"/>
        <v>0.2908536754638088</v>
      </c>
      <c r="BL377" s="169">
        <f t="shared" si="543"/>
        <v>2.2149651132821231</v>
      </c>
      <c r="BM377" s="169">
        <f t="shared" si="543"/>
        <v>3.6593383704918709</v>
      </c>
      <c r="BN377" s="169">
        <f t="shared" si="543"/>
        <v>1.1343873232805914</v>
      </c>
      <c r="BO377" s="169">
        <f t="shared" si="543"/>
        <v>1.1147339897724877</v>
      </c>
      <c r="BP377" s="169">
        <f t="shared" si="543"/>
        <v>2.3448211343432517</v>
      </c>
      <c r="BQ377" s="169">
        <f t="shared" si="543"/>
        <v>3.3888741308669457</v>
      </c>
      <c r="BR377" s="169">
        <f t="shared" si="543"/>
        <v>1.2306723462269542</v>
      </c>
      <c r="BS377" s="169">
        <f t="shared" si="543"/>
        <v>1.0682412029385335</v>
      </c>
      <c r="BT377" s="169">
        <f t="shared" si="543"/>
        <v>2.3863960840975373</v>
      </c>
      <c r="BU377" s="169">
        <f t="shared" si="543"/>
        <v>3.4394758245494903</v>
      </c>
      <c r="BV377" s="169">
        <f t="shared" si="543"/>
        <v>1.1940006082505761</v>
      </c>
      <c r="BW377" s="169">
        <f t="shared" si="543"/>
        <v>1.1040676642376168</v>
      </c>
      <c r="BX377" s="169">
        <f t="shared" si="543"/>
        <v>2.5197003590712534</v>
      </c>
      <c r="BY377" s="169">
        <f t="shared" si="543"/>
        <v>3.6072725635313327</v>
      </c>
      <c r="BZ377" s="169">
        <f t="shared" si="543"/>
        <v>1.2849775417915346</v>
      </c>
      <c r="CA377" s="169">
        <f t="shared" si="543"/>
        <v>1.2892351712013761</v>
      </c>
      <c r="CB377" s="169">
        <f t="shared" si="543"/>
        <v>2.8302416159252481</v>
      </c>
      <c r="CC377" s="169">
        <f t="shared" si="543"/>
        <v>4.069802216883553</v>
      </c>
      <c r="CD377" s="169">
        <f t="shared" si="543"/>
        <v>1.5702056857222697</v>
      </c>
      <c r="CE377"/>
      <c r="CG377" s="170"/>
      <c r="CH377" s="170"/>
      <c r="CI377" s="170">
        <f t="shared" ref="CI377:CX377" si="544">+SUMIFS($S377:$CD377,$S$5:$CD$5,"&lt;="&amp;CI$5,$S$5:$CD$5,"&gt;"&amp;CH$5)</f>
        <v>0</v>
      </c>
      <c r="CJ377" s="170">
        <f t="shared" si="544"/>
        <v>2.5045170073637149</v>
      </c>
      <c r="CK377" s="170">
        <f t="shared" si="544"/>
        <v>3.1396243274390088</v>
      </c>
      <c r="CL377" s="170">
        <f t="shared" si="544"/>
        <v>3.9246002463345917</v>
      </c>
      <c r="CM377" s="170">
        <f t="shared" si="544"/>
        <v>4.3955986266643174</v>
      </c>
      <c r="CN377" s="170">
        <f t="shared" si="544"/>
        <v>4.2792839185464366</v>
      </c>
      <c r="CO377" s="170">
        <f t="shared" si="544"/>
        <v>4.8188852124092065</v>
      </c>
      <c r="CP377" s="170">
        <f t="shared" si="544"/>
        <v>5.756705747878784</v>
      </c>
      <c r="CQ377" s="170">
        <f t="shared" si="544"/>
        <v>7.0342756713270695</v>
      </c>
      <c r="CR377" s="170">
        <f t="shared" si="544"/>
        <v>6.4830252503637817</v>
      </c>
      <c r="CS377" s="170">
        <f t="shared" si="544"/>
        <v>6.9303811196940863</v>
      </c>
      <c r="CT377" s="171">
        <f t="shared" si="544"/>
        <v>6.8410401802917304</v>
      </c>
      <c r="CU377" s="171">
        <f t="shared" si="544"/>
        <v>7.2995444825183942</v>
      </c>
      <c r="CV377" s="171">
        <f t="shared" si="544"/>
        <v>8.0791016012096399</v>
      </c>
      <c r="CW377" s="171">
        <f t="shared" si="544"/>
        <v>8.0881137198361372</v>
      </c>
      <c r="CX377" s="171">
        <f t="shared" si="544"/>
        <v>8.5160181286317371</v>
      </c>
    </row>
    <row r="378" spans="2:103" x14ac:dyDescent="0.25">
      <c r="B378" s="37" t="s">
        <v>170</v>
      </c>
      <c r="C378" s="37"/>
      <c r="D378" s="37"/>
      <c r="E378" s="37"/>
      <c r="F378" s="37"/>
      <c r="G378" s="37"/>
      <c r="H378" s="37"/>
      <c r="I378" s="37"/>
      <c r="J378" s="37"/>
      <c r="K378" s="37"/>
      <c r="L378" s="37"/>
      <c r="M378" s="37"/>
      <c r="N378" s="37"/>
      <c r="O378" s="37"/>
      <c r="P378" s="37"/>
      <c r="Q378" s="37"/>
      <c r="R378" s="37"/>
      <c r="S378" s="166"/>
      <c r="T378" s="82"/>
      <c r="U378" s="82"/>
      <c r="V378" s="82"/>
      <c r="W378" s="82">
        <f>+IFERROR(W377/S377-1,"")</f>
        <v>-0.2066078184110971</v>
      </c>
      <c r="X378" s="82">
        <f t="shared" ref="X378:BV378" si="545">+IFERROR(X377/T377-1,"")</f>
        <v>-8.7138161668927627E-2</v>
      </c>
      <c r="Y378" s="82">
        <f t="shared" si="545"/>
        <v>0.50772402854877097</v>
      </c>
      <c r="Z378" s="82">
        <f t="shared" si="545"/>
        <v>0.30818808777429463</v>
      </c>
      <c r="AA378" s="82">
        <f t="shared" si="545"/>
        <v>-0.52236421725239612</v>
      </c>
      <c r="AB378" s="82">
        <f t="shared" si="545"/>
        <v>-0.19141539478428071</v>
      </c>
      <c r="AC378" s="82">
        <f t="shared" si="545"/>
        <v>0.35292391234427578</v>
      </c>
      <c r="AD378" s="82">
        <f t="shared" si="545"/>
        <v>0.67565177576047164</v>
      </c>
      <c r="AE378" s="82">
        <f t="shared" si="545"/>
        <v>3.346051464063887</v>
      </c>
      <c r="AF378" s="82">
        <f t="shared" si="545"/>
        <v>0.18457857931542132</v>
      </c>
      <c r="AG378" s="82">
        <f t="shared" si="545"/>
        <v>-0.1195009698638918</v>
      </c>
      <c r="AH378" s="82">
        <f t="shared" si="545"/>
        <v>0.5078267901496043</v>
      </c>
      <c r="AI378" s="82">
        <f t="shared" si="545"/>
        <v>-0.5182490549137897</v>
      </c>
      <c r="AJ378" s="82">
        <f t="shared" si="545"/>
        <v>0.41937079948872324</v>
      </c>
      <c r="AK378" s="82">
        <f t="shared" si="545"/>
        <v>-0.11592697891328263</v>
      </c>
      <c r="AL378" s="82">
        <f t="shared" si="545"/>
        <v>2.9731446391564775E-2</v>
      </c>
      <c r="AM378" s="82">
        <f t="shared" si="545"/>
        <v>0.63703573314557271</v>
      </c>
      <c r="AN378" s="82">
        <f t="shared" si="545"/>
        <v>9.9830570752020842E-2</v>
      </c>
      <c r="AO378" s="82">
        <f t="shared" si="545"/>
        <v>0.30695853760498615</v>
      </c>
      <c r="AP378" s="82">
        <f t="shared" si="545"/>
        <v>-0.1809029159324731</v>
      </c>
      <c r="AQ378" s="82">
        <f t="shared" si="545"/>
        <v>4.7570015220700164</v>
      </c>
      <c r="AR378" s="82">
        <f t="shared" si="545"/>
        <v>-0.95107105004715931</v>
      </c>
      <c r="AS378" s="82">
        <f t="shared" si="545"/>
        <v>0.21044425944145906</v>
      </c>
      <c r="AT378" s="82">
        <f t="shared" si="545"/>
        <v>0.14623210587917512</v>
      </c>
      <c r="AU378" s="82">
        <f t="shared" si="545"/>
        <v>-0.4408960980346569</v>
      </c>
      <c r="AV378" s="82">
        <f t="shared" si="545"/>
        <v>32.14941586390654</v>
      </c>
      <c r="AW378" s="82">
        <f t="shared" si="545"/>
        <v>4.810371517027856E-2</v>
      </c>
      <c r="AX378" s="82">
        <f t="shared" si="545"/>
        <v>0.18455603462249148</v>
      </c>
      <c r="AY378" s="82">
        <f t="shared" si="545"/>
        <v>-0.41221341153421698</v>
      </c>
      <c r="AZ378" s="82">
        <f t="shared" si="545"/>
        <v>-8.1434081346423604E-2</v>
      </c>
      <c r="BA378" s="82">
        <f t="shared" si="545"/>
        <v>-0.12653139601263563</v>
      </c>
      <c r="BB378" s="82">
        <f t="shared" si="545"/>
        <v>0.21218482736775446</v>
      </c>
      <c r="BC378" s="82">
        <f>+IFERROR(BC377/AY377-1,"")</f>
        <v>1.4309272776426063</v>
      </c>
      <c r="BD378" s="82">
        <f t="shared" si="545"/>
        <v>9.2906401037369246E-3</v>
      </c>
      <c r="BE378" s="82">
        <f t="shared" si="545"/>
        <v>5.8956027060270699E-2</v>
      </c>
      <c r="BF378" s="82">
        <f t="shared" si="545"/>
        <v>-0.22551919640106</v>
      </c>
      <c r="BG378" s="82">
        <f>+IFERROR(BG377/BC377-1,"")</f>
        <v>-0.54205534825870649</v>
      </c>
      <c r="BH378" s="82">
        <f t="shared" si="545"/>
        <v>0.46823269987596272</v>
      </c>
      <c r="BI378" s="82">
        <f>+IFERROR(BI377/BE377-1,"")</f>
        <v>3.1668266085728369E-2</v>
      </c>
      <c r="BJ378" s="82">
        <f t="shared" si="545"/>
        <v>-0.18413343293421991</v>
      </c>
      <c r="BK378" s="82">
        <f t="shared" si="545"/>
        <v>-0.44050541900444473</v>
      </c>
      <c r="BL378" s="82">
        <f t="shared" si="545"/>
        <v>3.1749794471665815E-2</v>
      </c>
      <c r="BM378" s="82">
        <f>+IFERROR(BM377/BI377-1,"")</f>
        <v>0.19749336317636179</v>
      </c>
      <c r="BN378" s="82">
        <f t="shared" si="545"/>
        <v>1.4156020264795011E-2</v>
      </c>
      <c r="BO378" s="82">
        <f t="shared" si="545"/>
        <v>2.8326281694562776</v>
      </c>
      <c r="BP378" s="82">
        <f t="shared" si="545"/>
        <v>5.8626666525103177E-2</v>
      </c>
      <c r="BQ378" s="82">
        <f t="shared" si="545"/>
        <v>-7.3910694295420076E-2</v>
      </c>
      <c r="BR378" s="82">
        <f t="shared" si="545"/>
        <v>8.4878436994439754E-2</v>
      </c>
      <c r="BS378" s="82">
        <f t="shared" si="545"/>
        <v>-4.1707517004521577E-2</v>
      </c>
      <c r="BT378" s="82">
        <f t="shared" si="545"/>
        <v>1.7730542063682853E-2</v>
      </c>
      <c r="BU378" s="82">
        <f t="shared" si="545"/>
        <v>1.4931712341172076E-2</v>
      </c>
      <c r="BV378" s="82">
        <f t="shared" si="545"/>
        <v>-2.9798132775801678E-2</v>
      </c>
      <c r="BW378" s="82">
        <f t="shared" ref="BW378:CD378" si="546">+IFERROR(BW377/BO377-1,"")</f>
        <v>-9.5684940377999128E-3</v>
      </c>
      <c r="BX378" s="82">
        <f t="shared" si="546"/>
        <v>7.4581051051888725E-2</v>
      </c>
      <c r="BY378" s="82">
        <f t="shared" si="546"/>
        <v>6.4445719796774048E-2</v>
      </c>
      <c r="BZ378" s="82">
        <f t="shared" si="546"/>
        <v>4.4126444972190537E-2</v>
      </c>
      <c r="CA378" s="82">
        <f t="shared" si="546"/>
        <v>0.20687646914847435</v>
      </c>
      <c r="CB378" s="82">
        <f t="shared" si="546"/>
        <v>0.18598988440578168</v>
      </c>
      <c r="CC378" s="82">
        <f t="shared" si="546"/>
        <v>0.18326234126580143</v>
      </c>
      <c r="CD378" s="82">
        <f t="shared" si="546"/>
        <v>0.31507946886467764</v>
      </c>
      <c r="CG378" s="82"/>
      <c r="CH378" s="82"/>
      <c r="CI378" s="82"/>
      <c r="CJ378" s="82" t="e">
        <f>+CJ377/CI377-1</f>
        <v>#DIV/0!</v>
      </c>
      <c r="CK378" s="82">
        <f t="shared" ref="CK378:CX378" si="547">+CK377/CJ377-1</f>
        <v>0.25358475035624362</v>
      </c>
      <c r="CL378" s="82">
        <f t="shared" si="547"/>
        <v>0.25002224375547755</v>
      </c>
      <c r="CM378" s="82">
        <f t="shared" si="547"/>
        <v>0.1200118103161254</v>
      </c>
      <c r="CN378" s="82">
        <f t="shared" si="547"/>
        <v>-2.6461630825958427E-2</v>
      </c>
      <c r="CO378" s="82">
        <f t="shared" si="547"/>
        <v>0.12609616565148563</v>
      </c>
      <c r="CP378" s="82">
        <f t="shared" si="547"/>
        <v>0.19461358678031537</v>
      </c>
      <c r="CQ378" s="82">
        <f>+CQ377/CP377-1</f>
        <v>0.22192725829682036</v>
      </c>
      <c r="CR378" s="82">
        <f>+CR377/CQ377-1</f>
        <v>-7.8366337448257828E-2</v>
      </c>
      <c r="CS378" s="82">
        <f t="shared" si="547"/>
        <v>6.900418432046096E-2</v>
      </c>
      <c r="CT378" s="108">
        <f t="shared" si="547"/>
        <v>-1.2891201487963744E-2</v>
      </c>
      <c r="CU378" s="108">
        <f t="shared" si="547"/>
        <v>6.7022600385766351E-2</v>
      </c>
      <c r="CV378" s="108">
        <f t="shared" si="547"/>
        <v>0.10679531038658641</v>
      </c>
      <c r="CW378" s="108">
        <f t="shared" si="547"/>
        <v>1.115485244689518E-3</v>
      </c>
      <c r="CX378" s="108">
        <f t="shared" si="547"/>
        <v>5.2905340307735971E-2</v>
      </c>
    </row>
    <row r="379" spans="2:103" x14ac:dyDescent="0.25">
      <c r="B379" s="37" t="s">
        <v>218</v>
      </c>
      <c r="C379" s="37"/>
      <c r="D379" s="37"/>
      <c r="E379" s="37"/>
      <c r="F379" s="37"/>
      <c r="G379" s="37"/>
      <c r="H379" s="37"/>
      <c r="I379" s="37"/>
      <c r="J379" s="37"/>
      <c r="K379" s="37"/>
      <c r="L379" s="37"/>
      <c r="M379" s="37"/>
      <c r="N379" s="37"/>
      <c r="O379" s="37"/>
      <c r="P379" s="37"/>
      <c r="Q379" s="37"/>
      <c r="R379" s="37"/>
      <c r="T379" s="82">
        <f t="shared" ref="T379:BV379" si="548">+T377/S377-1</f>
        <v>2.748766637545609</v>
      </c>
      <c r="U379" s="82">
        <f t="shared" si="548"/>
        <v>0.70737073707370723</v>
      </c>
      <c r="V379" s="82">
        <f t="shared" si="548"/>
        <v>-0.68280673284968818</v>
      </c>
      <c r="W379" s="82">
        <f t="shared" si="548"/>
        <v>-0.60920615384615384</v>
      </c>
      <c r="X379" s="82">
        <f t="shared" si="548"/>
        <v>3.3132590459496685</v>
      </c>
      <c r="Y379" s="82">
        <f t="shared" si="548"/>
        <v>1.8199709724238025</v>
      </c>
      <c r="Z379" s="82">
        <f t="shared" si="548"/>
        <v>-0.7247848772380131</v>
      </c>
      <c r="AA379" s="82">
        <f t="shared" si="548"/>
        <v>-0.85731629392971243</v>
      </c>
      <c r="AB379" s="82">
        <f t="shared" si="548"/>
        <v>6.3018709837853732</v>
      </c>
      <c r="AC379" s="82">
        <f t="shared" si="548"/>
        <v>3.718375957319962</v>
      </c>
      <c r="AD379" s="82">
        <f t="shared" si="548"/>
        <v>-0.65913477841249968</v>
      </c>
      <c r="AE379" s="82">
        <f t="shared" si="548"/>
        <v>-0.62992864112031532</v>
      </c>
      <c r="AF379" s="82">
        <f t="shared" si="548"/>
        <v>0.9902295285359799</v>
      </c>
      <c r="AG379" s="82">
        <f t="shared" si="548"/>
        <v>2.5071759077719395</v>
      </c>
      <c r="AH379" s="82">
        <f t="shared" si="548"/>
        <v>-0.41627906976744189</v>
      </c>
      <c r="AI379" s="82">
        <f t="shared" si="548"/>
        <v>-0.88176213073390386</v>
      </c>
      <c r="AJ379" s="82">
        <f t="shared" si="548"/>
        <v>4.863763643636779</v>
      </c>
      <c r="AK379" s="82">
        <f t="shared" si="548"/>
        <v>1.1844887899507075</v>
      </c>
      <c r="AL379" s="82">
        <f t="shared" si="548"/>
        <v>-0.32010616381150359</v>
      </c>
      <c r="AM379" s="82">
        <f t="shared" si="548"/>
        <v>-0.81202903176563646</v>
      </c>
      <c r="AN379" s="82">
        <f t="shared" si="548"/>
        <v>2.9395270270270273</v>
      </c>
      <c r="AO379" s="82">
        <f t="shared" si="548"/>
        <v>1.5958873577921198</v>
      </c>
      <c r="AP379" s="82">
        <f t="shared" si="548"/>
        <v>-0.57389691970029522</v>
      </c>
      <c r="AQ379" s="82">
        <f t="shared" si="548"/>
        <v>0.32114882506527431</v>
      </c>
      <c r="AR379" s="82">
        <f t="shared" si="548"/>
        <v>-0.96651782703125633</v>
      </c>
      <c r="AS379" s="82">
        <f t="shared" si="548"/>
        <v>63.219178082191789</v>
      </c>
      <c r="AT379" s="82">
        <f t="shared" si="548"/>
        <v>-0.59650101419878299</v>
      </c>
      <c r="AU379" s="82">
        <f t="shared" si="548"/>
        <v>-0.35557601345989021</v>
      </c>
      <c r="AV379" s="82">
        <f t="shared" si="548"/>
        <v>0.98516674962668005</v>
      </c>
      <c r="AW379" s="82">
        <f t="shared" si="548"/>
        <v>1.0304538520213575</v>
      </c>
      <c r="AX379" s="82">
        <f t="shared" si="548"/>
        <v>-0.54396959797319822</v>
      </c>
      <c r="AY379" s="82">
        <f t="shared" si="548"/>
        <v>-0.68023144072315156</v>
      </c>
      <c r="AZ379" s="82">
        <f t="shared" si="548"/>
        <v>2.1023275366166647</v>
      </c>
      <c r="BA379" s="82">
        <f t="shared" si="548"/>
        <v>0.93076801084182748</v>
      </c>
      <c r="BB379" s="82">
        <f t="shared" si="548"/>
        <v>-0.36712878787878789</v>
      </c>
      <c r="BC379" s="82">
        <f>+BC377/BB377-1</f>
        <v>-0.35873301189015883</v>
      </c>
      <c r="BD379" s="82">
        <f>+BD377/BC377-1</f>
        <v>0.28804764093137258</v>
      </c>
      <c r="BE379" s="82">
        <f t="shared" si="548"/>
        <v>1.025777650851865</v>
      </c>
      <c r="BF379" s="82">
        <f t="shared" si="548"/>
        <v>-0.53714168255036077</v>
      </c>
      <c r="BG379" s="82">
        <f t="shared" si="548"/>
        <v>-0.62082367157647211</v>
      </c>
      <c r="BH379" s="82">
        <f t="shared" si="548"/>
        <v>3.1296555341842982</v>
      </c>
      <c r="BI379" s="82">
        <f>+BI377/BH377-1</f>
        <v>0.42343275470306763</v>
      </c>
      <c r="BJ379" s="82">
        <f>+BJ377/BI377-1</f>
        <v>-0.63396118800061996</v>
      </c>
      <c r="BK379" s="82">
        <f t="shared" si="548"/>
        <v>-0.73997328784076744</v>
      </c>
      <c r="BL379" s="82">
        <f t="shared" si="548"/>
        <v>6.6153932376822695</v>
      </c>
      <c r="BM379" s="82">
        <f t="shared" si="548"/>
        <v>0.65209751997830945</v>
      </c>
      <c r="BN379" s="82">
        <f t="shared" si="548"/>
        <v>-0.69000206910952799</v>
      </c>
      <c r="BO379" s="82">
        <f t="shared" si="548"/>
        <v>-1.7325064468516116E-2</v>
      </c>
      <c r="BP379" s="82">
        <f t="shared" si="548"/>
        <v>1.1034804319744653</v>
      </c>
      <c r="BQ379" s="82">
        <f t="shared" si="548"/>
        <v>0.44525912072014706</v>
      </c>
      <c r="BR379" s="82">
        <f t="shared" si="548"/>
        <v>-0.63684920162197867</v>
      </c>
      <c r="BS379" s="82">
        <f t="shared" si="548"/>
        <v>-0.13198569366282487</v>
      </c>
      <c r="BT379" s="82">
        <f t="shared" si="548"/>
        <v>1.2339487351105762</v>
      </c>
      <c r="BU379" s="82">
        <f t="shared" si="548"/>
        <v>0.44128455769327823</v>
      </c>
      <c r="BV379" s="82">
        <f t="shared" si="548"/>
        <v>-0.65285390299059043</v>
      </c>
      <c r="BW379" s="82">
        <f>+BW377/BR377-1</f>
        <v>-0.10287440225457833</v>
      </c>
      <c r="BX379" s="82">
        <f t="shared" ref="BX379:BZ379" si="549">+BX377/BW377-1</f>
        <v>1.2821974057279926</v>
      </c>
      <c r="BY379" s="82">
        <f t="shared" si="549"/>
        <v>0.4316275943465564</v>
      </c>
      <c r="BZ379" s="82">
        <f t="shared" si="549"/>
        <v>-0.64378141125726074</v>
      </c>
      <c r="CA379" s="82">
        <f>+CA377/BV377-1</f>
        <v>7.9760899862802992E-2</v>
      </c>
      <c r="CB379" s="82">
        <f t="shared" ref="CB379:CD379" si="550">+CB377/CA377-1</f>
        <v>1.1952873138636781</v>
      </c>
      <c r="CC379" s="82">
        <f t="shared" si="550"/>
        <v>0.43796988708791718</v>
      </c>
      <c r="CD379" s="82">
        <f t="shared" si="550"/>
        <v>-0.61418132822074756</v>
      </c>
      <c r="CG379" s="82"/>
      <c r="CH379" s="82"/>
      <c r="CI379" s="82"/>
      <c r="CK379" s="82"/>
      <c r="CL379" s="82"/>
      <c r="CM379" s="82"/>
      <c r="CN379" s="82"/>
      <c r="CO379" s="82"/>
      <c r="CP379" s="82"/>
      <c r="CQ379" s="82"/>
      <c r="CR379" s="82"/>
      <c r="CS379" s="82"/>
      <c r="CT379" s="108"/>
      <c r="CU379" s="108"/>
      <c r="CV379" s="108"/>
      <c r="CW379" s="108"/>
      <c r="CX379" s="108"/>
    </row>
    <row r="380" spans="2:103" x14ac:dyDescent="0.25">
      <c r="B380" s="37"/>
      <c r="C380" s="37"/>
      <c r="D380" s="37"/>
      <c r="E380" s="37"/>
      <c r="F380" s="37"/>
      <c r="G380" s="37"/>
      <c r="H380" s="37"/>
      <c r="I380" s="37"/>
      <c r="J380" s="37"/>
      <c r="K380" s="37"/>
      <c r="L380" s="37"/>
      <c r="M380" s="37"/>
      <c r="N380" s="37"/>
      <c r="O380" s="37"/>
      <c r="P380" s="37"/>
      <c r="Q380" s="37"/>
      <c r="R380" s="37"/>
      <c r="CT380" s="60"/>
      <c r="CU380" s="60"/>
      <c r="CV380" s="60"/>
      <c r="CW380" s="60"/>
      <c r="CX380" s="60"/>
    </row>
    <row r="381" spans="2:103" s="174" customFormat="1" ht="15" customHeight="1" x14ac:dyDescent="0.25">
      <c r="B381" s="172" t="s">
        <v>270</v>
      </c>
      <c r="C381" s="173"/>
      <c r="D381" s="173"/>
      <c r="E381" s="173"/>
      <c r="F381" s="173"/>
      <c r="G381" s="173"/>
      <c r="H381" s="173"/>
      <c r="I381" s="173"/>
      <c r="J381" s="173"/>
      <c r="K381" s="173"/>
      <c r="L381" s="173"/>
      <c r="M381" s="173"/>
      <c r="N381" s="173"/>
      <c r="O381" s="173"/>
      <c r="P381" s="173"/>
      <c r="Q381" s="173"/>
      <c r="R381" s="173"/>
      <c r="BC381" s="175"/>
      <c r="BD381" s="175"/>
      <c r="BE381" s="175"/>
      <c r="BF381" s="175"/>
      <c r="BG381" s="175"/>
      <c r="BH381" s="175" t="e">
        <f>+BH554</f>
        <v>#NAME?</v>
      </c>
      <c r="BI381" s="175" t="e">
        <f t="shared" ref="BI381:CD381" si="551">+BI554</f>
        <v>#NAME?</v>
      </c>
      <c r="BJ381" s="175" t="e">
        <f t="shared" si="551"/>
        <v>#NAME?</v>
      </c>
      <c r="BK381" s="175" t="e">
        <f t="shared" si="551"/>
        <v>#NAME?</v>
      </c>
      <c r="BL381" s="175" t="e">
        <f t="shared" si="551"/>
        <v>#NAME?</v>
      </c>
      <c r="BM381" s="175" t="e">
        <f t="shared" si="551"/>
        <v>#NAME?</v>
      </c>
      <c r="BN381" s="175" t="e">
        <f t="shared" si="551"/>
        <v>#NAME?</v>
      </c>
      <c r="BO381" s="175" t="e">
        <f t="shared" si="551"/>
        <v>#NAME?</v>
      </c>
      <c r="BP381" s="175" t="e">
        <f t="shared" si="551"/>
        <v>#NAME?</v>
      </c>
      <c r="BQ381" s="175" t="e">
        <f t="shared" si="551"/>
        <v>#NAME?</v>
      </c>
      <c r="BR381" s="175" t="e">
        <f t="shared" si="551"/>
        <v>#NAME?</v>
      </c>
      <c r="BS381" s="175" t="e">
        <f t="shared" si="551"/>
        <v>#NAME?</v>
      </c>
      <c r="BT381" s="175" t="e">
        <f t="shared" si="551"/>
        <v>#NAME?</v>
      </c>
      <c r="BU381" s="175" t="e">
        <f t="shared" si="551"/>
        <v>#NAME?</v>
      </c>
      <c r="BV381" s="175" t="e">
        <f t="shared" si="551"/>
        <v>#NAME?</v>
      </c>
      <c r="BW381" s="175" t="e">
        <f t="shared" si="551"/>
        <v>#NAME?</v>
      </c>
      <c r="BX381" s="175" t="e">
        <f t="shared" si="551"/>
        <v>#NAME?</v>
      </c>
      <c r="BY381" s="175" t="e">
        <f t="shared" si="551"/>
        <v>#NAME?</v>
      </c>
      <c r="BZ381" s="175" t="e">
        <f t="shared" si="551"/>
        <v>#NAME?</v>
      </c>
      <c r="CA381" s="175" t="e">
        <f t="shared" si="551"/>
        <v>#NAME?</v>
      </c>
      <c r="CB381" s="175" t="e">
        <f t="shared" si="551"/>
        <v>#NAME?</v>
      </c>
      <c r="CC381" s="175" t="e">
        <f t="shared" si="551"/>
        <v>#NAME?</v>
      </c>
      <c r="CD381" s="175" t="e">
        <f t="shared" si="551"/>
        <v>#NAME?</v>
      </c>
      <c r="CE381" s="175"/>
      <c r="CT381" s="175" t="e">
        <f t="shared" ref="CT381:CX381" si="552">+CT554</f>
        <v>#NAME?</v>
      </c>
      <c r="CU381" s="175" t="e">
        <f t="shared" si="552"/>
        <v>#NAME?</v>
      </c>
      <c r="CV381" s="175" t="e">
        <f t="shared" si="552"/>
        <v>#NAME?</v>
      </c>
      <c r="CW381" s="175" t="e">
        <f t="shared" si="552"/>
        <v>#NAME?</v>
      </c>
      <c r="CX381" s="175" t="e">
        <f t="shared" si="552"/>
        <v>#NAME?</v>
      </c>
    </row>
    <row r="382" spans="2:103" s="177" customFormat="1" ht="15" customHeight="1" x14ac:dyDescent="0.25">
      <c r="B382" s="176" t="s">
        <v>220</v>
      </c>
      <c r="C382" s="176"/>
      <c r="D382" s="176"/>
      <c r="E382" s="176"/>
      <c r="F382" s="176"/>
      <c r="G382" s="176"/>
      <c r="H382" s="176"/>
      <c r="I382" s="176"/>
      <c r="J382" s="176"/>
      <c r="K382" s="176"/>
      <c r="L382" s="176"/>
      <c r="M382" s="176"/>
      <c r="N382" s="176"/>
      <c r="O382" s="176"/>
      <c r="P382" s="176"/>
      <c r="Q382" s="176"/>
      <c r="R382" s="176"/>
      <c r="W382" s="177" t="str">
        <f t="shared" ref="W382:AL383" si="553">+IFERROR(W380/S380-1,"")</f>
        <v/>
      </c>
      <c r="X382" s="177" t="str">
        <f t="shared" si="553"/>
        <v/>
      </c>
      <c r="Y382" s="177" t="str">
        <f t="shared" si="553"/>
        <v/>
      </c>
      <c r="Z382" s="177" t="str">
        <f t="shared" si="553"/>
        <v/>
      </c>
      <c r="AA382" s="177" t="str">
        <f t="shared" si="553"/>
        <v/>
      </c>
      <c r="AB382" s="177" t="str">
        <f t="shared" si="553"/>
        <v/>
      </c>
      <c r="AC382" s="177" t="str">
        <f t="shared" si="553"/>
        <v/>
      </c>
      <c r="AD382" s="177" t="str">
        <f t="shared" si="553"/>
        <v/>
      </c>
      <c r="AE382" s="177" t="str">
        <f t="shared" si="553"/>
        <v/>
      </c>
      <c r="AF382" s="177" t="str">
        <f t="shared" si="553"/>
        <v/>
      </c>
      <c r="AG382" s="177" t="str">
        <f t="shared" si="553"/>
        <v/>
      </c>
      <c r="AH382" s="177" t="str">
        <f t="shared" si="553"/>
        <v/>
      </c>
      <c r="AI382" s="177" t="str">
        <f t="shared" si="553"/>
        <v/>
      </c>
      <c r="AJ382" s="177" t="str">
        <f t="shared" si="553"/>
        <v/>
      </c>
      <c r="AK382" s="177" t="str">
        <f t="shared" si="553"/>
        <v/>
      </c>
      <c r="AL382" s="177" t="str">
        <f t="shared" si="553"/>
        <v/>
      </c>
      <c r="BH382" s="177" t="e">
        <f>+BH377-BH381</f>
        <v>#NAME?</v>
      </c>
      <c r="BI382" s="177" t="e">
        <f t="shared" ref="BI382:CX382" si="554">+BI377-BI381</f>
        <v>#NAME?</v>
      </c>
      <c r="BJ382" s="177" t="e">
        <f t="shared" si="554"/>
        <v>#NAME?</v>
      </c>
      <c r="BK382" s="177" t="e">
        <f t="shared" si="554"/>
        <v>#NAME?</v>
      </c>
      <c r="BL382" s="177" t="e">
        <f t="shared" si="554"/>
        <v>#NAME?</v>
      </c>
      <c r="BM382" s="177" t="e">
        <f t="shared" si="554"/>
        <v>#NAME?</v>
      </c>
      <c r="BN382" s="177" t="e">
        <f t="shared" si="554"/>
        <v>#NAME?</v>
      </c>
      <c r="BO382" s="177" t="e">
        <f t="shared" si="554"/>
        <v>#NAME?</v>
      </c>
      <c r="BP382" s="177" t="e">
        <f t="shared" si="554"/>
        <v>#NAME?</v>
      </c>
      <c r="BQ382" s="177" t="e">
        <f t="shared" si="554"/>
        <v>#NAME?</v>
      </c>
      <c r="BR382" s="177" t="e">
        <f t="shared" si="554"/>
        <v>#NAME?</v>
      </c>
      <c r="BS382" s="177" t="e">
        <f t="shared" si="554"/>
        <v>#NAME?</v>
      </c>
      <c r="BT382" s="177" t="e">
        <f t="shared" si="554"/>
        <v>#NAME?</v>
      </c>
      <c r="BU382" s="177" t="e">
        <f t="shared" si="554"/>
        <v>#NAME?</v>
      </c>
      <c r="BV382" s="177" t="e">
        <f t="shared" si="554"/>
        <v>#NAME?</v>
      </c>
      <c r="BW382" s="177" t="e">
        <f t="shared" si="554"/>
        <v>#NAME?</v>
      </c>
      <c r="BX382" s="177" t="e">
        <f t="shared" si="554"/>
        <v>#NAME?</v>
      </c>
      <c r="BY382" s="177" t="e">
        <f t="shared" si="554"/>
        <v>#NAME?</v>
      </c>
      <c r="BZ382" s="177" t="e">
        <f t="shared" si="554"/>
        <v>#NAME?</v>
      </c>
      <c r="CA382" s="177" t="e">
        <f t="shared" si="554"/>
        <v>#NAME?</v>
      </c>
      <c r="CB382" s="177" t="e">
        <f t="shared" si="554"/>
        <v>#NAME?</v>
      </c>
      <c r="CC382" s="177" t="e">
        <f t="shared" si="554"/>
        <v>#NAME?</v>
      </c>
      <c r="CD382" s="177" t="e">
        <f t="shared" si="554"/>
        <v>#NAME?</v>
      </c>
      <c r="CT382" s="177" t="e">
        <f t="shared" si="554"/>
        <v>#NAME?</v>
      </c>
      <c r="CU382" s="177" t="e">
        <f t="shared" si="554"/>
        <v>#NAME?</v>
      </c>
      <c r="CV382" s="177" t="e">
        <f t="shared" si="554"/>
        <v>#NAME?</v>
      </c>
      <c r="CW382" s="177" t="e">
        <f t="shared" si="554"/>
        <v>#NAME?</v>
      </c>
      <c r="CX382" s="177" t="e">
        <f t="shared" si="554"/>
        <v>#NAME?</v>
      </c>
    </row>
    <row r="383" spans="2:103" ht="15" customHeight="1" x14ac:dyDescent="0.25">
      <c r="B383" s="37" t="s">
        <v>221</v>
      </c>
      <c r="C383" s="37"/>
      <c r="D383" s="37"/>
      <c r="E383" s="37"/>
      <c r="F383" s="37"/>
      <c r="G383" s="37"/>
      <c r="H383" s="37"/>
      <c r="I383" s="37"/>
      <c r="J383" s="37"/>
      <c r="K383" s="37"/>
      <c r="L383" s="37"/>
      <c r="M383" s="37"/>
      <c r="N383" s="37"/>
      <c r="O383" s="37"/>
      <c r="P383" s="37"/>
      <c r="Q383" s="37"/>
      <c r="R383" s="37"/>
      <c r="S383" s="82"/>
      <c r="T383" s="82"/>
      <c r="U383" s="82"/>
      <c r="V383" s="82"/>
      <c r="W383" s="82" t="str">
        <f t="shared" si="553"/>
        <v/>
      </c>
      <c r="X383" s="82" t="str">
        <f t="shared" si="553"/>
        <v/>
      </c>
      <c r="Y383" s="82" t="str">
        <f t="shared" si="553"/>
        <v/>
      </c>
      <c r="Z383" s="82" t="str">
        <f t="shared" si="553"/>
        <v/>
      </c>
      <c r="AA383" s="82" t="str">
        <f t="shared" si="553"/>
        <v/>
      </c>
      <c r="AB383" s="82" t="str">
        <f t="shared" si="553"/>
        <v/>
      </c>
      <c r="AC383" s="82" t="str">
        <f t="shared" si="553"/>
        <v/>
      </c>
      <c r="AD383" s="82" t="str">
        <f t="shared" si="553"/>
        <v/>
      </c>
      <c r="AE383" s="82" t="str">
        <f t="shared" si="553"/>
        <v/>
      </c>
      <c r="AF383" s="82" t="str">
        <f t="shared" si="553"/>
        <v/>
      </c>
      <c r="AG383" s="82" t="str">
        <f t="shared" si="553"/>
        <v/>
      </c>
      <c r="AH383" s="82" t="str">
        <f t="shared" si="553"/>
        <v/>
      </c>
      <c r="AI383" s="82" t="str">
        <f t="shared" si="553"/>
        <v/>
      </c>
      <c r="AJ383" s="82" t="str">
        <f t="shared" si="553"/>
        <v/>
      </c>
      <c r="AK383" s="82" t="str">
        <f t="shared" si="553"/>
        <v/>
      </c>
      <c r="AL383" s="82" t="str">
        <f t="shared" si="553"/>
        <v/>
      </c>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t="e">
        <f>+BH377/BH381-1</f>
        <v>#NAME?</v>
      </c>
      <c r="BI383" s="82" t="e">
        <f t="shared" ref="BI383:CD383" si="555">+BI377/BI381-1</f>
        <v>#NAME?</v>
      </c>
      <c r="BJ383" s="82" t="e">
        <f t="shared" si="555"/>
        <v>#NAME?</v>
      </c>
      <c r="BK383" s="82" t="e">
        <f t="shared" si="555"/>
        <v>#NAME?</v>
      </c>
      <c r="BL383" s="82" t="e">
        <f t="shared" si="555"/>
        <v>#NAME?</v>
      </c>
      <c r="BM383" s="82" t="e">
        <f t="shared" si="555"/>
        <v>#NAME?</v>
      </c>
      <c r="BN383" s="82" t="e">
        <f t="shared" si="555"/>
        <v>#NAME?</v>
      </c>
      <c r="BO383" s="82" t="e">
        <f t="shared" si="555"/>
        <v>#NAME?</v>
      </c>
      <c r="BP383" s="82" t="e">
        <f t="shared" si="555"/>
        <v>#NAME?</v>
      </c>
      <c r="BQ383" s="82" t="e">
        <f t="shared" si="555"/>
        <v>#NAME?</v>
      </c>
      <c r="BR383" s="82" t="e">
        <f t="shared" si="555"/>
        <v>#NAME?</v>
      </c>
      <c r="BS383" s="82" t="e">
        <f t="shared" si="555"/>
        <v>#NAME?</v>
      </c>
      <c r="BT383" s="82" t="e">
        <f t="shared" si="555"/>
        <v>#NAME?</v>
      </c>
      <c r="BU383" s="82" t="e">
        <f t="shared" si="555"/>
        <v>#NAME?</v>
      </c>
      <c r="BV383" s="82" t="e">
        <f t="shared" si="555"/>
        <v>#NAME?</v>
      </c>
      <c r="BW383" s="82" t="e">
        <f t="shared" si="555"/>
        <v>#NAME?</v>
      </c>
      <c r="BX383" s="82" t="e">
        <f t="shared" si="555"/>
        <v>#NAME?</v>
      </c>
      <c r="BY383" s="82" t="e">
        <f t="shared" si="555"/>
        <v>#NAME?</v>
      </c>
      <c r="BZ383" s="82" t="e">
        <f t="shared" si="555"/>
        <v>#NAME?</v>
      </c>
      <c r="CA383" s="82" t="e">
        <f t="shared" si="555"/>
        <v>#NAME?</v>
      </c>
      <c r="CB383" s="82" t="e">
        <f t="shared" si="555"/>
        <v>#NAME?</v>
      </c>
      <c r="CC383" s="82" t="e">
        <f t="shared" si="555"/>
        <v>#NAME?</v>
      </c>
      <c r="CD383" s="82" t="e">
        <f t="shared" si="555"/>
        <v>#NAME?</v>
      </c>
      <c r="CE383" s="82"/>
      <c r="CG383" s="82"/>
      <c r="CH383" s="82"/>
      <c r="CI383" s="82"/>
      <c r="CJ383" s="82"/>
      <c r="CK383" s="82"/>
      <c r="CL383" s="82"/>
      <c r="CM383" s="82"/>
      <c r="CN383" s="82"/>
      <c r="CO383" s="82"/>
      <c r="CP383" s="82"/>
      <c r="CQ383" s="82"/>
      <c r="CR383" s="82"/>
      <c r="CS383" s="82"/>
      <c r="CT383" s="82" t="e">
        <f t="shared" ref="CT383:CX383" si="556">+CT377/CT381-1</f>
        <v>#NAME?</v>
      </c>
      <c r="CU383" s="82" t="e">
        <f t="shared" si="556"/>
        <v>#NAME?</v>
      </c>
      <c r="CV383" s="82" t="e">
        <f t="shared" si="556"/>
        <v>#NAME?</v>
      </c>
      <c r="CW383" s="82" t="e">
        <f t="shared" si="556"/>
        <v>#NAME?</v>
      </c>
      <c r="CX383" s="82" t="e">
        <f t="shared" si="556"/>
        <v>#NAME?</v>
      </c>
    </row>
    <row r="384" spans="2:103" ht="15" customHeight="1" x14ac:dyDescent="0.25">
      <c r="B384" s="37"/>
      <c r="C384" s="37"/>
      <c r="D384" s="37"/>
      <c r="E384" s="37"/>
      <c r="F384" s="37"/>
      <c r="G384" s="37"/>
      <c r="H384" s="37"/>
      <c r="I384" s="37"/>
      <c r="J384" s="37"/>
      <c r="K384" s="37"/>
      <c r="L384" s="37"/>
      <c r="M384" s="37"/>
      <c r="N384" s="37"/>
      <c r="O384" s="37"/>
      <c r="P384" s="37"/>
      <c r="Q384" s="37"/>
      <c r="R384" s="37"/>
      <c r="T384" s="82"/>
      <c r="U384" s="82"/>
      <c r="V384" s="82"/>
      <c r="W384" s="82"/>
      <c r="X384" s="82"/>
      <c r="Y384" s="82"/>
      <c r="Z384" s="82"/>
      <c r="AA384" s="82"/>
      <c r="AB384" s="82"/>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2"/>
      <c r="BK384" s="82"/>
      <c r="BL384" s="82"/>
      <c r="BM384" s="82"/>
      <c r="BN384" s="82"/>
      <c r="BO384" s="82"/>
      <c r="BP384" s="82"/>
      <c r="BQ384" s="82"/>
      <c r="BR384" s="82"/>
      <c r="BS384" s="82"/>
      <c r="BT384" s="82"/>
      <c r="BU384" s="82"/>
      <c r="BV384" s="82"/>
      <c r="BW384" s="82"/>
      <c r="BX384" s="82"/>
      <c r="BY384" s="82"/>
      <c r="BZ384" s="82"/>
      <c r="CA384" s="82"/>
      <c r="CB384" s="82"/>
      <c r="CC384" s="82"/>
      <c r="CD384" s="82"/>
      <c r="CG384" s="82"/>
      <c r="CH384" s="82"/>
      <c r="CI384" s="82"/>
      <c r="CJ384" s="82"/>
      <c r="CK384" s="82"/>
      <c r="CL384" s="82"/>
      <c r="CM384" s="82"/>
      <c r="CN384" s="82"/>
      <c r="CO384" s="82"/>
      <c r="CP384" s="82"/>
      <c r="CQ384" s="82"/>
      <c r="CR384" s="82"/>
      <c r="CS384" s="82"/>
      <c r="CT384" s="108"/>
      <c r="CU384" s="108"/>
      <c r="CV384" s="108"/>
      <c r="CW384" s="108"/>
      <c r="CX384" s="108"/>
    </row>
    <row r="385" spans="1:102" x14ac:dyDescent="0.25">
      <c r="B385" t="s">
        <v>271</v>
      </c>
      <c r="S385" s="87">
        <f t="shared" ref="S385:BE385" si="557">+S557</f>
        <v>321</v>
      </c>
      <c r="T385" s="87">
        <f t="shared" si="557"/>
        <v>319</v>
      </c>
      <c r="U385" s="87">
        <f t="shared" si="557"/>
        <v>319</v>
      </c>
      <c r="V385" s="87">
        <f t="shared" si="557"/>
        <v>324</v>
      </c>
      <c r="W385" s="87">
        <f t="shared" si="557"/>
        <v>325</v>
      </c>
      <c r="X385" s="87">
        <f t="shared" si="557"/>
        <v>326</v>
      </c>
      <c r="Y385" s="87">
        <f t="shared" si="557"/>
        <v>325</v>
      </c>
      <c r="Z385" s="87">
        <f t="shared" si="557"/>
        <v>319</v>
      </c>
      <c r="AA385" s="87">
        <f t="shared" si="557"/>
        <v>313</v>
      </c>
      <c r="AB385" s="87">
        <f t="shared" si="557"/>
        <v>314</v>
      </c>
      <c r="AC385" s="87">
        <f t="shared" si="557"/>
        <v>313</v>
      </c>
      <c r="AD385" s="87">
        <f t="shared" si="557"/>
        <v>312</v>
      </c>
      <c r="AE385" s="87">
        <f t="shared" si="557"/>
        <v>313</v>
      </c>
      <c r="AF385" s="87">
        <f t="shared" si="557"/>
        <v>312</v>
      </c>
      <c r="AG385" s="87">
        <f t="shared" si="557"/>
        <v>311</v>
      </c>
      <c r="AH385" s="87">
        <f t="shared" si="557"/>
        <v>311</v>
      </c>
      <c r="AI385" s="87">
        <f t="shared" si="557"/>
        <v>310</v>
      </c>
      <c r="AJ385" s="87">
        <f t="shared" si="557"/>
        <v>307</v>
      </c>
      <c r="AK385" s="87">
        <f t="shared" si="557"/>
        <v>304</v>
      </c>
      <c r="AL385" s="87">
        <f t="shared" si="557"/>
        <v>301</v>
      </c>
      <c r="AM385" s="87">
        <f t="shared" si="557"/>
        <v>299</v>
      </c>
      <c r="AN385" s="87">
        <f t="shared" si="557"/>
        <v>296</v>
      </c>
      <c r="AO385" s="87">
        <f t="shared" si="557"/>
        <v>294</v>
      </c>
      <c r="AP385" s="87">
        <f t="shared" si="557"/>
        <v>292</v>
      </c>
      <c r="AQ385" s="87">
        <f t="shared" si="557"/>
        <v>292</v>
      </c>
      <c r="AR385" s="87">
        <f t="shared" si="557"/>
        <v>293</v>
      </c>
      <c r="AS385" s="87">
        <f t="shared" si="557"/>
        <v>292</v>
      </c>
      <c r="AT385" s="87">
        <f t="shared" si="557"/>
        <v>290</v>
      </c>
      <c r="AU385" s="87">
        <f t="shared" si="557"/>
        <v>289</v>
      </c>
      <c r="AV385" s="87">
        <f t="shared" si="557"/>
        <v>287</v>
      </c>
      <c r="AW385" s="87">
        <f t="shared" si="557"/>
        <v>285</v>
      </c>
      <c r="AX385" s="87">
        <f t="shared" si="557"/>
        <v>283</v>
      </c>
      <c r="AY385" s="87">
        <f t="shared" si="557"/>
        <v>281</v>
      </c>
      <c r="AZ385" s="87">
        <f t="shared" si="557"/>
        <v>279</v>
      </c>
      <c r="BA385" s="87">
        <f t="shared" si="557"/>
        <v>278</v>
      </c>
      <c r="BB385" s="87">
        <f t="shared" si="557"/>
        <v>275</v>
      </c>
      <c r="BC385" s="87">
        <f t="shared" si="557"/>
        <v>274</v>
      </c>
      <c r="BD385" s="87">
        <f t="shared" si="557"/>
        <v>272</v>
      </c>
      <c r="BE385" s="87">
        <f t="shared" si="557"/>
        <v>271</v>
      </c>
      <c r="BF385" s="87">
        <f>+BF557</f>
        <v>270</v>
      </c>
      <c r="BG385" s="74">
        <v>268</v>
      </c>
      <c r="BH385" s="74">
        <v>266</v>
      </c>
      <c r="BI385" s="24">
        <f t="shared" ref="BI385:CD385" si="558">BI450</f>
        <v>264.11782608695654</v>
      </c>
      <c r="BJ385" s="24">
        <f t="shared" si="558"/>
        <v>262.20826086956527</v>
      </c>
      <c r="BK385" s="24">
        <f t="shared" si="558"/>
        <v>260.25304347826091</v>
      </c>
      <c r="BL385" s="24">
        <f t="shared" si="558"/>
        <v>258.47815217391309</v>
      </c>
      <c r="BM385" s="24">
        <f t="shared" si="558"/>
        <v>256.66491304347829</v>
      </c>
      <c r="BN385" s="24">
        <f t="shared" si="558"/>
        <v>254.82291304347828</v>
      </c>
      <c r="BO385" s="24">
        <f t="shared" si="558"/>
        <v>252.93297826086959</v>
      </c>
      <c r="BP385" s="24">
        <f t="shared" si="558"/>
        <v>251.23238586956523</v>
      </c>
      <c r="BQ385" s="24">
        <f t="shared" si="558"/>
        <v>249.49152826086956</v>
      </c>
      <c r="BR385" s="24">
        <f t="shared" si="558"/>
        <v>247.7204717391304</v>
      </c>
      <c r="BS385" s="24">
        <f t="shared" si="558"/>
        <v>245.89908369565214</v>
      </c>
      <c r="BT385" s="24">
        <f t="shared" si="558"/>
        <v>244.27650516304342</v>
      </c>
      <c r="BU385" s="24">
        <f t="shared" si="558"/>
        <v>242.61164815217384</v>
      </c>
      <c r="BV385" s="24">
        <f t="shared" si="558"/>
        <v>240.91508228260861</v>
      </c>
      <c r="BW385" s="24">
        <f t="shared" si="558"/>
        <v>245.97105777173908</v>
      </c>
      <c r="BX385" s="24">
        <f t="shared" si="558"/>
        <v>244.4303937907608</v>
      </c>
      <c r="BY385" s="24">
        <f t="shared" si="558"/>
        <v>242.84533740760861</v>
      </c>
      <c r="BZ385" s="24">
        <f t="shared" si="558"/>
        <v>241.22698672282598</v>
      </c>
      <c r="CA385" s="24">
        <f t="shared" si="558"/>
        <v>239.24124109510859</v>
      </c>
      <c r="CB385" s="24">
        <f t="shared" si="558"/>
        <v>237.78658739334227</v>
      </c>
      <c r="CC385" s="24">
        <f t="shared" si="558"/>
        <v>236.28532166929335</v>
      </c>
      <c r="CD385" s="24">
        <f t="shared" si="558"/>
        <v>234.74909692853248</v>
      </c>
      <c r="CG385" s="29" t="str">
        <f t="shared" ref="CG385:CX385" si="559">+IFERROR(AVERAGEIFS($S385:$CD385,$S$5:$CD$5,"&lt;="&amp;CG$5,$S$5:$CD$5,"&gt;"&amp;CF$5),"--")</f>
        <v>--</v>
      </c>
      <c r="CH385" s="29" t="str">
        <f t="shared" si="559"/>
        <v>--</v>
      </c>
      <c r="CI385" s="29" t="str">
        <f t="shared" si="559"/>
        <v>--</v>
      </c>
      <c r="CJ385" s="29">
        <f t="shared" si="559"/>
        <v>320.75</v>
      </c>
      <c r="CK385" s="29">
        <f t="shared" si="559"/>
        <v>323.75</v>
      </c>
      <c r="CL385" s="29">
        <f t="shared" si="559"/>
        <v>313</v>
      </c>
      <c r="CM385" s="29">
        <f t="shared" si="559"/>
        <v>311.75</v>
      </c>
      <c r="CN385" s="29">
        <f t="shared" si="559"/>
        <v>305.5</v>
      </c>
      <c r="CO385" s="29">
        <f t="shared" si="559"/>
        <v>295.25</v>
      </c>
      <c r="CP385" s="29">
        <f t="shared" si="559"/>
        <v>291.75</v>
      </c>
      <c r="CQ385" s="29">
        <f t="shared" si="559"/>
        <v>286</v>
      </c>
      <c r="CR385" s="29">
        <f t="shared" si="559"/>
        <v>278.25</v>
      </c>
      <c r="CS385" s="29">
        <f t="shared" si="559"/>
        <v>271.75</v>
      </c>
      <c r="CT385" s="97">
        <f t="shared" si="559"/>
        <v>265.08152173913044</v>
      </c>
      <c r="CU385" s="97">
        <f t="shared" si="559"/>
        <v>257.55475543478263</v>
      </c>
      <c r="CV385" s="97">
        <f t="shared" si="559"/>
        <v>250.3443410326087</v>
      </c>
      <c r="CW385" s="97">
        <f t="shared" si="559"/>
        <v>243.4255798233695</v>
      </c>
      <c r="CX385" s="97">
        <f t="shared" si="559"/>
        <v>243.61844392323366</v>
      </c>
    </row>
    <row r="386" spans="1:102" x14ac:dyDescent="0.25">
      <c r="B386" s="37" t="s">
        <v>170</v>
      </c>
      <c r="C386" s="37"/>
      <c r="D386" s="37"/>
      <c r="E386" s="37"/>
      <c r="F386" s="37"/>
      <c r="G386" s="37"/>
      <c r="H386" s="37"/>
      <c r="I386" s="37"/>
      <c r="J386" s="37"/>
      <c r="K386" s="37"/>
      <c r="L386" s="37"/>
      <c r="M386" s="37"/>
      <c r="N386" s="37"/>
      <c r="O386" s="37"/>
      <c r="P386" s="37"/>
      <c r="Q386" s="37"/>
      <c r="R386" s="37"/>
      <c r="W386" s="82">
        <f>+IFERROR(W385/S385-1,"")</f>
        <v>1.2461059190031154E-2</v>
      </c>
      <c r="X386" s="82">
        <f t="shared" ref="X386:BB386" si="560">+IFERROR(X385/T385-1,"")</f>
        <v>2.1943573667711602E-2</v>
      </c>
      <c r="Y386" s="82">
        <f t="shared" si="560"/>
        <v>1.8808777429467183E-2</v>
      </c>
      <c r="Z386" s="82">
        <f t="shared" si="560"/>
        <v>-1.5432098765432056E-2</v>
      </c>
      <c r="AA386" s="82">
        <f t="shared" si="560"/>
        <v>-3.6923076923076947E-2</v>
      </c>
      <c r="AB386" s="82">
        <f t="shared" si="560"/>
        <v>-3.6809815950920255E-2</v>
      </c>
      <c r="AC386" s="82">
        <f t="shared" si="560"/>
        <v>-3.6923076923076947E-2</v>
      </c>
      <c r="AD386" s="82">
        <f t="shared" si="560"/>
        <v>-2.1943573667711602E-2</v>
      </c>
      <c r="AE386" s="82">
        <f t="shared" si="560"/>
        <v>0</v>
      </c>
      <c r="AF386" s="82">
        <f t="shared" si="560"/>
        <v>-6.3694267515923553E-3</v>
      </c>
      <c r="AG386" s="82">
        <f t="shared" si="560"/>
        <v>-6.389776357827448E-3</v>
      </c>
      <c r="AH386" s="82">
        <f t="shared" si="560"/>
        <v>-3.2051282051281937E-3</v>
      </c>
      <c r="AI386" s="82">
        <f t="shared" si="560"/>
        <v>-9.5846645367412275E-3</v>
      </c>
      <c r="AJ386" s="82">
        <f t="shared" si="560"/>
        <v>-1.602564102564108E-2</v>
      </c>
      <c r="AK386" s="82">
        <f t="shared" si="560"/>
        <v>-2.2508038585209E-2</v>
      </c>
      <c r="AL386" s="82">
        <f t="shared" si="560"/>
        <v>-3.2154340836012874E-2</v>
      </c>
      <c r="AM386" s="82">
        <f t="shared" si="560"/>
        <v>-3.5483870967741971E-2</v>
      </c>
      <c r="AN386" s="82">
        <f t="shared" si="560"/>
        <v>-3.5830618892508159E-2</v>
      </c>
      <c r="AO386" s="82">
        <f t="shared" si="560"/>
        <v>-3.289473684210531E-2</v>
      </c>
      <c r="AP386" s="82">
        <f t="shared" si="560"/>
        <v>-2.9900332225913595E-2</v>
      </c>
      <c r="AQ386" s="82">
        <f t="shared" si="560"/>
        <v>-2.3411371237458178E-2</v>
      </c>
      <c r="AR386" s="82">
        <f t="shared" si="560"/>
        <v>-1.0135135135135087E-2</v>
      </c>
      <c r="AS386" s="82">
        <f t="shared" si="560"/>
        <v>-6.8027210884353817E-3</v>
      </c>
      <c r="AT386" s="82">
        <f t="shared" si="560"/>
        <v>-6.8493150684931781E-3</v>
      </c>
      <c r="AU386" s="82">
        <f t="shared" si="560"/>
        <v>-1.0273972602739767E-2</v>
      </c>
      <c r="AV386" s="82">
        <f t="shared" si="560"/>
        <v>-2.0477815699658675E-2</v>
      </c>
      <c r="AW386" s="82">
        <f t="shared" si="560"/>
        <v>-2.3972602739726012E-2</v>
      </c>
      <c r="AX386" s="82">
        <f t="shared" si="560"/>
        <v>-2.4137931034482807E-2</v>
      </c>
      <c r="AY386" s="82">
        <f t="shared" si="560"/>
        <v>-2.7681660899653959E-2</v>
      </c>
      <c r="AZ386" s="82">
        <f t="shared" si="560"/>
        <v>-2.7874564459930307E-2</v>
      </c>
      <c r="BA386" s="82">
        <f t="shared" si="560"/>
        <v>-2.4561403508771895E-2</v>
      </c>
      <c r="BB386" s="82">
        <f t="shared" si="560"/>
        <v>-2.8268551236749095E-2</v>
      </c>
      <c r="BC386" s="82">
        <f>+IFERROR(BC385/AY385-1,"")</f>
        <v>-2.4911032028469782E-2</v>
      </c>
      <c r="BD386" s="82">
        <f t="shared" ref="BD386:BF386" si="561">+IFERROR(BD385/AZ385-1,"")</f>
        <v>-2.508960573476704E-2</v>
      </c>
      <c r="BE386" s="82">
        <f t="shared" si="561"/>
        <v>-2.5179856115107868E-2</v>
      </c>
      <c r="BF386" s="82">
        <f t="shared" si="561"/>
        <v>-1.8181818181818188E-2</v>
      </c>
      <c r="BG386" s="82">
        <f>+IFERROR(BG385/BC385-1,"")</f>
        <v>-2.1897810218978075E-2</v>
      </c>
      <c r="BH386" s="82">
        <f t="shared" ref="BH386" si="562">+IFERROR(BH385/BD385-1,"")</f>
        <v>-2.2058823529411797E-2</v>
      </c>
      <c r="BI386" s="82">
        <f>+IFERROR(BI385/BE385-1,"")</f>
        <v>-2.5395475693887337E-2</v>
      </c>
      <c r="BJ386" s="82">
        <f t="shared" ref="BJ386:BL386" si="563">+IFERROR(BJ385/BF385-1,"")</f>
        <v>-2.8858293075684216E-2</v>
      </c>
      <c r="BK386" s="82">
        <f t="shared" si="563"/>
        <v>-2.8906554185593625E-2</v>
      </c>
      <c r="BL386" s="82">
        <f t="shared" si="563"/>
        <v>-2.8277623406341768E-2</v>
      </c>
      <c r="BM386" s="82">
        <f>+IFERROR(BM385/BI385-1,"")</f>
        <v>-2.8218137162103196E-2</v>
      </c>
      <c r="BN386" s="82">
        <f t="shared" ref="BN386:BV386" si="564">+IFERROR(BN385/BJ385-1,"")</f>
        <v>-2.8165961673346396E-2</v>
      </c>
      <c r="BO386" s="82">
        <f t="shared" si="564"/>
        <v>-2.812672282160178E-2</v>
      </c>
      <c r="BP386" s="82">
        <f t="shared" si="564"/>
        <v>-2.8032412965691034E-2</v>
      </c>
      <c r="BQ386" s="82">
        <f t="shared" si="564"/>
        <v>-2.7948443351871743E-2</v>
      </c>
      <c r="BR386" s="82">
        <f t="shared" si="564"/>
        <v>-2.7872066995545453E-2</v>
      </c>
      <c r="BS386" s="82">
        <f t="shared" si="564"/>
        <v>-2.7809321716691482E-2</v>
      </c>
      <c r="BT386" s="82">
        <f t="shared" si="564"/>
        <v>-2.768703836667441E-2</v>
      </c>
      <c r="BU386" s="82">
        <f t="shared" si="564"/>
        <v>-2.7575606100348593E-2</v>
      </c>
      <c r="BV386" s="82">
        <f t="shared" si="564"/>
        <v>-2.7472051093493821E-2</v>
      </c>
      <c r="BW386" s="82">
        <f t="shared" ref="BW386:CD386" si="565">+IFERROR(BW385/BO385-1,"")</f>
        <v>-2.7524763820833686E-2</v>
      </c>
      <c r="BX386" s="82">
        <f t="shared" si="565"/>
        <v>-2.7074503373684777E-2</v>
      </c>
      <c r="BY386" s="82">
        <f t="shared" si="565"/>
        <v>-2.6638944013808952E-2</v>
      </c>
      <c r="BZ386" s="82">
        <f t="shared" si="565"/>
        <v>-2.6212952731426209E-2</v>
      </c>
      <c r="CA386" s="82">
        <f t="shared" si="565"/>
        <v>-2.707550797051328E-2</v>
      </c>
      <c r="CB386" s="82">
        <f t="shared" si="565"/>
        <v>-2.6567916408372638E-2</v>
      </c>
      <c r="CC386" s="82">
        <f t="shared" si="565"/>
        <v>-2.6075938773196916E-2</v>
      </c>
      <c r="CD386" s="82">
        <f t="shared" si="565"/>
        <v>-2.5594019667241286E-2</v>
      </c>
      <c r="CG386" s="82"/>
      <c r="CH386" s="82"/>
      <c r="CI386" s="82"/>
      <c r="CJ386" s="82" t="e">
        <f>+CJ385/CI385-1</f>
        <v>#VALUE!</v>
      </c>
      <c r="CK386" s="82">
        <f t="shared" ref="CK386:CP386" si="566">+CK385/CJ385-1</f>
        <v>9.3530787217459554E-3</v>
      </c>
      <c r="CL386" s="82">
        <f t="shared" si="566"/>
        <v>-3.3204633204633183E-2</v>
      </c>
      <c r="CM386" s="82">
        <f t="shared" si="566"/>
        <v>-3.9936102236421966E-3</v>
      </c>
      <c r="CN386" s="82">
        <f t="shared" si="566"/>
        <v>-2.0048115477145134E-2</v>
      </c>
      <c r="CO386" s="82">
        <f t="shared" si="566"/>
        <v>-3.3551554828150532E-2</v>
      </c>
      <c r="CP386" s="82">
        <f t="shared" si="566"/>
        <v>-1.1854360711261669E-2</v>
      </c>
      <c r="CQ386" s="82">
        <f>+CQ385/CP385-1</f>
        <v>-1.9708654670094305E-2</v>
      </c>
      <c r="CR386" s="82">
        <f>+CR385/CQ385-1</f>
        <v>-2.7097902097902082E-2</v>
      </c>
      <c r="CS386" s="82">
        <f t="shared" ref="CS386:CX386" si="567">+CS385/CR385-1</f>
        <v>-2.3360287511230871E-2</v>
      </c>
      <c r="CT386" s="108">
        <f t="shared" si="567"/>
        <v>-2.4539018439262428E-2</v>
      </c>
      <c r="CU386" s="108">
        <f t="shared" si="567"/>
        <v>-2.839415684264468E-2</v>
      </c>
      <c r="CV386" s="108">
        <f t="shared" si="567"/>
        <v>-2.7995656263468782E-2</v>
      </c>
      <c r="CW386" s="108">
        <f t="shared" si="567"/>
        <v>-2.7636978653885369E-2</v>
      </c>
      <c r="CX386" s="108">
        <f t="shared" si="567"/>
        <v>7.9229183721807317E-4</v>
      </c>
    </row>
    <row r="387" spans="1:102" x14ac:dyDescent="0.25">
      <c r="CT387" s="60"/>
      <c r="CU387" s="60"/>
      <c r="CV387" s="60"/>
      <c r="CW387" s="60"/>
      <c r="CX387" s="60"/>
    </row>
    <row r="388" spans="1:102" ht="15" customHeight="1" x14ac:dyDescent="0.25">
      <c r="A388" s="1" t="s">
        <v>18</v>
      </c>
      <c r="B388" s="16" t="s">
        <v>272</v>
      </c>
      <c r="C388" s="17"/>
      <c r="D388" s="17"/>
      <c r="E388" s="17"/>
      <c r="F388" s="17"/>
      <c r="G388" s="17"/>
      <c r="H388" s="17"/>
      <c r="I388" s="17"/>
      <c r="J388" s="17"/>
      <c r="K388" s="17"/>
      <c r="L388" s="17"/>
      <c r="M388" s="17"/>
      <c r="N388" s="17"/>
      <c r="O388" s="17"/>
      <c r="P388" s="17"/>
      <c r="Q388" s="17"/>
      <c r="R388" s="17"/>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F388" s="19" t="str">
        <f>+B388</f>
        <v>CASH FLOW STATEMENT</v>
      </c>
      <c r="CG388" s="18"/>
      <c r="CH388" s="18"/>
      <c r="CI388" s="18"/>
      <c r="CJ388" s="18"/>
      <c r="CK388" s="18"/>
      <c r="CL388" s="18"/>
      <c r="CM388" s="17" t="str">
        <f>+B388</f>
        <v>CASH FLOW STATEMENT</v>
      </c>
      <c r="CN388" s="18"/>
      <c r="CO388" s="18"/>
      <c r="CP388" s="18"/>
      <c r="CQ388" s="18"/>
      <c r="CR388" s="18"/>
      <c r="CS388" s="18"/>
      <c r="CT388" s="178"/>
      <c r="CU388" s="178"/>
      <c r="CV388" s="178"/>
      <c r="CW388" s="178"/>
      <c r="CX388" s="178"/>
    </row>
    <row r="389" spans="1:102" ht="15" customHeight="1" x14ac:dyDescent="0.25">
      <c r="B389" t="s">
        <v>268</v>
      </c>
      <c r="S389" s="24">
        <f t="shared" ref="S389:CD389" si="568">+S375</f>
        <v>61</v>
      </c>
      <c r="T389" s="24">
        <f t="shared" si="568"/>
        <v>227.25</v>
      </c>
      <c r="U389" s="24">
        <f t="shared" si="568"/>
        <v>388</v>
      </c>
      <c r="V389" s="24">
        <f t="shared" si="568"/>
        <v>125</v>
      </c>
      <c r="W389" s="24">
        <f t="shared" si="568"/>
        <v>49</v>
      </c>
      <c r="X389" s="24">
        <f t="shared" si="568"/>
        <v>212</v>
      </c>
      <c r="Y389" s="24">
        <f t="shared" si="568"/>
        <v>596</v>
      </c>
      <c r="Z389" s="24">
        <f t="shared" si="568"/>
        <v>161</v>
      </c>
      <c r="AA389" s="24">
        <f t="shared" si="568"/>
        <v>22.54</v>
      </c>
      <c r="AB389" s="24">
        <f t="shared" si="568"/>
        <v>165.11</v>
      </c>
      <c r="AC389" s="24">
        <f t="shared" si="568"/>
        <v>776.56999999999994</v>
      </c>
      <c r="AD389" s="24">
        <f t="shared" si="568"/>
        <v>263.86</v>
      </c>
      <c r="AE389" s="24">
        <f t="shared" si="568"/>
        <v>97.960000000000008</v>
      </c>
      <c r="AF389" s="24">
        <f t="shared" si="568"/>
        <v>194.34</v>
      </c>
      <c r="AG389" s="24">
        <f t="shared" si="568"/>
        <v>679.4</v>
      </c>
      <c r="AH389" s="24">
        <f t="shared" si="568"/>
        <v>396.58</v>
      </c>
      <c r="AI389" s="24">
        <f t="shared" si="568"/>
        <v>46.74</v>
      </c>
      <c r="AJ389" s="24">
        <f t="shared" si="568"/>
        <v>271.42</v>
      </c>
      <c r="AK389" s="24">
        <f t="shared" si="568"/>
        <v>587.12</v>
      </c>
      <c r="AL389" s="24">
        <f t="shared" si="568"/>
        <v>395.24</v>
      </c>
      <c r="AM389" s="24">
        <f t="shared" si="568"/>
        <v>73.8</v>
      </c>
      <c r="AN389" s="24">
        <f t="shared" si="568"/>
        <v>287.82</v>
      </c>
      <c r="AO389" s="24">
        <f t="shared" si="568"/>
        <v>742.1</v>
      </c>
      <c r="AP389" s="24">
        <f t="shared" si="568"/>
        <v>314.06</v>
      </c>
      <c r="AQ389" s="24">
        <f t="shared" si="568"/>
        <v>414.92</v>
      </c>
      <c r="AR389" s="24">
        <f t="shared" si="568"/>
        <v>13.94</v>
      </c>
      <c r="AS389" s="24">
        <f t="shared" si="568"/>
        <v>892.16</v>
      </c>
      <c r="AT389" s="24">
        <f t="shared" si="568"/>
        <v>357.52</v>
      </c>
      <c r="AU389" s="24">
        <f t="shared" si="568"/>
        <v>229.6</v>
      </c>
      <c r="AV389" s="24">
        <f t="shared" si="568"/>
        <v>452.64</v>
      </c>
      <c r="AW389" s="24">
        <f t="shared" si="568"/>
        <v>912.66</v>
      </c>
      <c r="AX389" s="24">
        <f t="shared" si="568"/>
        <v>413.28</v>
      </c>
      <c r="AY389" s="24">
        <f t="shared" si="568"/>
        <v>131.22</v>
      </c>
      <c r="AZ389" s="24">
        <f t="shared" si="568"/>
        <v>404.19</v>
      </c>
      <c r="BA389" s="24">
        <f t="shared" si="568"/>
        <v>777.6</v>
      </c>
      <c r="BB389" s="24">
        <f t="shared" si="568"/>
        <v>486.81</v>
      </c>
      <c r="BC389" s="24">
        <f t="shared" si="568"/>
        <v>311.04000000000002</v>
      </c>
      <c r="BD389" s="24">
        <f t="shared" si="568"/>
        <v>397.71</v>
      </c>
      <c r="BE389" s="24">
        <f t="shared" si="568"/>
        <v>802.71</v>
      </c>
      <c r="BF389" s="24">
        <f t="shared" si="568"/>
        <v>370.17</v>
      </c>
      <c r="BG389" s="24">
        <f t="shared" si="568"/>
        <v>139.32</v>
      </c>
      <c r="BH389" s="24">
        <f t="shared" si="568"/>
        <v>571.04999999999995</v>
      </c>
      <c r="BI389" s="24">
        <f t="shared" si="568"/>
        <v>807.09966756496942</v>
      </c>
      <c r="BJ389" s="24">
        <f t="shared" si="568"/>
        <v>293.29385345681072</v>
      </c>
      <c r="BK389" s="24">
        <f t="shared" si="568"/>
        <v>75.69555424629462</v>
      </c>
      <c r="BL389" s="24">
        <f t="shared" si="568"/>
        <v>572.52008961084528</v>
      </c>
      <c r="BM389" s="24">
        <f t="shared" si="568"/>
        <v>939.22376465895957</v>
      </c>
      <c r="BN389" s="24">
        <f t="shared" si="568"/>
        <v>289.06788223795422</v>
      </c>
      <c r="BO389" s="24">
        <f t="shared" si="568"/>
        <v>281.95298800177704</v>
      </c>
      <c r="BP389" s="24">
        <f t="shared" si="568"/>
        <v>589.09500801843546</v>
      </c>
      <c r="BQ389" s="24">
        <f t="shared" si="568"/>
        <v>845.49538599372033</v>
      </c>
      <c r="BR389" s="24">
        <f t="shared" si="568"/>
        <v>304.86273416364349</v>
      </c>
      <c r="BS389" s="24">
        <f t="shared" si="568"/>
        <v>262.67953296852659</v>
      </c>
      <c r="BT389" s="24">
        <f t="shared" si="568"/>
        <v>582.94049535811871</v>
      </c>
      <c r="BU389" s="24">
        <f t="shared" si="568"/>
        <v>834.45689857350897</v>
      </c>
      <c r="BV389" s="24">
        <f t="shared" si="568"/>
        <v>287.65275478217228</v>
      </c>
      <c r="BW389" s="24">
        <f t="shared" si="568"/>
        <v>271.56869122409989</v>
      </c>
      <c r="BX389" s="24">
        <f t="shared" si="568"/>
        <v>615.89135100250792</v>
      </c>
      <c r="BY389" s="24">
        <f t="shared" si="568"/>
        <v>876.00932281197572</v>
      </c>
      <c r="BZ389" s="24">
        <f t="shared" si="568"/>
        <v>309.97126041287606</v>
      </c>
      <c r="CA389" s="24">
        <f t="shared" si="568"/>
        <v>308.43822242168204</v>
      </c>
      <c r="CB389" s="24">
        <f t="shared" si="568"/>
        <v>672.99349534948328</v>
      </c>
      <c r="CC389" s="24">
        <f t="shared" si="568"/>
        <v>961.63452594673345</v>
      </c>
      <c r="CD389" s="24">
        <f t="shared" si="568"/>
        <v>368.6043667153499</v>
      </c>
      <c r="CG389" s="29">
        <f t="shared" ref="CG389:CX391" si="569">+SUMIFS($S389:$CD389,$S$5:$CD$5,"&lt;="&amp;CG$5,$S$5:$CD$5,"&gt;"&amp;CF$5)</f>
        <v>0</v>
      </c>
      <c r="CH389" s="29">
        <f t="shared" si="569"/>
        <v>0</v>
      </c>
      <c r="CI389" s="29">
        <f t="shared" si="569"/>
        <v>0</v>
      </c>
      <c r="CJ389" s="29">
        <f t="shared" si="569"/>
        <v>801.25</v>
      </c>
      <c r="CK389" s="29">
        <f t="shared" si="569"/>
        <v>1018</v>
      </c>
      <c r="CL389" s="29">
        <f t="shared" si="569"/>
        <v>1228.08</v>
      </c>
      <c r="CM389" s="29">
        <f t="shared" si="569"/>
        <v>1368.28</v>
      </c>
      <c r="CN389" s="29">
        <f t="shared" si="569"/>
        <v>1300.52</v>
      </c>
      <c r="CO389" s="29">
        <f t="shared" si="569"/>
        <v>1417.78</v>
      </c>
      <c r="CP389" s="29">
        <f t="shared" si="569"/>
        <v>1678.54</v>
      </c>
      <c r="CQ389" s="29">
        <f t="shared" si="569"/>
        <v>2008.18</v>
      </c>
      <c r="CR389" s="29">
        <f t="shared" si="569"/>
        <v>1799.82</v>
      </c>
      <c r="CS389" s="29">
        <f t="shared" si="569"/>
        <v>1881.63</v>
      </c>
      <c r="CT389" s="97">
        <f t="shared" si="569"/>
        <v>1810.76352102178</v>
      </c>
      <c r="CU389" s="97">
        <f t="shared" si="569"/>
        <v>1876.5072907540534</v>
      </c>
      <c r="CV389" s="97">
        <f t="shared" si="569"/>
        <v>2021.4061161775762</v>
      </c>
      <c r="CW389" s="97">
        <f t="shared" si="569"/>
        <v>1967.7296816823266</v>
      </c>
      <c r="CX389" s="97">
        <f t="shared" si="569"/>
        <v>2073.4406254514597</v>
      </c>
    </row>
    <row r="390" spans="1:102" ht="15" customHeight="1" x14ac:dyDescent="0.25">
      <c r="B390" s="37" t="s">
        <v>262</v>
      </c>
      <c r="C390" s="37"/>
      <c r="D390" s="37"/>
      <c r="E390" s="37"/>
      <c r="F390" s="37"/>
      <c r="G390" s="37"/>
      <c r="H390" s="37"/>
      <c r="I390" s="37"/>
      <c r="J390" s="37"/>
      <c r="K390" s="37"/>
      <c r="L390" s="37"/>
      <c r="M390" s="37"/>
      <c r="N390" s="37"/>
      <c r="O390" s="37"/>
      <c r="P390" s="37"/>
      <c r="Q390" s="37"/>
      <c r="R390" s="37"/>
      <c r="S390" s="87">
        <f t="shared" ref="S390:BH390" si="570">+S566</f>
        <v>56</v>
      </c>
      <c r="T390" s="87">
        <f t="shared" si="570"/>
        <v>56</v>
      </c>
      <c r="U390" s="87">
        <f t="shared" si="570"/>
        <v>53</v>
      </c>
      <c r="V390" s="87">
        <f t="shared" si="570"/>
        <v>55</v>
      </c>
      <c r="W390" s="87">
        <f t="shared" si="570"/>
        <v>49</v>
      </c>
      <c r="X390" s="87">
        <f t="shared" si="570"/>
        <v>50</v>
      </c>
      <c r="Y390" s="87">
        <f t="shared" si="570"/>
        <v>50</v>
      </c>
      <c r="Z390" s="87">
        <f t="shared" si="570"/>
        <v>48</v>
      </c>
      <c r="AA390" s="87">
        <f t="shared" si="570"/>
        <v>46</v>
      </c>
      <c r="AB390" s="87">
        <f t="shared" si="570"/>
        <v>45</v>
      </c>
      <c r="AC390" s="87">
        <f t="shared" si="570"/>
        <v>49</v>
      </c>
      <c r="AD390" s="87">
        <f t="shared" si="570"/>
        <v>32</v>
      </c>
      <c r="AE390" s="87">
        <f t="shared" si="570"/>
        <v>31</v>
      </c>
      <c r="AF390" s="87">
        <f t="shared" si="570"/>
        <v>32</v>
      </c>
      <c r="AG390" s="87">
        <f t="shared" si="570"/>
        <v>34</v>
      </c>
      <c r="AH390" s="87">
        <f t="shared" si="570"/>
        <v>39</v>
      </c>
      <c r="AI390" s="87">
        <f t="shared" si="570"/>
        <v>38</v>
      </c>
      <c r="AJ390" s="87">
        <f t="shared" si="570"/>
        <v>36</v>
      </c>
      <c r="AK390" s="87">
        <f t="shared" si="570"/>
        <v>34</v>
      </c>
      <c r="AL390" s="87">
        <f t="shared" si="570"/>
        <v>37</v>
      </c>
      <c r="AM390" s="87">
        <f t="shared" si="570"/>
        <v>37</v>
      </c>
      <c r="AN390" s="87">
        <f t="shared" si="570"/>
        <v>35</v>
      </c>
      <c r="AO390" s="87">
        <f t="shared" si="570"/>
        <v>39</v>
      </c>
      <c r="AP390" s="87">
        <f t="shared" si="570"/>
        <v>39</v>
      </c>
      <c r="AQ390" s="87">
        <f t="shared" si="570"/>
        <v>37</v>
      </c>
      <c r="AR390" s="87">
        <f t="shared" si="570"/>
        <v>40</v>
      </c>
      <c r="AS390" s="87">
        <f t="shared" si="570"/>
        <v>46</v>
      </c>
      <c r="AT390" s="87">
        <f t="shared" si="570"/>
        <v>58</v>
      </c>
      <c r="AU390" s="87">
        <f t="shared" si="570"/>
        <v>105</v>
      </c>
      <c r="AV390" s="87">
        <f t="shared" si="570"/>
        <v>94</v>
      </c>
      <c r="AW390" s="87">
        <f t="shared" si="570"/>
        <v>146</v>
      </c>
      <c r="AX390" s="87">
        <f t="shared" si="570"/>
        <v>141</v>
      </c>
      <c r="AY390" s="87">
        <f t="shared" si="570"/>
        <v>114</v>
      </c>
      <c r="AZ390" s="87">
        <f t="shared" si="570"/>
        <v>127</v>
      </c>
      <c r="BA390" s="87">
        <f t="shared" si="570"/>
        <v>122</v>
      </c>
      <c r="BB390" s="87">
        <f t="shared" si="570"/>
        <v>173</v>
      </c>
      <c r="BC390" s="87">
        <f t="shared" si="570"/>
        <v>88</v>
      </c>
      <c r="BD390" s="87">
        <f t="shared" si="570"/>
        <v>85</v>
      </c>
      <c r="BE390" s="87">
        <f t="shared" si="570"/>
        <v>82</v>
      </c>
      <c r="BF390" s="87">
        <f t="shared" si="570"/>
        <v>149</v>
      </c>
      <c r="BG390" s="87">
        <f t="shared" si="570"/>
        <v>80</v>
      </c>
      <c r="BH390" s="87">
        <f t="shared" si="570"/>
        <v>80</v>
      </c>
      <c r="BI390" s="24">
        <f t="shared" ref="BI390:CD390" si="571">+BI359</f>
        <v>80</v>
      </c>
      <c r="BJ390" s="24">
        <f t="shared" si="571"/>
        <v>80</v>
      </c>
      <c r="BK390" s="24">
        <f t="shared" si="571"/>
        <v>80</v>
      </c>
      <c r="BL390" s="24">
        <f t="shared" si="571"/>
        <v>80</v>
      </c>
      <c r="BM390" s="24">
        <f t="shared" si="571"/>
        <v>80</v>
      </c>
      <c r="BN390" s="24">
        <f t="shared" si="571"/>
        <v>80</v>
      </c>
      <c r="BO390" s="24">
        <f t="shared" si="571"/>
        <v>80</v>
      </c>
      <c r="BP390" s="24">
        <f t="shared" si="571"/>
        <v>80</v>
      </c>
      <c r="BQ390" s="24">
        <f t="shared" si="571"/>
        <v>80</v>
      </c>
      <c r="BR390" s="24">
        <f t="shared" si="571"/>
        <v>80</v>
      </c>
      <c r="BS390" s="24">
        <f t="shared" si="571"/>
        <v>80</v>
      </c>
      <c r="BT390" s="24">
        <f t="shared" si="571"/>
        <v>80</v>
      </c>
      <c r="BU390" s="24">
        <f t="shared" si="571"/>
        <v>80</v>
      </c>
      <c r="BV390" s="24">
        <f t="shared" si="571"/>
        <v>80</v>
      </c>
      <c r="BW390" s="24">
        <f t="shared" si="571"/>
        <v>80</v>
      </c>
      <c r="BX390" s="24">
        <f t="shared" si="571"/>
        <v>80</v>
      </c>
      <c r="BY390" s="24">
        <f t="shared" si="571"/>
        <v>80</v>
      </c>
      <c r="BZ390" s="24">
        <f t="shared" si="571"/>
        <v>80</v>
      </c>
      <c r="CA390" s="24">
        <f t="shared" si="571"/>
        <v>80</v>
      </c>
      <c r="CB390" s="24">
        <f t="shared" si="571"/>
        <v>80</v>
      </c>
      <c r="CC390" s="24">
        <f t="shared" si="571"/>
        <v>80</v>
      </c>
      <c r="CD390" s="24">
        <f t="shared" si="571"/>
        <v>80</v>
      </c>
      <c r="CG390" s="29">
        <f t="shared" si="569"/>
        <v>0</v>
      </c>
      <c r="CH390" s="29">
        <f t="shared" si="569"/>
        <v>0</v>
      </c>
      <c r="CI390" s="29">
        <f t="shared" si="569"/>
        <v>0</v>
      </c>
      <c r="CJ390" s="29">
        <f t="shared" si="569"/>
        <v>220</v>
      </c>
      <c r="CK390" s="29">
        <f t="shared" si="569"/>
        <v>197</v>
      </c>
      <c r="CL390" s="29">
        <f t="shared" si="569"/>
        <v>172</v>
      </c>
      <c r="CM390" s="29">
        <f t="shared" si="569"/>
        <v>136</v>
      </c>
      <c r="CN390" s="29">
        <f t="shared" si="569"/>
        <v>145</v>
      </c>
      <c r="CO390" s="29">
        <f t="shared" si="569"/>
        <v>150</v>
      </c>
      <c r="CP390" s="29">
        <f t="shared" si="569"/>
        <v>181</v>
      </c>
      <c r="CQ390" s="29">
        <f t="shared" si="569"/>
        <v>486</v>
      </c>
      <c r="CR390" s="29">
        <f t="shared" si="569"/>
        <v>536</v>
      </c>
      <c r="CS390" s="29">
        <f t="shared" si="569"/>
        <v>404</v>
      </c>
      <c r="CT390" s="97">
        <f t="shared" si="569"/>
        <v>320</v>
      </c>
      <c r="CU390" s="97">
        <f t="shared" si="569"/>
        <v>320</v>
      </c>
      <c r="CV390" s="97">
        <f t="shared" si="569"/>
        <v>320</v>
      </c>
      <c r="CW390" s="97">
        <f t="shared" si="569"/>
        <v>320</v>
      </c>
      <c r="CX390" s="97">
        <f t="shared" si="569"/>
        <v>320</v>
      </c>
    </row>
    <row r="391" spans="1:102" ht="15" customHeight="1" x14ac:dyDescent="0.25">
      <c r="B391" s="37" t="s">
        <v>273</v>
      </c>
      <c r="C391" s="37"/>
      <c r="D391" s="37"/>
      <c r="E391" s="37"/>
      <c r="F391" s="37"/>
      <c r="G391" s="37"/>
      <c r="H391" s="37"/>
      <c r="I391" s="37"/>
      <c r="J391" s="37"/>
      <c r="K391" s="37"/>
      <c r="L391" s="37"/>
      <c r="M391" s="37"/>
      <c r="N391" s="37"/>
      <c r="O391" s="37"/>
      <c r="P391" s="37"/>
      <c r="Q391" s="37"/>
      <c r="R391" s="37"/>
      <c r="S391" s="24">
        <f t="shared" ref="S391:BH391" si="572">+S401-S393-S390-S389</f>
        <v>302</v>
      </c>
      <c r="T391" s="24">
        <f t="shared" si="572"/>
        <v>-185.25</v>
      </c>
      <c r="U391" s="24">
        <f t="shared" si="572"/>
        <v>-207</v>
      </c>
      <c r="V391" s="24">
        <f t="shared" si="572"/>
        <v>305</v>
      </c>
      <c r="W391" s="24">
        <f t="shared" si="572"/>
        <v>438</v>
      </c>
      <c r="X391" s="24">
        <f t="shared" si="572"/>
        <v>-302</v>
      </c>
      <c r="Y391" s="24">
        <f t="shared" si="572"/>
        <v>-597</v>
      </c>
      <c r="Z391" s="24">
        <f t="shared" si="572"/>
        <v>787</v>
      </c>
      <c r="AA391" s="24">
        <f t="shared" si="572"/>
        <v>465.46</v>
      </c>
      <c r="AB391" s="24">
        <f t="shared" si="572"/>
        <v>-155.11000000000001</v>
      </c>
      <c r="AC391" s="24">
        <f t="shared" si="572"/>
        <v>-729.56999999999994</v>
      </c>
      <c r="AD391" s="24">
        <f t="shared" si="572"/>
        <v>354.14</v>
      </c>
      <c r="AE391" s="24">
        <f t="shared" si="572"/>
        <v>594.04</v>
      </c>
      <c r="AF391" s="24">
        <f t="shared" si="572"/>
        <v>-154.34</v>
      </c>
      <c r="AG391" s="24">
        <f t="shared" si="572"/>
        <v>-802.4</v>
      </c>
      <c r="AH391" s="24">
        <f t="shared" si="572"/>
        <v>279.42</v>
      </c>
      <c r="AI391" s="24">
        <f t="shared" si="572"/>
        <v>316.26</v>
      </c>
      <c r="AJ391" s="24">
        <f t="shared" si="572"/>
        <v>49.579999999999984</v>
      </c>
      <c r="AK391" s="24">
        <f t="shared" si="572"/>
        <v>-250.12</v>
      </c>
      <c r="AL391" s="24">
        <f t="shared" si="572"/>
        <v>-99.240000000000009</v>
      </c>
      <c r="AM391" s="24">
        <f t="shared" si="572"/>
        <v>1420.2</v>
      </c>
      <c r="AN391" s="24">
        <f t="shared" si="572"/>
        <v>658.18000000000006</v>
      </c>
      <c r="AO391" s="24">
        <f t="shared" si="572"/>
        <v>-305.10000000000002</v>
      </c>
      <c r="AP391" s="24">
        <f t="shared" si="572"/>
        <v>199.94</v>
      </c>
      <c r="AQ391" s="24">
        <f t="shared" si="572"/>
        <v>52.079999999999984</v>
      </c>
      <c r="AR391" s="24">
        <f t="shared" si="572"/>
        <v>284.06</v>
      </c>
      <c r="AS391" s="24">
        <f t="shared" si="572"/>
        <v>-570.16</v>
      </c>
      <c r="AT391" s="24">
        <f t="shared" si="572"/>
        <v>-172.51999999999998</v>
      </c>
      <c r="AU391" s="24">
        <f t="shared" si="572"/>
        <v>99.4</v>
      </c>
      <c r="AV391" s="24">
        <f t="shared" si="572"/>
        <v>-9.6399999999999864</v>
      </c>
      <c r="AW391" s="24">
        <f t="shared" si="572"/>
        <v>-717.66</v>
      </c>
      <c r="AX391" s="24">
        <f t="shared" si="572"/>
        <v>-63.279999999999973</v>
      </c>
      <c r="AY391" s="24">
        <f t="shared" si="572"/>
        <v>304.77999999999997</v>
      </c>
      <c r="AZ391" s="24">
        <f t="shared" si="572"/>
        <v>34.81</v>
      </c>
      <c r="BA391" s="24">
        <f t="shared" si="572"/>
        <v>-432.6</v>
      </c>
      <c r="BB391" s="24">
        <f t="shared" si="572"/>
        <v>-356.81</v>
      </c>
      <c r="BC391" s="24">
        <f t="shared" si="572"/>
        <v>220.95999999999998</v>
      </c>
      <c r="BD391" s="24">
        <f t="shared" si="572"/>
        <v>156.29000000000002</v>
      </c>
      <c r="BE391" s="24">
        <f t="shared" si="572"/>
        <v>-361.71000000000004</v>
      </c>
      <c r="BF391" s="24">
        <f t="shared" si="572"/>
        <v>-40.170000000000016</v>
      </c>
      <c r="BG391" s="24">
        <f t="shared" si="572"/>
        <v>283.68</v>
      </c>
      <c r="BH391" s="24" t="e">
        <f t="shared" si="572"/>
        <v>#NAME?</v>
      </c>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G391" s="29">
        <f t="shared" si="569"/>
        <v>0</v>
      </c>
      <c r="CH391" s="29">
        <f t="shared" si="569"/>
        <v>0</v>
      </c>
      <c r="CI391" s="29">
        <f t="shared" si="569"/>
        <v>0</v>
      </c>
      <c r="CJ391" s="29">
        <f t="shared" si="569"/>
        <v>214.75</v>
      </c>
      <c r="CK391" s="29">
        <f t="shared" si="569"/>
        <v>326</v>
      </c>
      <c r="CL391" s="29">
        <f t="shared" si="569"/>
        <v>-65.079999999999984</v>
      </c>
      <c r="CM391" s="29">
        <f t="shared" si="569"/>
        <v>-83.28000000000003</v>
      </c>
      <c r="CN391" s="29">
        <f t="shared" si="569"/>
        <v>16.479999999999961</v>
      </c>
      <c r="CO391" s="29">
        <f t="shared" si="569"/>
        <v>1973.2200000000003</v>
      </c>
      <c r="CP391" s="29">
        <f t="shared" si="569"/>
        <v>-406.53999999999996</v>
      </c>
      <c r="CQ391" s="29">
        <f t="shared" si="569"/>
        <v>-691.18</v>
      </c>
      <c r="CR391" s="29">
        <f t="shared" si="569"/>
        <v>-449.82000000000005</v>
      </c>
      <c r="CS391" s="29">
        <f t="shared" si="569"/>
        <v>-24.630000000000052</v>
      </c>
      <c r="CT391" s="97" t="e">
        <f t="shared" si="569"/>
        <v>#NAME?</v>
      </c>
      <c r="CU391" s="97">
        <f t="shared" si="569"/>
        <v>0</v>
      </c>
      <c r="CV391" s="97">
        <f t="shared" si="569"/>
        <v>0</v>
      </c>
      <c r="CW391" s="97">
        <f t="shared" si="569"/>
        <v>0</v>
      </c>
      <c r="CX391" s="97">
        <f t="shared" si="569"/>
        <v>0</v>
      </c>
    </row>
    <row r="392" spans="1:102" ht="15" customHeight="1" x14ac:dyDescent="0.25">
      <c r="B392" s="37"/>
      <c r="C392" s="37"/>
      <c r="D392" s="37"/>
      <c r="E392" s="37"/>
      <c r="F392" s="37"/>
      <c r="G392" s="37"/>
      <c r="H392" s="37"/>
      <c r="I392" s="37"/>
      <c r="J392" s="37"/>
      <c r="K392" s="37"/>
      <c r="L392" s="37"/>
      <c r="M392" s="37"/>
      <c r="N392" s="37"/>
      <c r="O392" s="37"/>
      <c r="P392" s="37"/>
      <c r="Q392" s="37"/>
      <c r="R392" s="37"/>
      <c r="S392" s="87"/>
      <c r="T392" s="87"/>
      <c r="U392" s="87"/>
      <c r="V392" s="87"/>
      <c r="W392" s="87"/>
      <c r="X392" s="87"/>
      <c r="Y392" s="87"/>
      <c r="Z392" s="87"/>
      <c r="AA392" s="87"/>
      <c r="AB392" s="87"/>
      <c r="AC392" s="87"/>
      <c r="AD392" s="87"/>
      <c r="AE392" s="87"/>
      <c r="AF392" s="87"/>
      <c r="AG392" s="87"/>
      <c r="AH392" s="87"/>
      <c r="AI392" s="87"/>
      <c r="AJ392" s="87"/>
      <c r="AK392" s="87"/>
      <c r="AL392" s="87"/>
      <c r="AM392" s="87"/>
      <c r="AN392" s="87"/>
      <c r="AO392" s="87"/>
      <c r="AP392" s="87"/>
      <c r="AQ392" s="87"/>
      <c r="AR392" s="87"/>
      <c r="AS392" s="87"/>
      <c r="AT392" s="87"/>
      <c r="AU392" s="87"/>
      <c r="AV392" s="87"/>
      <c r="AW392" s="87"/>
      <c r="AX392" s="87"/>
      <c r="AY392" s="87"/>
      <c r="AZ392" s="87"/>
      <c r="BA392" s="87"/>
      <c r="BB392" s="87"/>
      <c r="BC392" s="87"/>
      <c r="BD392" s="87"/>
      <c r="BE392" s="87"/>
      <c r="BF392" s="87"/>
      <c r="BG392" s="87"/>
      <c r="BH392" s="87"/>
      <c r="BI392" s="87"/>
      <c r="BJ392" s="87"/>
      <c r="BK392" s="87"/>
      <c r="BL392" s="87"/>
      <c r="BM392" s="87"/>
      <c r="BN392" s="87"/>
      <c r="BO392" s="87"/>
      <c r="BP392" s="87"/>
      <c r="BQ392" s="87"/>
      <c r="BR392" s="87"/>
      <c r="BS392" s="87"/>
      <c r="BT392" s="87"/>
      <c r="BU392" s="87"/>
      <c r="BV392" s="87"/>
      <c r="BW392" s="87"/>
      <c r="BX392" s="87"/>
      <c r="BY392" s="87"/>
      <c r="BZ392" s="87"/>
      <c r="CA392" s="87"/>
      <c r="CB392" s="87"/>
      <c r="CC392" s="87"/>
      <c r="CD392" s="87"/>
      <c r="CG392" s="29"/>
      <c r="CH392" s="29"/>
      <c r="CI392" s="29"/>
      <c r="CJ392" s="29"/>
      <c r="CK392" s="29"/>
      <c r="CL392" s="29"/>
      <c r="CM392" s="29"/>
      <c r="CN392" s="29"/>
      <c r="CO392" s="29"/>
      <c r="CP392" s="29"/>
      <c r="CQ392" s="29"/>
      <c r="CR392" s="29"/>
      <c r="CS392" s="29"/>
      <c r="CT392" s="97"/>
      <c r="CU392" s="97"/>
      <c r="CV392" s="97"/>
      <c r="CW392" s="97"/>
      <c r="CX392" s="97"/>
    </row>
    <row r="393" spans="1:102" ht="15" customHeight="1" x14ac:dyDescent="0.25">
      <c r="B393" s="37" t="s">
        <v>274</v>
      </c>
      <c r="C393" s="37"/>
      <c r="D393" s="37"/>
      <c r="E393" s="37"/>
      <c r="F393" s="37"/>
      <c r="G393" s="37"/>
      <c r="H393" s="37"/>
      <c r="I393" s="37"/>
      <c r="J393" s="37"/>
      <c r="K393" s="37"/>
      <c r="L393" s="37"/>
      <c r="M393" s="37"/>
      <c r="N393" s="37"/>
      <c r="O393" s="37"/>
      <c r="P393" s="37"/>
      <c r="Q393" s="37"/>
      <c r="R393" s="37"/>
      <c r="S393" s="87">
        <f t="shared" ref="S393:BE393" si="573">+S577</f>
        <v>-415</v>
      </c>
      <c r="T393" s="87">
        <f t="shared" si="573"/>
        <v>85</v>
      </c>
      <c r="U393" s="87">
        <f t="shared" si="573"/>
        <v>448</v>
      </c>
      <c r="V393" s="87">
        <f t="shared" si="573"/>
        <v>-287</v>
      </c>
      <c r="W393" s="87">
        <f t="shared" si="573"/>
        <v>-607</v>
      </c>
      <c r="X393" s="87">
        <f t="shared" si="573"/>
        <v>49</v>
      </c>
      <c r="Y393" s="87">
        <f t="shared" si="573"/>
        <v>840</v>
      </c>
      <c r="Z393" s="87">
        <f t="shared" si="573"/>
        <v>-600</v>
      </c>
      <c r="AA393" s="87">
        <f t="shared" si="573"/>
        <v>-652</v>
      </c>
      <c r="AB393" s="87">
        <f t="shared" si="573"/>
        <v>54</v>
      </c>
      <c r="AC393" s="87">
        <f t="shared" si="573"/>
        <v>1019</v>
      </c>
      <c r="AD393" s="87">
        <f t="shared" si="573"/>
        <v>-243</v>
      </c>
      <c r="AE393" s="87">
        <f t="shared" si="573"/>
        <v>-547</v>
      </c>
      <c r="AF393" s="87">
        <f t="shared" si="573"/>
        <v>-20</v>
      </c>
      <c r="AG393" s="87">
        <f t="shared" si="573"/>
        <v>938</v>
      </c>
      <c r="AH393" s="87">
        <f t="shared" si="573"/>
        <v>-100</v>
      </c>
      <c r="AI393" s="87">
        <f t="shared" si="573"/>
        <v>-281</v>
      </c>
      <c r="AJ393" s="87">
        <f t="shared" si="573"/>
        <v>-483</v>
      </c>
      <c r="AK393" s="87">
        <f t="shared" si="573"/>
        <v>583</v>
      </c>
      <c r="AL393" s="87">
        <f t="shared" si="573"/>
        <v>266</v>
      </c>
      <c r="AM393" s="87">
        <f t="shared" si="573"/>
        <v>-1373</v>
      </c>
      <c r="AN393" s="87">
        <f t="shared" si="573"/>
        <v>-944</v>
      </c>
      <c r="AO393" s="87">
        <f t="shared" si="573"/>
        <v>628</v>
      </c>
      <c r="AP393" s="87">
        <f t="shared" si="573"/>
        <v>-55</v>
      </c>
      <c r="AQ393" s="87">
        <f t="shared" si="573"/>
        <v>-126</v>
      </c>
      <c r="AR393" s="87">
        <f t="shared" si="573"/>
        <v>-277</v>
      </c>
      <c r="AS393" s="87">
        <f t="shared" si="573"/>
        <v>756</v>
      </c>
      <c r="AT393" s="87">
        <f t="shared" si="573"/>
        <v>128</v>
      </c>
      <c r="AU393" s="87">
        <f t="shared" si="573"/>
        <v>-577</v>
      </c>
      <c r="AV393" s="87">
        <f t="shared" si="573"/>
        <v>-473</v>
      </c>
      <c r="AW393" s="87">
        <f t="shared" si="573"/>
        <v>1193</v>
      </c>
      <c r="AX393" s="87">
        <f t="shared" si="573"/>
        <v>-47</v>
      </c>
      <c r="AY393" s="87">
        <f t="shared" si="573"/>
        <v>-628</v>
      </c>
      <c r="AZ393" s="87">
        <f t="shared" si="573"/>
        <v>-678</v>
      </c>
      <c r="BA393" s="87">
        <f t="shared" si="573"/>
        <v>656</v>
      </c>
      <c r="BB393" s="87">
        <f t="shared" si="573"/>
        <v>314</v>
      </c>
      <c r="BC393" s="87">
        <f t="shared" si="573"/>
        <v>-261</v>
      </c>
      <c r="BD393" s="87">
        <f t="shared" si="573"/>
        <v>-527</v>
      </c>
      <c r="BE393" s="87">
        <f t="shared" si="573"/>
        <v>741</v>
      </c>
      <c r="BF393" s="87">
        <f>+BF577</f>
        <v>101</v>
      </c>
      <c r="BG393" s="87">
        <f>+BG577</f>
        <v>-383</v>
      </c>
      <c r="BH393" s="87" t="e">
        <f>+BH577</f>
        <v>#NAME?</v>
      </c>
      <c r="BI393" s="73">
        <v>300</v>
      </c>
      <c r="BJ393" s="73">
        <v>100</v>
      </c>
      <c r="BK393" s="73">
        <v>0</v>
      </c>
      <c r="BL393" s="73">
        <v>0</v>
      </c>
      <c r="BM393" s="73">
        <v>0</v>
      </c>
      <c r="BN393" s="73">
        <v>0</v>
      </c>
      <c r="BO393" s="73">
        <v>0</v>
      </c>
      <c r="BP393" s="73">
        <v>0</v>
      </c>
      <c r="BQ393" s="73">
        <v>0</v>
      </c>
      <c r="BR393" s="73">
        <v>0</v>
      </c>
      <c r="BS393" s="73">
        <v>0</v>
      </c>
      <c r="BT393" s="73">
        <v>0</v>
      </c>
      <c r="BU393" s="73">
        <v>0</v>
      </c>
      <c r="BV393" s="73">
        <v>0</v>
      </c>
      <c r="BW393" s="73">
        <v>0</v>
      </c>
      <c r="BX393" s="73">
        <v>0</v>
      </c>
      <c r="BY393" s="73">
        <v>0</v>
      </c>
      <c r="BZ393" s="73">
        <v>0</v>
      </c>
      <c r="CA393" s="73">
        <v>0</v>
      </c>
      <c r="CB393" s="73">
        <v>0</v>
      </c>
      <c r="CC393" s="73">
        <v>0</v>
      </c>
      <c r="CD393" s="73">
        <v>0</v>
      </c>
      <c r="CE393" s="73"/>
      <c r="CG393" s="29">
        <f t="shared" ref="CG393:CX401" si="574">+SUMIFS($S393:$CD393,$S$5:$CD$5,"&lt;="&amp;CG$5,$S$5:$CD$5,"&gt;"&amp;CF$5)</f>
        <v>0</v>
      </c>
      <c r="CH393" s="29">
        <f t="shared" si="574"/>
        <v>0</v>
      </c>
      <c r="CI393" s="29">
        <f t="shared" si="574"/>
        <v>0</v>
      </c>
      <c r="CJ393" s="29">
        <f t="shared" si="574"/>
        <v>-169</v>
      </c>
      <c r="CK393" s="29">
        <f t="shared" si="574"/>
        <v>-318</v>
      </c>
      <c r="CL393" s="29">
        <f t="shared" si="574"/>
        <v>178</v>
      </c>
      <c r="CM393" s="29">
        <f t="shared" si="574"/>
        <v>271</v>
      </c>
      <c r="CN393" s="29">
        <f t="shared" si="574"/>
        <v>85</v>
      </c>
      <c r="CO393" s="29">
        <f t="shared" si="574"/>
        <v>-1744</v>
      </c>
      <c r="CP393" s="29">
        <f t="shared" si="574"/>
        <v>481</v>
      </c>
      <c r="CQ393" s="29">
        <f t="shared" si="574"/>
        <v>96</v>
      </c>
      <c r="CR393" s="29">
        <f t="shared" si="574"/>
        <v>-336</v>
      </c>
      <c r="CS393" s="29">
        <f t="shared" si="574"/>
        <v>54</v>
      </c>
      <c r="CT393" s="97" t="e">
        <f t="shared" si="574"/>
        <v>#NAME?</v>
      </c>
      <c r="CU393" s="97">
        <f t="shared" si="574"/>
        <v>0</v>
      </c>
      <c r="CV393" s="97">
        <f t="shared" si="574"/>
        <v>0</v>
      </c>
      <c r="CW393" s="97">
        <f t="shared" si="574"/>
        <v>0</v>
      </c>
      <c r="CX393" s="97">
        <f t="shared" si="574"/>
        <v>0</v>
      </c>
    </row>
    <row r="394" spans="1:102" ht="15" customHeight="1" x14ac:dyDescent="0.25">
      <c r="B394" s="179" t="str">
        <f t="shared" ref="B394:BE399" si="575">+B571</f>
        <v>Change in receivables</v>
      </c>
      <c r="C394" s="179"/>
      <c r="D394" s="179"/>
      <c r="E394" s="179"/>
      <c r="F394" s="179"/>
      <c r="G394" s="179"/>
      <c r="H394" s="179"/>
      <c r="I394" s="179"/>
      <c r="J394" s="179"/>
      <c r="K394" s="179"/>
      <c r="L394" s="179"/>
      <c r="M394" s="179"/>
      <c r="N394" s="179"/>
      <c r="O394" s="179"/>
      <c r="P394" s="179"/>
      <c r="Q394" s="179"/>
      <c r="R394" s="179"/>
      <c r="S394" s="87">
        <f t="shared" si="575"/>
        <v>110</v>
      </c>
      <c r="T394" s="87">
        <f t="shared" si="575"/>
        <v>-618</v>
      </c>
      <c r="U394" s="87">
        <f t="shared" si="575"/>
        <v>332</v>
      </c>
      <c r="V394" s="87">
        <f t="shared" si="575"/>
        <v>122</v>
      </c>
      <c r="W394" s="87">
        <f t="shared" si="575"/>
        <v>219</v>
      </c>
      <c r="X394" s="87">
        <f t="shared" si="575"/>
        <v>-598</v>
      </c>
      <c r="Y394" s="87">
        <f t="shared" si="575"/>
        <v>111</v>
      </c>
      <c r="Z394" s="87">
        <f t="shared" si="575"/>
        <v>395</v>
      </c>
      <c r="AA394" s="87">
        <f t="shared" si="575"/>
        <v>-12</v>
      </c>
      <c r="AB394" s="87">
        <f t="shared" si="575"/>
        <v>-481</v>
      </c>
      <c r="AC394" s="87">
        <f t="shared" si="575"/>
        <v>126</v>
      </c>
      <c r="AD394" s="87">
        <f t="shared" si="575"/>
        <v>231</v>
      </c>
      <c r="AE394" s="87">
        <f t="shared" si="575"/>
        <v>135</v>
      </c>
      <c r="AF394" s="87">
        <f t="shared" si="575"/>
        <v>-589</v>
      </c>
      <c r="AG394" s="87">
        <f t="shared" si="575"/>
        <v>-73</v>
      </c>
      <c r="AH394" s="87">
        <f t="shared" si="575"/>
        <v>502</v>
      </c>
      <c r="AI394" s="87">
        <f t="shared" si="575"/>
        <v>169</v>
      </c>
      <c r="AJ394" s="87">
        <f t="shared" si="575"/>
        <v>-591</v>
      </c>
      <c r="AK394" s="87">
        <f t="shared" si="575"/>
        <v>151</v>
      </c>
      <c r="AL394" s="87">
        <f t="shared" si="575"/>
        <v>183</v>
      </c>
      <c r="AM394" s="87">
        <f t="shared" si="575"/>
        <v>294</v>
      </c>
      <c r="AN394" s="87">
        <f t="shared" si="575"/>
        <v>-529</v>
      </c>
      <c r="AO394" s="87">
        <f t="shared" si="575"/>
        <v>59</v>
      </c>
      <c r="AP394" s="87">
        <f t="shared" si="575"/>
        <v>340</v>
      </c>
      <c r="AQ394" s="87">
        <f t="shared" si="575"/>
        <v>-44</v>
      </c>
      <c r="AR394" s="87">
        <f t="shared" si="575"/>
        <v>83</v>
      </c>
      <c r="AS394" s="87">
        <f t="shared" si="575"/>
        <v>-348</v>
      </c>
      <c r="AT394" s="87">
        <f t="shared" si="575"/>
        <v>268</v>
      </c>
      <c r="AU394" s="87">
        <f t="shared" si="575"/>
        <v>12</v>
      </c>
      <c r="AV394" s="87">
        <f t="shared" si="575"/>
        <v>-458</v>
      </c>
      <c r="AW394" s="87">
        <f t="shared" si="575"/>
        <v>56</v>
      </c>
      <c r="AX394" s="87">
        <f t="shared" si="575"/>
        <v>313</v>
      </c>
      <c r="AY394" s="87">
        <f t="shared" si="575"/>
        <v>70</v>
      </c>
      <c r="AZ394" s="87">
        <f t="shared" si="575"/>
        <v>-346</v>
      </c>
      <c r="BA394" s="87">
        <f t="shared" si="575"/>
        <v>90</v>
      </c>
      <c r="BB394" s="87">
        <f t="shared" si="575"/>
        <v>152</v>
      </c>
      <c r="BC394" s="87">
        <f t="shared" si="575"/>
        <v>167</v>
      </c>
      <c r="BD394" s="87">
        <f t="shared" si="575"/>
        <v>-534</v>
      </c>
      <c r="BE394" s="87">
        <f t="shared" si="575"/>
        <v>183</v>
      </c>
      <c r="BF394" s="87">
        <f>+BF571</f>
        <v>303</v>
      </c>
      <c r="BG394" s="87">
        <f>+BG571</f>
        <v>132</v>
      </c>
      <c r="BH394" s="87" t="e">
        <f>+BH571</f>
        <v>#NAME?</v>
      </c>
      <c r="BI394" s="87"/>
      <c r="BJ394" s="87"/>
      <c r="BK394" s="87"/>
      <c r="BL394" s="87"/>
      <c r="BM394" s="87"/>
      <c r="BN394" s="87"/>
      <c r="BO394" s="87"/>
      <c r="BP394" s="87"/>
      <c r="BQ394" s="87"/>
      <c r="BR394" s="87"/>
      <c r="BS394" s="87"/>
      <c r="BT394" s="87"/>
      <c r="BU394" s="87"/>
      <c r="BV394" s="87"/>
      <c r="BW394" s="87"/>
      <c r="BX394" s="87"/>
      <c r="BY394" s="87"/>
      <c r="BZ394" s="87"/>
      <c r="CA394" s="87"/>
      <c r="CB394" s="87"/>
      <c r="CC394" s="87"/>
      <c r="CD394" s="87"/>
      <c r="CG394" s="29">
        <f t="shared" si="574"/>
        <v>0</v>
      </c>
      <c r="CH394" s="29">
        <f t="shared" si="574"/>
        <v>0</v>
      </c>
      <c r="CI394" s="29">
        <f t="shared" si="574"/>
        <v>0</v>
      </c>
      <c r="CJ394" s="29">
        <f t="shared" si="574"/>
        <v>-54</v>
      </c>
      <c r="CK394" s="29">
        <f t="shared" si="574"/>
        <v>127</v>
      </c>
      <c r="CL394" s="29">
        <f t="shared" si="574"/>
        <v>-136</v>
      </c>
      <c r="CM394" s="29">
        <f t="shared" si="574"/>
        <v>-25</v>
      </c>
      <c r="CN394" s="29">
        <f t="shared" si="574"/>
        <v>-88</v>
      </c>
      <c r="CO394" s="29">
        <f t="shared" si="574"/>
        <v>164</v>
      </c>
      <c r="CP394" s="29">
        <f t="shared" si="574"/>
        <v>-41</v>
      </c>
      <c r="CQ394" s="29">
        <f t="shared" si="574"/>
        <v>-77</v>
      </c>
      <c r="CR394" s="29">
        <f t="shared" si="574"/>
        <v>-34</v>
      </c>
      <c r="CS394" s="29">
        <f t="shared" si="574"/>
        <v>119</v>
      </c>
      <c r="CT394" s="97" t="e">
        <f t="shared" si="574"/>
        <v>#NAME?</v>
      </c>
      <c r="CU394" s="97">
        <f t="shared" si="574"/>
        <v>0</v>
      </c>
      <c r="CV394" s="97">
        <f t="shared" si="574"/>
        <v>0</v>
      </c>
      <c r="CW394" s="97">
        <f t="shared" si="574"/>
        <v>0</v>
      </c>
      <c r="CX394" s="97">
        <f t="shared" si="574"/>
        <v>0</v>
      </c>
    </row>
    <row r="395" spans="1:102" ht="15" customHeight="1" x14ac:dyDescent="0.25">
      <c r="B395" s="179" t="str">
        <f t="shared" si="575"/>
        <v>Change in other assets</v>
      </c>
      <c r="C395" s="179"/>
      <c r="D395" s="179"/>
      <c r="E395" s="179"/>
      <c r="F395" s="179"/>
      <c r="G395" s="179"/>
      <c r="H395" s="179"/>
      <c r="I395" s="179"/>
      <c r="J395" s="179"/>
      <c r="K395" s="179"/>
      <c r="L395" s="179"/>
      <c r="M395" s="179"/>
      <c r="N395" s="179"/>
      <c r="O395" s="179"/>
      <c r="P395" s="179"/>
      <c r="Q395" s="179"/>
      <c r="R395" s="179"/>
      <c r="S395" s="87">
        <f t="shared" si="575"/>
        <v>21</v>
      </c>
      <c r="T395" s="87">
        <f t="shared" si="575"/>
        <v>117</v>
      </c>
      <c r="U395" s="87">
        <f t="shared" si="575"/>
        <v>-1</v>
      </c>
      <c r="V395" s="87">
        <f t="shared" si="575"/>
        <v>-50</v>
      </c>
      <c r="W395" s="87">
        <f t="shared" si="575"/>
        <v>26</v>
      </c>
      <c r="X395" s="87">
        <f t="shared" si="575"/>
        <v>13</v>
      </c>
      <c r="Y395" s="87">
        <f t="shared" si="575"/>
        <v>3</v>
      </c>
      <c r="Z395" s="87">
        <f t="shared" si="575"/>
        <v>-23</v>
      </c>
      <c r="AA395" s="87">
        <f t="shared" si="575"/>
        <v>-1</v>
      </c>
      <c r="AB395" s="87">
        <f t="shared" si="575"/>
        <v>55</v>
      </c>
      <c r="AC395" s="87">
        <f t="shared" si="575"/>
        <v>-12</v>
      </c>
      <c r="AD395" s="87">
        <f t="shared" si="575"/>
        <v>-37</v>
      </c>
      <c r="AE395" s="87">
        <f t="shared" si="575"/>
        <v>80</v>
      </c>
      <c r="AF395" s="87">
        <f t="shared" si="575"/>
        <v>-14</v>
      </c>
      <c r="AG395" s="87">
        <f t="shared" si="575"/>
        <v>13</v>
      </c>
      <c r="AH395" s="87">
        <f t="shared" si="575"/>
        <v>-69</v>
      </c>
      <c r="AI395" s="87">
        <f t="shared" si="575"/>
        <v>48</v>
      </c>
      <c r="AJ395" s="87">
        <f t="shared" si="575"/>
        <v>-28</v>
      </c>
      <c r="AK395" s="87">
        <f t="shared" si="575"/>
        <v>21</v>
      </c>
      <c r="AL395" s="87">
        <f t="shared" si="575"/>
        <v>-65</v>
      </c>
      <c r="AM395" s="87">
        <f t="shared" si="575"/>
        <v>24</v>
      </c>
      <c r="AN395" s="87">
        <f t="shared" si="575"/>
        <v>9</v>
      </c>
      <c r="AO395" s="87">
        <f t="shared" si="575"/>
        <v>43</v>
      </c>
      <c r="AP395" s="87">
        <f t="shared" si="575"/>
        <v>-41</v>
      </c>
      <c r="AQ395" s="87">
        <f t="shared" si="575"/>
        <v>44</v>
      </c>
      <c r="AR395" s="87">
        <f t="shared" si="575"/>
        <v>-157</v>
      </c>
      <c r="AS395" s="87">
        <f t="shared" si="575"/>
        <v>85</v>
      </c>
      <c r="AT395" s="87">
        <f t="shared" si="575"/>
        <v>-42</v>
      </c>
      <c r="AU395" s="87">
        <f t="shared" si="575"/>
        <v>-74</v>
      </c>
      <c r="AV395" s="87">
        <f t="shared" si="575"/>
        <v>23</v>
      </c>
      <c r="AW395" s="87">
        <f t="shared" si="575"/>
        <v>-24</v>
      </c>
      <c r="AX395" s="87">
        <f t="shared" si="575"/>
        <v>-82</v>
      </c>
      <c r="AY395" s="87">
        <f t="shared" si="575"/>
        <v>-15</v>
      </c>
      <c r="AZ395" s="87">
        <f t="shared" si="575"/>
        <v>-10</v>
      </c>
      <c r="BA395" s="87">
        <f t="shared" si="575"/>
        <v>-28</v>
      </c>
      <c r="BB395" s="87">
        <f t="shared" si="575"/>
        <v>-50</v>
      </c>
      <c r="BC395" s="87">
        <f t="shared" si="575"/>
        <v>96</v>
      </c>
      <c r="BD395" s="87">
        <f t="shared" si="575"/>
        <v>-22</v>
      </c>
      <c r="BE395" s="87">
        <f t="shared" si="575"/>
        <v>112</v>
      </c>
      <c r="BF395" s="87">
        <f t="shared" ref="BF395:BH399" si="576">+BF572</f>
        <v>-38</v>
      </c>
      <c r="BG395" s="87">
        <f t="shared" si="576"/>
        <v>58</v>
      </c>
      <c r="BH395" s="87" t="e">
        <f t="shared" si="576"/>
        <v>#NAME?</v>
      </c>
      <c r="BI395" s="87"/>
      <c r="BJ395" s="87"/>
      <c r="BK395" s="87"/>
      <c r="BL395" s="87"/>
      <c r="BM395" s="87"/>
      <c r="BN395" s="87"/>
      <c r="BO395" s="87"/>
      <c r="BP395" s="87"/>
      <c r="BQ395" s="87"/>
      <c r="BR395" s="87"/>
      <c r="BS395" s="87"/>
      <c r="BT395" s="87"/>
      <c r="BU395" s="87"/>
      <c r="BV395" s="87"/>
      <c r="BW395" s="87"/>
      <c r="BX395" s="87"/>
      <c r="BY395" s="87"/>
      <c r="BZ395" s="87"/>
      <c r="CA395" s="87"/>
      <c r="CB395" s="87"/>
      <c r="CC395" s="87"/>
      <c r="CD395" s="87"/>
      <c r="CG395" s="29">
        <f t="shared" si="574"/>
        <v>0</v>
      </c>
      <c r="CH395" s="29">
        <f t="shared" si="574"/>
        <v>0</v>
      </c>
      <c r="CI395" s="29">
        <f t="shared" si="574"/>
        <v>0</v>
      </c>
      <c r="CJ395" s="29">
        <f t="shared" si="574"/>
        <v>87</v>
      </c>
      <c r="CK395" s="29">
        <f t="shared" si="574"/>
        <v>19</v>
      </c>
      <c r="CL395" s="29">
        <f t="shared" si="574"/>
        <v>5</v>
      </c>
      <c r="CM395" s="29">
        <f t="shared" si="574"/>
        <v>10</v>
      </c>
      <c r="CN395" s="29">
        <f t="shared" si="574"/>
        <v>-24</v>
      </c>
      <c r="CO395" s="29">
        <f t="shared" si="574"/>
        <v>35</v>
      </c>
      <c r="CP395" s="29">
        <f t="shared" si="574"/>
        <v>-70</v>
      </c>
      <c r="CQ395" s="29">
        <f t="shared" si="574"/>
        <v>-157</v>
      </c>
      <c r="CR395" s="29">
        <f t="shared" si="574"/>
        <v>-103</v>
      </c>
      <c r="CS395" s="29">
        <f t="shared" si="574"/>
        <v>148</v>
      </c>
      <c r="CT395" s="97" t="e">
        <f t="shared" si="574"/>
        <v>#NAME?</v>
      </c>
      <c r="CU395" s="97">
        <f t="shared" si="574"/>
        <v>0</v>
      </c>
      <c r="CV395" s="97">
        <f t="shared" si="574"/>
        <v>0</v>
      </c>
      <c r="CW395" s="97">
        <f t="shared" si="574"/>
        <v>0</v>
      </c>
      <c r="CX395" s="97">
        <f t="shared" si="574"/>
        <v>0</v>
      </c>
    </row>
    <row r="396" spans="1:102" ht="15" customHeight="1" x14ac:dyDescent="0.25">
      <c r="B396" s="179" t="str">
        <f t="shared" si="575"/>
        <v>Change in accounts payable</v>
      </c>
      <c r="C396" s="179"/>
      <c r="D396" s="179"/>
      <c r="E396" s="179"/>
      <c r="F396" s="179"/>
      <c r="G396" s="179"/>
      <c r="H396" s="179"/>
      <c r="I396" s="179"/>
      <c r="J396" s="179"/>
      <c r="K396" s="179"/>
      <c r="L396" s="179"/>
      <c r="M396" s="179"/>
      <c r="N396" s="179"/>
      <c r="O396" s="179"/>
      <c r="P396" s="179"/>
      <c r="Q396" s="179"/>
      <c r="R396" s="179"/>
      <c r="S396" s="87">
        <f t="shared" si="575"/>
        <v>-43</v>
      </c>
      <c r="T396" s="87">
        <f t="shared" si="575"/>
        <v>126</v>
      </c>
      <c r="U396" s="87">
        <f t="shared" si="575"/>
        <v>-112</v>
      </c>
      <c r="V396" s="87">
        <f t="shared" si="575"/>
        <v>-17</v>
      </c>
      <c r="W396" s="87">
        <f t="shared" si="575"/>
        <v>-16</v>
      </c>
      <c r="X396" s="87">
        <f t="shared" si="575"/>
        <v>142</v>
      </c>
      <c r="Y396" s="87">
        <f t="shared" si="575"/>
        <v>-56</v>
      </c>
      <c r="Z396" s="87">
        <f t="shared" si="575"/>
        <v>-57</v>
      </c>
      <c r="AA396" s="87">
        <f t="shared" si="575"/>
        <v>-32</v>
      </c>
      <c r="AB396" s="87">
        <f t="shared" si="575"/>
        <v>165</v>
      </c>
      <c r="AC396" s="87">
        <f t="shared" si="575"/>
        <v>-139</v>
      </c>
      <c r="AD396" s="87">
        <f t="shared" si="575"/>
        <v>11</v>
      </c>
      <c r="AE396" s="87">
        <f t="shared" si="575"/>
        <v>-44</v>
      </c>
      <c r="AF396" s="87">
        <f t="shared" si="575"/>
        <v>148</v>
      </c>
      <c r="AG396" s="87">
        <f t="shared" si="575"/>
        <v>-88</v>
      </c>
      <c r="AH396" s="87">
        <f t="shared" si="575"/>
        <v>-60</v>
      </c>
      <c r="AI396" s="87">
        <f t="shared" si="575"/>
        <v>8</v>
      </c>
      <c r="AJ396" s="87">
        <f t="shared" si="575"/>
        <v>124</v>
      </c>
      <c r="AK396" s="87">
        <f t="shared" si="575"/>
        <v>-97</v>
      </c>
      <c r="AL396" s="87">
        <f t="shared" si="575"/>
        <v>24</v>
      </c>
      <c r="AM396" s="87">
        <f t="shared" si="575"/>
        <v>-40</v>
      </c>
      <c r="AN396" s="87">
        <f t="shared" si="575"/>
        <v>91</v>
      </c>
      <c r="AO396" s="87">
        <f t="shared" si="575"/>
        <v>-84</v>
      </c>
      <c r="AP396" s="87">
        <f t="shared" si="575"/>
        <v>-3</v>
      </c>
      <c r="AQ396" s="87">
        <f t="shared" si="575"/>
        <v>-3</v>
      </c>
      <c r="AR396" s="87">
        <f t="shared" si="575"/>
        <v>109</v>
      </c>
      <c r="AS396" s="87">
        <f t="shared" si="575"/>
        <v>-77</v>
      </c>
      <c r="AT396" s="87">
        <f t="shared" si="575"/>
        <v>-11</v>
      </c>
      <c r="AU396" s="87">
        <f t="shared" si="575"/>
        <v>-19</v>
      </c>
      <c r="AV396" s="87">
        <f t="shared" si="575"/>
        <v>61</v>
      </c>
      <c r="AW396" s="87">
        <f t="shared" si="575"/>
        <v>-51</v>
      </c>
      <c r="AX396" s="87">
        <f t="shared" si="575"/>
        <v>2</v>
      </c>
      <c r="AY396" s="87">
        <f t="shared" si="575"/>
        <v>-16</v>
      </c>
      <c r="AZ396" s="87">
        <f t="shared" si="575"/>
        <v>69</v>
      </c>
      <c r="BA396" s="87">
        <f t="shared" si="575"/>
        <v>-74</v>
      </c>
      <c r="BB396" s="87">
        <f t="shared" si="575"/>
        <v>31</v>
      </c>
      <c r="BC396" s="87">
        <f t="shared" si="575"/>
        <v>-18</v>
      </c>
      <c r="BD396" s="87">
        <f t="shared" si="575"/>
        <v>75</v>
      </c>
      <c r="BE396" s="87">
        <f t="shared" si="575"/>
        <v>-93</v>
      </c>
      <c r="BF396" s="87">
        <f t="shared" si="576"/>
        <v>30</v>
      </c>
      <c r="BG396" s="87">
        <f t="shared" si="576"/>
        <v>-11</v>
      </c>
      <c r="BH396" s="87" t="e">
        <f t="shared" si="576"/>
        <v>#NAME?</v>
      </c>
      <c r="BI396" s="87"/>
      <c r="BJ396" s="87"/>
      <c r="BK396" s="87"/>
      <c r="BL396" s="87"/>
      <c r="BM396" s="87"/>
      <c r="BN396" s="87"/>
      <c r="BO396" s="87"/>
      <c r="BP396" s="87"/>
      <c r="BQ396" s="87"/>
      <c r="BR396" s="87"/>
      <c r="BS396" s="87"/>
      <c r="BT396" s="87"/>
      <c r="BU396" s="87"/>
      <c r="BV396" s="87"/>
      <c r="BW396" s="87"/>
      <c r="BX396" s="87"/>
      <c r="BY396" s="87"/>
      <c r="BZ396" s="87"/>
      <c r="CA396" s="87"/>
      <c r="CB396" s="87"/>
      <c r="CC396" s="87"/>
      <c r="CD396" s="87"/>
      <c r="CG396" s="29">
        <f t="shared" si="574"/>
        <v>0</v>
      </c>
      <c r="CH396" s="29">
        <f t="shared" si="574"/>
        <v>0</v>
      </c>
      <c r="CI396" s="29">
        <f t="shared" si="574"/>
        <v>0</v>
      </c>
      <c r="CJ396" s="29">
        <f t="shared" si="574"/>
        <v>-46</v>
      </c>
      <c r="CK396" s="29">
        <f t="shared" si="574"/>
        <v>13</v>
      </c>
      <c r="CL396" s="29">
        <f t="shared" si="574"/>
        <v>5</v>
      </c>
      <c r="CM396" s="29">
        <f t="shared" si="574"/>
        <v>-44</v>
      </c>
      <c r="CN396" s="29">
        <f t="shared" si="574"/>
        <v>59</v>
      </c>
      <c r="CO396" s="29">
        <f t="shared" si="574"/>
        <v>-36</v>
      </c>
      <c r="CP396" s="29">
        <f t="shared" si="574"/>
        <v>18</v>
      </c>
      <c r="CQ396" s="29">
        <f t="shared" si="574"/>
        <v>-7</v>
      </c>
      <c r="CR396" s="29">
        <f t="shared" si="574"/>
        <v>10</v>
      </c>
      <c r="CS396" s="29">
        <f t="shared" si="574"/>
        <v>-6</v>
      </c>
      <c r="CT396" s="97" t="e">
        <f t="shared" si="574"/>
        <v>#NAME?</v>
      </c>
      <c r="CU396" s="97">
        <f t="shared" si="574"/>
        <v>0</v>
      </c>
      <c r="CV396" s="97">
        <f t="shared" si="574"/>
        <v>0</v>
      </c>
      <c r="CW396" s="97">
        <f t="shared" si="574"/>
        <v>0</v>
      </c>
      <c r="CX396" s="97">
        <f t="shared" si="574"/>
        <v>0</v>
      </c>
    </row>
    <row r="397" spans="1:102" ht="15" customHeight="1" x14ac:dyDescent="0.25">
      <c r="B397" s="179" t="str">
        <f t="shared" si="575"/>
        <v>Change in deferred net revenue (online-enabled games)</v>
      </c>
      <c r="C397" s="179"/>
      <c r="D397" s="179"/>
      <c r="E397" s="179"/>
      <c r="F397" s="179"/>
      <c r="G397" s="179"/>
      <c r="H397" s="179"/>
      <c r="I397" s="179"/>
      <c r="J397" s="179"/>
      <c r="K397" s="179"/>
      <c r="L397" s="179"/>
      <c r="M397" s="179"/>
      <c r="N397" s="179"/>
      <c r="O397" s="179"/>
      <c r="P397" s="179"/>
      <c r="Q397" s="179"/>
      <c r="R397" s="179"/>
      <c r="S397" s="87">
        <f t="shared" si="575"/>
        <v>-439</v>
      </c>
      <c r="T397" s="87">
        <f t="shared" si="575"/>
        <v>230</v>
      </c>
      <c r="U397" s="87">
        <f t="shared" si="575"/>
        <v>302</v>
      </c>
      <c r="V397" s="87">
        <f t="shared" si="575"/>
        <v>-300</v>
      </c>
      <c r="W397" s="87">
        <f t="shared" si="575"/>
        <v>-508</v>
      </c>
      <c r="X397" s="87">
        <f t="shared" si="575"/>
        <v>338</v>
      </c>
      <c r="Y397" s="87">
        <f t="shared" si="575"/>
        <v>732</v>
      </c>
      <c r="Z397" s="87">
        <f t="shared" si="575"/>
        <v>-387</v>
      </c>
      <c r="AA397" s="87">
        <f t="shared" si="575"/>
        <v>-585</v>
      </c>
      <c r="AB397" s="87">
        <f t="shared" si="575"/>
        <v>194</v>
      </c>
      <c r="AC397" s="87">
        <f t="shared" si="575"/>
        <v>904</v>
      </c>
      <c r="AD397" s="87">
        <f t="shared" si="575"/>
        <v>-432</v>
      </c>
      <c r="AE397" s="87">
        <f t="shared" si="575"/>
        <v>-657</v>
      </c>
      <c r="AF397" s="87">
        <f t="shared" si="575"/>
        <v>234</v>
      </c>
      <c r="AG397" s="87">
        <f t="shared" si="575"/>
        <v>831</v>
      </c>
      <c r="AH397" s="87">
        <f t="shared" si="575"/>
        <v>-325</v>
      </c>
      <c r="AI397" s="87">
        <f t="shared" si="575"/>
        <v>-347</v>
      </c>
      <c r="AJ397" s="87">
        <f t="shared" si="575"/>
        <v>-28</v>
      </c>
      <c r="AK397" s="87">
        <f t="shared" si="575"/>
        <v>355</v>
      </c>
      <c r="AL397" s="87">
        <f t="shared" si="575"/>
        <v>171</v>
      </c>
      <c r="AM397" s="87">
        <f t="shared" si="575"/>
        <v>-421</v>
      </c>
      <c r="AN397" s="87">
        <f t="shared" si="575"/>
        <v>-33</v>
      </c>
      <c r="AO397" s="87">
        <f t="shared" si="575"/>
        <v>427</v>
      </c>
      <c r="AP397" s="87">
        <f t="shared" si="575"/>
        <v>-128</v>
      </c>
      <c r="AQ397" s="87">
        <f t="shared" si="575"/>
        <v>-67</v>
      </c>
      <c r="AR397" s="87">
        <f t="shared" si="575"/>
        <v>-240</v>
      </c>
      <c r="AS397" s="87">
        <f t="shared" si="575"/>
        <v>741</v>
      </c>
      <c r="AT397" s="87">
        <f t="shared" si="575"/>
        <v>147</v>
      </c>
      <c r="AU397" s="87">
        <f t="shared" si="575"/>
        <v>-222</v>
      </c>
      <c r="AV397" s="87">
        <f t="shared" si="575"/>
        <v>17</v>
      </c>
      <c r="AW397" s="87">
        <f t="shared" si="575"/>
        <v>779</v>
      </c>
      <c r="AX397" s="87">
        <f t="shared" si="575"/>
        <v>-77</v>
      </c>
      <c r="AY397" s="87">
        <f t="shared" si="575"/>
        <v>-476</v>
      </c>
      <c r="AZ397" s="87">
        <f t="shared" si="575"/>
        <v>-157</v>
      </c>
      <c r="BA397" s="87">
        <f t="shared" si="575"/>
        <v>418</v>
      </c>
      <c r="BB397" s="87">
        <f t="shared" si="575"/>
        <v>93</v>
      </c>
      <c r="BC397" s="87">
        <f t="shared" si="575"/>
        <v>-321</v>
      </c>
      <c r="BD397" s="87">
        <f t="shared" si="575"/>
        <v>-82</v>
      </c>
      <c r="BE397" s="87">
        <f t="shared" si="575"/>
        <v>421</v>
      </c>
      <c r="BF397" s="87">
        <f t="shared" si="576"/>
        <v>-105</v>
      </c>
      <c r="BG397" s="87">
        <f t="shared" si="576"/>
        <v>-402</v>
      </c>
      <c r="BH397" s="87" t="e">
        <f t="shared" si="576"/>
        <v>#NAME?</v>
      </c>
      <c r="BI397" s="87"/>
      <c r="BJ397" s="87"/>
      <c r="BK397" s="87"/>
      <c r="BL397" s="87"/>
      <c r="BM397" s="87"/>
      <c r="BN397" s="87"/>
      <c r="BO397" s="87"/>
      <c r="BP397" s="87"/>
      <c r="BQ397" s="87"/>
      <c r="BR397" s="87"/>
      <c r="BS397" s="87"/>
      <c r="BT397" s="87"/>
      <c r="BU397" s="87"/>
      <c r="BV397" s="87"/>
      <c r="BW397" s="87"/>
      <c r="BX397" s="87"/>
      <c r="BY397" s="87"/>
      <c r="BZ397" s="87"/>
      <c r="CA397" s="87"/>
      <c r="CB397" s="87"/>
      <c r="CC397" s="87"/>
      <c r="CD397" s="87"/>
      <c r="CG397" s="29">
        <f t="shared" si="574"/>
        <v>0</v>
      </c>
      <c r="CH397" s="29">
        <f t="shared" si="574"/>
        <v>0</v>
      </c>
      <c r="CI397" s="29">
        <f t="shared" si="574"/>
        <v>0</v>
      </c>
      <c r="CJ397" s="29">
        <f t="shared" si="574"/>
        <v>-207</v>
      </c>
      <c r="CK397" s="29">
        <f t="shared" si="574"/>
        <v>175</v>
      </c>
      <c r="CL397" s="29">
        <f t="shared" si="574"/>
        <v>81</v>
      </c>
      <c r="CM397" s="29">
        <f t="shared" si="574"/>
        <v>83</v>
      </c>
      <c r="CN397" s="29">
        <f t="shared" si="574"/>
        <v>151</v>
      </c>
      <c r="CO397" s="29">
        <f t="shared" si="574"/>
        <v>-155</v>
      </c>
      <c r="CP397" s="29">
        <f t="shared" si="574"/>
        <v>581</v>
      </c>
      <c r="CQ397" s="29">
        <f t="shared" si="574"/>
        <v>497</v>
      </c>
      <c r="CR397" s="29">
        <f t="shared" si="574"/>
        <v>-122</v>
      </c>
      <c r="CS397" s="29">
        <f t="shared" si="574"/>
        <v>-87</v>
      </c>
      <c r="CT397" s="97" t="e">
        <f t="shared" si="574"/>
        <v>#NAME?</v>
      </c>
      <c r="CU397" s="97">
        <f t="shared" si="574"/>
        <v>0</v>
      </c>
      <c r="CV397" s="97">
        <f t="shared" si="574"/>
        <v>0</v>
      </c>
      <c r="CW397" s="97">
        <f t="shared" si="574"/>
        <v>0</v>
      </c>
      <c r="CX397" s="97">
        <f t="shared" si="574"/>
        <v>0</v>
      </c>
    </row>
    <row r="398" spans="1:102" ht="15" customHeight="1" x14ac:dyDescent="0.25">
      <c r="B398" s="179" t="str">
        <f t="shared" si="575"/>
        <v>Change in other working capital</v>
      </c>
      <c r="C398" s="179"/>
      <c r="D398" s="179"/>
      <c r="E398" s="179"/>
      <c r="F398" s="179"/>
      <c r="G398" s="179"/>
      <c r="H398" s="179"/>
      <c r="I398" s="179"/>
      <c r="J398" s="179"/>
      <c r="K398" s="179"/>
      <c r="L398" s="179"/>
      <c r="M398" s="179"/>
      <c r="N398" s="179"/>
      <c r="O398" s="179"/>
      <c r="P398" s="179"/>
      <c r="Q398" s="179"/>
      <c r="R398" s="179"/>
      <c r="S398" s="87">
        <f t="shared" si="575"/>
        <v>-64</v>
      </c>
      <c r="T398" s="87">
        <f t="shared" si="575"/>
        <v>230</v>
      </c>
      <c r="U398" s="87">
        <f t="shared" si="575"/>
        <v>-73</v>
      </c>
      <c r="V398" s="87">
        <f t="shared" si="575"/>
        <v>-42</v>
      </c>
      <c r="W398" s="87">
        <f t="shared" si="575"/>
        <v>-328</v>
      </c>
      <c r="X398" s="87">
        <f t="shared" si="575"/>
        <v>154</v>
      </c>
      <c r="Y398" s="87">
        <f t="shared" si="575"/>
        <v>50</v>
      </c>
      <c r="Z398" s="87">
        <f t="shared" si="575"/>
        <v>-528</v>
      </c>
      <c r="AA398" s="87">
        <f t="shared" si="575"/>
        <v>-152</v>
      </c>
      <c r="AB398" s="87">
        <f t="shared" si="575"/>
        <v>121</v>
      </c>
      <c r="AC398" s="87">
        <f t="shared" si="575"/>
        <v>140</v>
      </c>
      <c r="AD398" s="87">
        <f t="shared" si="575"/>
        <v>-16</v>
      </c>
      <c r="AE398" s="87">
        <f t="shared" si="575"/>
        <v>-61</v>
      </c>
      <c r="AF398" s="87">
        <f t="shared" si="575"/>
        <v>201</v>
      </c>
      <c r="AG398" s="87">
        <f t="shared" si="575"/>
        <v>255</v>
      </c>
      <c r="AH398" s="87">
        <f t="shared" si="575"/>
        <v>-148</v>
      </c>
      <c r="AI398" s="87">
        <f t="shared" si="575"/>
        <v>-159</v>
      </c>
      <c r="AJ398" s="87">
        <f t="shared" si="575"/>
        <v>40</v>
      </c>
      <c r="AK398" s="87">
        <f t="shared" si="575"/>
        <v>153</v>
      </c>
      <c r="AL398" s="87">
        <f t="shared" si="575"/>
        <v>-47</v>
      </c>
      <c r="AM398" s="87">
        <f t="shared" si="575"/>
        <v>-1230</v>
      </c>
      <c r="AN398" s="87">
        <f t="shared" si="575"/>
        <v>-482</v>
      </c>
      <c r="AO398" s="87">
        <f t="shared" si="575"/>
        <v>183</v>
      </c>
      <c r="AP398" s="87">
        <f t="shared" si="575"/>
        <v>-223</v>
      </c>
      <c r="AQ398" s="87">
        <f t="shared" si="575"/>
        <v>-56</v>
      </c>
      <c r="AR398" s="87">
        <f t="shared" si="575"/>
        <v>-72</v>
      </c>
      <c r="AS398" s="87">
        <f t="shared" si="575"/>
        <v>355</v>
      </c>
      <c r="AT398" s="87">
        <f t="shared" si="575"/>
        <v>-234</v>
      </c>
      <c r="AU398" s="87">
        <f t="shared" si="575"/>
        <v>-274</v>
      </c>
      <c r="AV398" s="87">
        <f t="shared" si="575"/>
        <v>-116</v>
      </c>
      <c r="AW398" s="87">
        <f t="shared" si="575"/>
        <v>433</v>
      </c>
      <c r="AX398" s="87">
        <f t="shared" si="575"/>
        <v>-203</v>
      </c>
      <c r="AY398" s="87">
        <f t="shared" si="575"/>
        <v>-191</v>
      </c>
      <c r="AZ398" s="87">
        <f t="shared" si="575"/>
        <v>-234</v>
      </c>
      <c r="BA398" s="87">
        <f t="shared" si="575"/>
        <v>250</v>
      </c>
      <c r="BB398" s="87">
        <f t="shared" si="575"/>
        <v>88</v>
      </c>
      <c r="BC398" s="87">
        <f t="shared" si="575"/>
        <v>-185</v>
      </c>
      <c r="BD398" s="87">
        <f t="shared" si="575"/>
        <v>36</v>
      </c>
      <c r="BE398" s="87">
        <f t="shared" si="575"/>
        <v>118</v>
      </c>
      <c r="BF398" s="87">
        <f t="shared" si="576"/>
        <v>-89</v>
      </c>
      <c r="BG398" s="87">
        <f t="shared" si="576"/>
        <v>-160</v>
      </c>
      <c r="BH398" s="87" t="e">
        <f t="shared" si="576"/>
        <v>#NAME?</v>
      </c>
      <c r="BI398" s="87"/>
      <c r="BJ398" s="87"/>
      <c r="BK398" s="87"/>
      <c r="BL398" s="87"/>
      <c r="BM398" s="87"/>
      <c r="BN398" s="87"/>
      <c r="BO398" s="87"/>
      <c r="BP398" s="87"/>
      <c r="BQ398" s="87"/>
      <c r="BR398" s="87"/>
      <c r="BS398" s="87"/>
      <c r="BT398" s="87"/>
      <c r="BU398" s="87"/>
      <c r="BV398" s="87"/>
      <c r="BW398" s="87"/>
      <c r="BX398" s="87"/>
      <c r="BY398" s="87"/>
      <c r="BZ398" s="87"/>
      <c r="CA398" s="87"/>
      <c r="CB398" s="87"/>
      <c r="CC398" s="87"/>
      <c r="CD398" s="87"/>
      <c r="CG398" s="29">
        <f t="shared" si="574"/>
        <v>0</v>
      </c>
      <c r="CH398" s="29">
        <f t="shared" si="574"/>
        <v>0</v>
      </c>
      <c r="CI398" s="29">
        <f t="shared" si="574"/>
        <v>0</v>
      </c>
      <c r="CJ398" s="29">
        <f t="shared" si="574"/>
        <v>51</v>
      </c>
      <c r="CK398" s="29">
        <f t="shared" si="574"/>
        <v>-652</v>
      </c>
      <c r="CL398" s="29">
        <f t="shared" si="574"/>
        <v>93</v>
      </c>
      <c r="CM398" s="29">
        <f t="shared" si="574"/>
        <v>247</v>
      </c>
      <c r="CN398" s="29">
        <f t="shared" si="574"/>
        <v>-13</v>
      </c>
      <c r="CO398" s="29">
        <f t="shared" si="574"/>
        <v>-1752</v>
      </c>
      <c r="CP398" s="29">
        <f t="shared" si="574"/>
        <v>-7</v>
      </c>
      <c r="CQ398" s="29">
        <f t="shared" si="574"/>
        <v>-160</v>
      </c>
      <c r="CR398" s="29">
        <f t="shared" si="574"/>
        <v>-87</v>
      </c>
      <c r="CS398" s="29">
        <f t="shared" si="574"/>
        <v>-120</v>
      </c>
      <c r="CT398" s="97" t="e">
        <f t="shared" si="574"/>
        <v>#NAME?</v>
      </c>
      <c r="CU398" s="97">
        <f t="shared" si="574"/>
        <v>0</v>
      </c>
      <c r="CV398" s="97">
        <f t="shared" si="574"/>
        <v>0</v>
      </c>
      <c r="CW398" s="97">
        <f t="shared" si="574"/>
        <v>0</v>
      </c>
      <c r="CX398" s="97">
        <f t="shared" si="574"/>
        <v>0</v>
      </c>
    </row>
    <row r="399" spans="1:102" s="52" customFormat="1" ht="15" customHeight="1" x14ac:dyDescent="0.25">
      <c r="B399" s="180" t="str">
        <f t="shared" si="575"/>
        <v xml:space="preserve">∆ in Other Working cap. </v>
      </c>
      <c r="C399" s="180"/>
      <c r="D399" s="180"/>
      <c r="E399" s="180"/>
      <c r="F399" s="180"/>
      <c r="G399" s="180"/>
      <c r="H399" s="180"/>
      <c r="I399" s="180"/>
      <c r="J399" s="180"/>
      <c r="K399" s="180"/>
      <c r="L399" s="180"/>
      <c r="M399" s="180"/>
      <c r="N399" s="180"/>
      <c r="O399" s="180"/>
      <c r="P399" s="180"/>
      <c r="Q399" s="180"/>
      <c r="R399" s="180"/>
      <c r="S399" s="53">
        <f t="shared" si="575"/>
        <v>0</v>
      </c>
      <c r="T399" s="53">
        <f t="shared" si="575"/>
        <v>0</v>
      </c>
      <c r="U399" s="53">
        <f t="shared" si="575"/>
        <v>0</v>
      </c>
      <c r="V399" s="53">
        <f t="shared" si="575"/>
        <v>0</v>
      </c>
      <c r="W399" s="53">
        <f t="shared" si="575"/>
        <v>0</v>
      </c>
      <c r="X399" s="53">
        <f t="shared" si="575"/>
        <v>0</v>
      </c>
      <c r="Y399" s="53">
        <f t="shared" si="575"/>
        <v>0</v>
      </c>
      <c r="Z399" s="53">
        <f t="shared" si="575"/>
        <v>0</v>
      </c>
      <c r="AA399" s="53">
        <f t="shared" si="575"/>
        <v>130</v>
      </c>
      <c r="AB399" s="53">
        <f t="shared" si="575"/>
        <v>0</v>
      </c>
      <c r="AC399" s="53">
        <f t="shared" si="575"/>
        <v>0</v>
      </c>
      <c r="AD399" s="53">
        <f t="shared" si="575"/>
        <v>0</v>
      </c>
      <c r="AE399" s="53">
        <f t="shared" si="575"/>
        <v>0</v>
      </c>
      <c r="AF399" s="53">
        <f t="shared" si="575"/>
        <v>0</v>
      </c>
      <c r="AG399" s="53">
        <f t="shared" si="575"/>
        <v>0</v>
      </c>
      <c r="AH399" s="53">
        <f t="shared" si="575"/>
        <v>0</v>
      </c>
      <c r="AI399" s="53">
        <f t="shared" si="575"/>
        <v>0</v>
      </c>
      <c r="AJ399" s="53">
        <f t="shared" si="575"/>
        <v>0</v>
      </c>
      <c r="AK399" s="53">
        <f t="shared" si="575"/>
        <v>0</v>
      </c>
      <c r="AL399" s="53">
        <f t="shared" si="575"/>
        <v>0</v>
      </c>
      <c r="AM399" s="53">
        <f t="shared" si="575"/>
        <v>0</v>
      </c>
      <c r="AN399" s="53">
        <f t="shared" si="575"/>
        <v>0</v>
      </c>
      <c r="AO399" s="53">
        <f t="shared" si="575"/>
        <v>0</v>
      </c>
      <c r="AP399" s="53">
        <f t="shared" si="575"/>
        <v>0</v>
      </c>
      <c r="AQ399" s="53">
        <f t="shared" si="575"/>
        <v>0</v>
      </c>
      <c r="AR399" s="53">
        <f t="shared" si="575"/>
        <v>0</v>
      </c>
      <c r="AS399" s="53">
        <f t="shared" si="575"/>
        <v>0</v>
      </c>
      <c r="AT399" s="53">
        <f t="shared" si="575"/>
        <v>0</v>
      </c>
      <c r="AU399" s="53">
        <f t="shared" si="575"/>
        <v>0</v>
      </c>
      <c r="AV399" s="53">
        <f t="shared" si="575"/>
        <v>0</v>
      </c>
      <c r="AW399" s="53">
        <f t="shared" si="575"/>
        <v>0</v>
      </c>
      <c r="AX399" s="53">
        <f t="shared" si="575"/>
        <v>0</v>
      </c>
      <c r="AY399" s="53">
        <f t="shared" si="575"/>
        <v>0</v>
      </c>
      <c r="AZ399" s="53">
        <f t="shared" si="575"/>
        <v>0</v>
      </c>
      <c r="BA399" s="53">
        <f t="shared" si="575"/>
        <v>0</v>
      </c>
      <c r="BB399" s="53">
        <f t="shared" si="575"/>
        <v>0</v>
      </c>
      <c r="BC399" s="53">
        <f t="shared" si="575"/>
        <v>0</v>
      </c>
      <c r="BD399" s="53">
        <f t="shared" si="575"/>
        <v>0</v>
      </c>
      <c r="BE399" s="53">
        <f t="shared" si="575"/>
        <v>0</v>
      </c>
      <c r="BF399" s="53">
        <f t="shared" si="576"/>
        <v>0</v>
      </c>
      <c r="BG399" s="53">
        <f t="shared" si="576"/>
        <v>0</v>
      </c>
      <c r="BH399" s="53" t="e">
        <f t="shared" si="576"/>
        <v>#NAME?</v>
      </c>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c r="CG399" s="53">
        <f t="shared" si="574"/>
        <v>0</v>
      </c>
      <c r="CH399" s="53">
        <f t="shared" si="574"/>
        <v>0</v>
      </c>
      <c r="CI399" s="53">
        <f t="shared" si="574"/>
        <v>0</v>
      </c>
      <c r="CJ399" s="53">
        <f t="shared" si="574"/>
        <v>0</v>
      </c>
      <c r="CK399" s="53">
        <f t="shared" si="574"/>
        <v>0</v>
      </c>
      <c r="CL399" s="53">
        <f t="shared" si="574"/>
        <v>130</v>
      </c>
      <c r="CM399" s="53">
        <f t="shared" si="574"/>
        <v>0</v>
      </c>
      <c r="CN399" s="53">
        <f t="shared" si="574"/>
        <v>0</v>
      </c>
      <c r="CO399" s="53">
        <f t="shared" si="574"/>
        <v>0</v>
      </c>
      <c r="CP399" s="53">
        <f t="shared" si="574"/>
        <v>0</v>
      </c>
      <c r="CQ399" s="53">
        <f t="shared" si="574"/>
        <v>0</v>
      </c>
      <c r="CR399" s="53">
        <f t="shared" si="574"/>
        <v>0</v>
      </c>
      <c r="CS399" s="53">
        <f t="shared" si="574"/>
        <v>0</v>
      </c>
      <c r="CT399" s="50" t="e">
        <f t="shared" si="574"/>
        <v>#NAME?</v>
      </c>
      <c r="CU399" s="50">
        <f t="shared" si="574"/>
        <v>0</v>
      </c>
      <c r="CV399" s="50">
        <f t="shared" si="574"/>
        <v>0</v>
      </c>
      <c r="CW399" s="50">
        <f t="shared" si="574"/>
        <v>0</v>
      </c>
      <c r="CX399" s="50">
        <f t="shared" si="574"/>
        <v>0</v>
      </c>
    </row>
    <row r="400" spans="1:102" s="50" customFormat="1" ht="15" customHeight="1" x14ac:dyDescent="0.25">
      <c r="B400" s="181" t="s">
        <v>275</v>
      </c>
      <c r="C400" s="181"/>
      <c r="D400" s="181"/>
      <c r="E400" s="181"/>
      <c r="F400" s="181"/>
      <c r="G400" s="181"/>
      <c r="H400" s="181"/>
      <c r="I400" s="181"/>
      <c r="J400" s="181"/>
      <c r="K400" s="181"/>
      <c r="L400" s="181"/>
      <c r="M400" s="181"/>
      <c r="N400" s="181"/>
      <c r="O400" s="181"/>
      <c r="P400" s="181"/>
      <c r="Q400" s="181"/>
      <c r="R400" s="181"/>
      <c r="S400" s="50">
        <f t="shared" ref="S400:AX400" si="577">+S393-SUM(S394:S399)</f>
        <v>0</v>
      </c>
      <c r="T400" s="50">
        <f t="shared" si="577"/>
        <v>0</v>
      </c>
      <c r="U400" s="50">
        <f t="shared" si="577"/>
        <v>0</v>
      </c>
      <c r="V400" s="50">
        <f t="shared" si="577"/>
        <v>0</v>
      </c>
      <c r="W400" s="50">
        <f t="shared" si="577"/>
        <v>0</v>
      </c>
      <c r="X400" s="50">
        <f t="shared" si="577"/>
        <v>0</v>
      </c>
      <c r="Y400" s="50">
        <f t="shared" si="577"/>
        <v>0</v>
      </c>
      <c r="Z400" s="50">
        <f t="shared" si="577"/>
        <v>0</v>
      </c>
      <c r="AA400" s="50">
        <f t="shared" si="577"/>
        <v>0</v>
      </c>
      <c r="AB400" s="50">
        <f t="shared" si="577"/>
        <v>0</v>
      </c>
      <c r="AC400" s="50">
        <f t="shared" si="577"/>
        <v>0</v>
      </c>
      <c r="AD400" s="50">
        <f t="shared" si="577"/>
        <v>0</v>
      </c>
      <c r="AE400" s="50">
        <f t="shared" si="577"/>
        <v>0</v>
      </c>
      <c r="AF400" s="50">
        <f t="shared" si="577"/>
        <v>0</v>
      </c>
      <c r="AG400" s="50">
        <f t="shared" si="577"/>
        <v>0</v>
      </c>
      <c r="AH400" s="50">
        <f t="shared" si="577"/>
        <v>0</v>
      </c>
      <c r="AI400" s="50">
        <f t="shared" si="577"/>
        <v>0</v>
      </c>
      <c r="AJ400" s="50">
        <f t="shared" si="577"/>
        <v>0</v>
      </c>
      <c r="AK400" s="50">
        <f t="shared" si="577"/>
        <v>0</v>
      </c>
      <c r="AL400" s="50">
        <f t="shared" si="577"/>
        <v>0</v>
      </c>
      <c r="AM400" s="50">
        <f t="shared" si="577"/>
        <v>0</v>
      </c>
      <c r="AN400" s="50">
        <f t="shared" si="577"/>
        <v>0</v>
      </c>
      <c r="AO400" s="50">
        <f t="shared" si="577"/>
        <v>0</v>
      </c>
      <c r="AP400" s="50">
        <f t="shared" si="577"/>
        <v>0</v>
      </c>
      <c r="AQ400" s="50">
        <f t="shared" si="577"/>
        <v>0</v>
      </c>
      <c r="AR400" s="50">
        <f t="shared" si="577"/>
        <v>0</v>
      </c>
      <c r="AS400" s="50">
        <f t="shared" si="577"/>
        <v>0</v>
      </c>
      <c r="AT400" s="50">
        <f t="shared" si="577"/>
        <v>0</v>
      </c>
      <c r="AU400" s="50">
        <f t="shared" si="577"/>
        <v>0</v>
      </c>
      <c r="AV400" s="50">
        <f t="shared" si="577"/>
        <v>0</v>
      </c>
      <c r="AW400" s="50">
        <f t="shared" si="577"/>
        <v>0</v>
      </c>
      <c r="AX400" s="50">
        <f t="shared" si="577"/>
        <v>0</v>
      </c>
      <c r="AY400" s="50">
        <f t="shared" ref="AY400:BF400" si="578">+AY393-SUM(AY394:AY399)</f>
        <v>0</v>
      </c>
      <c r="AZ400" s="50">
        <f t="shared" si="578"/>
        <v>0</v>
      </c>
      <c r="BA400" s="50">
        <f t="shared" si="578"/>
        <v>0</v>
      </c>
      <c r="BB400" s="50">
        <f t="shared" si="578"/>
        <v>0</v>
      </c>
      <c r="BC400" s="50">
        <f t="shared" si="578"/>
        <v>0</v>
      </c>
      <c r="BD400" s="50">
        <f t="shared" si="578"/>
        <v>0</v>
      </c>
      <c r="BE400" s="50">
        <f t="shared" si="578"/>
        <v>0</v>
      </c>
      <c r="BF400" s="50">
        <f t="shared" si="578"/>
        <v>0</v>
      </c>
      <c r="BG400" s="50">
        <f t="shared" ref="BG400:BH400" si="579">+BG393-SUM(BG394:BG399)</f>
        <v>0</v>
      </c>
      <c r="BH400" s="50" t="e">
        <f t="shared" si="579"/>
        <v>#NAME?</v>
      </c>
      <c r="CE400"/>
      <c r="CG400" s="50">
        <f t="shared" si="574"/>
        <v>0</v>
      </c>
      <c r="CH400" s="50">
        <f t="shared" si="574"/>
        <v>0</v>
      </c>
      <c r="CI400" s="50">
        <f t="shared" si="574"/>
        <v>0</v>
      </c>
      <c r="CJ400" s="50">
        <f t="shared" si="574"/>
        <v>0</v>
      </c>
      <c r="CK400" s="50">
        <f t="shared" si="574"/>
        <v>0</v>
      </c>
      <c r="CL400" s="50">
        <f t="shared" si="574"/>
        <v>0</v>
      </c>
      <c r="CM400" s="50">
        <f t="shared" si="574"/>
        <v>0</v>
      </c>
      <c r="CN400" s="50">
        <f t="shared" si="574"/>
        <v>0</v>
      </c>
      <c r="CO400" s="50">
        <f t="shared" si="574"/>
        <v>0</v>
      </c>
      <c r="CP400" s="50">
        <f t="shared" si="574"/>
        <v>0</v>
      </c>
      <c r="CQ400" s="50">
        <f t="shared" si="574"/>
        <v>0</v>
      </c>
      <c r="CR400" s="50">
        <f t="shared" si="574"/>
        <v>0</v>
      </c>
      <c r="CS400" s="50">
        <f t="shared" si="574"/>
        <v>0</v>
      </c>
      <c r="CT400" s="50" t="e">
        <f t="shared" si="574"/>
        <v>#NAME?</v>
      </c>
      <c r="CU400" s="50">
        <f t="shared" si="574"/>
        <v>0</v>
      </c>
      <c r="CV400" s="50">
        <f t="shared" si="574"/>
        <v>0</v>
      </c>
      <c r="CW400" s="50">
        <f t="shared" si="574"/>
        <v>0</v>
      </c>
      <c r="CX400" s="50">
        <f t="shared" si="574"/>
        <v>0</v>
      </c>
    </row>
    <row r="401" spans="2:102" s="10" customFormat="1" ht="15" customHeight="1" x14ac:dyDescent="0.25">
      <c r="B401" s="10" t="s">
        <v>276</v>
      </c>
      <c r="S401" s="61">
        <f t="shared" ref="S401:BE401" si="580">+S578</f>
        <v>4</v>
      </c>
      <c r="T401" s="61">
        <f t="shared" si="580"/>
        <v>183</v>
      </c>
      <c r="U401" s="61">
        <f t="shared" si="580"/>
        <v>682</v>
      </c>
      <c r="V401" s="61">
        <f t="shared" si="580"/>
        <v>198</v>
      </c>
      <c r="W401" s="61">
        <f t="shared" si="580"/>
        <v>-71</v>
      </c>
      <c r="X401" s="61">
        <f t="shared" si="580"/>
        <v>9</v>
      </c>
      <c r="Y401" s="61">
        <f t="shared" si="580"/>
        <v>889</v>
      </c>
      <c r="Z401" s="61">
        <f t="shared" si="580"/>
        <v>396</v>
      </c>
      <c r="AA401" s="61">
        <f t="shared" si="580"/>
        <v>-118</v>
      </c>
      <c r="AB401" s="61">
        <f t="shared" si="580"/>
        <v>109</v>
      </c>
      <c r="AC401" s="61">
        <f t="shared" si="580"/>
        <v>1115</v>
      </c>
      <c r="AD401" s="61">
        <f t="shared" si="580"/>
        <v>407</v>
      </c>
      <c r="AE401" s="61">
        <f t="shared" si="580"/>
        <v>176</v>
      </c>
      <c r="AF401" s="61">
        <f t="shared" si="580"/>
        <v>52</v>
      </c>
      <c r="AG401" s="61">
        <f t="shared" si="580"/>
        <v>849</v>
      </c>
      <c r="AH401" s="61">
        <f t="shared" si="580"/>
        <v>615</v>
      </c>
      <c r="AI401" s="61">
        <f t="shared" si="580"/>
        <v>120</v>
      </c>
      <c r="AJ401" s="61">
        <f t="shared" si="580"/>
        <v>-126</v>
      </c>
      <c r="AK401" s="61">
        <f t="shared" si="580"/>
        <v>954</v>
      </c>
      <c r="AL401" s="61">
        <f t="shared" si="580"/>
        <v>599</v>
      </c>
      <c r="AM401" s="61">
        <f t="shared" si="580"/>
        <v>158</v>
      </c>
      <c r="AN401" s="61">
        <f t="shared" si="580"/>
        <v>37</v>
      </c>
      <c r="AO401" s="61">
        <f t="shared" si="580"/>
        <v>1104</v>
      </c>
      <c r="AP401" s="61">
        <f t="shared" si="580"/>
        <v>498</v>
      </c>
      <c r="AQ401" s="61">
        <f t="shared" si="580"/>
        <v>378</v>
      </c>
      <c r="AR401" s="61">
        <f t="shared" si="580"/>
        <v>61</v>
      </c>
      <c r="AS401" s="61">
        <f t="shared" si="580"/>
        <v>1124</v>
      </c>
      <c r="AT401" s="61">
        <f t="shared" si="580"/>
        <v>371</v>
      </c>
      <c r="AU401" s="61">
        <f t="shared" si="580"/>
        <v>-143</v>
      </c>
      <c r="AV401" s="61">
        <f t="shared" si="580"/>
        <v>64</v>
      </c>
      <c r="AW401" s="61">
        <f t="shared" si="580"/>
        <v>1534</v>
      </c>
      <c r="AX401" s="61">
        <f t="shared" si="580"/>
        <v>444</v>
      </c>
      <c r="AY401" s="61">
        <f t="shared" si="580"/>
        <v>-78</v>
      </c>
      <c r="AZ401" s="61">
        <f t="shared" si="580"/>
        <v>-112</v>
      </c>
      <c r="BA401" s="61">
        <f t="shared" si="580"/>
        <v>1123</v>
      </c>
      <c r="BB401" s="61">
        <f t="shared" si="580"/>
        <v>617</v>
      </c>
      <c r="BC401" s="61">
        <f t="shared" si="580"/>
        <v>359</v>
      </c>
      <c r="BD401" s="61">
        <f t="shared" si="580"/>
        <v>112</v>
      </c>
      <c r="BE401" s="61">
        <f t="shared" si="580"/>
        <v>1264</v>
      </c>
      <c r="BF401" s="61">
        <f>+BF578</f>
        <v>580</v>
      </c>
      <c r="BG401" s="61">
        <f>+BG578</f>
        <v>120</v>
      </c>
      <c r="BH401" s="61" t="e">
        <f>+BH578</f>
        <v>#NAME?</v>
      </c>
      <c r="BI401" s="57">
        <f t="shared" ref="BI401:CD401" si="581">+SUM(BI389:BI393)</f>
        <v>1187.0996675649694</v>
      </c>
      <c r="BJ401" s="57">
        <f t="shared" si="581"/>
        <v>473.29385345681072</v>
      </c>
      <c r="BK401" s="57">
        <f t="shared" si="581"/>
        <v>155.69555424629462</v>
      </c>
      <c r="BL401" s="57">
        <f t="shared" si="581"/>
        <v>652.52008961084528</v>
      </c>
      <c r="BM401" s="57">
        <f t="shared" si="581"/>
        <v>1019.2237646589596</v>
      </c>
      <c r="BN401" s="57">
        <f t="shared" si="581"/>
        <v>369.06788223795422</v>
      </c>
      <c r="BO401" s="57">
        <f t="shared" si="581"/>
        <v>361.95298800177704</v>
      </c>
      <c r="BP401" s="57">
        <f t="shared" si="581"/>
        <v>669.09500801843546</v>
      </c>
      <c r="BQ401" s="57">
        <f t="shared" si="581"/>
        <v>925.49538599372033</v>
      </c>
      <c r="BR401" s="57">
        <f t="shared" si="581"/>
        <v>384.86273416364349</v>
      </c>
      <c r="BS401" s="57">
        <f t="shared" si="581"/>
        <v>342.67953296852659</v>
      </c>
      <c r="BT401" s="57">
        <f t="shared" si="581"/>
        <v>662.94049535811871</v>
      </c>
      <c r="BU401" s="57">
        <f t="shared" si="581"/>
        <v>914.45689857350897</v>
      </c>
      <c r="BV401" s="57">
        <f t="shared" si="581"/>
        <v>367.65275478217228</v>
      </c>
      <c r="BW401" s="57">
        <f t="shared" si="581"/>
        <v>351.56869122409989</v>
      </c>
      <c r="BX401" s="57">
        <f t="shared" si="581"/>
        <v>695.89135100250792</v>
      </c>
      <c r="BY401" s="57">
        <f t="shared" si="581"/>
        <v>956.00932281197572</v>
      </c>
      <c r="BZ401" s="57">
        <f t="shared" si="581"/>
        <v>389.97126041287606</v>
      </c>
      <c r="CA401" s="57">
        <f t="shared" si="581"/>
        <v>388.43822242168204</v>
      </c>
      <c r="CB401" s="57">
        <f t="shared" si="581"/>
        <v>752.99349534948328</v>
      </c>
      <c r="CC401" s="57">
        <f t="shared" si="581"/>
        <v>1041.6345259467334</v>
      </c>
      <c r="CD401" s="57">
        <f t="shared" si="581"/>
        <v>448.6043667153499</v>
      </c>
      <c r="CE401"/>
      <c r="CG401" s="46">
        <f t="shared" si="574"/>
        <v>0</v>
      </c>
      <c r="CH401" s="46">
        <f t="shared" si="574"/>
        <v>0</v>
      </c>
      <c r="CI401" s="46">
        <f t="shared" si="574"/>
        <v>0</v>
      </c>
      <c r="CJ401" s="46">
        <f t="shared" si="574"/>
        <v>1067</v>
      </c>
      <c r="CK401" s="46">
        <f t="shared" si="574"/>
        <v>1223</v>
      </c>
      <c r="CL401" s="46">
        <f t="shared" si="574"/>
        <v>1513</v>
      </c>
      <c r="CM401" s="46">
        <f t="shared" si="574"/>
        <v>1692</v>
      </c>
      <c r="CN401" s="46">
        <f t="shared" si="574"/>
        <v>1547</v>
      </c>
      <c r="CO401" s="46">
        <f t="shared" si="574"/>
        <v>1797</v>
      </c>
      <c r="CP401" s="46">
        <f t="shared" si="574"/>
        <v>1934</v>
      </c>
      <c r="CQ401" s="46">
        <f t="shared" si="574"/>
        <v>1899</v>
      </c>
      <c r="CR401" s="46">
        <f t="shared" si="574"/>
        <v>1550</v>
      </c>
      <c r="CS401" s="46">
        <f t="shared" si="574"/>
        <v>2315</v>
      </c>
      <c r="CT401" s="47" t="e">
        <f t="shared" si="574"/>
        <v>#NAME?</v>
      </c>
      <c r="CU401" s="47">
        <f t="shared" si="574"/>
        <v>2196.5072907540534</v>
      </c>
      <c r="CV401" s="47">
        <f t="shared" si="574"/>
        <v>2341.4061161775762</v>
      </c>
      <c r="CW401" s="47">
        <f t="shared" si="574"/>
        <v>2287.7296816823268</v>
      </c>
      <c r="CX401" s="47">
        <f t="shared" si="574"/>
        <v>2393.4406254514597</v>
      </c>
    </row>
    <row r="402" spans="2:102" ht="15" customHeight="1" x14ac:dyDescent="0.25">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c r="CA402" s="24"/>
      <c r="CB402" s="24"/>
      <c r="CC402" s="24"/>
      <c r="CD402" s="24"/>
      <c r="CG402" s="29"/>
      <c r="CH402" s="29"/>
      <c r="CI402" s="29"/>
      <c r="CJ402" s="29"/>
      <c r="CK402" s="29"/>
      <c r="CL402" s="29"/>
      <c r="CM402" s="29"/>
      <c r="CN402" s="29"/>
      <c r="CO402" s="29"/>
      <c r="CP402" s="29"/>
      <c r="CQ402" s="29"/>
      <c r="CR402" s="29"/>
      <c r="CS402" s="29"/>
      <c r="CT402" s="97"/>
      <c r="CU402" s="97"/>
      <c r="CV402" s="97"/>
      <c r="CW402" s="97"/>
      <c r="CX402" s="97"/>
    </row>
    <row r="403" spans="2:102" ht="15" customHeight="1" x14ac:dyDescent="0.25">
      <c r="B403" s="182" t="s">
        <v>277</v>
      </c>
      <c r="C403" s="182"/>
      <c r="D403" s="182"/>
      <c r="E403" s="182"/>
      <c r="F403" s="182"/>
      <c r="G403" s="182"/>
      <c r="H403" s="182"/>
      <c r="I403" s="182"/>
      <c r="J403" s="182"/>
      <c r="K403" s="182"/>
      <c r="L403" s="182"/>
      <c r="M403" s="182"/>
      <c r="N403" s="182"/>
      <c r="O403" s="182"/>
      <c r="P403" s="182"/>
      <c r="Q403" s="182"/>
      <c r="R403" s="182"/>
      <c r="S403" s="87">
        <f t="shared" ref="S403:BH404" si="582">S580</f>
        <v>-27</v>
      </c>
      <c r="T403" s="87">
        <f t="shared" si="582"/>
        <v>-21</v>
      </c>
      <c r="U403" s="87">
        <f t="shared" si="582"/>
        <v>-15</v>
      </c>
      <c r="V403" s="87">
        <f t="shared" si="582"/>
        <v>-32</v>
      </c>
      <c r="W403" s="87">
        <f t="shared" si="582"/>
        <v>-24</v>
      </c>
      <c r="X403" s="87">
        <f t="shared" si="582"/>
        <v>-18</v>
      </c>
      <c r="Y403" s="87">
        <f t="shared" si="582"/>
        <v>-21</v>
      </c>
      <c r="Z403" s="87">
        <f t="shared" si="582"/>
        <v>-30</v>
      </c>
      <c r="AA403" s="87">
        <f t="shared" si="582"/>
        <v>-40</v>
      </c>
      <c r="AB403" s="87">
        <f t="shared" si="582"/>
        <v>-29</v>
      </c>
      <c r="AC403" s="87">
        <f t="shared" si="582"/>
        <v>-25</v>
      </c>
      <c r="AD403" s="87">
        <f t="shared" si="582"/>
        <v>-29</v>
      </c>
      <c r="AE403" s="87">
        <f t="shared" si="582"/>
        <v>-33</v>
      </c>
      <c r="AF403" s="87">
        <f t="shared" si="582"/>
        <v>-30</v>
      </c>
      <c r="AG403" s="87">
        <f t="shared" si="582"/>
        <v>-24</v>
      </c>
      <c r="AH403" s="87">
        <f t="shared" si="582"/>
        <v>-20</v>
      </c>
      <c r="AI403" s="87">
        <f t="shared" si="582"/>
        <v>-32</v>
      </c>
      <c r="AJ403" s="87">
        <f t="shared" si="582"/>
        <v>-31</v>
      </c>
      <c r="AK403" s="87">
        <f t="shared" si="582"/>
        <v>-21</v>
      </c>
      <c r="AL403" s="87">
        <f t="shared" si="582"/>
        <v>-35</v>
      </c>
      <c r="AM403" s="87">
        <f t="shared" si="582"/>
        <v>-45</v>
      </c>
      <c r="AN403" s="87">
        <f t="shared" si="582"/>
        <v>-27</v>
      </c>
      <c r="AO403" s="87">
        <f t="shared" si="582"/>
        <v>-28</v>
      </c>
      <c r="AP403" s="87">
        <f t="shared" si="582"/>
        <v>-40</v>
      </c>
      <c r="AQ403" s="87">
        <f t="shared" si="582"/>
        <v>-38</v>
      </c>
      <c r="AR403" s="87">
        <f t="shared" si="582"/>
        <v>-25</v>
      </c>
      <c r="AS403" s="87">
        <f t="shared" si="582"/>
        <v>-30</v>
      </c>
      <c r="AT403" s="87">
        <f t="shared" si="582"/>
        <v>-31</v>
      </c>
      <c r="AU403" s="87">
        <f t="shared" si="582"/>
        <v>-44</v>
      </c>
      <c r="AV403" s="87">
        <f t="shared" si="582"/>
        <v>-43</v>
      </c>
      <c r="AW403" s="87">
        <f t="shared" si="582"/>
        <v>-48</v>
      </c>
      <c r="AX403" s="87">
        <f t="shared" si="582"/>
        <v>-53</v>
      </c>
      <c r="AY403" s="87">
        <f t="shared" si="582"/>
        <v>-59</v>
      </c>
      <c r="AZ403" s="87">
        <f t="shared" si="582"/>
        <v>-53</v>
      </c>
      <c r="BA403" s="87">
        <f t="shared" si="582"/>
        <v>-48</v>
      </c>
      <c r="BB403" s="87">
        <f t="shared" si="582"/>
        <v>-47</v>
      </c>
      <c r="BC403" s="87">
        <f t="shared" si="582"/>
        <v>-45</v>
      </c>
      <c r="BD403" s="87">
        <f t="shared" si="582"/>
        <v>-51</v>
      </c>
      <c r="BE403" s="87">
        <f t="shared" si="582"/>
        <v>-52</v>
      </c>
      <c r="BF403" s="87">
        <f t="shared" si="582"/>
        <v>-51</v>
      </c>
      <c r="BG403" s="87">
        <f t="shared" si="582"/>
        <v>-67</v>
      </c>
      <c r="BH403" s="87" t="e">
        <f t="shared" si="582"/>
        <v>#NAME?</v>
      </c>
      <c r="BI403" s="73">
        <v>-50</v>
      </c>
      <c r="BJ403" s="73">
        <v>-50</v>
      </c>
      <c r="BK403" s="73">
        <v>-50</v>
      </c>
      <c r="BL403" s="73">
        <v>-50</v>
      </c>
      <c r="BM403" s="73">
        <v>-50</v>
      </c>
      <c r="BN403" s="73">
        <v>-50</v>
      </c>
      <c r="BO403" s="73">
        <v>-50</v>
      </c>
      <c r="BP403" s="73">
        <v>-50</v>
      </c>
      <c r="BQ403" s="73">
        <v>-50</v>
      </c>
      <c r="BR403" s="73">
        <v>-50</v>
      </c>
      <c r="BS403" s="73">
        <v>-50</v>
      </c>
      <c r="BT403" s="73">
        <v>-50</v>
      </c>
      <c r="BU403" s="73">
        <v>-50</v>
      </c>
      <c r="BV403" s="73">
        <v>-50</v>
      </c>
      <c r="BW403" s="73">
        <v>-50</v>
      </c>
      <c r="BX403" s="73">
        <v>-50</v>
      </c>
      <c r="BY403" s="73">
        <v>-50</v>
      </c>
      <c r="BZ403" s="73">
        <v>-50</v>
      </c>
      <c r="CA403" s="73">
        <v>-50</v>
      </c>
      <c r="CB403" s="73">
        <v>-50</v>
      </c>
      <c r="CC403" s="73">
        <v>-50</v>
      </c>
      <c r="CD403" s="73">
        <v>-50</v>
      </c>
      <c r="CG403" s="29">
        <f t="shared" ref="CG403:CX406" si="583">+SUMIFS($S403:$CD403,$S$5:$CD$5,"&lt;="&amp;CG$5,$S$5:$CD$5,"&gt;"&amp;CF$5)</f>
        <v>0</v>
      </c>
      <c r="CH403" s="29">
        <f t="shared" si="583"/>
        <v>0</v>
      </c>
      <c r="CI403" s="29">
        <f t="shared" si="583"/>
        <v>0</v>
      </c>
      <c r="CJ403" s="29">
        <f t="shared" si="583"/>
        <v>-95</v>
      </c>
      <c r="CK403" s="29">
        <f t="shared" si="583"/>
        <v>-93</v>
      </c>
      <c r="CL403" s="29">
        <f t="shared" si="583"/>
        <v>-123</v>
      </c>
      <c r="CM403" s="29">
        <f t="shared" si="583"/>
        <v>-107</v>
      </c>
      <c r="CN403" s="29">
        <f t="shared" si="583"/>
        <v>-119</v>
      </c>
      <c r="CO403" s="29">
        <f t="shared" si="583"/>
        <v>-140</v>
      </c>
      <c r="CP403" s="29">
        <f t="shared" si="583"/>
        <v>-124</v>
      </c>
      <c r="CQ403" s="29">
        <f t="shared" si="583"/>
        <v>-188</v>
      </c>
      <c r="CR403" s="29">
        <f t="shared" si="583"/>
        <v>-207</v>
      </c>
      <c r="CS403" s="29">
        <f t="shared" si="583"/>
        <v>-199</v>
      </c>
      <c r="CT403" s="97" t="e">
        <f t="shared" si="583"/>
        <v>#NAME?</v>
      </c>
      <c r="CU403" s="97">
        <f t="shared" si="583"/>
        <v>-200</v>
      </c>
      <c r="CV403" s="97">
        <f t="shared" si="583"/>
        <v>-200</v>
      </c>
      <c r="CW403" s="97">
        <f t="shared" si="583"/>
        <v>-200</v>
      </c>
      <c r="CX403" s="97">
        <f t="shared" si="583"/>
        <v>-200</v>
      </c>
    </row>
    <row r="404" spans="2:102" ht="15" customHeight="1" x14ac:dyDescent="0.25">
      <c r="B404" s="182" t="s">
        <v>278</v>
      </c>
      <c r="C404" s="182"/>
      <c r="D404" s="182"/>
      <c r="E404" s="182"/>
      <c r="F404" s="182"/>
      <c r="G404" s="182"/>
      <c r="H404" s="182"/>
      <c r="I404" s="182"/>
      <c r="J404" s="182"/>
      <c r="K404" s="182"/>
      <c r="L404" s="182"/>
      <c r="M404" s="182"/>
      <c r="N404" s="182"/>
      <c r="O404" s="182"/>
      <c r="P404" s="182"/>
      <c r="Q404" s="182"/>
      <c r="R404" s="182"/>
      <c r="S404" s="87">
        <f>S581</f>
        <v>-180</v>
      </c>
      <c r="T404" s="87">
        <f t="shared" si="582"/>
        <v>-5</v>
      </c>
      <c r="U404" s="87">
        <f t="shared" si="582"/>
        <v>-12</v>
      </c>
      <c r="V404" s="87">
        <f t="shared" si="582"/>
        <v>-178</v>
      </c>
      <c r="W404" s="87">
        <f t="shared" si="582"/>
        <v>-116</v>
      </c>
      <c r="X404" s="87">
        <f t="shared" si="582"/>
        <v>78</v>
      </c>
      <c r="Y404" s="87">
        <f t="shared" si="582"/>
        <v>18</v>
      </c>
      <c r="Z404" s="87">
        <f t="shared" si="582"/>
        <v>-371</v>
      </c>
      <c r="AA404" s="87">
        <f t="shared" si="582"/>
        <v>-41</v>
      </c>
      <c r="AB404" s="87">
        <f t="shared" si="582"/>
        <v>-139</v>
      </c>
      <c r="AC404" s="87">
        <f t="shared" si="582"/>
        <v>-224</v>
      </c>
      <c r="AD404" s="87">
        <f t="shared" si="582"/>
        <v>-232</v>
      </c>
      <c r="AE404" s="87">
        <f t="shared" si="582"/>
        <v>-255</v>
      </c>
      <c r="AF404" s="87">
        <f t="shared" si="582"/>
        <v>-90</v>
      </c>
      <c r="AG404" s="87">
        <f t="shared" si="582"/>
        <v>-11</v>
      </c>
      <c r="AH404" s="87">
        <f t="shared" si="582"/>
        <v>1235</v>
      </c>
      <c r="AI404" s="87">
        <f t="shared" si="582"/>
        <v>-21</v>
      </c>
      <c r="AJ404" s="87">
        <f t="shared" si="582"/>
        <v>-562</v>
      </c>
      <c r="AK404" s="87">
        <f t="shared" si="582"/>
        <v>394</v>
      </c>
      <c r="AL404" s="87">
        <f t="shared" si="582"/>
        <v>535</v>
      </c>
      <c r="AM404" s="87">
        <f t="shared" si="582"/>
        <v>-905</v>
      </c>
      <c r="AN404" s="87">
        <f t="shared" si="582"/>
        <v>-286</v>
      </c>
      <c r="AO404" s="87">
        <f t="shared" si="582"/>
        <v>-55</v>
      </c>
      <c r="AP404" s="87">
        <f t="shared" si="582"/>
        <v>29</v>
      </c>
      <c r="AQ404" s="87">
        <f t="shared" si="582"/>
        <v>30</v>
      </c>
      <c r="AR404" s="87">
        <f t="shared" si="582"/>
        <v>-28</v>
      </c>
      <c r="AS404" s="87">
        <f t="shared" si="582"/>
        <v>30</v>
      </c>
      <c r="AT404" s="87">
        <f t="shared" si="582"/>
        <v>826</v>
      </c>
      <c r="AU404" s="87">
        <f t="shared" si="582"/>
        <v>222</v>
      </c>
      <c r="AV404" s="87">
        <f t="shared" si="582"/>
        <v>537</v>
      </c>
      <c r="AW404" s="87">
        <f t="shared" si="582"/>
        <v>-4</v>
      </c>
      <c r="AX404" s="87">
        <f t="shared" si="582"/>
        <v>20</v>
      </c>
      <c r="AY404" s="87">
        <f t="shared" si="582"/>
        <v>-6</v>
      </c>
      <c r="AZ404" s="87">
        <f t="shared" si="582"/>
        <v>-1</v>
      </c>
      <c r="BA404" s="87">
        <f t="shared" si="582"/>
        <v>-13</v>
      </c>
      <c r="BB404" s="87">
        <f t="shared" si="582"/>
        <v>10</v>
      </c>
      <c r="BC404" s="87">
        <f t="shared" si="582"/>
        <v>1</v>
      </c>
      <c r="BD404" s="87">
        <f t="shared" si="582"/>
        <v>-12</v>
      </c>
      <c r="BE404" s="87">
        <f t="shared" si="582"/>
        <v>1</v>
      </c>
      <c r="BF404" s="87">
        <f t="shared" si="582"/>
        <v>2</v>
      </c>
      <c r="BG404" s="87">
        <f t="shared" si="582"/>
        <v>-2</v>
      </c>
      <c r="BH404" s="87" t="e">
        <f t="shared" si="582"/>
        <v>#NAME?</v>
      </c>
      <c r="BI404" s="73">
        <v>0</v>
      </c>
      <c r="BJ404" s="73">
        <v>0</v>
      </c>
      <c r="BK404" s="73">
        <v>0</v>
      </c>
      <c r="BL404" s="73">
        <v>0</v>
      </c>
      <c r="BM404" s="73">
        <v>0</v>
      </c>
      <c r="BN404" s="73">
        <v>0</v>
      </c>
      <c r="BO404" s="73">
        <v>0</v>
      </c>
      <c r="BP404" s="73">
        <v>0</v>
      </c>
      <c r="BQ404" s="73">
        <v>0</v>
      </c>
      <c r="BR404" s="73">
        <v>0</v>
      </c>
      <c r="BS404" s="73">
        <v>0</v>
      </c>
      <c r="BT404" s="73">
        <v>0</v>
      </c>
      <c r="BU404" s="73">
        <v>0</v>
      </c>
      <c r="BV404" s="73">
        <v>0</v>
      </c>
      <c r="BW404" s="73">
        <v>0</v>
      </c>
      <c r="BX404" s="73">
        <v>0</v>
      </c>
      <c r="BY404" s="73">
        <v>0</v>
      </c>
      <c r="BZ404" s="73">
        <v>0</v>
      </c>
      <c r="CA404" s="73">
        <v>0</v>
      </c>
      <c r="CB404" s="73">
        <v>0</v>
      </c>
      <c r="CC404" s="73">
        <v>0</v>
      </c>
      <c r="CD404" s="73">
        <v>0</v>
      </c>
      <c r="CG404" s="29">
        <f t="shared" si="583"/>
        <v>0</v>
      </c>
      <c r="CH404" s="29">
        <f t="shared" si="583"/>
        <v>0</v>
      </c>
      <c r="CI404" s="29">
        <f t="shared" si="583"/>
        <v>0</v>
      </c>
      <c r="CJ404" s="29">
        <f t="shared" si="583"/>
        <v>-375</v>
      </c>
      <c r="CK404" s="29">
        <f t="shared" si="583"/>
        <v>-391</v>
      </c>
      <c r="CL404" s="29">
        <f t="shared" si="583"/>
        <v>-636</v>
      </c>
      <c r="CM404" s="29">
        <f t="shared" si="583"/>
        <v>879</v>
      </c>
      <c r="CN404" s="29">
        <f t="shared" si="583"/>
        <v>346</v>
      </c>
      <c r="CO404" s="29">
        <f t="shared" si="583"/>
        <v>-1217</v>
      </c>
      <c r="CP404" s="29">
        <f t="shared" si="583"/>
        <v>858</v>
      </c>
      <c r="CQ404" s="29">
        <f t="shared" si="583"/>
        <v>775</v>
      </c>
      <c r="CR404" s="29">
        <f t="shared" si="583"/>
        <v>-10</v>
      </c>
      <c r="CS404" s="29">
        <f t="shared" si="583"/>
        <v>-8</v>
      </c>
      <c r="CT404" s="97" t="e">
        <f t="shared" si="583"/>
        <v>#NAME?</v>
      </c>
      <c r="CU404" s="97">
        <f t="shared" si="583"/>
        <v>0</v>
      </c>
      <c r="CV404" s="97">
        <f t="shared" si="583"/>
        <v>0</v>
      </c>
      <c r="CW404" s="97">
        <f t="shared" si="583"/>
        <v>0</v>
      </c>
      <c r="CX404" s="97">
        <f t="shared" si="583"/>
        <v>0</v>
      </c>
    </row>
    <row r="405" spans="2:102" ht="15" customHeight="1" x14ac:dyDescent="0.25">
      <c r="B405" s="182" t="s">
        <v>273</v>
      </c>
      <c r="C405" s="182"/>
      <c r="D405" s="182"/>
      <c r="E405" s="182"/>
      <c r="F405" s="182"/>
      <c r="G405" s="182"/>
      <c r="H405" s="182"/>
      <c r="I405" s="182"/>
      <c r="J405" s="182"/>
      <c r="K405" s="182"/>
      <c r="L405" s="182"/>
      <c r="M405" s="182"/>
      <c r="N405" s="182"/>
      <c r="O405" s="182"/>
      <c r="P405" s="182"/>
      <c r="Q405" s="182"/>
      <c r="R405" s="182"/>
      <c r="S405" s="24">
        <f t="shared" ref="S405" si="584">+S406-SUM(S403:S404)</f>
        <v>0</v>
      </c>
      <c r="T405" s="24">
        <f t="shared" ref="T405" si="585">+T406-SUM(T403:T404)</f>
        <v>0</v>
      </c>
      <c r="U405" s="24">
        <f t="shared" ref="U405:BH405" si="586">+U406-SUM(U403:U404)</f>
        <v>0</v>
      </c>
      <c r="V405" s="24">
        <f t="shared" si="586"/>
        <v>0</v>
      </c>
      <c r="W405" s="24">
        <f t="shared" si="586"/>
        <v>0</v>
      </c>
      <c r="X405" s="24">
        <f t="shared" si="586"/>
        <v>0</v>
      </c>
      <c r="Y405" s="24">
        <f t="shared" si="586"/>
        <v>0</v>
      </c>
      <c r="Z405" s="24">
        <f t="shared" si="586"/>
        <v>0</v>
      </c>
      <c r="AA405" s="24">
        <f t="shared" si="586"/>
        <v>0</v>
      </c>
      <c r="AB405" s="24">
        <f t="shared" si="586"/>
        <v>0</v>
      </c>
      <c r="AC405" s="24">
        <f t="shared" si="586"/>
        <v>0</v>
      </c>
      <c r="AD405" s="24">
        <f t="shared" si="586"/>
        <v>0</v>
      </c>
      <c r="AE405" s="24">
        <f t="shared" si="586"/>
        <v>0</v>
      </c>
      <c r="AF405" s="24">
        <f t="shared" si="586"/>
        <v>0</v>
      </c>
      <c r="AG405" s="24">
        <f t="shared" si="586"/>
        <v>-150</v>
      </c>
      <c r="AH405" s="24">
        <f t="shared" si="586"/>
        <v>0</v>
      </c>
      <c r="AI405" s="24">
        <f t="shared" si="586"/>
        <v>-50</v>
      </c>
      <c r="AJ405" s="24">
        <f t="shared" si="586"/>
        <v>-8</v>
      </c>
      <c r="AK405" s="24">
        <f t="shared" si="586"/>
        <v>0</v>
      </c>
      <c r="AL405" s="24">
        <f t="shared" si="586"/>
        <v>0</v>
      </c>
      <c r="AM405" s="24">
        <f t="shared" si="586"/>
        <v>0</v>
      </c>
      <c r="AN405" s="24">
        <f t="shared" si="586"/>
        <v>0</v>
      </c>
      <c r="AO405" s="24">
        <f t="shared" si="586"/>
        <v>0</v>
      </c>
      <c r="AP405" s="24">
        <f t="shared" si="586"/>
        <v>0</v>
      </c>
      <c r="AQ405" s="24">
        <f t="shared" si="586"/>
        <v>0</v>
      </c>
      <c r="AR405" s="24">
        <f t="shared" si="586"/>
        <v>0</v>
      </c>
      <c r="AS405" s="24">
        <f t="shared" si="586"/>
        <v>0</v>
      </c>
      <c r="AT405" s="24">
        <f t="shared" si="586"/>
        <v>-1239</v>
      </c>
      <c r="AU405" s="24">
        <f t="shared" si="586"/>
        <v>-1989</v>
      </c>
      <c r="AV405" s="24">
        <f t="shared" si="586"/>
        <v>-1405</v>
      </c>
      <c r="AW405" s="24">
        <f t="shared" si="586"/>
        <v>3</v>
      </c>
      <c r="AX405" s="24">
        <f t="shared" si="586"/>
        <v>0</v>
      </c>
      <c r="AY405" s="24">
        <f t="shared" si="586"/>
        <v>0</v>
      </c>
      <c r="AZ405" s="24">
        <f t="shared" si="586"/>
        <v>0</v>
      </c>
      <c r="BA405" s="24">
        <f t="shared" si="586"/>
        <v>0</v>
      </c>
      <c r="BB405" s="24">
        <f t="shared" si="586"/>
        <v>0</v>
      </c>
      <c r="BC405" s="24">
        <f t="shared" si="586"/>
        <v>0</v>
      </c>
      <c r="BD405" s="24">
        <f t="shared" si="586"/>
        <v>0</v>
      </c>
      <c r="BE405" s="24">
        <f t="shared" si="586"/>
        <v>0</v>
      </c>
      <c r="BF405" s="24">
        <f t="shared" si="586"/>
        <v>0</v>
      </c>
      <c r="BG405" s="24">
        <f t="shared" si="586"/>
        <v>0</v>
      </c>
      <c r="BH405" s="24" t="e">
        <f t="shared" si="586"/>
        <v>#NAME?</v>
      </c>
      <c r="BI405" s="73">
        <v>0</v>
      </c>
      <c r="BJ405" s="73">
        <v>0</v>
      </c>
      <c r="BK405" s="73">
        <v>0</v>
      </c>
      <c r="BL405" s="73">
        <v>0</v>
      </c>
      <c r="BM405" s="73">
        <v>0</v>
      </c>
      <c r="BN405" s="73">
        <v>0</v>
      </c>
      <c r="BO405" s="73">
        <v>0</v>
      </c>
      <c r="BP405" s="73">
        <v>0</v>
      </c>
      <c r="BQ405" s="73">
        <v>0</v>
      </c>
      <c r="BR405" s="73">
        <v>0</v>
      </c>
      <c r="BS405" s="73">
        <v>0</v>
      </c>
      <c r="BT405" s="73">
        <v>0</v>
      </c>
      <c r="BU405" s="73">
        <v>0</v>
      </c>
      <c r="BV405" s="73">
        <v>0</v>
      </c>
      <c r="BW405" s="73">
        <v>0</v>
      </c>
      <c r="BX405" s="73">
        <v>0</v>
      </c>
      <c r="BY405" s="73">
        <v>0</v>
      </c>
      <c r="BZ405" s="73">
        <v>0</v>
      </c>
      <c r="CA405" s="73">
        <v>0</v>
      </c>
      <c r="CB405" s="73">
        <v>0</v>
      </c>
      <c r="CC405" s="73">
        <v>0</v>
      </c>
      <c r="CD405" s="73">
        <v>0</v>
      </c>
      <c r="CG405" s="29">
        <f t="shared" si="583"/>
        <v>0</v>
      </c>
      <c r="CH405" s="29">
        <f t="shared" si="583"/>
        <v>0</v>
      </c>
      <c r="CI405" s="29">
        <f t="shared" si="583"/>
        <v>0</v>
      </c>
      <c r="CJ405" s="29">
        <f t="shared" si="583"/>
        <v>0</v>
      </c>
      <c r="CK405" s="29">
        <f t="shared" si="583"/>
        <v>0</v>
      </c>
      <c r="CL405" s="29">
        <f t="shared" si="583"/>
        <v>0</v>
      </c>
      <c r="CM405" s="29">
        <f t="shared" si="583"/>
        <v>-150</v>
      </c>
      <c r="CN405" s="29">
        <f t="shared" si="583"/>
        <v>-58</v>
      </c>
      <c r="CO405" s="29">
        <f t="shared" si="583"/>
        <v>0</v>
      </c>
      <c r="CP405" s="29">
        <f t="shared" si="583"/>
        <v>-1239</v>
      </c>
      <c r="CQ405" s="29">
        <f t="shared" si="583"/>
        <v>-3391</v>
      </c>
      <c r="CR405" s="29">
        <f t="shared" si="583"/>
        <v>0</v>
      </c>
      <c r="CS405" s="29">
        <f t="shared" si="583"/>
        <v>0</v>
      </c>
      <c r="CT405" s="97" t="e">
        <f t="shared" si="583"/>
        <v>#NAME?</v>
      </c>
      <c r="CU405" s="97">
        <f t="shared" si="583"/>
        <v>0</v>
      </c>
      <c r="CV405" s="97">
        <f t="shared" si="583"/>
        <v>0</v>
      </c>
      <c r="CW405" s="97">
        <f t="shared" si="583"/>
        <v>0</v>
      </c>
      <c r="CX405" s="97">
        <f t="shared" si="583"/>
        <v>0</v>
      </c>
    </row>
    <row r="406" spans="2:102" s="10" customFormat="1" ht="15" customHeight="1" x14ac:dyDescent="0.25">
      <c r="B406" s="183" t="s">
        <v>279</v>
      </c>
      <c r="C406" s="183"/>
      <c r="D406" s="183"/>
      <c r="E406" s="183"/>
      <c r="F406" s="183"/>
      <c r="G406" s="183"/>
      <c r="H406" s="183"/>
      <c r="I406" s="183"/>
      <c r="J406" s="183"/>
      <c r="K406" s="183"/>
      <c r="L406" s="183"/>
      <c r="M406" s="183"/>
      <c r="N406" s="183"/>
      <c r="O406" s="183"/>
      <c r="P406" s="183"/>
      <c r="Q406" s="183"/>
      <c r="R406" s="183"/>
      <c r="S406" s="61">
        <f>+S583</f>
        <v>-207</v>
      </c>
      <c r="T406" s="61">
        <f t="shared" ref="T406:BH408" si="587">+T583</f>
        <v>-26</v>
      </c>
      <c r="U406" s="61">
        <f t="shared" si="587"/>
        <v>-27</v>
      </c>
      <c r="V406" s="61">
        <f t="shared" si="587"/>
        <v>-210</v>
      </c>
      <c r="W406" s="61">
        <f t="shared" si="587"/>
        <v>-140</v>
      </c>
      <c r="X406" s="61">
        <f t="shared" si="587"/>
        <v>60</v>
      </c>
      <c r="Y406" s="61">
        <f t="shared" si="587"/>
        <v>-3</v>
      </c>
      <c r="Z406" s="61">
        <f t="shared" si="587"/>
        <v>-401</v>
      </c>
      <c r="AA406" s="61">
        <f t="shared" si="587"/>
        <v>-81</v>
      </c>
      <c r="AB406" s="61">
        <f t="shared" si="587"/>
        <v>-168</v>
      </c>
      <c r="AC406" s="61">
        <f t="shared" si="587"/>
        <v>-249</v>
      </c>
      <c r="AD406" s="61">
        <f t="shared" si="587"/>
        <v>-261</v>
      </c>
      <c r="AE406" s="61">
        <f t="shared" si="587"/>
        <v>-288</v>
      </c>
      <c r="AF406" s="61">
        <f t="shared" si="587"/>
        <v>-120</v>
      </c>
      <c r="AG406" s="61">
        <f t="shared" si="587"/>
        <v>-185</v>
      </c>
      <c r="AH406" s="61">
        <f t="shared" si="587"/>
        <v>1215</v>
      </c>
      <c r="AI406" s="61">
        <f t="shared" si="587"/>
        <v>-103</v>
      </c>
      <c r="AJ406" s="61">
        <f t="shared" si="587"/>
        <v>-601</v>
      </c>
      <c r="AK406" s="61">
        <f t="shared" si="587"/>
        <v>373</v>
      </c>
      <c r="AL406" s="61">
        <f t="shared" si="587"/>
        <v>500</v>
      </c>
      <c r="AM406" s="61">
        <f t="shared" si="587"/>
        <v>-950</v>
      </c>
      <c r="AN406" s="61">
        <f t="shared" si="587"/>
        <v>-313</v>
      </c>
      <c r="AO406" s="61">
        <f t="shared" si="587"/>
        <v>-83</v>
      </c>
      <c r="AP406" s="61">
        <f t="shared" si="587"/>
        <v>-11</v>
      </c>
      <c r="AQ406" s="61">
        <f t="shared" si="587"/>
        <v>-8</v>
      </c>
      <c r="AR406" s="61">
        <f t="shared" si="587"/>
        <v>-53</v>
      </c>
      <c r="AS406" s="61">
        <f t="shared" si="587"/>
        <v>0</v>
      </c>
      <c r="AT406" s="61">
        <f t="shared" si="587"/>
        <v>-444</v>
      </c>
      <c r="AU406" s="61">
        <f t="shared" si="587"/>
        <v>-1811</v>
      </c>
      <c r="AV406" s="61">
        <f t="shared" si="587"/>
        <v>-911</v>
      </c>
      <c r="AW406" s="61">
        <f t="shared" si="587"/>
        <v>-49</v>
      </c>
      <c r="AX406" s="61">
        <f t="shared" si="587"/>
        <v>-33</v>
      </c>
      <c r="AY406" s="61">
        <f t="shared" si="587"/>
        <v>-65</v>
      </c>
      <c r="AZ406" s="61">
        <f t="shared" si="587"/>
        <v>-54</v>
      </c>
      <c r="BA406" s="61">
        <f t="shared" si="587"/>
        <v>-61</v>
      </c>
      <c r="BB406" s="61">
        <f t="shared" si="587"/>
        <v>-37</v>
      </c>
      <c r="BC406" s="61">
        <f t="shared" si="587"/>
        <v>-44</v>
      </c>
      <c r="BD406" s="61">
        <f t="shared" si="587"/>
        <v>-63</v>
      </c>
      <c r="BE406" s="61">
        <f t="shared" si="587"/>
        <v>-51</v>
      </c>
      <c r="BF406" s="61">
        <f t="shared" si="587"/>
        <v>-49</v>
      </c>
      <c r="BG406" s="61">
        <f t="shared" si="587"/>
        <v>-69</v>
      </c>
      <c r="BH406" s="61" t="e">
        <f t="shared" si="587"/>
        <v>#NAME?</v>
      </c>
      <c r="BI406" s="57">
        <f t="shared" ref="BI406:CD406" si="588">SUM(BI403:BI405)</f>
        <v>-50</v>
      </c>
      <c r="BJ406" s="57">
        <f t="shared" si="588"/>
        <v>-50</v>
      </c>
      <c r="BK406" s="57">
        <f t="shared" si="588"/>
        <v>-50</v>
      </c>
      <c r="BL406" s="57">
        <f t="shared" si="588"/>
        <v>-50</v>
      </c>
      <c r="BM406" s="57">
        <f t="shared" si="588"/>
        <v>-50</v>
      </c>
      <c r="BN406" s="57">
        <f t="shared" si="588"/>
        <v>-50</v>
      </c>
      <c r="BO406" s="57">
        <f t="shared" si="588"/>
        <v>-50</v>
      </c>
      <c r="BP406" s="57">
        <f t="shared" si="588"/>
        <v>-50</v>
      </c>
      <c r="BQ406" s="57">
        <f t="shared" si="588"/>
        <v>-50</v>
      </c>
      <c r="BR406" s="57">
        <f t="shared" si="588"/>
        <v>-50</v>
      </c>
      <c r="BS406" s="57">
        <f t="shared" si="588"/>
        <v>-50</v>
      </c>
      <c r="BT406" s="57">
        <f t="shared" si="588"/>
        <v>-50</v>
      </c>
      <c r="BU406" s="57">
        <f t="shared" si="588"/>
        <v>-50</v>
      </c>
      <c r="BV406" s="57">
        <f t="shared" si="588"/>
        <v>-50</v>
      </c>
      <c r="BW406" s="57">
        <f t="shared" si="588"/>
        <v>-50</v>
      </c>
      <c r="BX406" s="57">
        <f t="shared" si="588"/>
        <v>-50</v>
      </c>
      <c r="BY406" s="57">
        <f t="shared" si="588"/>
        <v>-50</v>
      </c>
      <c r="BZ406" s="57">
        <f t="shared" si="588"/>
        <v>-50</v>
      </c>
      <c r="CA406" s="57">
        <f t="shared" si="588"/>
        <v>-50</v>
      </c>
      <c r="CB406" s="57">
        <f t="shared" si="588"/>
        <v>-50</v>
      </c>
      <c r="CC406" s="57">
        <f t="shared" si="588"/>
        <v>-50</v>
      </c>
      <c r="CD406" s="57">
        <f t="shared" si="588"/>
        <v>-50</v>
      </c>
      <c r="CE406"/>
      <c r="CG406" s="46">
        <f t="shared" si="583"/>
        <v>0</v>
      </c>
      <c r="CH406" s="46">
        <f t="shared" si="583"/>
        <v>0</v>
      </c>
      <c r="CI406" s="46">
        <f t="shared" si="583"/>
        <v>0</v>
      </c>
      <c r="CJ406" s="46">
        <f t="shared" si="583"/>
        <v>-470</v>
      </c>
      <c r="CK406" s="46">
        <f t="shared" si="583"/>
        <v>-484</v>
      </c>
      <c r="CL406" s="46">
        <f t="shared" si="583"/>
        <v>-759</v>
      </c>
      <c r="CM406" s="46">
        <f t="shared" si="583"/>
        <v>622</v>
      </c>
      <c r="CN406" s="46">
        <f t="shared" si="583"/>
        <v>169</v>
      </c>
      <c r="CO406" s="46">
        <f t="shared" si="583"/>
        <v>-1357</v>
      </c>
      <c r="CP406" s="46">
        <f t="shared" si="583"/>
        <v>-505</v>
      </c>
      <c r="CQ406" s="46">
        <f t="shared" si="583"/>
        <v>-2804</v>
      </c>
      <c r="CR406" s="46">
        <f t="shared" si="583"/>
        <v>-217</v>
      </c>
      <c r="CS406" s="46">
        <f t="shared" si="583"/>
        <v>-207</v>
      </c>
      <c r="CT406" s="47" t="e">
        <f t="shared" si="583"/>
        <v>#NAME?</v>
      </c>
      <c r="CU406" s="47">
        <f t="shared" si="583"/>
        <v>-200</v>
      </c>
      <c r="CV406" s="47">
        <f t="shared" si="583"/>
        <v>-200</v>
      </c>
      <c r="CW406" s="47">
        <f t="shared" si="583"/>
        <v>-200</v>
      </c>
      <c r="CX406" s="47">
        <f t="shared" si="583"/>
        <v>-200</v>
      </c>
    </row>
    <row r="407" spans="2:102" ht="15" customHeight="1" x14ac:dyDescent="0.25">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c r="CB407" s="24"/>
      <c r="CC407" s="24"/>
      <c r="CD407" s="24"/>
      <c r="CG407" s="29"/>
      <c r="CH407" s="29"/>
      <c r="CI407" s="29"/>
      <c r="CJ407" s="29"/>
      <c r="CK407" s="29"/>
      <c r="CL407" s="29"/>
      <c r="CM407" s="29"/>
      <c r="CN407" s="29"/>
      <c r="CO407" s="29"/>
      <c r="CP407" s="29"/>
      <c r="CQ407" s="29"/>
      <c r="CR407" s="29"/>
      <c r="CS407" s="29"/>
      <c r="CT407" s="97"/>
      <c r="CU407" s="97"/>
      <c r="CV407" s="97"/>
      <c r="CW407" s="97"/>
      <c r="CX407" s="97"/>
    </row>
    <row r="408" spans="2:102" ht="15" customHeight="1" x14ac:dyDescent="0.25">
      <c r="B408" s="182" t="s">
        <v>280</v>
      </c>
      <c r="C408" s="182"/>
      <c r="D408" s="182"/>
      <c r="E408" s="182"/>
      <c r="F408" s="182"/>
      <c r="G408" s="182"/>
      <c r="H408" s="182"/>
      <c r="I408" s="182"/>
      <c r="J408" s="182"/>
      <c r="K408" s="182"/>
      <c r="L408" s="182"/>
      <c r="M408" s="182"/>
      <c r="N408" s="182"/>
      <c r="O408" s="182"/>
      <c r="P408" s="182"/>
      <c r="Q408" s="182"/>
      <c r="R408" s="182"/>
      <c r="S408" s="87">
        <f>+S585</f>
        <v>5</v>
      </c>
      <c r="T408" s="87">
        <f t="shared" si="587"/>
        <v>21</v>
      </c>
      <c r="U408" s="87">
        <f t="shared" si="587"/>
        <v>5</v>
      </c>
      <c r="V408" s="87">
        <f t="shared" si="587"/>
        <v>29</v>
      </c>
      <c r="W408" s="87">
        <f t="shared" si="587"/>
        <v>45</v>
      </c>
      <c r="X408" s="87">
        <f t="shared" si="587"/>
        <v>39</v>
      </c>
      <c r="Y408" s="87">
        <f t="shared" si="587"/>
        <v>2</v>
      </c>
      <c r="Z408" s="87">
        <f t="shared" si="587"/>
        <v>21</v>
      </c>
      <c r="AA408" s="87">
        <f t="shared" si="587"/>
        <v>4</v>
      </c>
      <c r="AB408" s="87">
        <f t="shared" si="587"/>
        <v>27</v>
      </c>
      <c r="AC408" s="87">
        <f t="shared" si="587"/>
        <v>2</v>
      </c>
      <c r="AD408" s="87">
        <f t="shared" si="587"/>
        <v>39</v>
      </c>
      <c r="AE408" s="87">
        <f t="shared" si="587"/>
        <v>30</v>
      </c>
      <c r="AF408" s="87">
        <f t="shared" si="587"/>
        <v>27</v>
      </c>
      <c r="AG408" s="87">
        <f t="shared" si="587"/>
        <v>0</v>
      </c>
      <c r="AH408" s="87">
        <f t="shared" si="587"/>
        <v>21</v>
      </c>
      <c r="AI408" s="87">
        <f t="shared" si="587"/>
        <v>1</v>
      </c>
      <c r="AJ408" s="87">
        <f t="shared" si="587"/>
        <v>35</v>
      </c>
      <c r="AK408" s="87">
        <f t="shared" si="587"/>
        <v>0</v>
      </c>
      <c r="AL408" s="87">
        <f t="shared" si="587"/>
        <v>25</v>
      </c>
      <c r="AM408" s="87">
        <f t="shared" si="587"/>
        <v>3</v>
      </c>
      <c r="AN408" s="87">
        <f t="shared" si="587"/>
        <v>30</v>
      </c>
      <c r="AO408" s="87">
        <f t="shared" si="587"/>
        <v>1</v>
      </c>
      <c r="AP408" s="87">
        <f t="shared" si="587"/>
        <v>28</v>
      </c>
      <c r="AQ408" s="87">
        <f t="shared" si="587"/>
        <v>3</v>
      </c>
      <c r="AR408" s="87">
        <f t="shared" si="587"/>
        <v>40</v>
      </c>
      <c r="AS408" s="87">
        <f t="shared" si="587"/>
        <v>13</v>
      </c>
      <c r="AT408" s="87">
        <f t="shared" si="587"/>
        <v>30</v>
      </c>
      <c r="AU408" s="87">
        <f t="shared" si="587"/>
        <v>0</v>
      </c>
      <c r="AV408" s="87">
        <f t="shared" si="587"/>
        <v>41</v>
      </c>
      <c r="AW408" s="87">
        <f t="shared" si="587"/>
        <v>3</v>
      </c>
      <c r="AX408" s="87">
        <f t="shared" si="587"/>
        <v>33</v>
      </c>
      <c r="AY408" s="87">
        <f t="shared" si="587"/>
        <v>1</v>
      </c>
      <c r="AZ408" s="87">
        <f t="shared" si="587"/>
        <v>43</v>
      </c>
      <c r="BA408" s="87">
        <f t="shared" si="587"/>
        <v>3</v>
      </c>
      <c r="BB408" s="87">
        <f t="shared" si="587"/>
        <v>33</v>
      </c>
      <c r="BC408" s="87">
        <f t="shared" si="587"/>
        <v>0</v>
      </c>
      <c r="BD408" s="87">
        <f t="shared" si="587"/>
        <v>40</v>
      </c>
      <c r="BE408" s="87">
        <f t="shared" si="587"/>
        <v>3</v>
      </c>
      <c r="BF408" s="87">
        <f t="shared" si="587"/>
        <v>34</v>
      </c>
      <c r="BG408" s="87">
        <f t="shared" si="587"/>
        <v>0</v>
      </c>
      <c r="BH408" s="87" t="e">
        <f t="shared" si="587"/>
        <v>#NAME?</v>
      </c>
      <c r="BI408" s="73">
        <v>0</v>
      </c>
      <c r="BJ408" s="73">
        <v>0</v>
      </c>
      <c r="BK408" s="73">
        <v>0</v>
      </c>
      <c r="BL408" s="73">
        <v>0</v>
      </c>
      <c r="BM408" s="73">
        <v>0</v>
      </c>
      <c r="BN408" s="73">
        <v>0</v>
      </c>
      <c r="BO408" s="73">
        <v>0</v>
      </c>
      <c r="BP408" s="73">
        <v>0</v>
      </c>
      <c r="BQ408" s="73">
        <v>0</v>
      </c>
      <c r="BR408" s="73">
        <v>0</v>
      </c>
      <c r="BS408" s="73">
        <v>0</v>
      </c>
      <c r="BT408" s="73">
        <v>0</v>
      </c>
      <c r="BU408" s="73">
        <v>0</v>
      </c>
      <c r="BV408" s="73">
        <v>0</v>
      </c>
      <c r="BW408" s="73">
        <v>0</v>
      </c>
      <c r="BX408" s="73">
        <v>0</v>
      </c>
      <c r="BY408" s="73">
        <v>0</v>
      </c>
      <c r="BZ408" s="73">
        <v>0</v>
      </c>
      <c r="CA408" s="73">
        <v>0</v>
      </c>
      <c r="CB408" s="73">
        <v>0</v>
      </c>
      <c r="CC408" s="73">
        <v>0</v>
      </c>
      <c r="CD408" s="73">
        <v>0</v>
      </c>
      <c r="CG408" s="29">
        <f t="shared" ref="CG408:CX411" si="589">+SUMIFS($S408:$CD408,$S$5:$CD$5,"&lt;="&amp;CG$5,$S$5:$CD$5,"&gt;"&amp;CF$5)</f>
        <v>0</v>
      </c>
      <c r="CH408" s="29">
        <f t="shared" si="589"/>
        <v>0</v>
      </c>
      <c r="CI408" s="29">
        <f t="shared" si="589"/>
        <v>0</v>
      </c>
      <c r="CJ408" s="29">
        <f t="shared" si="589"/>
        <v>60</v>
      </c>
      <c r="CK408" s="29">
        <f t="shared" si="589"/>
        <v>107</v>
      </c>
      <c r="CL408" s="29">
        <f t="shared" si="589"/>
        <v>72</v>
      </c>
      <c r="CM408" s="29">
        <f t="shared" si="589"/>
        <v>78</v>
      </c>
      <c r="CN408" s="29">
        <f t="shared" si="589"/>
        <v>61</v>
      </c>
      <c r="CO408" s="29">
        <f t="shared" si="589"/>
        <v>62</v>
      </c>
      <c r="CP408" s="29">
        <f t="shared" si="589"/>
        <v>86</v>
      </c>
      <c r="CQ408" s="29">
        <f t="shared" si="589"/>
        <v>77</v>
      </c>
      <c r="CR408" s="29">
        <f t="shared" si="589"/>
        <v>80</v>
      </c>
      <c r="CS408" s="29">
        <f t="shared" si="589"/>
        <v>77</v>
      </c>
      <c r="CT408" s="97" t="e">
        <f t="shared" si="589"/>
        <v>#NAME?</v>
      </c>
      <c r="CU408" s="97">
        <f t="shared" si="589"/>
        <v>0</v>
      </c>
      <c r="CV408" s="97">
        <f t="shared" si="589"/>
        <v>0</v>
      </c>
      <c r="CW408" s="97">
        <f t="shared" si="589"/>
        <v>0</v>
      </c>
      <c r="CX408" s="97">
        <f t="shared" si="589"/>
        <v>0</v>
      </c>
    </row>
    <row r="409" spans="2:102" ht="15" customHeight="1" x14ac:dyDescent="0.25">
      <c r="B409" s="182" t="s">
        <v>281</v>
      </c>
      <c r="C409" s="182"/>
      <c r="D409" s="182"/>
      <c r="E409" s="182"/>
      <c r="F409" s="182"/>
      <c r="G409" s="182"/>
      <c r="H409" s="182"/>
      <c r="I409" s="182"/>
      <c r="J409" s="182"/>
      <c r="K409" s="182"/>
      <c r="L409" s="182"/>
      <c r="M409" s="182"/>
      <c r="N409" s="182"/>
      <c r="O409" s="182"/>
      <c r="P409" s="182"/>
      <c r="Q409" s="182"/>
      <c r="R409" s="182"/>
      <c r="S409" s="87">
        <f t="shared" ref="S409:BH409" si="590">-S586</f>
        <v>-50</v>
      </c>
      <c r="T409" s="87">
        <f t="shared" si="590"/>
        <v>-95</v>
      </c>
      <c r="U409" s="87">
        <f t="shared" si="590"/>
        <v>-97</v>
      </c>
      <c r="V409" s="87">
        <f t="shared" si="590"/>
        <v>-95</v>
      </c>
      <c r="W409" s="87">
        <f t="shared" si="590"/>
        <v>-132</v>
      </c>
      <c r="X409" s="87">
        <f t="shared" si="590"/>
        <v>-126</v>
      </c>
      <c r="Y409" s="87">
        <f t="shared" si="590"/>
        <v>-126</v>
      </c>
      <c r="Z409" s="87">
        <f t="shared" si="590"/>
        <v>-634</v>
      </c>
      <c r="AA409" s="87">
        <f t="shared" si="590"/>
        <v>-129</v>
      </c>
      <c r="AB409" s="87">
        <f t="shared" si="590"/>
        <v>-127</v>
      </c>
      <c r="AC409" s="87">
        <f t="shared" si="590"/>
        <v>-127</v>
      </c>
      <c r="AD409" s="87">
        <f t="shared" si="590"/>
        <v>-125</v>
      </c>
      <c r="AE409" s="87">
        <f t="shared" si="590"/>
        <v>-150</v>
      </c>
      <c r="AF409" s="87">
        <f t="shared" si="590"/>
        <v>-153</v>
      </c>
      <c r="AG409" s="87">
        <f t="shared" si="590"/>
        <v>-150</v>
      </c>
      <c r="AH409" s="87">
        <f t="shared" si="590"/>
        <v>-148</v>
      </c>
      <c r="AI409" s="87">
        <f t="shared" si="590"/>
        <v>-300</v>
      </c>
      <c r="AJ409" s="87">
        <f t="shared" si="590"/>
        <v>-299</v>
      </c>
      <c r="AK409" s="87">
        <f t="shared" si="590"/>
        <v>-292</v>
      </c>
      <c r="AL409" s="87">
        <f t="shared" si="590"/>
        <v>-301</v>
      </c>
      <c r="AM409" s="87">
        <f t="shared" si="590"/>
        <v>-305</v>
      </c>
      <c r="AN409" s="87">
        <f t="shared" si="590"/>
        <v>-306</v>
      </c>
      <c r="AO409" s="87">
        <f t="shared" si="590"/>
        <v>-305</v>
      </c>
      <c r="AP409" s="87">
        <f t="shared" si="590"/>
        <v>-291</v>
      </c>
      <c r="AQ409" s="87">
        <f t="shared" si="590"/>
        <v>-78</v>
      </c>
      <c r="AR409" s="87">
        <f t="shared" si="590"/>
        <v>0</v>
      </c>
      <c r="AS409" s="87">
        <f t="shared" si="590"/>
        <v>-326</v>
      </c>
      <c r="AT409" s="87">
        <f t="shared" si="590"/>
        <v>-325</v>
      </c>
      <c r="AU409" s="87">
        <f t="shared" si="590"/>
        <v>-325</v>
      </c>
      <c r="AV409" s="87">
        <f t="shared" si="590"/>
        <v>-325</v>
      </c>
      <c r="AW409" s="87">
        <f t="shared" si="590"/>
        <v>-325</v>
      </c>
      <c r="AX409" s="87">
        <f t="shared" si="590"/>
        <v>-325</v>
      </c>
      <c r="AY409" s="87">
        <f t="shared" si="590"/>
        <v>-320</v>
      </c>
      <c r="AZ409" s="87">
        <f t="shared" si="590"/>
        <v>-325</v>
      </c>
      <c r="BA409" s="87">
        <f t="shared" si="590"/>
        <v>-325</v>
      </c>
      <c r="BB409" s="87">
        <f t="shared" si="590"/>
        <v>-325</v>
      </c>
      <c r="BC409" s="87">
        <f t="shared" si="590"/>
        <v>-325</v>
      </c>
      <c r="BD409" s="87">
        <f t="shared" si="590"/>
        <v>-325</v>
      </c>
      <c r="BE409" s="87">
        <f t="shared" si="590"/>
        <v>-325</v>
      </c>
      <c r="BF409" s="87">
        <f t="shared" si="590"/>
        <v>-325</v>
      </c>
      <c r="BG409" s="87">
        <f t="shared" si="590"/>
        <v>-375</v>
      </c>
      <c r="BH409" s="87" t="e">
        <f t="shared" si="590"/>
        <v>#NAME?</v>
      </c>
      <c r="BI409" s="24">
        <f t="shared" ref="BI409:CD409" si="591">-BI442</f>
        <v>-375</v>
      </c>
      <c r="BJ409" s="24">
        <f t="shared" si="591"/>
        <v>-375</v>
      </c>
      <c r="BK409" s="24">
        <f t="shared" si="591"/>
        <v>-375</v>
      </c>
      <c r="BL409" s="24">
        <f t="shared" si="591"/>
        <v>-375</v>
      </c>
      <c r="BM409" s="24">
        <f t="shared" si="591"/>
        <v>-375</v>
      </c>
      <c r="BN409" s="24">
        <f t="shared" si="591"/>
        <v>-375</v>
      </c>
      <c r="BO409" s="24">
        <f t="shared" si="591"/>
        <v>-375</v>
      </c>
      <c r="BP409" s="24">
        <f t="shared" si="591"/>
        <v>-375</v>
      </c>
      <c r="BQ409" s="24">
        <f t="shared" si="591"/>
        <v>-375</v>
      </c>
      <c r="BR409" s="24">
        <f t="shared" si="591"/>
        <v>-375</v>
      </c>
      <c r="BS409" s="24">
        <f t="shared" si="591"/>
        <v>-375</v>
      </c>
      <c r="BT409" s="24">
        <f t="shared" si="591"/>
        <v>-375</v>
      </c>
      <c r="BU409" s="24">
        <f t="shared" si="591"/>
        <v>-375</v>
      </c>
      <c r="BV409" s="24">
        <f t="shared" si="591"/>
        <v>-375</v>
      </c>
      <c r="BW409" s="24">
        <f t="shared" si="591"/>
        <v>-375</v>
      </c>
      <c r="BX409" s="24">
        <f t="shared" si="591"/>
        <v>-375</v>
      </c>
      <c r="BY409" s="24">
        <f t="shared" si="591"/>
        <v>-375</v>
      </c>
      <c r="BZ409" s="24">
        <f t="shared" si="591"/>
        <v>-375</v>
      </c>
      <c r="CA409" s="24">
        <f t="shared" si="591"/>
        <v>-375</v>
      </c>
      <c r="CB409" s="24">
        <f t="shared" si="591"/>
        <v>-375</v>
      </c>
      <c r="CC409" s="24">
        <f t="shared" si="591"/>
        <v>-375</v>
      </c>
      <c r="CD409" s="24">
        <f t="shared" si="591"/>
        <v>-375</v>
      </c>
      <c r="CG409" s="29">
        <f t="shared" si="589"/>
        <v>0</v>
      </c>
      <c r="CH409" s="29">
        <f t="shared" si="589"/>
        <v>0</v>
      </c>
      <c r="CI409" s="29">
        <f t="shared" si="589"/>
        <v>0</v>
      </c>
      <c r="CJ409" s="29">
        <f t="shared" si="589"/>
        <v>-337</v>
      </c>
      <c r="CK409" s="29">
        <f t="shared" si="589"/>
        <v>-1018</v>
      </c>
      <c r="CL409" s="29">
        <f t="shared" si="589"/>
        <v>-508</v>
      </c>
      <c r="CM409" s="29">
        <f t="shared" si="589"/>
        <v>-601</v>
      </c>
      <c r="CN409" s="29">
        <f t="shared" si="589"/>
        <v>-1192</v>
      </c>
      <c r="CO409" s="29">
        <f t="shared" si="589"/>
        <v>-1207</v>
      </c>
      <c r="CP409" s="29">
        <f t="shared" si="589"/>
        <v>-729</v>
      </c>
      <c r="CQ409" s="29">
        <f t="shared" si="589"/>
        <v>-1300</v>
      </c>
      <c r="CR409" s="29">
        <f t="shared" si="589"/>
        <v>-1295</v>
      </c>
      <c r="CS409" s="29">
        <f t="shared" si="589"/>
        <v>-1300</v>
      </c>
      <c r="CT409" s="97" t="e">
        <f t="shared" si="589"/>
        <v>#NAME?</v>
      </c>
      <c r="CU409" s="97">
        <f t="shared" si="589"/>
        <v>-1500</v>
      </c>
      <c r="CV409" s="97">
        <f t="shared" si="589"/>
        <v>-1500</v>
      </c>
      <c r="CW409" s="97">
        <f t="shared" si="589"/>
        <v>-1500</v>
      </c>
      <c r="CX409" s="97">
        <f t="shared" si="589"/>
        <v>-1500</v>
      </c>
    </row>
    <row r="410" spans="2:102" ht="15" customHeight="1" x14ac:dyDescent="0.25">
      <c r="B410" s="182" t="s">
        <v>273</v>
      </c>
      <c r="C410" s="182"/>
      <c r="D410" s="182"/>
      <c r="E410" s="182"/>
      <c r="F410" s="182"/>
      <c r="G410" s="182"/>
      <c r="H410" s="182"/>
      <c r="I410" s="182"/>
      <c r="J410" s="182"/>
      <c r="K410" s="182"/>
      <c r="L410" s="182"/>
      <c r="M410" s="182"/>
      <c r="N410" s="182"/>
      <c r="O410" s="182"/>
      <c r="P410" s="182"/>
      <c r="Q410" s="182"/>
      <c r="R410" s="182"/>
      <c r="S410" s="24">
        <f t="shared" ref="S410:BF410" si="592">+S411-SUM(S408:S409)</f>
        <v>12</v>
      </c>
      <c r="T410" s="24">
        <f t="shared" si="592"/>
        <v>2</v>
      </c>
      <c r="U410" s="24">
        <f t="shared" si="592"/>
        <v>2</v>
      </c>
      <c r="V410" s="24">
        <f t="shared" si="592"/>
        <v>6</v>
      </c>
      <c r="W410" s="24">
        <f t="shared" si="592"/>
        <v>40</v>
      </c>
      <c r="X410" s="24">
        <f t="shared" si="592"/>
        <v>-173</v>
      </c>
      <c r="Y410" s="24">
        <f t="shared" si="592"/>
        <v>-87</v>
      </c>
      <c r="Z410" s="24">
        <f t="shared" si="592"/>
        <v>825</v>
      </c>
      <c r="AA410" s="24">
        <f t="shared" si="592"/>
        <v>-124</v>
      </c>
      <c r="AB410" s="24">
        <f t="shared" si="592"/>
        <v>-132</v>
      </c>
      <c r="AC410" s="24">
        <f t="shared" si="592"/>
        <v>16</v>
      </c>
      <c r="AD410" s="24">
        <f t="shared" si="592"/>
        <v>12</v>
      </c>
      <c r="AE410" s="24">
        <f t="shared" si="592"/>
        <v>-95</v>
      </c>
      <c r="AF410" s="24">
        <f t="shared" si="592"/>
        <v>-10</v>
      </c>
      <c r="AG410" s="24">
        <f t="shared" si="592"/>
        <v>-7</v>
      </c>
      <c r="AH410" s="24">
        <f t="shared" si="592"/>
        <v>-8</v>
      </c>
      <c r="AI410" s="24">
        <f t="shared" si="592"/>
        <v>-89</v>
      </c>
      <c r="AJ410" s="24">
        <f t="shared" si="592"/>
        <v>-7</v>
      </c>
      <c r="AK410" s="24">
        <f t="shared" si="592"/>
        <v>-20</v>
      </c>
      <c r="AL410" s="24">
        <f t="shared" si="592"/>
        <v>-6</v>
      </c>
      <c r="AM410" s="24">
        <f t="shared" si="592"/>
        <v>-83</v>
      </c>
      <c r="AN410" s="24">
        <f t="shared" si="592"/>
        <v>-36</v>
      </c>
      <c r="AO410" s="24">
        <f t="shared" si="592"/>
        <v>-57</v>
      </c>
      <c r="AP410" s="24">
        <f t="shared" si="592"/>
        <v>-37</v>
      </c>
      <c r="AQ410" s="24">
        <f t="shared" si="592"/>
        <v>-69</v>
      </c>
      <c r="AR410" s="24">
        <f t="shared" si="592"/>
        <v>-8</v>
      </c>
      <c r="AS410" s="24">
        <f t="shared" si="592"/>
        <v>-116</v>
      </c>
      <c r="AT410" s="24">
        <f t="shared" si="592"/>
        <v>821</v>
      </c>
      <c r="AU410" s="24">
        <f t="shared" si="592"/>
        <v>-154</v>
      </c>
      <c r="AV410" s="24">
        <f t="shared" si="592"/>
        <v>-64</v>
      </c>
      <c r="AW410" s="24">
        <f t="shared" si="592"/>
        <v>-120</v>
      </c>
      <c r="AX410" s="24">
        <f t="shared" si="592"/>
        <v>-59</v>
      </c>
      <c r="AY410" s="24">
        <f t="shared" si="592"/>
        <v>-157</v>
      </c>
      <c r="AZ410" s="24">
        <f t="shared" si="592"/>
        <v>-66</v>
      </c>
      <c r="BA410" s="24">
        <f t="shared" si="592"/>
        <v>-96</v>
      </c>
      <c r="BB410" s="24">
        <f t="shared" si="592"/>
        <v>-66</v>
      </c>
      <c r="BC410" s="24">
        <f t="shared" si="592"/>
        <v>-157</v>
      </c>
      <c r="BD410" s="24">
        <f t="shared" si="592"/>
        <v>-66</v>
      </c>
      <c r="BE410" s="24">
        <f t="shared" si="592"/>
        <v>-109</v>
      </c>
      <c r="BF410" s="24">
        <f t="shared" si="592"/>
        <v>-69</v>
      </c>
      <c r="BG410" s="24">
        <f t="shared" ref="BG410:BH410" si="593">+BG411-SUM(BG408:BG409)</f>
        <v>-171</v>
      </c>
      <c r="BH410" s="24" t="e">
        <f t="shared" si="593"/>
        <v>#NAME?</v>
      </c>
      <c r="BI410" s="73">
        <v>0</v>
      </c>
      <c r="BJ410" s="73">
        <v>0</v>
      </c>
      <c r="BK410" s="73">
        <v>0</v>
      </c>
      <c r="BL410" s="73">
        <v>0</v>
      </c>
      <c r="BM410" s="73">
        <v>0</v>
      </c>
      <c r="BN410" s="73">
        <v>0</v>
      </c>
      <c r="BO410" s="73">
        <v>0</v>
      </c>
      <c r="BP410" s="73">
        <v>0</v>
      </c>
      <c r="BQ410" s="73">
        <v>0</v>
      </c>
      <c r="BR410" s="73">
        <v>0</v>
      </c>
      <c r="BS410" s="73">
        <v>0</v>
      </c>
      <c r="BT410" s="73">
        <v>0</v>
      </c>
      <c r="BU410" s="73">
        <v>0</v>
      </c>
      <c r="BV410" s="73">
        <v>0</v>
      </c>
      <c r="BW410" s="73">
        <v>0</v>
      </c>
      <c r="BX410" s="73">
        <v>0</v>
      </c>
      <c r="BY410" s="73">
        <v>0</v>
      </c>
      <c r="BZ410" s="73">
        <v>0</v>
      </c>
      <c r="CA410" s="73">
        <v>0</v>
      </c>
      <c r="CB410" s="73">
        <v>0</v>
      </c>
      <c r="CC410" s="73">
        <v>0</v>
      </c>
      <c r="CD410" s="73">
        <v>0</v>
      </c>
      <c r="CG410" s="29">
        <f t="shared" si="589"/>
        <v>0</v>
      </c>
      <c r="CH410" s="29">
        <f t="shared" si="589"/>
        <v>0</v>
      </c>
      <c r="CI410" s="29">
        <f t="shared" si="589"/>
        <v>0</v>
      </c>
      <c r="CJ410" s="29">
        <f t="shared" si="589"/>
        <v>22</v>
      </c>
      <c r="CK410" s="29">
        <f t="shared" si="589"/>
        <v>605</v>
      </c>
      <c r="CL410" s="29">
        <f t="shared" si="589"/>
        <v>-228</v>
      </c>
      <c r="CM410" s="29">
        <f t="shared" si="589"/>
        <v>-120</v>
      </c>
      <c r="CN410" s="29">
        <f t="shared" si="589"/>
        <v>-122</v>
      </c>
      <c r="CO410" s="29">
        <f t="shared" si="589"/>
        <v>-213</v>
      </c>
      <c r="CP410" s="29">
        <f t="shared" si="589"/>
        <v>628</v>
      </c>
      <c r="CQ410" s="29">
        <f t="shared" si="589"/>
        <v>-397</v>
      </c>
      <c r="CR410" s="29">
        <f t="shared" si="589"/>
        <v>-385</v>
      </c>
      <c r="CS410" s="29">
        <f t="shared" si="589"/>
        <v>-401</v>
      </c>
      <c r="CT410" s="97" t="e">
        <f t="shared" si="589"/>
        <v>#NAME?</v>
      </c>
      <c r="CU410" s="97">
        <f t="shared" si="589"/>
        <v>0</v>
      </c>
      <c r="CV410" s="97">
        <f t="shared" si="589"/>
        <v>0</v>
      </c>
      <c r="CW410" s="97">
        <f t="shared" si="589"/>
        <v>0</v>
      </c>
      <c r="CX410" s="97">
        <f t="shared" si="589"/>
        <v>0</v>
      </c>
    </row>
    <row r="411" spans="2:102" s="10" customFormat="1" ht="15" customHeight="1" x14ac:dyDescent="0.25">
      <c r="B411" s="183" t="s">
        <v>282</v>
      </c>
      <c r="C411" s="183"/>
      <c r="D411" s="183"/>
      <c r="E411" s="183"/>
      <c r="F411" s="183"/>
      <c r="G411" s="183"/>
      <c r="H411" s="183"/>
      <c r="I411" s="183"/>
      <c r="J411" s="183"/>
      <c r="K411" s="183"/>
      <c r="L411" s="183"/>
      <c r="M411" s="183"/>
      <c r="N411" s="183"/>
      <c r="O411" s="183"/>
      <c r="P411" s="183"/>
      <c r="Q411" s="183"/>
      <c r="R411" s="183"/>
      <c r="S411" s="61">
        <f t="shared" ref="S411:BH411" si="594">+S591</f>
        <v>-33</v>
      </c>
      <c r="T411" s="61">
        <f t="shared" si="594"/>
        <v>-72</v>
      </c>
      <c r="U411" s="61">
        <f t="shared" si="594"/>
        <v>-90</v>
      </c>
      <c r="V411" s="61">
        <f t="shared" si="594"/>
        <v>-60</v>
      </c>
      <c r="W411" s="61">
        <f t="shared" si="594"/>
        <v>-47</v>
      </c>
      <c r="X411" s="61">
        <f t="shared" si="594"/>
        <v>-260</v>
      </c>
      <c r="Y411" s="61">
        <f t="shared" si="594"/>
        <v>-211</v>
      </c>
      <c r="Z411" s="61">
        <f t="shared" si="594"/>
        <v>212</v>
      </c>
      <c r="AA411" s="61">
        <f t="shared" si="594"/>
        <v>-249</v>
      </c>
      <c r="AB411" s="61">
        <f t="shared" si="594"/>
        <v>-232</v>
      </c>
      <c r="AC411" s="61">
        <f t="shared" si="594"/>
        <v>-109</v>
      </c>
      <c r="AD411" s="61">
        <f t="shared" si="594"/>
        <v>-74</v>
      </c>
      <c r="AE411" s="61">
        <f t="shared" si="594"/>
        <v>-215</v>
      </c>
      <c r="AF411" s="61">
        <f t="shared" si="594"/>
        <v>-136</v>
      </c>
      <c r="AG411" s="61">
        <f t="shared" si="594"/>
        <v>-157</v>
      </c>
      <c r="AH411" s="61">
        <f t="shared" si="594"/>
        <v>-135</v>
      </c>
      <c r="AI411" s="61">
        <f t="shared" si="594"/>
        <v>-388</v>
      </c>
      <c r="AJ411" s="61">
        <f t="shared" si="594"/>
        <v>-271</v>
      </c>
      <c r="AK411" s="61">
        <f t="shared" si="594"/>
        <v>-312</v>
      </c>
      <c r="AL411" s="61">
        <f t="shared" si="594"/>
        <v>-282</v>
      </c>
      <c r="AM411" s="61">
        <f t="shared" si="594"/>
        <v>-385</v>
      </c>
      <c r="AN411" s="61">
        <f t="shared" si="594"/>
        <v>-312</v>
      </c>
      <c r="AO411" s="61">
        <f t="shared" si="594"/>
        <v>-361</v>
      </c>
      <c r="AP411" s="61">
        <f t="shared" si="594"/>
        <v>-300</v>
      </c>
      <c r="AQ411" s="61">
        <f t="shared" si="594"/>
        <v>-144</v>
      </c>
      <c r="AR411" s="61">
        <f t="shared" si="594"/>
        <v>32</v>
      </c>
      <c r="AS411" s="61">
        <f t="shared" si="594"/>
        <v>-429</v>
      </c>
      <c r="AT411" s="61">
        <f t="shared" si="594"/>
        <v>526</v>
      </c>
      <c r="AU411" s="61">
        <f t="shared" si="594"/>
        <v>-479</v>
      </c>
      <c r="AV411" s="61">
        <f t="shared" si="594"/>
        <v>-348</v>
      </c>
      <c r="AW411" s="61">
        <f t="shared" si="594"/>
        <v>-442</v>
      </c>
      <c r="AX411" s="61">
        <f t="shared" si="594"/>
        <v>-351</v>
      </c>
      <c r="AY411" s="61">
        <f t="shared" si="594"/>
        <v>-476</v>
      </c>
      <c r="AZ411" s="61">
        <f t="shared" si="594"/>
        <v>-348</v>
      </c>
      <c r="BA411" s="61">
        <f t="shared" si="594"/>
        <v>-418</v>
      </c>
      <c r="BB411" s="61">
        <f t="shared" si="594"/>
        <v>-358</v>
      </c>
      <c r="BC411" s="61">
        <f t="shared" si="594"/>
        <v>-482</v>
      </c>
      <c r="BD411" s="61">
        <f t="shared" si="594"/>
        <v>-351</v>
      </c>
      <c r="BE411" s="61">
        <f t="shared" si="594"/>
        <v>-431</v>
      </c>
      <c r="BF411" s="61">
        <f t="shared" si="594"/>
        <v>-360</v>
      </c>
      <c r="BG411" s="61">
        <f t="shared" si="594"/>
        <v>-546</v>
      </c>
      <c r="BH411" s="61" t="e">
        <f t="shared" si="594"/>
        <v>#NAME?</v>
      </c>
      <c r="BI411" s="57">
        <f t="shared" ref="BI411:CD411" si="595">SUM(BI408:BI410)</f>
        <v>-375</v>
      </c>
      <c r="BJ411" s="57">
        <f t="shared" si="595"/>
        <v>-375</v>
      </c>
      <c r="BK411" s="57">
        <f t="shared" si="595"/>
        <v>-375</v>
      </c>
      <c r="BL411" s="57">
        <f t="shared" si="595"/>
        <v>-375</v>
      </c>
      <c r="BM411" s="57">
        <f t="shared" si="595"/>
        <v>-375</v>
      </c>
      <c r="BN411" s="57">
        <f t="shared" si="595"/>
        <v>-375</v>
      </c>
      <c r="BO411" s="57">
        <f t="shared" si="595"/>
        <v>-375</v>
      </c>
      <c r="BP411" s="57">
        <f t="shared" si="595"/>
        <v>-375</v>
      </c>
      <c r="BQ411" s="57">
        <f t="shared" si="595"/>
        <v>-375</v>
      </c>
      <c r="BR411" s="57">
        <f t="shared" si="595"/>
        <v>-375</v>
      </c>
      <c r="BS411" s="57">
        <f t="shared" si="595"/>
        <v>-375</v>
      </c>
      <c r="BT411" s="57">
        <f t="shared" si="595"/>
        <v>-375</v>
      </c>
      <c r="BU411" s="57">
        <f t="shared" si="595"/>
        <v>-375</v>
      </c>
      <c r="BV411" s="57">
        <f t="shared" si="595"/>
        <v>-375</v>
      </c>
      <c r="BW411" s="57">
        <f t="shared" si="595"/>
        <v>-375</v>
      </c>
      <c r="BX411" s="57">
        <f t="shared" si="595"/>
        <v>-375</v>
      </c>
      <c r="BY411" s="57">
        <f t="shared" si="595"/>
        <v>-375</v>
      </c>
      <c r="BZ411" s="57">
        <f t="shared" si="595"/>
        <v>-375</v>
      </c>
      <c r="CA411" s="57">
        <f t="shared" si="595"/>
        <v>-375</v>
      </c>
      <c r="CB411" s="57">
        <f t="shared" si="595"/>
        <v>-375</v>
      </c>
      <c r="CC411" s="57">
        <f t="shared" si="595"/>
        <v>-375</v>
      </c>
      <c r="CD411" s="57">
        <f t="shared" si="595"/>
        <v>-375</v>
      </c>
      <c r="CE411"/>
      <c r="CG411" s="46">
        <f t="shared" si="589"/>
        <v>0</v>
      </c>
      <c r="CH411" s="46">
        <f t="shared" si="589"/>
        <v>0</v>
      </c>
      <c r="CI411" s="46">
        <f t="shared" si="589"/>
        <v>0</v>
      </c>
      <c r="CJ411" s="46">
        <f t="shared" si="589"/>
        <v>-255</v>
      </c>
      <c r="CK411" s="46">
        <f t="shared" si="589"/>
        <v>-306</v>
      </c>
      <c r="CL411" s="46">
        <f t="shared" si="589"/>
        <v>-664</v>
      </c>
      <c r="CM411" s="46">
        <f t="shared" si="589"/>
        <v>-643</v>
      </c>
      <c r="CN411" s="46">
        <f t="shared" si="589"/>
        <v>-1253</v>
      </c>
      <c r="CO411" s="46">
        <f t="shared" si="589"/>
        <v>-1358</v>
      </c>
      <c r="CP411" s="46">
        <f t="shared" si="589"/>
        <v>-15</v>
      </c>
      <c r="CQ411" s="46">
        <f t="shared" si="589"/>
        <v>-1620</v>
      </c>
      <c r="CR411" s="46">
        <f t="shared" si="589"/>
        <v>-1600</v>
      </c>
      <c r="CS411" s="46">
        <f t="shared" si="589"/>
        <v>-1624</v>
      </c>
      <c r="CT411" s="47" t="e">
        <f t="shared" si="589"/>
        <v>#NAME?</v>
      </c>
      <c r="CU411" s="47">
        <f t="shared" si="589"/>
        <v>-1500</v>
      </c>
      <c r="CV411" s="47">
        <f t="shared" si="589"/>
        <v>-1500</v>
      </c>
      <c r="CW411" s="47">
        <f t="shared" si="589"/>
        <v>-1500</v>
      </c>
      <c r="CX411" s="47">
        <f t="shared" si="589"/>
        <v>-1500</v>
      </c>
    </row>
    <row r="412" spans="2:102" ht="15" customHeight="1" x14ac:dyDescent="0.25">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c r="CA412" s="24"/>
      <c r="CB412" s="24"/>
      <c r="CC412" s="24"/>
      <c r="CD412" s="24"/>
      <c r="CG412" s="24"/>
      <c r="CH412" s="24"/>
      <c r="CI412" s="24"/>
      <c r="CJ412" s="24"/>
      <c r="CK412" s="24"/>
      <c r="CL412" s="24"/>
      <c r="CM412" s="24"/>
      <c r="CN412" s="24"/>
      <c r="CO412" s="24"/>
      <c r="CP412" s="24"/>
      <c r="CQ412" s="24"/>
      <c r="CR412" s="24"/>
      <c r="CS412" s="24"/>
      <c r="CT412" s="24"/>
      <c r="CU412" s="24"/>
      <c r="CV412" s="24"/>
      <c r="CW412" s="24"/>
      <c r="CX412" s="24"/>
    </row>
    <row r="413" spans="2:102" x14ac:dyDescent="0.25">
      <c r="B413" s="184" t="s">
        <v>283</v>
      </c>
      <c r="C413" s="184"/>
      <c r="D413" s="184"/>
      <c r="E413" s="184"/>
      <c r="F413" s="184"/>
      <c r="G413" s="184"/>
      <c r="H413" s="184"/>
      <c r="I413" s="184"/>
      <c r="J413" s="184"/>
      <c r="K413" s="184"/>
      <c r="L413" s="184"/>
      <c r="M413" s="184"/>
      <c r="N413" s="184"/>
      <c r="O413" s="184"/>
      <c r="P413" s="184"/>
      <c r="Q413" s="184"/>
      <c r="R413" s="184"/>
      <c r="CT413" s="60"/>
      <c r="CU413" s="60"/>
      <c r="CV413" s="60"/>
      <c r="CW413" s="60"/>
      <c r="CX413" s="60"/>
    </row>
    <row r="414" spans="2:102" ht="15" customHeight="1" x14ac:dyDescent="0.25">
      <c r="B414" s="37" t="s">
        <v>284</v>
      </c>
      <c r="C414" s="37"/>
      <c r="D414" s="37"/>
      <c r="E414" s="37"/>
      <c r="F414" s="37"/>
      <c r="G414" s="37"/>
      <c r="H414" s="37"/>
      <c r="I414" s="37"/>
      <c r="J414" s="37"/>
      <c r="K414" s="37"/>
      <c r="L414" s="37"/>
      <c r="M414" s="37"/>
      <c r="N414" s="37"/>
      <c r="O414" s="37"/>
      <c r="P414" s="37"/>
      <c r="Q414" s="37"/>
      <c r="R414" s="37"/>
      <c r="S414" s="87">
        <f t="shared" ref="S414:BG414" si="596">+S567</f>
        <v>29</v>
      </c>
      <c r="T414" s="87">
        <f t="shared" si="596"/>
        <v>40</v>
      </c>
      <c r="U414" s="87">
        <f t="shared" si="596"/>
        <v>39</v>
      </c>
      <c r="V414" s="87">
        <f t="shared" si="596"/>
        <v>36</v>
      </c>
      <c r="W414" s="87">
        <f t="shared" si="596"/>
        <v>45</v>
      </c>
      <c r="X414" s="87">
        <f t="shared" si="596"/>
        <v>44</v>
      </c>
      <c r="Y414" s="87">
        <f t="shared" si="596"/>
        <v>42</v>
      </c>
      <c r="Z414" s="87">
        <f t="shared" si="596"/>
        <v>47</v>
      </c>
      <c r="AA414" s="87">
        <f t="shared" si="596"/>
        <v>48</v>
      </c>
      <c r="AB414" s="87">
        <f t="shared" si="596"/>
        <v>48</v>
      </c>
      <c r="AC414" s="87">
        <f t="shared" si="596"/>
        <v>48</v>
      </c>
      <c r="AD414" s="87">
        <f t="shared" si="596"/>
        <v>52</v>
      </c>
      <c r="AE414" s="87">
        <f t="shared" si="596"/>
        <v>48</v>
      </c>
      <c r="AF414" s="87">
        <f t="shared" si="596"/>
        <v>62</v>
      </c>
      <c r="AG414" s="87">
        <f t="shared" si="596"/>
        <v>63</v>
      </c>
      <c r="AH414" s="87">
        <f t="shared" si="596"/>
        <v>69</v>
      </c>
      <c r="AI414" s="87">
        <f t="shared" si="596"/>
        <v>70</v>
      </c>
      <c r="AJ414" s="87">
        <f t="shared" si="596"/>
        <v>66</v>
      </c>
      <c r="AK414" s="87">
        <f t="shared" si="596"/>
        <v>75</v>
      </c>
      <c r="AL414" s="87">
        <f t="shared" si="596"/>
        <v>73</v>
      </c>
      <c r="AM414" s="87">
        <f t="shared" si="596"/>
        <v>73</v>
      </c>
      <c r="AN414" s="87">
        <f t="shared" si="596"/>
        <v>92</v>
      </c>
      <c r="AO414" s="87">
        <f t="shared" si="596"/>
        <v>91</v>
      </c>
      <c r="AP414" s="87">
        <f t="shared" si="596"/>
        <v>91</v>
      </c>
      <c r="AQ414" s="87">
        <f t="shared" si="596"/>
        <v>102</v>
      </c>
      <c r="AR414" s="87">
        <f t="shared" si="596"/>
        <v>113</v>
      </c>
      <c r="AS414" s="87">
        <f t="shared" si="596"/>
        <v>111</v>
      </c>
      <c r="AT414" s="87">
        <f t="shared" si="596"/>
        <v>109</v>
      </c>
      <c r="AU414" s="87">
        <f t="shared" si="596"/>
        <v>125</v>
      </c>
      <c r="AV414" s="87">
        <f t="shared" si="596"/>
        <v>149</v>
      </c>
      <c r="AW414" s="87">
        <f t="shared" si="596"/>
        <v>129</v>
      </c>
      <c r="AX414" s="87">
        <f t="shared" si="596"/>
        <v>125</v>
      </c>
      <c r="AY414" s="87">
        <f t="shared" si="596"/>
        <v>125</v>
      </c>
      <c r="AZ414" s="87">
        <f t="shared" si="596"/>
        <v>140</v>
      </c>
      <c r="BA414" s="87">
        <f t="shared" si="596"/>
        <v>141</v>
      </c>
      <c r="BB414" s="87">
        <f t="shared" si="596"/>
        <v>142</v>
      </c>
      <c r="BC414" s="87">
        <f t="shared" si="596"/>
        <v>130</v>
      </c>
      <c r="BD414" s="87">
        <f t="shared" si="596"/>
        <v>155</v>
      </c>
      <c r="BE414" s="87">
        <f t="shared" si="596"/>
        <v>151</v>
      </c>
      <c r="BF414" s="87">
        <f t="shared" si="596"/>
        <v>148</v>
      </c>
      <c r="BG414" s="87">
        <f t="shared" si="596"/>
        <v>143</v>
      </c>
      <c r="BH414" s="24">
        <f>+BD414*(1+BH415)</f>
        <v>162.75</v>
      </c>
      <c r="BI414" s="24">
        <f>+BE414*(1+BI415)</f>
        <v>158.55000000000001</v>
      </c>
      <c r="BJ414" s="24">
        <f t="shared" ref="BJ414:CD414" si="597">+BF414*(1+BJ415)</f>
        <v>155.4</v>
      </c>
      <c r="BK414" s="24">
        <f t="shared" si="597"/>
        <v>150.15</v>
      </c>
      <c r="BL414" s="24">
        <f t="shared" si="597"/>
        <v>170.88750000000002</v>
      </c>
      <c r="BM414" s="24">
        <f>+BI414*(1+BM415)</f>
        <v>166.47750000000002</v>
      </c>
      <c r="BN414" s="24">
        <f t="shared" si="597"/>
        <v>163.17000000000002</v>
      </c>
      <c r="BO414" s="24">
        <f t="shared" si="597"/>
        <v>157.6575</v>
      </c>
      <c r="BP414" s="24">
        <f t="shared" si="597"/>
        <v>179.43187500000002</v>
      </c>
      <c r="BQ414" s="24">
        <f t="shared" si="597"/>
        <v>174.80137500000004</v>
      </c>
      <c r="BR414" s="24">
        <f t="shared" si="597"/>
        <v>171.32850000000002</v>
      </c>
      <c r="BS414" s="24">
        <f t="shared" si="597"/>
        <v>165.54037500000001</v>
      </c>
      <c r="BT414" s="24">
        <f t="shared" si="597"/>
        <v>188.40346875000003</v>
      </c>
      <c r="BU414" s="24">
        <f t="shared" si="597"/>
        <v>183.54144375000004</v>
      </c>
      <c r="BV414" s="24">
        <f t="shared" si="597"/>
        <v>179.89492500000003</v>
      </c>
      <c r="BW414" s="24">
        <f t="shared" si="597"/>
        <v>173.81739375000001</v>
      </c>
      <c r="BX414" s="24">
        <f t="shared" si="597"/>
        <v>197.82364218750004</v>
      </c>
      <c r="BY414" s="24">
        <f t="shared" si="597"/>
        <v>192.71851593750006</v>
      </c>
      <c r="BZ414" s="24">
        <f t="shared" si="597"/>
        <v>188.88967125000005</v>
      </c>
      <c r="CA414" s="24">
        <f t="shared" si="597"/>
        <v>182.50826343750001</v>
      </c>
      <c r="CB414" s="24">
        <f t="shared" si="597"/>
        <v>207.71482429687507</v>
      </c>
      <c r="CC414" s="24">
        <f t="shared" si="597"/>
        <v>202.35444173437506</v>
      </c>
      <c r="CD414" s="24">
        <f t="shared" si="597"/>
        <v>198.33415481250006</v>
      </c>
      <c r="CG414" s="29">
        <f t="shared" ref="CG414:CX414" si="598">+SUMIFS($S414:$CD414,$S$5:$CD$5,"&lt;="&amp;CG$5,$S$5:$CD$5,"&gt;"&amp;CF$5)</f>
        <v>0</v>
      </c>
      <c r="CH414" s="29">
        <f t="shared" si="598"/>
        <v>0</v>
      </c>
      <c r="CI414" s="29">
        <f t="shared" si="598"/>
        <v>0</v>
      </c>
      <c r="CJ414" s="29">
        <f t="shared" si="598"/>
        <v>144</v>
      </c>
      <c r="CK414" s="29">
        <f t="shared" si="598"/>
        <v>178</v>
      </c>
      <c r="CL414" s="29">
        <f t="shared" si="598"/>
        <v>196</v>
      </c>
      <c r="CM414" s="29">
        <f t="shared" si="598"/>
        <v>242</v>
      </c>
      <c r="CN414" s="29">
        <f t="shared" si="598"/>
        <v>284</v>
      </c>
      <c r="CO414" s="29">
        <f t="shared" si="598"/>
        <v>347</v>
      </c>
      <c r="CP414" s="29">
        <f t="shared" si="598"/>
        <v>435</v>
      </c>
      <c r="CQ414" s="29">
        <f t="shared" si="598"/>
        <v>528</v>
      </c>
      <c r="CR414" s="29">
        <f t="shared" si="598"/>
        <v>548</v>
      </c>
      <c r="CS414" s="29">
        <f t="shared" si="598"/>
        <v>584</v>
      </c>
      <c r="CT414" s="97">
        <f t="shared" si="598"/>
        <v>619.70000000000005</v>
      </c>
      <c r="CU414" s="97">
        <f t="shared" si="598"/>
        <v>650.68500000000006</v>
      </c>
      <c r="CV414" s="97">
        <f t="shared" si="598"/>
        <v>683.2192500000001</v>
      </c>
      <c r="CW414" s="97">
        <f t="shared" si="598"/>
        <v>717.3802125000002</v>
      </c>
      <c r="CX414" s="97">
        <f t="shared" si="598"/>
        <v>753.24922312500007</v>
      </c>
    </row>
    <row r="415" spans="2:102" x14ac:dyDescent="0.25">
      <c r="B415" s="37" t="s">
        <v>285</v>
      </c>
      <c r="C415" s="37"/>
      <c r="D415" s="37"/>
      <c r="E415" s="37"/>
      <c r="F415" s="37"/>
      <c r="G415" s="37"/>
      <c r="H415" s="37"/>
      <c r="I415" s="37"/>
      <c r="J415" s="37"/>
      <c r="K415" s="37"/>
      <c r="L415" s="37"/>
      <c r="M415" s="37"/>
      <c r="N415" s="37"/>
      <c r="O415" s="37"/>
      <c r="P415" s="37"/>
      <c r="Q415" s="37"/>
      <c r="R415" s="37"/>
      <c r="S415" s="185"/>
      <c r="T415" s="185"/>
      <c r="U415" s="185"/>
      <c r="V415" s="185"/>
      <c r="W415" s="185">
        <f t="shared" ref="W415:BG415" si="599">+IFERROR(W414/S414-1,"")</f>
        <v>0.55172413793103448</v>
      </c>
      <c r="X415" s="185">
        <f t="shared" si="599"/>
        <v>0.10000000000000009</v>
      </c>
      <c r="Y415" s="185">
        <f t="shared" si="599"/>
        <v>7.6923076923076872E-2</v>
      </c>
      <c r="Z415" s="185">
        <f t="shared" si="599"/>
        <v>0.30555555555555558</v>
      </c>
      <c r="AA415" s="185">
        <f t="shared" si="599"/>
        <v>6.6666666666666652E-2</v>
      </c>
      <c r="AB415" s="185">
        <f t="shared" si="599"/>
        <v>9.0909090909090828E-2</v>
      </c>
      <c r="AC415" s="185">
        <f t="shared" si="599"/>
        <v>0.14285714285714279</v>
      </c>
      <c r="AD415" s="185">
        <f t="shared" si="599"/>
        <v>0.1063829787234043</v>
      </c>
      <c r="AE415" s="185">
        <f t="shared" si="599"/>
        <v>0</v>
      </c>
      <c r="AF415" s="185">
        <f t="shared" si="599"/>
        <v>0.29166666666666674</v>
      </c>
      <c r="AG415" s="185">
        <f t="shared" si="599"/>
        <v>0.3125</v>
      </c>
      <c r="AH415" s="185">
        <f t="shared" si="599"/>
        <v>0.32692307692307687</v>
      </c>
      <c r="AI415" s="185">
        <f t="shared" si="599"/>
        <v>0.45833333333333326</v>
      </c>
      <c r="AJ415" s="185">
        <f t="shared" si="599"/>
        <v>6.4516129032258007E-2</v>
      </c>
      <c r="AK415" s="185">
        <f t="shared" si="599"/>
        <v>0.19047619047619047</v>
      </c>
      <c r="AL415" s="185">
        <f t="shared" si="599"/>
        <v>5.7971014492753659E-2</v>
      </c>
      <c r="AM415" s="185">
        <f t="shared" si="599"/>
        <v>4.2857142857142927E-2</v>
      </c>
      <c r="AN415" s="185">
        <f t="shared" si="599"/>
        <v>0.39393939393939403</v>
      </c>
      <c r="AO415" s="185">
        <f t="shared" si="599"/>
        <v>0.21333333333333337</v>
      </c>
      <c r="AP415" s="185">
        <f t="shared" si="599"/>
        <v>0.24657534246575352</v>
      </c>
      <c r="AQ415" s="185">
        <f t="shared" si="599"/>
        <v>0.39726027397260277</v>
      </c>
      <c r="AR415" s="185">
        <f t="shared" si="599"/>
        <v>0.22826086956521729</v>
      </c>
      <c r="AS415" s="185">
        <f t="shared" si="599"/>
        <v>0.21978021978021989</v>
      </c>
      <c r="AT415" s="185">
        <f t="shared" si="599"/>
        <v>0.19780219780219777</v>
      </c>
      <c r="AU415" s="185">
        <f t="shared" si="599"/>
        <v>0.22549019607843146</v>
      </c>
      <c r="AV415" s="185">
        <f t="shared" si="599"/>
        <v>0.31858407079646023</v>
      </c>
      <c r="AW415" s="185">
        <f t="shared" si="599"/>
        <v>0.16216216216216206</v>
      </c>
      <c r="AX415" s="185">
        <f t="shared" si="599"/>
        <v>0.14678899082568808</v>
      </c>
      <c r="AY415" s="185">
        <f t="shared" si="599"/>
        <v>0</v>
      </c>
      <c r="AZ415" s="185">
        <f t="shared" si="599"/>
        <v>-6.0402684563758413E-2</v>
      </c>
      <c r="BA415" s="185">
        <f t="shared" si="599"/>
        <v>9.3023255813953432E-2</v>
      </c>
      <c r="BB415" s="185">
        <f t="shared" si="599"/>
        <v>0.1359999999999999</v>
      </c>
      <c r="BC415" s="185">
        <f t="shared" si="599"/>
        <v>4.0000000000000036E-2</v>
      </c>
      <c r="BD415" s="185">
        <f t="shared" si="599"/>
        <v>0.10714285714285721</v>
      </c>
      <c r="BE415" s="185">
        <f t="shared" si="599"/>
        <v>7.0921985815602939E-2</v>
      </c>
      <c r="BF415" s="185">
        <f t="shared" si="599"/>
        <v>4.2253521126760507E-2</v>
      </c>
      <c r="BG415" s="185">
        <f t="shared" si="599"/>
        <v>0.10000000000000009</v>
      </c>
      <c r="BH415" s="186">
        <v>0.05</v>
      </c>
      <c r="BI415" s="186">
        <v>0.05</v>
      </c>
      <c r="BJ415" s="186">
        <v>0.05</v>
      </c>
      <c r="BK415" s="186">
        <v>0.05</v>
      </c>
      <c r="BL415" s="186">
        <v>0.05</v>
      </c>
      <c r="BM415" s="186">
        <v>0.05</v>
      </c>
      <c r="BN415" s="186">
        <v>0.05</v>
      </c>
      <c r="BO415" s="186">
        <v>0.05</v>
      </c>
      <c r="BP415" s="186">
        <v>0.05</v>
      </c>
      <c r="BQ415" s="186">
        <v>0.05</v>
      </c>
      <c r="BR415" s="186">
        <v>0.05</v>
      </c>
      <c r="BS415" s="186">
        <v>0.05</v>
      </c>
      <c r="BT415" s="186">
        <v>0.05</v>
      </c>
      <c r="BU415" s="186">
        <v>0.05</v>
      </c>
      <c r="BV415" s="186">
        <v>0.05</v>
      </c>
      <c r="BW415" s="186">
        <v>0.05</v>
      </c>
      <c r="BX415" s="186">
        <v>0.05</v>
      </c>
      <c r="BY415" s="186">
        <v>0.05</v>
      </c>
      <c r="BZ415" s="186">
        <v>0.05</v>
      </c>
      <c r="CA415" s="186">
        <v>0.05</v>
      </c>
      <c r="CB415" s="186">
        <v>0.05</v>
      </c>
      <c r="CC415" s="186">
        <v>0.05</v>
      </c>
      <c r="CD415" s="186">
        <v>0.05</v>
      </c>
      <c r="CG415" s="185"/>
      <c r="CH415" s="185"/>
      <c r="CI415" s="185" t="e">
        <f t="shared" ref="CI415:CX415" si="600">+CI414/CH414-1</f>
        <v>#DIV/0!</v>
      </c>
      <c r="CJ415" s="185" t="e">
        <f t="shared" si="600"/>
        <v>#DIV/0!</v>
      </c>
      <c r="CK415" s="185">
        <f t="shared" si="600"/>
        <v>0.23611111111111116</v>
      </c>
      <c r="CL415" s="185">
        <f t="shared" si="600"/>
        <v>0.101123595505618</v>
      </c>
      <c r="CM415" s="185">
        <f t="shared" si="600"/>
        <v>0.23469387755102034</v>
      </c>
      <c r="CN415" s="185">
        <f t="shared" si="600"/>
        <v>0.17355371900826455</v>
      </c>
      <c r="CO415" s="185">
        <f t="shared" si="600"/>
        <v>0.221830985915493</v>
      </c>
      <c r="CP415" s="185">
        <f t="shared" si="600"/>
        <v>0.25360230547550433</v>
      </c>
      <c r="CQ415" s="185">
        <f t="shared" si="600"/>
        <v>0.21379310344827585</v>
      </c>
      <c r="CR415" s="185">
        <f t="shared" si="600"/>
        <v>3.7878787878787845E-2</v>
      </c>
      <c r="CS415" s="185">
        <f t="shared" si="600"/>
        <v>6.5693430656934337E-2</v>
      </c>
      <c r="CT415" s="187">
        <f t="shared" si="600"/>
        <v>6.1130136986301542E-2</v>
      </c>
      <c r="CU415" s="187">
        <f t="shared" si="600"/>
        <v>5.0000000000000044E-2</v>
      </c>
      <c r="CV415" s="187">
        <f t="shared" si="600"/>
        <v>5.0000000000000044E-2</v>
      </c>
      <c r="CW415" s="187">
        <f t="shared" si="600"/>
        <v>5.0000000000000044E-2</v>
      </c>
      <c r="CX415" s="187">
        <f t="shared" si="600"/>
        <v>4.9999999999999822E-2</v>
      </c>
    </row>
    <row r="416" spans="2:102" x14ac:dyDescent="0.25">
      <c r="B416" s="37" t="s">
        <v>286</v>
      </c>
      <c r="C416" s="37"/>
      <c r="D416" s="37"/>
      <c r="E416" s="37"/>
      <c r="F416" s="37"/>
      <c r="G416" s="37"/>
      <c r="H416" s="37"/>
      <c r="I416" s="37"/>
      <c r="J416" s="37"/>
      <c r="K416" s="37"/>
      <c r="L416" s="37"/>
      <c r="M416" s="37"/>
      <c r="N416" s="37"/>
      <c r="O416" s="37"/>
      <c r="P416" s="37"/>
      <c r="Q416" s="37"/>
      <c r="R416" s="37"/>
      <c r="S416" s="185">
        <f t="shared" ref="S416:CD416" si="601">+S414/S$259</f>
        <v>3.741935483870968E-2</v>
      </c>
      <c r="T416" s="185">
        <f t="shared" si="601"/>
        <v>3.2786885245901641E-2</v>
      </c>
      <c r="U416" s="185">
        <f t="shared" si="601"/>
        <v>2.7310924369747899E-2</v>
      </c>
      <c r="V416" s="185">
        <f t="shared" si="601"/>
        <v>4.0178571428571432E-2</v>
      </c>
      <c r="W416" s="185">
        <f t="shared" si="601"/>
        <v>6.4935064935064929E-2</v>
      </c>
      <c r="X416" s="185">
        <f t="shared" si="601"/>
        <v>3.8394415357766144E-2</v>
      </c>
      <c r="Y416" s="185">
        <f t="shared" si="601"/>
        <v>2.329450915141431E-2</v>
      </c>
      <c r="Z416" s="185">
        <f t="shared" si="601"/>
        <v>5.0865800865800864E-2</v>
      </c>
      <c r="AA416" s="185">
        <f t="shared" si="601"/>
        <v>7.0381231671554259E-2</v>
      </c>
      <c r="AB416" s="185">
        <f t="shared" si="601"/>
        <v>4.3715846994535519E-2</v>
      </c>
      <c r="AC416" s="185">
        <f t="shared" si="601"/>
        <v>2.318840579710145E-2</v>
      </c>
      <c r="AD416" s="185">
        <f t="shared" si="601"/>
        <v>4.7619047619047616E-2</v>
      </c>
      <c r="AE416" s="185">
        <f t="shared" si="601"/>
        <v>6.1935483870967742E-2</v>
      </c>
      <c r="AF416" s="185">
        <f t="shared" si="601"/>
        <v>5.2586938083121287E-2</v>
      </c>
      <c r="AG416" s="185">
        <f t="shared" si="601"/>
        <v>3.1963470319634701E-2</v>
      </c>
      <c r="AH416" s="185">
        <f t="shared" si="601"/>
        <v>5.4980079681274899E-2</v>
      </c>
      <c r="AI416" s="185">
        <f t="shared" si="601"/>
        <v>8.771929824561403E-2</v>
      </c>
      <c r="AJ416" s="185">
        <f t="shared" si="601"/>
        <v>5.2132701421800945E-2</v>
      </c>
      <c r="AK416" s="185">
        <f t="shared" si="601"/>
        <v>4.5262522631261314E-2</v>
      </c>
      <c r="AL416" s="185">
        <f t="shared" si="601"/>
        <v>5.1736357193479798E-2</v>
      </c>
      <c r="AM416" s="185">
        <f t="shared" si="601"/>
        <v>9.3350383631713552E-2</v>
      </c>
      <c r="AN416" s="185">
        <f t="shared" si="601"/>
        <v>7.0068545316070069E-2</v>
      </c>
      <c r="AO416" s="185">
        <f t="shared" si="601"/>
        <v>4.5027214250371102E-2</v>
      </c>
      <c r="AP416" s="185">
        <f t="shared" si="601"/>
        <v>7.2452229299363055E-2</v>
      </c>
      <c r="AQ416" s="185">
        <f t="shared" si="601"/>
        <v>7.3381294964028773E-2</v>
      </c>
      <c r="AR416" s="185">
        <f t="shared" si="601"/>
        <v>0.12417582417582418</v>
      </c>
      <c r="AS416" s="185">
        <f t="shared" si="601"/>
        <v>4.6249999999999999E-2</v>
      </c>
      <c r="AT416" s="185">
        <f t="shared" si="601"/>
        <v>7.3154362416107385E-2</v>
      </c>
      <c r="AU416" s="185">
        <f t="shared" si="601"/>
        <v>9.3562874251497008E-2</v>
      </c>
      <c r="AV416" s="185">
        <f t="shared" si="601"/>
        <v>8.0497028633171264E-2</v>
      </c>
      <c r="AW416" s="185">
        <f t="shared" si="601"/>
        <v>5.0058207217694994E-2</v>
      </c>
      <c r="AX416" s="185">
        <f t="shared" si="601"/>
        <v>7.1387778412335803E-2</v>
      </c>
      <c r="AY416" s="185">
        <f t="shared" si="601"/>
        <v>9.6227867590454194E-2</v>
      </c>
      <c r="AZ416" s="185">
        <f t="shared" si="601"/>
        <v>7.9817559863169893E-2</v>
      </c>
      <c r="BA416" s="185">
        <f t="shared" si="601"/>
        <v>6.0204953031596925E-2</v>
      </c>
      <c r="BB416" s="185">
        <f t="shared" si="601"/>
        <v>7.2970195272353544E-2</v>
      </c>
      <c r="BC416" s="185">
        <f t="shared" si="601"/>
        <v>8.2382762991128011E-2</v>
      </c>
      <c r="BD416" s="185">
        <f t="shared" si="601"/>
        <v>8.5164835164835168E-2</v>
      </c>
      <c r="BE416" s="185">
        <f t="shared" si="601"/>
        <v>6.3820794590025362E-2</v>
      </c>
      <c r="BF416" s="185">
        <f t="shared" si="601"/>
        <v>8.883553421368548E-2</v>
      </c>
      <c r="BG416" s="185">
        <f t="shared" si="601"/>
        <v>0.1133122028526149</v>
      </c>
      <c r="BH416" s="185">
        <f t="shared" si="601"/>
        <v>7.8282828282828287E-2</v>
      </c>
      <c r="BI416" s="185">
        <f t="shared" si="601"/>
        <v>6.7862117926620474E-2</v>
      </c>
      <c r="BJ416" s="185">
        <f t="shared" si="601"/>
        <v>9.7460307291120013E-2</v>
      </c>
      <c r="BK416" s="185">
        <f t="shared" si="601"/>
        <v>0.12246879203333493</v>
      </c>
      <c r="BL416" s="185">
        <f t="shared" si="601"/>
        <v>7.9717310535551034E-2</v>
      </c>
      <c r="BM416" s="185">
        <f t="shared" si="601"/>
        <v>6.4533173063074406E-2</v>
      </c>
      <c r="BN416" s="185">
        <f t="shared" si="601"/>
        <v>0.10073403858260946</v>
      </c>
      <c r="BO416" s="185">
        <f t="shared" si="601"/>
        <v>0.10033728903693634</v>
      </c>
      <c r="BP416" s="185">
        <f t="shared" si="601"/>
        <v>8.1654096494114772E-2</v>
      </c>
      <c r="BQ416" s="185">
        <f t="shared" si="601"/>
        <v>7.1003679575600276E-2</v>
      </c>
      <c r="BR416" s="185">
        <f t="shared" si="601"/>
        <v>0.10242820637085116</v>
      </c>
      <c r="BS416" s="185">
        <f t="shared" si="601"/>
        <v>0.10515047151072554</v>
      </c>
      <c r="BT416" s="185">
        <f t="shared" si="601"/>
        <v>8.4712792325842334E-2</v>
      </c>
      <c r="BU416" s="185">
        <f t="shared" si="601"/>
        <v>7.4024609574606881E-2</v>
      </c>
      <c r="BV416" s="185">
        <f t="shared" si="601"/>
        <v>0.10700496559423467</v>
      </c>
      <c r="BW416" s="185">
        <f t="shared" si="601"/>
        <v>0.1073792446627939</v>
      </c>
      <c r="BX416" s="185">
        <f t="shared" si="601"/>
        <v>8.6559247599647365E-2</v>
      </c>
      <c r="BY416" s="185">
        <f t="shared" si="601"/>
        <v>7.5232920952168339E-2</v>
      </c>
      <c r="BZ416" s="185">
        <f t="shared" si="601"/>
        <v>0.10835840404896599</v>
      </c>
      <c r="CA416" s="185">
        <f t="shared" si="601"/>
        <v>0.10955405919896934</v>
      </c>
      <c r="CB416" s="185">
        <f t="shared" si="601"/>
        <v>8.8377399551232194E-2</v>
      </c>
      <c r="CC416" s="185">
        <f t="shared" si="601"/>
        <v>7.6410050186611192E-2</v>
      </c>
      <c r="CD416" s="185">
        <f t="shared" si="601"/>
        <v>0.10965032178677821</v>
      </c>
      <c r="CG416" s="185"/>
      <c r="CH416" s="185"/>
      <c r="CI416" s="185" t="e">
        <f t="shared" ref="CI416:CX416" si="602">+CI414/CI$259</f>
        <v>#DIV/0!</v>
      </c>
      <c r="CJ416" s="185">
        <f t="shared" si="602"/>
        <v>3.3341051169252144E-2</v>
      </c>
      <c r="CK416" s="185">
        <f t="shared" si="602"/>
        <v>3.898379325448971E-2</v>
      </c>
      <c r="CL416" s="185">
        <f t="shared" si="602"/>
        <v>3.9660056657223795E-2</v>
      </c>
      <c r="CM416" s="185">
        <f t="shared" si="602"/>
        <v>4.6718146718146718E-2</v>
      </c>
      <c r="CN416" s="185">
        <f t="shared" si="602"/>
        <v>5.5339049103663288E-2</v>
      </c>
      <c r="CO416" s="185">
        <f t="shared" si="602"/>
        <v>6.4594192107222642E-2</v>
      </c>
      <c r="CP416" s="185">
        <f t="shared" si="602"/>
        <v>7.027463651050081E-2</v>
      </c>
      <c r="CQ416" s="185">
        <f t="shared" si="602"/>
        <v>7.0259481037924149E-2</v>
      </c>
      <c r="CR416" s="185">
        <f t="shared" si="602"/>
        <v>7.4649230350088538E-2</v>
      </c>
      <c r="CS416" s="185">
        <f t="shared" si="602"/>
        <v>7.8600269179004034E-2</v>
      </c>
      <c r="CT416" s="187">
        <f t="shared" si="602"/>
        <v>8.5219026005546095E-2</v>
      </c>
      <c r="CU416" s="187">
        <f t="shared" si="602"/>
        <v>8.5964547378584388E-2</v>
      </c>
      <c r="CV416" s="187">
        <f t="shared" si="602"/>
        <v>8.6447652949745116E-2</v>
      </c>
      <c r="CW416" s="187">
        <f t="shared" si="602"/>
        <v>9.0134542027015513E-2</v>
      </c>
      <c r="CX416" s="187">
        <f t="shared" si="602"/>
        <v>9.1759444330608314E-2</v>
      </c>
    </row>
    <row r="417" spans="2:102" x14ac:dyDescent="0.25">
      <c r="B417" s="37"/>
      <c r="C417" s="37"/>
      <c r="D417" s="37"/>
      <c r="E417" s="37"/>
      <c r="F417" s="37"/>
      <c r="G417" s="37"/>
      <c r="H417" s="37"/>
      <c r="I417" s="37"/>
      <c r="J417" s="37"/>
      <c r="K417" s="37"/>
      <c r="L417" s="37"/>
      <c r="M417" s="37"/>
      <c r="N417" s="37"/>
      <c r="O417" s="37"/>
      <c r="P417" s="37"/>
      <c r="Q417" s="37"/>
      <c r="R417" s="37"/>
      <c r="S417" s="185"/>
      <c r="T417" s="185"/>
      <c r="U417" s="185"/>
      <c r="V417" s="185"/>
      <c r="W417" s="185"/>
      <c r="X417" s="185"/>
      <c r="Y417" s="185"/>
      <c r="Z417" s="185"/>
      <c r="AA417" s="185"/>
      <c r="AB417" s="185"/>
      <c r="AC417" s="185"/>
      <c r="AD417" s="185"/>
      <c r="AE417" s="185"/>
      <c r="AF417" s="185"/>
      <c r="AG417" s="185"/>
      <c r="AH417" s="185"/>
      <c r="AI417" s="185"/>
      <c r="AJ417" s="185"/>
      <c r="AK417" s="185"/>
      <c r="AL417" s="185"/>
      <c r="AM417" s="185"/>
      <c r="AN417" s="185"/>
      <c r="AO417" s="185"/>
      <c r="AP417" s="185"/>
      <c r="AQ417" s="185"/>
      <c r="AR417" s="185"/>
      <c r="AS417" s="185"/>
      <c r="AT417" s="185"/>
      <c r="AU417" s="185"/>
      <c r="AV417" s="185"/>
      <c r="AW417" s="185"/>
      <c r="AX417" s="185"/>
      <c r="AY417" s="185"/>
      <c r="AZ417" s="185"/>
      <c r="BA417" s="185"/>
      <c r="BB417" s="185"/>
      <c r="BC417" s="185"/>
      <c r="BD417" s="185"/>
      <c r="BE417" s="185"/>
      <c r="BF417" s="185"/>
      <c r="BG417" s="185"/>
      <c r="BH417" s="185"/>
      <c r="BI417" s="185"/>
      <c r="BJ417" s="185"/>
      <c r="BK417" s="185"/>
      <c r="BL417" s="185"/>
      <c r="BM417" s="185"/>
      <c r="BN417" s="185"/>
      <c r="BO417" s="185"/>
      <c r="BP417" s="185"/>
      <c r="BQ417" s="185"/>
      <c r="BR417" s="185"/>
      <c r="BS417" s="185"/>
      <c r="BT417" s="185"/>
      <c r="BU417" s="185"/>
      <c r="BV417" s="185"/>
      <c r="BW417" s="185"/>
      <c r="BX417" s="185"/>
      <c r="BY417" s="185"/>
      <c r="BZ417" s="185"/>
      <c r="CA417" s="185"/>
      <c r="CB417" s="185"/>
      <c r="CC417" s="185"/>
      <c r="CD417" s="185"/>
      <c r="CG417" s="185"/>
      <c r="CH417" s="185"/>
      <c r="CI417" s="185"/>
      <c r="CJ417" s="185"/>
      <c r="CK417" s="185"/>
      <c r="CL417" s="185"/>
      <c r="CM417" s="185"/>
      <c r="CN417" s="185"/>
      <c r="CO417" s="185"/>
      <c r="CP417" s="185"/>
      <c r="CQ417" s="185"/>
      <c r="CR417" s="185"/>
      <c r="CS417" s="185"/>
      <c r="CT417" s="187"/>
      <c r="CU417" s="187"/>
      <c r="CV417" s="187"/>
      <c r="CW417" s="187"/>
      <c r="CX417" s="187"/>
    </row>
    <row r="418" spans="2:102" x14ac:dyDescent="0.25">
      <c r="B418" s="37" t="s">
        <v>287</v>
      </c>
      <c r="C418" s="37"/>
      <c r="D418" s="37"/>
      <c r="E418" s="37"/>
      <c r="F418" s="37"/>
      <c r="G418" s="37"/>
      <c r="H418" s="37"/>
      <c r="I418" s="37"/>
      <c r="J418" s="37"/>
      <c r="K418" s="37"/>
      <c r="L418" s="37"/>
      <c r="M418" s="37"/>
      <c r="N418" s="37"/>
      <c r="O418" s="37"/>
      <c r="P418" s="37"/>
      <c r="Q418" s="37"/>
      <c r="R418" s="37"/>
      <c r="S418" s="185">
        <f t="shared" ref="S418:CD418" si="603">-(S403)/S$259</f>
        <v>3.4838709677419352E-2</v>
      </c>
      <c r="T418" s="185">
        <f t="shared" si="603"/>
        <v>1.7213114754098362E-2</v>
      </c>
      <c r="U418" s="185">
        <f t="shared" si="603"/>
        <v>1.050420168067227E-2</v>
      </c>
      <c r="V418" s="185">
        <f t="shared" si="603"/>
        <v>3.5714285714285712E-2</v>
      </c>
      <c r="W418" s="185">
        <f t="shared" si="603"/>
        <v>3.4632034632034632E-2</v>
      </c>
      <c r="X418" s="185">
        <f t="shared" si="603"/>
        <v>1.5706806282722512E-2</v>
      </c>
      <c r="Y418" s="185">
        <f t="shared" si="603"/>
        <v>1.1647254575707155E-2</v>
      </c>
      <c r="Z418" s="185">
        <f t="shared" si="603"/>
        <v>3.2467532467532464E-2</v>
      </c>
      <c r="AA418" s="185">
        <f t="shared" si="603"/>
        <v>5.865102639296188E-2</v>
      </c>
      <c r="AB418" s="185">
        <f t="shared" si="603"/>
        <v>2.6411657559198543E-2</v>
      </c>
      <c r="AC418" s="185">
        <f t="shared" si="603"/>
        <v>1.2077294685990338E-2</v>
      </c>
      <c r="AD418" s="185">
        <f t="shared" si="603"/>
        <v>2.6556776556776556E-2</v>
      </c>
      <c r="AE418" s="185">
        <f t="shared" si="603"/>
        <v>4.2580645161290322E-2</v>
      </c>
      <c r="AF418" s="185">
        <f t="shared" si="603"/>
        <v>2.5445292620865138E-2</v>
      </c>
      <c r="AG418" s="185">
        <f t="shared" si="603"/>
        <v>1.2176560121765601E-2</v>
      </c>
      <c r="AH418" s="185">
        <f t="shared" si="603"/>
        <v>1.5936254980079681E-2</v>
      </c>
      <c r="AI418" s="185">
        <f t="shared" si="603"/>
        <v>4.0100250626566414E-2</v>
      </c>
      <c r="AJ418" s="185">
        <f t="shared" si="603"/>
        <v>2.448657187993681E-2</v>
      </c>
      <c r="AK418" s="185">
        <f t="shared" si="603"/>
        <v>1.2673506336753168E-2</v>
      </c>
      <c r="AL418" s="185">
        <f t="shared" si="603"/>
        <v>2.4805102763997167E-2</v>
      </c>
      <c r="AM418" s="185">
        <f t="shared" si="603"/>
        <v>5.754475703324808E-2</v>
      </c>
      <c r="AN418" s="185">
        <f t="shared" si="603"/>
        <v>2.0563594821020565E-2</v>
      </c>
      <c r="AO418" s="185">
        <f t="shared" si="603"/>
        <v>1.3854527461652647E-2</v>
      </c>
      <c r="AP418" s="185">
        <f t="shared" si="603"/>
        <v>3.1847133757961783E-2</v>
      </c>
      <c r="AQ418" s="185">
        <f t="shared" si="603"/>
        <v>2.7338129496402876E-2</v>
      </c>
      <c r="AR418" s="185">
        <f t="shared" si="603"/>
        <v>2.7472527472527472E-2</v>
      </c>
      <c r="AS418" s="185">
        <f t="shared" si="603"/>
        <v>1.2500000000000001E-2</v>
      </c>
      <c r="AT418" s="185">
        <f t="shared" si="603"/>
        <v>2.0805369127516779E-2</v>
      </c>
      <c r="AU418" s="185">
        <f t="shared" si="603"/>
        <v>3.2934131736526949E-2</v>
      </c>
      <c r="AV418" s="185">
        <f t="shared" si="603"/>
        <v>2.3230686115613183E-2</v>
      </c>
      <c r="AW418" s="185">
        <f t="shared" si="603"/>
        <v>1.8626309662398137E-2</v>
      </c>
      <c r="AX418" s="185">
        <f t="shared" si="603"/>
        <v>3.0268418046830382E-2</v>
      </c>
      <c r="AY418" s="185">
        <f t="shared" si="603"/>
        <v>4.5419553502694381E-2</v>
      </c>
      <c r="AZ418" s="185">
        <f t="shared" si="603"/>
        <v>3.0216647662485746E-2</v>
      </c>
      <c r="BA418" s="185">
        <f t="shared" si="603"/>
        <v>2.0495303159692571E-2</v>
      </c>
      <c r="BB418" s="185">
        <f t="shared" si="603"/>
        <v>2.4152106885919837E-2</v>
      </c>
      <c r="BC418" s="185">
        <f t="shared" si="603"/>
        <v>2.8517110266159697E-2</v>
      </c>
      <c r="BD418" s="185">
        <f t="shared" si="603"/>
        <v>2.8021978021978023E-2</v>
      </c>
      <c r="BE418" s="185">
        <f t="shared" si="603"/>
        <v>2.197802197802198E-2</v>
      </c>
      <c r="BF418" s="185">
        <f t="shared" si="603"/>
        <v>3.0612244897959183E-2</v>
      </c>
      <c r="BG418" s="185">
        <f t="shared" si="603"/>
        <v>5.3090332805071312E-2</v>
      </c>
      <c r="BH418" s="185" t="e">
        <f t="shared" si="603"/>
        <v>#NAME?</v>
      </c>
      <c r="BI418" s="185">
        <f t="shared" si="603"/>
        <v>2.1400857119716326E-2</v>
      </c>
      <c r="BJ418" s="185">
        <f t="shared" si="603"/>
        <v>3.135788522880309E-2</v>
      </c>
      <c r="BK418" s="185">
        <f t="shared" si="603"/>
        <v>4.0782148529249058E-2</v>
      </c>
      <c r="BL418" s="185">
        <f t="shared" si="603"/>
        <v>2.3324500193270727E-2</v>
      </c>
      <c r="BM418" s="185">
        <f t="shared" si="603"/>
        <v>1.938195043266339E-2</v>
      </c>
      <c r="BN418" s="185">
        <f t="shared" si="603"/>
        <v>3.0867818404918014E-2</v>
      </c>
      <c r="BO418" s="185">
        <f t="shared" si="603"/>
        <v>3.182128634442901E-2</v>
      </c>
      <c r="BP418" s="185">
        <f t="shared" si="603"/>
        <v>2.2753509234107589E-2</v>
      </c>
      <c r="BQ418" s="185">
        <f t="shared" si="603"/>
        <v>2.0309817235591044E-2</v>
      </c>
      <c r="BR418" s="185">
        <f t="shared" si="603"/>
        <v>2.9892343180163008E-2</v>
      </c>
      <c r="BS418" s="185">
        <f t="shared" si="603"/>
        <v>3.1759766011985151E-2</v>
      </c>
      <c r="BT418" s="185">
        <f t="shared" si="603"/>
        <v>2.2481749642903618E-2</v>
      </c>
      <c r="BU418" s="185">
        <f t="shared" si="603"/>
        <v>2.0165638904811892E-2</v>
      </c>
      <c r="BV418" s="185">
        <f t="shared" si="603"/>
        <v>2.9740962841012512E-2</v>
      </c>
      <c r="BW418" s="185">
        <f t="shared" si="603"/>
        <v>3.0888521092784449E-2</v>
      </c>
      <c r="BX418" s="185">
        <f t="shared" si="603"/>
        <v>2.1877882401337371E-2</v>
      </c>
      <c r="BY418" s="185">
        <f t="shared" si="603"/>
        <v>1.9518861637707635E-2</v>
      </c>
      <c r="BZ418" s="185">
        <f t="shared" si="603"/>
        <v>2.8682988151731974E-2</v>
      </c>
      <c r="CA418" s="185">
        <f t="shared" si="603"/>
        <v>3.0013451757072398E-2</v>
      </c>
      <c r="CB418" s="185">
        <f t="shared" si="603"/>
        <v>2.1273734277366591E-2</v>
      </c>
      <c r="CC418" s="185">
        <f t="shared" si="603"/>
        <v>1.8880250300339962E-2</v>
      </c>
      <c r="CD418" s="185">
        <f t="shared" si="603"/>
        <v>2.7642823771437338E-2</v>
      </c>
      <c r="CG418" s="185"/>
      <c r="CH418" s="185"/>
      <c r="CI418" s="185" t="e">
        <f t="shared" ref="CI418:CX418" si="604">-(CI403)/CI$259</f>
        <v>#DIV/0!</v>
      </c>
      <c r="CJ418" s="185">
        <f t="shared" si="604"/>
        <v>2.1995832368603842E-2</v>
      </c>
      <c r="CK418" s="185">
        <f t="shared" si="604"/>
        <v>2.0367936925098553E-2</v>
      </c>
      <c r="CL418" s="185">
        <f t="shared" si="604"/>
        <v>2.4888709024686363E-2</v>
      </c>
      <c r="CM418" s="185">
        <f t="shared" si="604"/>
        <v>2.0656370656370656E-2</v>
      </c>
      <c r="CN418" s="185">
        <f t="shared" si="604"/>
        <v>2.3187840997661729E-2</v>
      </c>
      <c r="CO418" s="185">
        <f t="shared" si="604"/>
        <v>2.6061057334326135E-2</v>
      </c>
      <c r="CP418" s="185">
        <f t="shared" si="604"/>
        <v>2.0032310177705976E-2</v>
      </c>
      <c r="CQ418" s="185">
        <f>-(CQ403)/CQ$259</f>
        <v>2.5016633399866931E-2</v>
      </c>
      <c r="CR418" s="185">
        <f t="shared" si="604"/>
        <v>2.8197793216183081E-2</v>
      </c>
      <c r="CS418" s="185">
        <f t="shared" si="604"/>
        <v>2.6783310901749662E-2</v>
      </c>
      <c r="CT418" s="185" t="e">
        <f t="shared" si="604"/>
        <v>#NAME?</v>
      </c>
      <c r="CU418" s="185">
        <f t="shared" si="604"/>
        <v>2.6422784412913892E-2</v>
      </c>
      <c r="CV418" s="185">
        <f t="shared" si="604"/>
        <v>2.5305976946564401E-2</v>
      </c>
      <c r="CW418" s="185">
        <f t="shared" si="604"/>
        <v>2.5128806302840558E-2</v>
      </c>
      <c r="CX418" s="185">
        <f t="shared" si="604"/>
        <v>2.4363634641381113E-2</v>
      </c>
    </row>
    <row r="419" spans="2:102" x14ac:dyDescent="0.25">
      <c r="B419" s="37" t="s">
        <v>288</v>
      </c>
      <c r="C419" s="37"/>
      <c r="D419" s="37"/>
      <c r="E419" s="37"/>
      <c r="F419" s="37"/>
      <c r="G419" s="37"/>
      <c r="H419" s="37"/>
      <c r="I419" s="37"/>
      <c r="J419" s="37"/>
      <c r="K419" s="37"/>
      <c r="L419" s="37"/>
      <c r="M419" s="37"/>
      <c r="N419" s="37"/>
      <c r="O419" s="37"/>
      <c r="P419" s="37"/>
      <c r="Q419" s="37"/>
      <c r="R419" s="37"/>
      <c r="S419" s="185">
        <f t="shared" ref="S419:CD419" si="605">+(S390)/S$259</f>
        <v>7.2258064516129039E-2</v>
      </c>
      <c r="T419" s="185">
        <f t="shared" si="605"/>
        <v>4.5901639344262293E-2</v>
      </c>
      <c r="U419" s="185">
        <f t="shared" si="605"/>
        <v>3.711484593837535E-2</v>
      </c>
      <c r="V419" s="185">
        <f t="shared" si="605"/>
        <v>6.1383928571428568E-2</v>
      </c>
      <c r="W419" s="185">
        <f t="shared" si="605"/>
        <v>7.0707070707070704E-2</v>
      </c>
      <c r="X419" s="185">
        <f t="shared" si="605"/>
        <v>4.3630017452006981E-2</v>
      </c>
      <c r="Y419" s="185">
        <f t="shared" si="605"/>
        <v>2.7731558513588463E-2</v>
      </c>
      <c r="Z419" s="185">
        <f t="shared" si="605"/>
        <v>5.1948051948051951E-2</v>
      </c>
      <c r="AA419" s="185">
        <f t="shared" si="605"/>
        <v>6.7448680351906154E-2</v>
      </c>
      <c r="AB419" s="185">
        <f t="shared" si="605"/>
        <v>4.0983606557377046E-2</v>
      </c>
      <c r="AC419" s="185">
        <f t="shared" si="605"/>
        <v>2.3671497584541065E-2</v>
      </c>
      <c r="AD419" s="185">
        <f t="shared" si="605"/>
        <v>2.9304029304029304E-2</v>
      </c>
      <c r="AE419" s="185">
        <f t="shared" si="605"/>
        <v>0.04</v>
      </c>
      <c r="AF419" s="185">
        <f t="shared" si="605"/>
        <v>2.7141645462256149E-2</v>
      </c>
      <c r="AG419" s="185">
        <f t="shared" si="605"/>
        <v>1.7250126839167934E-2</v>
      </c>
      <c r="AH419" s="185">
        <f t="shared" si="605"/>
        <v>3.1075697211155377E-2</v>
      </c>
      <c r="AI419" s="185">
        <f t="shared" si="605"/>
        <v>4.7619047619047616E-2</v>
      </c>
      <c r="AJ419" s="185">
        <f t="shared" si="605"/>
        <v>2.843601895734597E-2</v>
      </c>
      <c r="AK419" s="185">
        <f t="shared" si="605"/>
        <v>2.051901025950513E-2</v>
      </c>
      <c r="AL419" s="185">
        <f t="shared" si="605"/>
        <v>2.6222537207654145E-2</v>
      </c>
      <c r="AM419" s="185">
        <f t="shared" si="605"/>
        <v>4.7314578005115092E-2</v>
      </c>
      <c r="AN419" s="185">
        <f t="shared" si="605"/>
        <v>2.6656511805026657E-2</v>
      </c>
      <c r="AO419" s="185">
        <f t="shared" si="605"/>
        <v>1.9297377535873329E-2</v>
      </c>
      <c r="AP419" s="185">
        <f t="shared" si="605"/>
        <v>3.1050955414012739E-2</v>
      </c>
      <c r="AQ419" s="185">
        <f t="shared" si="605"/>
        <v>2.6618705035971222E-2</v>
      </c>
      <c r="AR419" s="185">
        <f t="shared" si="605"/>
        <v>4.3956043956043959E-2</v>
      </c>
      <c r="AS419" s="185">
        <f t="shared" si="605"/>
        <v>1.9166666666666665E-2</v>
      </c>
      <c r="AT419" s="185">
        <f t="shared" si="605"/>
        <v>3.8926174496644296E-2</v>
      </c>
      <c r="AU419" s="185">
        <f t="shared" si="605"/>
        <v>7.859281437125748E-2</v>
      </c>
      <c r="AV419" s="185">
        <f t="shared" si="605"/>
        <v>5.0783360345759046E-2</v>
      </c>
      <c r="AW419" s="185">
        <f t="shared" si="605"/>
        <v>5.6655025223127667E-2</v>
      </c>
      <c r="AX419" s="185">
        <f t="shared" si="605"/>
        <v>8.0525414049114785E-2</v>
      </c>
      <c r="AY419" s="185">
        <f t="shared" si="605"/>
        <v>8.7759815242494224E-2</v>
      </c>
      <c r="AZ419" s="185">
        <f t="shared" si="605"/>
        <v>7.2405929304446975E-2</v>
      </c>
      <c r="BA419" s="185">
        <f t="shared" si="605"/>
        <v>5.2092228864218618E-2</v>
      </c>
      <c r="BB419" s="185">
        <f t="shared" si="605"/>
        <v>8.8900308324768751E-2</v>
      </c>
      <c r="BC419" s="185">
        <f t="shared" si="605"/>
        <v>5.5766793409378963E-2</v>
      </c>
      <c r="BD419" s="185">
        <f t="shared" si="605"/>
        <v>4.6703296703296704E-2</v>
      </c>
      <c r="BE419" s="185">
        <f t="shared" si="605"/>
        <v>3.4657650042265425E-2</v>
      </c>
      <c r="BF419" s="185">
        <f t="shared" si="605"/>
        <v>8.9435774309723895E-2</v>
      </c>
      <c r="BG419" s="185">
        <f t="shared" si="605"/>
        <v>6.3391442155309036E-2</v>
      </c>
      <c r="BH419" s="185">
        <f t="shared" si="605"/>
        <v>3.8480038480038482E-2</v>
      </c>
      <c r="BI419" s="185">
        <f t="shared" si="605"/>
        <v>3.4241371391546122E-2</v>
      </c>
      <c r="BJ419" s="185">
        <f t="shared" si="605"/>
        <v>5.0172616366084943E-2</v>
      </c>
      <c r="BK419" s="185">
        <f t="shared" si="605"/>
        <v>6.5251437646798485E-2</v>
      </c>
      <c r="BL419" s="185">
        <f t="shared" si="605"/>
        <v>3.7319200309233164E-2</v>
      </c>
      <c r="BM419" s="185">
        <f t="shared" si="605"/>
        <v>3.1011120692261425E-2</v>
      </c>
      <c r="BN419" s="185">
        <f t="shared" si="605"/>
        <v>4.9388509447868822E-2</v>
      </c>
      <c r="BO419" s="185">
        <f t="shared" si="605"/>
        <v>5.0914058151086419E-2</v>
      </c>
      <c r="BP419" s="185">
        <f t="shared" si="605"/>
        <v>3.6405614774572138E-2</v>
      </c>
      <c r="BQ419" s="185">
        <f t="shared" si="605"/>
        <v>3.249570757694567E-2</v>
      </c>
      <c r="BR419" s="185">
        <f t="shared" si="605"/>
        <v>4.7827749088260811E-2</v>
      </c>
      <c r="BS419" s="185">
        <f t="shared" si="605"/>
        <v>5.0815625619176241E-2</v>
      </c>
      <c r="BT419" s="185">
        <f t="shared" si="605"/>
        <v>3.597079942864579E-2</v>
      </c>
      <c r="BU419" s="185">
        <f t="shared" si="605"/>
        <v>3.2265022247699025E-2</v>
      </c>
      <c r="BV419" s="185">
        <f t="shared" si="605"/>
        <v>4.7585540545620017E-2</v>
      </c>
      <c r="BW419" s="185">
        <f t="shared" si="605"/>
        <v>4.9421633748455117E-2</v>
      </c>
      <c r="BX419" s="185">
        <f t="shared" si="605"/>
        <v>3.5004611842139793E-2</v>
      </c>
      <c r="BY419" s="185">
        <f t="shared" si="605"/>
        <v>3.1230178620332213E-2</v>
      </c>
      <c r="BZ419" s="185">
        <f t="shared" si="605"/>
        <v>4.5892781042771162E-2</v>
      </c>
      <c r="CA419" s="185">
        <f t="shared" si="605"/>
        <v>4.8021522811315838E-2</v>
      </c>
      <c r="CB419" s="185">
        <f t="shared" si="605"/>
        <v>3.4037974843786546E-2</v>
      </c>
      <c r="CC419" s="185">
        <f t="shared" si="605"/>
        <v>3.0208400480543938E-2</v>
      </c>
      <c r="CD419" s="185">
        <f t="shared" si="605"/>
        <v>4.4228518034299745E-2</v>
      </c>
      <c r="CG419" s="185"/>
      <c r="CH419" s="185"/>
      <c r="CI419" s="185" t="e">
        <f t="shared" ref="CI419:CX419" si="606">+(CI390)/CI$259</f>
        <v>#DIV/0!</v>
      </c>
      <c r="CJ419" s="185">
        <f t="shared" si="606"/>
        <v>5.0937717064135218E-2</v>
      </c>
      <c r="CK419" s="185">
        <f t="shared" si="606"/>
        <v>4.3144984669294791E-2</v>
      </c>
      <c r="CL419" s="185">
        <f t="shared" si="606"/>
        <v>3.480372318899231E-2</v>
      </c>
      <c r="CM419" s="185">
        <f t="shared" si="606"/>
        <v>2.6254826254826256E-2</v>
      </c>
      <c r="CN419" s="185">
        <f t="shared" si="606"/>
        <v>2.8254091971940763E-2</v>
      </c>
      <c r="CO419" s="185">
        <f t="shared" si="606"/>
        <v>2.7922561429635145E-2</v>
      </c>
      <c r="CP419" s="185">
        <f t="shared" si="606"/>
        <v>2.924071082390953E-2</v>
      </c>
      <c r="CQ419" s="185">
        <f t="shared" si="606"/>
        <v>6.4670658682634732E-2</v>
      </c>
      <c r="CR419" s="185">
        <f t="shared" si="606"/>
        <v>7.3014575670889523E-2</v>
      </c>
      <c r="CS419" s="185">
        <f t="shared" si="606"/>
        <v>5.4374158815612382E-2</v>
      </c>
      <c r="CT419" s="187">
        <f t="shared" si="606"/>
        <v>4.4005306312368479E-2</v>
      </c>
      <c r="CU419" s="187">
        <f t="shared" si="606"/>
        <v>4.227645506066223E-2</v>
      </c>
      <c r="CV419" s="187">
        <f t="shared" si="606"/>
        <v>4.0489563114503045E-2</v>
      </c>
      <c r="CW419" s="187">
        <f t="shared" si="606"/>
        <v>4.0206090084544892E-2</v>
      </c>
      <c r="CX419" s="187">
        <f t="shared" si="606"/>
        <v>3.8981815426209779E-2</v>
      </c>
    </row>
    <row r="420" spans="2:102" x14ac:dyDescent="0.25">
      <c r="B420" s="37"/>
      <c r="C420" s="37"/>
      <c r="D420" s="37"/>
      <c r="E420" s="37"/>
      <c r="F420" s="37"/>
      <c r="G420" s="37"/>
      <c r="H420" s="37"/>
      <c r="I420" s="37"/>
      <c r="J420" s="37"/>
      <c r="K420" s="37"/>
      <c r="L420" s="37"/>
      <c r="M420" s="37"/>
      <c r="N420" s="37"/>
      <c r="O420" s="37"/>
      <c r="P420" s="37"/>
      <c r="Q420" s="37"/>
      <c r="R420" s="37"/>
      <c r="S420" s="185"/>
      <c r="T420" s="185"/>
      <c r="U420" s="185"/>
      <c r="V420" s="185"/>
      <c r="W420" s="185"/>
      <c r="X420" s="185"/>
      <c r="Y420" s="185"/>
      <c r="Z420" s="185"/>
      <c r="AA420" s="185"/>
      <c r="AB420" s="185"/>
      <c r="AC420" s="185"/>
      <c r="AD420" s="185"/>
      <c r="AE420" s="185"/>
      <c r="AF420" s="185"/>
      <c r="AG420" s="185"/>
      <c r="AH420" s="185"/>
      <c r="AI420" s="185"/>
      <c r="AJ420" s="185"/>
      <c r="AK420" s="185"/>
      <c r="AL420" s="185"/>
      <c r="AM420" s="185"/>
      <c r="AN420" s="185"/>
      <c r="AO420" s="185"/>
      <c r="AP420" s="185"/>
      <c r="AQ420" s="185"/>
      <c r="AR420" s="185"/>
      <c r="AS420" s="185"/>
      <c r="AT420" s="185"/>
      <c r="AU420" s="185"/>
      <c r="AV420" s="185"/>
      <c r="AW420" s="185"/>
      <c r="AX420" s="185"/>
      <c r="AY420" s="185"/>
      <c r="AZ420" s="185"/>
      <c r="BA420" s="185"/>
      <c r="BB420" s="185"/>
      <c r="BC420" s="185"/>
      <c r="BD420" s="185"/>
      <c r="BE420" s="185"/>
      <c r="BF420" s="185"/>
      <c r="BG420" s="185"/>
      <c r="BH420" s="185"/>
      <c r="BI420" s="185"/>
      <c r="BJ420" s="185"/>
      <c r="BK420" s="185"/>
      <c r="BL420" s="185"/>
      <c r="BM420" s="185"/>
      <c r="BN420" s="185"/>
      <c r="BO420" s="185"/>
      <c r="BP420" s="185"/>
      <c r="BQ420" s="185"/>
      <c r="BR420" s="185"/>
      <c r="BS420" s="185"/>
      <c r="BT420" s="185"/>
      <c r="BU420" s="185"/>
      <c r="BV420" s="185"/>
      <c r="BW420" s="185"/>
      <c r="BX420" s="185"/>
      <c r="BY420" s="185"/>
      <c r="BZ420" s="185"/>
      <c r="CA420" s="185"/>
      <c r="CB420" s="185"/>
      <c r="CC420" s="185"/>
      <c r="CD420" s="185"/>
      <c r="CG420" s="185"/>
      <c r="CH420" s="185"/>
      <c r="CI420" s="185"/>
      <c r="CJ420" s="185"/>
      <c r="CK420" s="185"/>
      <c r="CL420" s="185"/>
      <c r="CM420" s="185"/>
      <c r="CN420" s="185"/>
      <c r="CO420" s="185"/>
      <c r="CP420" s="185"/>
      <c r="CQ420" s="185"/>
      <c r="CR420" s="185"/>
      <c r="CS420" s="185"/>
      <c r="CT420" s="187"/>
      <c r="CU420" s="187"/>
      <c r="CV420" s="187"/>
      <c r="CW420" s="187"/>
      <c r="CX420" s="187"/>
    </row>
    <row r="421" spans="2:102" x14ac:dyDescent="0.25">
      <c r="B421" s="37" t="s">
        <v>289</v>
      </c>
      <c r="C421" s="37"/>
      <c r="D421" s="37"/>
      <c r="E421" s="37"/>
      <c r="F421" s="37"/>
      <c r="G421" s="37"/>
      <c r="H421" s="37"/>
      <c r="I421" s="37"/>
      <c r="J421" s="37"/>
      <c r="K421" s="37"/>
      <c r="L421" s="37"/>
      <c r="M421" s="37"/>
      <c r="N421" s="37"/>
      <c r="O421" s="37"/>
      <c r="P421" s="37"/>
      <c r="Q421" s="37"/>
      <c r="R421" s="37"/>
      <c r="S421" s="185"/>
      <c r="T421" s="185"/>
      <c r="U421" s="185"/>
      <c r="V421" s="185"/>
      <c r="W421" s="185">
        <f>-(W403)/W$423</f>
        <v>5.6643851781921174E-3</v>
      </c>
      <c r="X421" s="185">
        <f t="shared" ref="X421:BR421" si="607">-(X403)/X$423</f>
        <v>4.3238049483545517E-3</v>
      </c>
      <c r="Y421" s="185">
        <f t="shared" si="607"/>
        <v>4.6275892463640373E-3</v>
      </c>
      <c r="Z421" s="185">
        <f t="shared" si="607"/>
        <v>6.5703022339027592E-3</v>
      </c>
      <c r="AA421" s="185">
        <f t="shared" si="607"/>
        <v>8.7815587266739849E-3</v>
      </c>
      <c r="AB421" s="185">
        <f t="shared" si="607"/>
        <v>6.4344353228311512E-3</v>
      </c>
      <c r="AC421" s="185">
        <f t="shared" si="607"/>
        <v>5.2366987850858823E-3</v>
      </c>
      <c r="AD421" s="185">
        <f t="shared" si="607"/>
        <v>5.868069607446378E-3</v>
      </c>
      <c r="AE421" s="185">
        <f t="shared" si="607"/>
        <v>6.5541211519364448E-3</v>
      </c>
      <c r="AF421" s="185">
        <f t="shared" si="607"/>
        <v>5.8639562157935888E-3</v>
      </c>
      <c r="AG421" s="185">
        <f t="shared" si="607"/>
        <v>4.7837352999800676E-3</v>
      </c>
      <c r="AH421" s="185">
        <f t="shared" si="607"/>
        <v>3.8610038610038611E-3</v>
      </c>
      <c r="AI421" s="185">
        <f t="shared" si="607"/>
        <v>6.1502979050547758E-3</v>
      </c>
      <c r="AJ421" s="185">
        <f t="shared" si="607"/>
        <v>5.8601134215500944E-3</v>
      </c>
      <c r="AK421" s="185">
        <f t="shared" si="607"/>
        <v>4.2202572347266884E-3</v>
      </c>
      <c r="AL421" s="185">
        <f t="shared" si="607"/>
        <v>6.8199532346063909E-3</v>
      </c>
      <c r="AM421" s="185">
        <f t="shared" si="607"/>
        <v>8.7959343236903836E-3</v>
      </c>
      <c r="AN421" s="185">
        <f t="shared" si="607"/>
        <v>5.2295177222545031E-3</v>
      </c>
      <c r="AO421" s="185">
        <f t="shared" si="607"/>
        <v>5.0660394427356611E-3</v>
      </c>
      <c r="AP421" s="185">
        <f t="shared" si="607"/>
        <v>7.446016381236039E-3</v>
      </c>
      <c r="AQ421" s="185">
        <f t="shared" si="607"/>
        <v>6.3545150501672244E-3</v>
      </c>
      <c r="AR421" s="185">
        <f t="shared" si="607"/>
        <v>4.4826967903890983E-3</v>
      </c>
      <c r="AS421" s="185">
        <f t="shared" si="607"/>
        <v>5.0369375419744792E-3</v>
      </c>
      <c r="AT421" s="185">
        <f t="shared" si="607"/>
        <v>5.008077544426494E-3</v>
      </c>
      <c r="AU421" s="185">
        <f t="shared" si="607"/>
        <v>7.1707953063885263E-3</v>
      </c>
      <c r="AV421" s="185">
        <f t="shared" si="607"/>
        <v>6.0760209128161652E-3</v>
      </c>
      <c r="AW421" s="185">
        <f t="shared" si="607"/>
        <v>6.6170388751033912E-3</v>
      </c>
      <c r="AX421" s="185">
        <f t="shared" si="607"/>
        <v>7.0525615435795075E-3</v>
      </c>
      <c r="AY421" s="185">
        <f t="shared" si="607"/>
        <v>7.8898101096549888E-3</v>
      </c>
      <c r="AZ421" s="185">
        <f t="shared" si="607"/>
        <v>7.1805988348462267E-3</v>
      </c>
      <c r="BA421" s="185">
        <f t="shared" si="607"/>
        <v>6.7170445004198151E-3</v>
      </c>
      <c r="BB421" s="185">
        <f t="shared" si="607"/>
        <v>6.4023974935294922E-3</v>
      </c>
      <c r="BC421" s="185">
        <f>-(BC403)/BC$423</f>
        <v>5.905511811023622E-3</v>
      </c>
      <c r="BD421" s="185">
        <f t="shared" si="607"/>
        <v>6.6354410616705703E-3</v>
      </c>
      <c r="BE421" s="185">
        <f t="shared" si="607"/>
        <v>6.7444876783398187E-3</v>
      </c>
      <c r="BF421" s="185">
        <f t="shared" si="607"/>
        <v>6.8640646029609689E-3</v>
      </c>
      <c r="BG421" s="185">
        <f t="shared" si="607"/>
        <v>9.4180489176272138E-3</v>
      </c>
      <c r="BH421" s="185" t="e">
        <f t="shared" si="607"/>
        <v>#NAME?</v>
      </c>
      <c r="BI421" s="185">
        <f>-(BI403)/BI$423</f>
        <v>6.8088768488454472E-3</v>
      </c>
      <c r="BJ421" s="185">
        <f t="shared" si="607"/>
        <v>6.8758291113075751E-3</v>
      </c>
      <c r="BK421" s="185">
        <f t="shared" si="607"/>
        <v>6.9100124961633718E-3</v>
      </c>
      <c r="BL421" s="185">
        <f t="shared" si="607"/>
        <v>6.8488032041462031E-3</v>
      </c>
      <c r="BM421" s="185">
        <f t="shared" si="607"/>
        <v>6.6278624783630887E-3</v>
      </c>
      <c r="BN421" s="185">
        <f t="shared" si="607"/>
        <v>6.605696103228473E-3</v>
      </c>
      <c r="BO421" s="185">
        <f t="shared" si="607"/>
        <v>6.3175395353034973E-3</v>
      </c>
      <c r="BP421" s="185">
        <f t="shared" si="607"/>
        <v>6.2748891922799355E-3</v>
      </c>
      <c r="BQ421" s="185">
        <f t="shared" si="607"/>
        <v>6.3690924137221102E-3</v>
      </c>
      <c r="BR421" s="185">
        <f t="shared" si="607"/>
        <v>6.3264942366411002E-3</v>
      </c>
      <c r="BS421" s="185">
        <f>+(BS403)/BS$423</f>
        <v>-6.3240587673288381E-3</v>
      </c>
      <c r="BT421" s="185">
        <f>+(BT403)/BT$423</f>
        <v>-6.3028828846951861E-3</v>
      </c>
      <c r="BU421" s="185">
        <f>+(BU403)/BU$423</f>
        <v>-6.2889289105273454E-3</v>
      </c>
      <c r="BV421" s="185">
        <f>+(BV403)/BV$423</f>
        <v>-6.2822015757101396E-3</v>
      </c>
      <c r="BW421" s="185">
        <f t="shared" ref="BW421:CD421" si="608">+(BW403)/BW$423</f>
        <v>-3.14273414286061E-3</v>
      </c>
      <c r="BX421" s="185">
        <f t="shared" si="608"/>
        <v>-3.1254564208168202E-3</v>
      </c>
      <c r="BY421" s="185">
        <f t="shared" si="608"/>
        <v>-3.1060869099209043E-3</v>
      </c>
      <c r="BZ421" s="185">
        <f t="shared" si="608"/>
        <v>-6.0909086603452784E-3</v>
      </c>
      <c r="CA421" s="185">
        <f t="shared" si="608"/>
        <v>-3.0751158847395097E-3</v>
      </c>
      <c r="CB421" s="185">
        <f t="shared" si="608"/>
        <v>-3.0514151718762073E-3</v>
      </c>
      <c r="CC421" s="185">
        <f t="shared" si="608"/>
        <v>-3.0203004332035785E-3</v>
      </c>
      <c r="CD421" s="185">
        <f t="shared" si="608"/>
        <v>-5.9008932268410329E-3</v>
      </c>
      <c r="CG421" s="185"/>
      <c r="CH421" s="185"/>
      <c r="CI421" s="185"/>
      <c r="CJ421" s="185"/>
      <c r="CK421" s="185"/>
      <c r="CL421" s="185"/>
      <c r="CM421" s="185"/>
      <c r="CN421" s="185"/>
      <c r="CO421" s="185"/>
      <c r="CP421" s="185"/>
      <c r="CQ421" s="185"/>
      <c r="CR421" s="185"/>
      <c r="CS421" s="185"/>
      <c r="CT421" s="187"/>
      <c r="CU421" s="187"/>
      <c r="CV421" s="187"/>
      <c r="CW421" s="187"/>
      <c r="CX421" s="187"/>
    </row>
    <row r="422" spans="2:102" x14ac:dyDescent="0.25">
      <c r="B422" s="37" t="s">
        <v>290</v>
      </c>
      <c r="C422" s="37"/>
      <c r="D422" s="37"/>
      <c r="E422" s="37"/>
      <c r="F422" s="37"/>
      <c r="G422" s="37"/>
      <c r="H422" s="37"/>
      <c r="I422" s="37"/>
      <c r="J422" s="37"/>
      <c r="K422" s="37"/>
      <c r="L422" s="37"/>
      <c r="M422" s="37"/>
      <c r="N422" s="37"/>
      <c r="O422" s="37"/>
      <c r="P422" s="37"/>
      <c r="Q422" s="37"/>
      <c r="R422" s="37"/>
      <c r="S422" s="185"/>
      <c r="T422" s="185"/>
      <c r="U422" s="185"/>
      <c r="V422" s="185"/>
      <c r="W422" s="185">
        <f t="shared" ref="W422:CD422" si="609">+(W390)/W$423</f>
        <v>1.1564786405475572E-2</v>
      </c>
      <c r="X422" s="185">
        <f t="shared" si="609"/>
        <v>1.2010569300984866E-2</v>
      </c>
      <c r="Y422" s="185">
        <f t="shared" si="609"/>
        <v>1.1018069634200088E-2</v>
      </c>
      <c r="Z422" s="185">
        <f t="shared" si="609"/>
        <v>1.0512483574244415E-2</v>
      </c>
      <c r="AA422" s="185">
        <f t="shared" si="609"/>
        <v>1.0098792535675083E-2</v>
      </c>
      <c r="AB422" s="185">
        <f t="shared" si="609"/>
        <v>9.9844686043931655E-3</v>
      </c>
      <c r="AC422" s="185">
        <f t="shared" si="609"/>
        <v>1.0263929618768328E-2</v>
      </c>
      <c r="AD422" s="185">
        <f t="shared" si="609"/>
        <v>6.4751112909753137E-3</v>
      </c>
      <c r="AE422" s="185">
        <f t="shared" si="609"/>
        <v>6.1569016881827211E-3</v>
      </c>
      <c r="AF422" s="185">
        <f t="shared" si="609"/>
        <v>6.2548866301798279E-3</v>
      </c>
      <c r="AG422" s="185">
        <f t="shared" si="609"/>
        <v>6.7769583416384289E-3</v>
      </c>
      <c r="AH422" s="185">
        <f t="shared" si="609"/>
        <v>7.528957528957529E-3</v>
      </c>
      <c r="AI422" s="185">
        <f t="shared" si="609"/>
        <v>7.3034787622525462E-3</v>
      </c>
      <c r="AJ422" s="185">
        <f t="shared" si="609"/>
        <v>6.8052930056710778E-3</v>
      </c>
      <c r="AK422" s="185">
        <f t="shared" si="609"/>
        <v>6.8327974276527334E-3</v>
      </c>
      <c r="AL422" s="185">
        <f t="shared" si="609"/>
        <v>7.2096648480124712E-3</v>
      </c>
      <c r="AM422" s="185">
        <f t="shared" si="609"/>
        <v>7.2322126661454262E-3</v>
      </c>
      <c r="AN422" s="185">
        <f t="shared" si="609"/>
        <v>6.7790044547743561E-3</v>
      </c>
      <c r="AO422" s="185">
        <f t="shared" si="609"/>
        <v>7.0562692238103856E-3</v>
      </c>
      <c r="AP422" s="185">
        <f t="shared" si="609"/>
        <v>7.2598659717051381E-3</v>
      </c>
      <c r="AQ422" s="185">
        <f t="shared" si="609"/>
        <v>6.1872909698996656E-3</v>
      </c>
      <c r="AR422" s="185">
        <f t="shared" si="609"/>
        <v>7.1723148646225567E-3</v>
      </c>
      <c r="AS422" s="185">
        <f t="shared" si="609"/>
        <v>7.7233042310275351E-3</v>
      </c>
      <c r="AT422" s="185">
        <f t="shared" si="609"/>
        <v>9.3699515347334412E-3</v>
      </c>
      <c r="AU422" s="185">
        <f t="shared" si="609"/>
        <v>1.711212516297262E-2</v>
      </c>
      <c r="AV422" s="185">
        <f t="shared" si="609"/>
        <v>1.3282464321039989E-2</v>
      </c>
      <c r="AW422" s="185">
        <f t="shared" si="609"/>
        <v>2.0126826578439481E-2</v>
      </c>
      <c r="AX422" s="185">
        <f t="shared" si="609"/>
        <v>1.8762475049900199E-2</v>
      </c>
      <c r="AY422" s="185">
        <f t="shared" si="609"/>
        <v>1.5244717838994384E-2</v>
      </c>
      <c r="AZ422" s="185">
        <f t="shared" si="609"/>
        <v>1.7206340604254165E-2</v>
      </c>
      <c r="BA422" s="185">
        <f t="shared" si="609"/>
        <v>1.7072488105233697E-2</v>
      </c>
      <c r="BB422" s="185">
        <f t="shared" si="609"/>
        <v>2.3566271625119192E-2</v>
      </c>
      <c r="BC422" s="185">
        <f t="shared" si="609"/>
        <v>1.1548556430446194E-2</v>
      </c>
      <c r="BD422" s="185">
        <f t="shared" si="609"/>
        <v>1.1059068436117616E-2</v>
      </c>
      <c r="BE422" s="185">
        <f t="shared" si="609"/>
        <v>1.0635538261997406E-2</v>
      </c>
      <c r="BF422" s="185">
        <f t="shared" si="609"/>
        <v>2.0053835800807537E-2</v>
      </c>
      <c r="BG422" s="185">
        <f t="shared" si="609"/>
        <v>1.1245431543435479E-2</v>
      </c>
      <c r="BH422" s="185">
        <f t="shared" si="609"/>
        <v>1.0850400108504001E-2</v>
      </c>
      <c r="BI422" s="185">
        <f>+(BI390)/BI$423</f>
        <v>1.0894202958152716E-2</v>
      </c>
      <c r="BJ422" s="185">
        <f t="shared" si="609"/>
        <v>1.100132657809212E-2</v>
      </c>
      <c r="BK422" s="185">
        <f t="shared" si="609"/>
        <v>1.1056019993861394E-2</v>
      </c>
      <c r="BL422" s="185">
        <f t="shared" si="609"/>
        <v>1.0958085126633925E-2</v>
      </c>
      <c r="BM422" s="185">
        <f t="shared" si="609"/>
        <v>1.0604579965380941E-2</v>
      </c>
      <c r="BN422" s="185">
        <f t="shared" si="609"/>
        <v>1.0569113765165557E-2</v>
      </c>
      <c r="BO422" s="185">
        <f t="shared" si="609"/>
        <v>1.0108063256485595E-2</v>
      </c>
      <c r="BP422" s="185">
        <f t="shared" si="609"/>
        <v>1.0039822707647897E-2</v>
      </c>
      <c r="BQ422" s="185">
        <f t="shared" si="609"/>
        <v>1.0190547861955376E-2</v>
      </c>
      <c r="BR422" s="185">
        <f t="shared" si="609"/>
        <v>1.0122390778625761E-2</v>
      </c>
      <c r="BS422" s="185">
        <f t="shared" si="609"/>
        <v>1.0118494027726141E-2</v>
      </c>
      <c r="BT422" s="185">
        <f t="shared" si="609"/>
        <v>1.0084612615512299E-2</v>
      </c>
      <c r="BU422" s="185">
        <f t="shared" si="609"/>
        <v>1.0062286256843753E-2</v>
      </c>
      <c r="BV422" s="185">
        <f t="shared" si="609"/>
        <v>1.0051522521136223E-2</v>
      </c>
      <c r="BW422" s="185">
        <f t="shared" si="609"/>
        <v>5.0283746285769756E-3</v>
      </c>
      <c r="BX422" s="185">
        <f t="shared" si="609"/>
        <v>5.0007302733069119E-3</v>
      </c>
      <c r="BY422" s="185">
        <f t="shared" si="609"/>
        <v>4.9697390558734473E-3</v>
      </c>
      <c r="BZ422" s="185">
        <f t="shared" si="609"/>
        <v>9.7454538565524447E-3</v>
      </c>
      <c r="CA422" s="185">
        <f t="shared" si="609"/>
        <v>4.9201854155832151E-3</v>
      </c>
      <c r="CB422" s="185">
        <f t="shared" si="609"/>
        <v>4.8822642750019317E-3</v>
      </c>
      <c r="CC422" s="185">
        <f t="shared" si="609"/>
        <v>4.8324806931257262E-3</v>
      </c>
      <c r="CD422" s="185">
        <f t="shared" si="609"/>
        <v>9.4414291629456512E-3</v>
      </c>
      <c r="CG422" s="185"/>
      <c r="CH422" s="185"/>
      <c r="CI422" s="185"/>
      <c r="CJ422" s="185"/>
      <c r="CK422" s="185"/>
      <c r="CL422" s="185"/>
      <c r="CM422" s="185"/>
      <c r="CN422" s="185"/>
      <c r="CO422" s="185"/>
      <c r="CP422" s="185"/>
      <c r="CQ422" s="185"/>
      <c r="CR422" s="185"/>
      <c r="CS422" s="185"/>
      <c r="CT422" s="187"/>
      <c r="CU422" s="187"/>
      <c r="CV422" s="187"/>
      <c r="CW422" s="187"/>
      <c r="CX422" s="187"/>
    </row>
    <row r="423" spans="2:102" s="5" customFormat="1" x14ac:dyDescent="0.25">
      <c r="B423" s="188" t="s">
        <v>291</v>
      </c>
      <c r="C423" s="188"/>
      <c r="D423" s="188"/>
      <c r="E423" s="188"/>
      <c r="F423" s="188"/>
      <c r="G423" s="188"/>
      <c r="H423" s="188"/>
      <c r="I423" s="188"/>
      <c r="J423" s="188"/>
      <c r="K423" s="188"/>
      <c r="L423" s="188"/>
      <c r="M423" s="188"/>
      <c r="N423" s="188"/>
      <c r="O423" s="188"/>
      <c r="P423" s="188"/>
      <c r="Q423" s="188"/>
      <c r="R423" s="188"/>
      <c r="S423" s="113"/>
      <c r="T423" s="113"/>
      <c r="U423" s="113"/>
      <c r="V423" s="113"/>
      <c r="W423" s="113">
        <f t="shared" ref="W423" si="610">+SUM(T$259:W$259)</f>
        <v>4237</v>
      </c>
      <c r="X423" s="113">
        <f t="shared" ref="X423" si="611">+SUM(U$259:X$259)</f>
        <v>4163</v>
      </c>
      <c r="Y423" s="113">
        <f t="shared" ref="Y423:BV423" si="612">+SUM(V$259:Y$259)</f>
        <v>4538</v>
      </c>
      <c r="Z423" s="113">
        <f t="shared" si="612"/>
        <v>4566</v>
      </c>
      <c r="AA423" s="113">
        <f t="shared" si="612"/>
        <v>4555</v>
      </c>
      <c r="AB423" s="113">
        <f t="shared" si="612"/>
        <v>4507</v>
      </c>
      <c r="AC423" s="113">
        <f t="shared" si="612"/>
        <v>4774</v>
      </c>
      <c r="AD423" s="113">
        <f t="shared" si="612"/>
        <v>4942</v>
      </c>
      <c r="AE423" s="113">
        <f t="shared" si="612"/>
        <v>5035</v>
      </c>
      <c r="AF423" s="113">
        <f t="shared" si="612"/>
        <v>5116</v>
      </c>
      <c r="AG423" s="113">
        <f t="shared" si="612"/>
        <v>5017</v>
      </c>
      <c r="AH423" s="113">
        <f t="shared" si="612"/>
        <v>5180</v>
      </c>
      <c r="AI423" s="113">
        <f t="shared" si="612"/>
        <v>5203</v>
      </c>
      <c r="AJ423" s="113">
        <f t="shared" si="612"/>
        <v>5290</v>
      </c>
      <c r="AK423" s="113">
        <f t="shared" si="612"/>
        <v>4976</v>
      </c>
      <c r="AL423" s="113">
        <f t="shared" si="612"/>
        <v>5132</v>
      </c>
      <c r="AM423" s="113">
        <f t="shared" si="612"/>
        <v>5116</v>
      </c>
      <c r="AN423" s="113">
        <f t="shared" si="612"/>
        <v>5163</v>
      </c>
      <c r="AO423" s="113">
        <f t="shared" si="612"/>
        <v>5527</v>
      </c>
      <c r="AP423" s="113">
        <f t="shared" si="612"/>
        <v>5372</v>
      </c>
      <c r="AQ423" s="113">
        <f t="shared" si="612"/>
        <v>5980</v>
      </c>
      <c r="AR423" s="113">
        <f t="shared" si="612"/>
        <v>5577</v>
      </c>
      <c r="AS423" s="113">
        <f t="shared" si="612"/>
        <v>5956</v>
      </c>
      <c r="AT423" s="113">
        <f t="shared" si="612"/>
        <v>6190</v>
      </c>
      <c r="AU423" s="113">
        <f t="shared" si="612"/>
        <v>6136</v>
      </c>
      <c r="AV423" s="113">
        <f t="shared" si="612"/>
        <v>7077</v>
      </c>
      <c r="AW423" s="113">
        <f t="shared" si="612"/>
        <v>7254</v>
      </c>
      <c r="AX423" s="113">
        <f t="shared" si="612"/>
        <v>7515</v>
      </c>
      <c r="AY423" s="113">
        <f t="shared" si="612"/>
        <v>7478</v>
      </c>
      <c r="AZ423" s="113">
        <f t="shared" si="612"/>
        <v>7381</v>
      </c>
      <c r="BA423" s="113">
        <f t="shared" si="612"/>
        <v>7146</v>
      </c>
      <c r="BB423" s="113">
        <f t="shared" si="612"/>
        <v>7341</v>
      </c>
      <c r="BC423" s="113">
        <f t="shared" si="612"/>
        <v>7620</v>
      </c>
      <c r="BD423" s="113">
        <f t="shared" si="612"/>
        <v>7686</v>
      </c>
      <c r="BE423" s="113">
        <f t="shared" si="612"/>
        <v>7710</v>
      </c>
      <c r="BF423" s="113">
        <f t="shared" si="612"/>
        <v>7430</v>
      </c>
      <c r="BG423" s="113">
        <f t="shared" si="612"/>
        <v>7114</v>
      </c>
      <c r="BH423" s="113">
        <f t="shared" si="612"/>
        <v>7373</v>
      </c>
      <c r="BI423" s="113">
        <f t="shared" si="612"/>
        <v>7343.3550216844196</v>
      </c>
      <c r="BJ423" s="113">
        <f t="shared" si="612"/>
        <v>7271.8503020636463</v>
      </c>
      <c r="BK423" s="113">
        <f t="shared" si="612"/>
        <v>7235.8769289869406</v>
      </c>
      <c r="BL423" s="113">
        <f t="shared" si="612"/>
        <v>7300.5455857938005</v>
      </c>
      <c r="BM423" s="113">
        <f t="shared" si="612"/>
        <v>7543.9102973586005</v>
      </c>
      <c r="BN423" s="113">
        <f t="shared" si="612"/>
        <v>7569.2249868356739</v>
      </c>
      <c r="BO423" s="113">
        <f t="shared" si="612"/>
        <v>7914.4736207175911</v>
      </c>
      <c r="BP423" s="113">
        <f t="shared" si="612"/>
        <v>7968.2681985070822</v>
      </c>
      <c r="BQ423" s="113">
        <f t="shared" si="612"/>
        <v>7850.4120763385035</v>
      </c>
      <c r="BR423" s="113">
        <f t="shared" si="612"/>
        <v>7903.2712478287649</v>
      </c>
      <c r="BS423" s="113">
        <f t="shared" si="612"/>
        <v>7906.3148904163409</v>
      </c>
      <c r="BT423" s="113">
        <f t="shared" si="612"/>
        <v>7932.8778456936298</v>
      </c>
      <c r="BU423" s="113">
        <f t="shared" si="612"/>
        <v>7950.4794395596609</v>
      </c>
      <c r="BV423" s="113">
        <f t="shared" si="612"/>
        <v>7958.9932601530709</v>
      </c>
      <c r="BW423" s="113">
        <f t="shared" ref="BW423:BY423" si="613">+SUM(BP$259:BW$259)</f>
        <v>15909.713557408491</v>
      </c>
      <c r="BX423" s="113">
        <f t="shared" si="613"/>
        <v>15997.663466679463</v>
      </c>
      <c r="BY423" s="113">
        <f t="shared" si="613"/>
        <v>16097.424653604827</v>
      </c>
      <c r="BZ423" s="113">
        <f t="shared" ref="BZ423" si="614">+SUM(BW$259:BZ$259)</f>
        <v>8208.9558041682449</v>
      </c>
      <c r="CA423" s="113">
        <f t="shared" ref="CA423:CC423" si="615">+SUM(BT$259:CA$259)</f>
        <v>16259.549842699817</v>
      </c>
      <c r="CB423" s="113">
        <f t="shared" si="615"/>
        <v>16385.839744401863</v>
      </c>
      <c r="CC423" s="113">
        <f t="shared" si="615"/>
        <v>16554.6445149385</v>
      </c>
      <c r="CD423" s="113">
        <f t="shared" ref="CD423" si="616">+SUM(CA$259:CD$259)</f>
        <v>8473.2934621775657</v>
      </c>
      <c r="CE423"/>
      <c r="CG423" s="113"/>
      <c r="CH423" s="113"/>
      <c r="CI423" s="113"/>
      <c r="CJ423" s="113"/>
      <c r="CK423" s="113"/>
      <c r="CL423" s="113"/>
      <c r="CM423" s="113"/>
      <c r="CN423" s="113"/>
      <c r="CO423" s="113"/>
      <c r="CP423" s="113"/>
      <c r="CQ423" s="113"/>
      <c r="CR423" s="113"/>
      <c r="CS423" s="113"/>
      <c r="CT423" s="113"/>
      <c r="CU423" s="113"/>
      <c r="CV423" s="113"/>
      <c r="CW423" s="113"/>
      <c r="CX423" s="113"/>
    </row>
    <row r="424" spans="2:102" x14ac:dyDescent="0.25">
      <c r="B424" s="37"/>
      <c r="C424" s="37"/>
      <c r="D424" s="37"/>
      <c r="E424" s="37"/>
      <c r="F424" s="37"/>
      <c r="G424" s="37"/>
      <c r="H424" s="37"/>
      <c r="I424" s="37"/>
      <c r="J424" s="37"/>
      <c r="K424" s="37"/>
      <c r="L424" s="37"/>
      <c r="M424" s="37"/>
      <c r="N424" s="37"/>
      <c r="O424" s="37"/>
      <c r="P424" s="37"/>
      <c r="Q424" s="37"/>
      <c r="R424" s="37"/>
      <c r="CT424" s="60"/>
      <c r="CU424" s="60"/>
      <c r="CV424" s="60"/>
      <c r="CW424" s="60"/>
      <c r="CX424" s="60"/>
    </row>
    <row r="425" spans="2:102" x14ac:dyDescent="0.25">
      <c r="B425" s="189" t="s">
        <v>292</v>
      </c>
      <c r="C425" s="189"/>
      <c r="D425" s="189"/>
      <c r="E425" s="189"/>
      <c r="F425" s="189"/>
      <c r="G425" s="189"/>
      <c r="H425" s="189"/>
      <c r="I425" s="189"/>
      <c r="J425" s="189"/>
      <c r="K425" s="189"/>
      <c r="L425" s="189"/>
      <c r="M425" s="189"/>
      <c r="N425" s="189"/>
      <c r="O425" s="189"/>
      <c r="P425" s="189"/>
      <c r="Q425" s="189"/>
      <c r="R425" s="189"/>
      <c r="CT425" s="60"/>
      <c r="CU425" s="60"/>
      <c r="CV425" s="60"/>
      <c r="CW425" s="60"/>
      <c r="CX425" s="60"/>
    </row>
    <row r="426" spans="2:102" x14ac:dyDescent="0.25">
      <c r="B426" s="42" t="s">
        <v>292</v>
      </c>
      <c r="C426" s="42"/>
      <c r="D426" s="42"/>
      <c r="E426" s="42"/>
      <c r="F426" s="42"/>
      <c r="G426" s="42"/>
      <c r="H426" s="42"/>
      <c r="I426" s="42"/>
      <c r="J426" s="42"/>
      <c r="K426" s="42"/>
      <c r="L426" s="42"/>
      <c r="M426" s="42"/>
      <c r="N426" s="42"/>
      <c r="O426" s="42"/>
      <c r="P426" s="42"/>
      <c r="Q426" s="42"/>
      <c r="R426" s="42"/>
      <c r="S426" s="2">
        <f t="shared" ref="S426:CD426" si="617">+S401+S403</f>
        <v>-23</v>
      </c>
      <c r="T426" s="2">
        <f t="shared" si="617"/>
        <v>162</v>
      </c>
      <c r="U426" s="2">
        <f t="shared" si="617"/>
        <v>667</v>
      </c>
      <c r="V426" s="2">
        <f t="shared" si="617"/>
        <v>166</v>
      </c>
      <c r="W426" s="2">
        <f t="shared" si="617"/>
        <v>-95</v>
      </c>
      <c r="X426" s="2">
        <f t="shared" si="617"/>
        <v>-9</v>
      </c>
      <c r="Y426" s="2">
        <f t="shared" si="617"/>
        <v>868</v>
      </c>
      <c r="Z426" s="2">
        <f t="shared" si="617"/>
        <v>366</v>
      </c>
      <c r="AA426" s="2">
        <f t="shared" si="617"/>
        <v>-158</v>
      </c>
      <c r="AB426" s="2">
        <f t="shared" si="617"/>
        <v>80</v>
      </c>
      <c r="AC426" s="2">
        <f t="shared" si="617"/>
        <v>1090</v>
      </c>
      <c r="AD426" s="2">
        <f t="shared" si="617"/>
        <v>378</v>
      </c>
      <c r="AE426" s="2">
        <f t="shared" si="617"/>
        <v>143</v>
      </c>
      <c r="AF426" s="2">
        <f t="shared" si="617"/>
        <v>22</v>
      </c>
      <c r="AG426" s="2">
        <f t="shared" si="617"/>
        <v>825</v>
      </c>
      <c r="AH426" s="2">
        <f t="shared" si="617"/>
        <v>595</v>
      </c>
      <c r="AI426" s="2">
        <f t="shared" si="617"/>
        <v>88</v>
      </c>
      <c r="AJ426" s="2">
        <f t="shared" si="617"/>
        <v>-157</v>
      </c>
      <c r="AK426" s="2">
        <f t="shared" si="617"/>
        <v>933</v>
      </c>
      <c r="AL426" s="2">
        <f t="shared" si="617"/>
        <v>564</v>
      </c>
      <c r="AM426" s="2">
        <f t="shared" si="617"/>
        <v>113</v>
      </c>
      <c r="AN426" s="2">
        <f t="shared" si="617"/>
        <v>10</v>
      </c>
      <c r="AO426" s="2">
        <f t="shared" si="617"/>
        <v>1076</v>
      </c>
      <c r="AP426" s="2">
        <f t="shared" si="617"/>
        <v>458</v>
      </c>
      <c r="AQ426" s="2">
        <f t="shared" si="617"/>
        <v>340</v>
      </c>
      <c r="AR426" s="2">
        <f t="shared" si="617"/>
        <v>36</v>
      </c>
      <c r="AS426" s="2">
        <f t="shared" si="617"/>
        <v>1094</v>
      </c>
      <c r="AT426" s="2">
        <f t="shared" si="617"/>
        <v>340</v>
      </c>
      <c r="AU426" s="2">
        <f t="shared" si="617"/>
        <v>-187</v>
      </c>
      <c r="AV426" s="2">
        <f t="shared" si="617"/>
        <v>21</v>
      </c>
      <c r="AW426" s="2">
        <f t="shared" si="617"/>
        <v>1486</v>
      </c>
      <c r="AX426" s="2">
        <f t="shared" si="617"/>
        <v>391</v>
      </c>
      <c r="AY426" s="2">
        <f t="shared" si="617"/>
        <v>-137</v>
      </c>
      <c r="AZ426" s="2">
        <f t="shared" si="617"/>
        <v>-165</v>
      </c>
      <c r="BA426" s="2">
        <f t="shared" si="617"/>
        <v>1075</v>
      </c>
      <c r="BB426" s="2">
        <f t="shared" si="617"/>
        <v>570</v>
      </c>
      <c r="BC426" s="2">
        <f t="shared" si="617"/>
        <v>314</v>
      </c>
      <c r="BD426" s="2">
        <f t="shared" si="617"/>
        <v>61</v>
      </c>
      <c r="BE426" s="2">
        <f t="shared" si="617"/>
        <v>1212</v>
      </c>
      <c r="BF426" s="2">
        <f t="shared" si="617"/>
        <v>529</v>
      </c>
      <c r="BG426" s="2">
        <f t="shared" si="617"/>
        <v>53</v>
      </c>
      <c r="BH426" s="2" t="e">
        <f t="shared" si="617"/>
        <v>#NAME?</v>
      </c>
      <c r="BI426" s="2">
        <f t="shared" si="617"/>
        <v>1137.0996675649694</v>
      </c>
      <c r="BJ426" s="2">
        <f t="shared" si="617"/>
        <v>423.29385345681072</v>
      </c>
      <c r="BK426" s="2">
        <f t="shared" si="617"/>
        <v>105.69555424629462</v>
      </c>
      <c r="BL426" s="2">
        <f t="shared" si="617"/>
        <v>602.52008961084528</v>
      </c>
      <c r="BM426" s="2">
        <f t="shared" si="617"/>
        <v>969.22376465895957</v>
      </c>
      <c r="BN426" s="2">
        <f t="shared" si="617"/>
        <v>319.06788223795422</v>
      </c>
      <c r="BO426" s="2">
        <f t="shared" si="617"/>
        <v>311.95298800177704</v>
      </c>
      <c r="BP426" s="2">
        <f t="shared" si="617"/>
        <v>619.09500801843546</v>
      </c>
      <c r="BQ426" s="2">
        <f t="shared" si="617"/>
        <v>875.49538599372033</v>
      </c>
      <c r="BR426" s="2">
        <f t="shared" si="617"/>
        <v>334.86273416364349</v>
      </c>
      <c r="BS426" s="2">
        <f t="shared" si="617"/>
        <v>292.67953296852659</v>
      </c>
      <c r="BT426" s="2">
        <f t="shared" si="617"/>
        <v>612.94049535811871</v>
      </c>
      <c r="BU426" s="2">
        <f t="shared" si="617"/>
        <v>864.45689857350897</v>
      </c>
      <c r="BV426" s="2">
        <f t="shared" si="617"/>
        <v>317.65275478217228</v>
      </c>
      <c r="BW426" s="2">
        <f t="shared" si="617"/>
        <v>301.56869122409989</v>
      </c>
      <c r="BX426" s="2">
        <f t="shared" si="617"/>
        <v>645.89135100250792</v>
      </c>
      <c r="BY426" s="2">
        <f t="shared" si="617"/>
        <v>906.00932281197572</v>
      </c>
      <c r="BZ426" s="2">
        <f t="shared" si="617"/>
        <v>339.97126041287606</v>
      </c>
      <c r="CA426" s="2">
        <f t="shared" si="617"/>
        <v>338.43822242168204</v>
      </c>
      <c r="CB426" s="2">
        <f t="shared" si="617"/>
        <v>702.99349534948328</v>
      </c>
      <c r="CC426" s="2">
        <f t="shared" si="617"/>
        <v>991.63452594673345</v>
      </c>
      <c r="CD426" s="2">
        <f t="shared" si="617"/>
        <v>398.6043667153499</v>
      </c>
      <c r="CG426" s="2"/>
      <c r="CH426" s="2"/>
      <c r="CI426" s="2">
        <f t="shared" ref="CI426:CX426" si="618">+CI401+CI403</f>
        <v>0</v>
      </c>
      <c r="CJ426" s="2">
        <f t="shared" si="618"/>
        <v>972</v>
      </c>
      <c r="CK426" s="2">
        <f t="shared" si="618"/>
        <v>1130</v>
      </c>
      <c r="CL426" s="2">
        <f t="shared" si="618"/>
        <v>1390</v>
      </c>
      <c r="CM426" s="2">
        <f t="shared" si="618"/>
        <v>1585</v>
      </c>
      <c r="CN426" s="2">
        <f t="shared" si="618"/>
        <v>1428</v>
      </c>
      <c r="CO426" s="2">
        <f t="shared" si="618"/>
        <v>1657</v>
      </c>
      <c r="CP426" s="2">
        <f t="shared" si="618"/>
        <v>1810</v>
      </c>
      <c r="CQ426" s="2">
        <f t="shared" si="618"/>
        <v>1711</v>
      </c>
      <c r="CR426" s="2">
        <f t="shared" si="618"/>
        <v>1343</v>
      </c>
      <c r="CS426" s="2">
        <f t="shared" si="618"/>
        <v>2116</v>
      </c>
      <c r="CT426" s="24" t="e">
        <f t="shared" si="618"/>
        <v>#NAME?</v>
      </c>
      <c r="CU426" s="24">
        <f t="shared" si="618"/>
        <v>1996.5072907540534</v>
      </c>
      <c r="CV426" s="24">
        <f t="shared" si="618"/>
        <v>2141.4061161775762</v>
      </c>
      <c r="CW426" s="24">
        <f t="shared" si="618"/>
        <v>2087.7296816823268</v>
      </c>
      <c r="CX426" s="24">
        <f t="shared" si="618"/>
        <v>2193.4406254514597</v>
      </c>
    </row>
    <row r="427" spans="2:102" s="185" customFormat="1" x14ac:dyDescent="0.25">
      <c r="B427" s="190" t="s">
        <v>170</v>
      </c>
      <c r="C427" s="190"/>
      <c r="D427" s="190"/>
      <c r="E427" s="190"/>
      <c r="F427" s="190"/>
      <c r="G427" s="190"/>
      <c r="H427" s="190"/>
      <c r="I427" s="190"/>
      <c r="J427" s="190"/>
      <c r="K427" s="190"/>
      <c r="L427" s="190"/>
      <c r="M427" s="190"/>
      <c r="N427" s="190"/>
      <c r="O427" s="190"/>
      <c r="P427" s="190"/>
      <c r="Q427" s="190"/>
      <c r="R427" s="190"/>
      <c r="S427" s="191"/>
      <c r="T427" s="191"/>
      <c r="U427" s="191"/>
      <c r="V427" s="191"/>
      <c r="W427" s="191">
        <f>+IFERROR(W426/S426-1,"")</f>
        <v>3.1304347826086953</v>
      </c>
      <c r="X427" s="191">
        <f t="shared" ref="X427:BV427" si="619">+IFERROR(X426/T426-1,"")</f>
        <v>-1.0555555555555556</v>
      </c>
      <c r="Y427" s="191">
        <f t="shared" si="619"/>
        <v>0.30134932533733139</v>
      </c>
      <c r="Z427" s="191">
        <f t="shared" si="619"/>
        <v>1.2048192771084336</v>
      </c>
      <c r="AA427" s="191">
        <f t="shared" si="619"/>
        <v>0.66315789473684217</v>
      </c>
      <c r="AB427" s="191">
        <f t="shared" si="619"/>
        <v>-9.8888888888888893</v>
      </c>
      <c r="AC427" s="191">
        <f t="shared" si="619"/>
        <v>0.25576036866359453</v>
      </c>
      <c r="AD427" s="191">
        <f t="shared" si="619"/>
        <v>3.2786885245901676E-2</v>
      </c>
      <c r="AE427" s="191">
        <f t="shared" si="619"/>
        <v>-1.9050632911392404</v>
      </c>
      <c r="AF427" s="191">
        <f t="shared" si="619"/>
        <v>-0.72499999999999998</v>
      </c>
      <c r="AG427" s="191">
        <f t="shared" si="619"/>
        <v>-0.24311926605504586</v>
      </c>
      <c r="AH427" s="191">
        <f t="shared" si="619"/>
        <v>0.57407407407407418</v>
      </c>
      <c r="AI427" s="191">
        <f t="shared" si="619"/>
        <v>-0.38461538461538458</v>
      </c>
      <c r="AJ427" s="191">
        <f t="shared" si="619"/>
        <v>-8.1363636363636367</v>
      </c>
      <c r="AK427" s="191">
        <f t="shared" si="619"/>
        <v>0.13090909090909086</v>
      </c>
      <c r="AL427" s="191">
        <f t="shared" si="619"/>
        <v>-5.2100840336134491E-2</v>
      </c>
      <c r="AM427" s="191">
        <f t="shared" si="619"/>
        <v>0.28409090909090917</v>
      </c>
      <c r="AN427" s="191">
        <f t="shared" si="619"/>
        <v>-1.0636942675159236</v>
      </c>
      <c r="AO427" s="191">
        <f t="shared" si="619"/>
        <v>0.15326902465166126</v>
      </c>
      <c r="AP427" s="191">
        <f t="shared" si="619"/>
        <v>-0.18794326241134751</v>
      </c>
      <c r="AQ427" s="191">
        <f t="shared" si="619"/>
        <v>2.0088495575221237</v>
      </c>
      <c r="AR427" s="191">
        <f t="shared" si="619"/>
        <v>2.6</v>
      </c>
      <c r="AS427" s="191">
        <f t="shared" si="619"/>
        <v>1.6728624535315983E-2</v>
      </c>
      <c r="AT427" s="191">
        <f t="shared" si="619"/>
        <v>-0.25764192139737996</v>
      </c>
      <c r="AU427" s="191">
        <f t="shared" si="619"/>
        <v>-1.55</v>
      </c>
      <c r="AV427" s="191">
        <f t="shared" si="619"/>
        <v>-0.41666666666666663</v>
      </c>
      <c r="AW427" s="191">
        <f t="shared" si="619"/>
        <v>0.35831809872029252</v>
      </c>
      <c r="AX427" s="191">
        <f t="shared" si="619"/>
        <v>0.14999999999999991</v>
      </c>
      <c r="AY427" s="191">
        <f t="shared" si="619"/>
        <v>-0.26737967914438499</v>
      </c>
      <c r="AZ427" s="191">
        <f t="shared" si="619"/>
        <v>-8.8571428571428577</v>
      </c>
      <c r="BA427" s="191">
        <f t="shared" si="619"/>
        <v>-0.27658142664872143</v>
      </c>
      <c r="BB427" s="191">
        <f t="shared" si="619"/>
        <v>0.4578005115089514</v>
      </c>
      <c r="BC427" s="191">
        <f>+IFERROR(BC426/AY426-1,"")</f>
        <v>-3.2919708029197081</v>
      </c>
      <c r="BD427" s="191">
        <f t="shared" si="619"/>
        <v>-1.3696969696969696</v>
      </c>
      <c r="BE427" s="191">
        <f t="shared" si="619"/>
        <v>0.12744186046511619</v>
      </c>
      <c r="BF427" s="191">
        <f t="shared" si="619"/>
        <v>-7.192982456140351E-2</v>
      </c>
      <c r="BG427" s="191">
        <f>+IFERROR(BG426/BC426-1,"")</f>
        <v>-0.83121019108280259</v>
      </c>
      <c r="BH427" s="191" t="str">
        <f t="shared" si="619"/>
        <v/>
      </c>
      <c r="BI427" s="191">
        <f>+IFERROR(BI426/BE426-1,"")</f>
        <v>-6.1798954154315688E-2</v>
      </c>
      <c r="BJ427" s="191">
        <f t="shared" si="619"/>
        <v>-0.19982258325744662</v>
      </c>
      <c r="BK427" s="191">
        <f t="shared" si="619"/>
        <v>0.99425574049612497</v>
      </c>
      <c r="BL427" s="191" t="str">
        <f t="shared" si="619"/>
        <v/>
      </c>
      <c r="BM427" s="191">
        <f>+IFERROR(BM426/BI426-1,"")</f>
        <v>-0.14763517015663719</v>
      </c>
      <c r="BN427" s="191">
        <f t="shared" si="619"/>
        <v>-0.24622604454966612</v>
      </c>
      <c r="BO427" s="191">
        <f t="shared" si="619"/>
        <v>1.9514296057794049</v>
      </c>
      <c r="BP427" s="191">
        <f t="shared" si="619"/>
        <v>2.7509320756915479E-2</v>
      </c>
      <c r="BQ427" s="191">
        <f t="shared" si="619"/>
        <v>-9.6704581627978792E-2</v>
      </c>
      <c r="BR427" s="191">
        <f t="shared" si="619"/>
        <v>4.9503108288128539E-2</v>
      </c>
      <c r="BS427" s="191">
        <f t="shared" si="619"/>
        <v>-6.1783203798453923E-2</v>
      </c>
      <c r="BT427" s="191">
        <f t="shared" si="619"/>
        <v>-9.9411440580271515E-3</v>
      </c>
      <c r="BU427" s="191">
        <f t="shared" si="619"/>
        <v>-1.260827595074332E-2</v>
      </c>
      <c r="BV427" s="191">
        <f t="shared" si="619"/>
        <v>-5.1394131462418557E-2</v>
      </c>
      <c r="BW427" s="191">
        <f t="shared" ref="BW427:CD427" si="620">+IFERROR(BW426/BO426-1,"")</f>
        <v>-3.3288018313894163E-2</v>
      </c>
      <c r="BX427" s="191">
        <f t="shared" si="620"/>
        <v>4.328308682352433E-2</v>
      </c>
      <c r="BY427" s="191">
        <f t="shared" si="620"/>
        <v>3.4853338243034715E-2</v>
      </c>
      <c r="BZ427" s="191">
        <f t="shared" si="620"/>
        <v>1.5255583043576548E-2</v>
      </c>
      <c r="CA427" s="191">
        <f t="shared" si="620"/>
        <v>0.15634400188166264</v>
      </c>
      <c r="CB427" s="191">
        <f t="shared" si="620"/>
        <v>0.14691964501178845</v>
      </c>
      <c r="CC427" s="191">
        <f t="shared" si="620"/>
        <v>0.14711852908234957</v>
      </c>
      <c r="CD427" s="191">
        <f t="shared" si="620"/>
        <v>0.25484309742155231</v>
      </c>
      <c r="CE427"/>
      <c r="CG427" s="191"/>
      <c r="CH427" s="191"/>
      <c r="CI427" s="191" t="str">
        <f>+IFERROR(CI426/CH426-1,"")</f>
        <v/>
      </c>
      <c r="CJ427" s="191" t="str">
        <f>+IFERROR(CJ426/CI426-1,"")</f>
        <v/>
      </c>
      <c r="CK427" s="191">
        <f t="shared" ref="CK427:CX427" si="621">+IFERROR(CK426/CJ426-1,"")</f>
        <v>0.16255144032921809</v>
      </c>
      <c r="CL427" s="191">
        <f t="shared" si="621"/>
        <v>0.23008849557522115</v>
      </c>
      <c r="CM427" s="191">
        <f t="shared" si="621"/>
        <v>0.14028776978417268</v>
      </c>
      <c r="CN427" s="191">
        <f t="shared" si="621"/>
        <v>-9.9053627760252394E-2</v>
      </c>
      <c r="CO427" s="191">
        <f t="shared" si="621"/>
        <v>0.1603641456582634</v>
      </c>
      <c r="CP427" s="191">
        <f t="shared" si="621"/>
        <v>9.2335546167773064E-2</v>
      </c>
      <c r="CQ427" s="191">
        <f>+IFERROR(CQ426/CP426-1,"")</f>
        <v>-5.4696132596685043E-2</v>
      </c>
      <c r="CR427" s="191">
        <f>+IFERROR(CR426/CQ426-1,"")</f>
        <v>-0.2150789012273524</v>
      </c>
      <c r="CS427" s="191">
        <f t="shared" si="621"/>
        <v>0.57557706626954586</v>
      </c>
      <c r="CT427" s="192" t="str">
        <f t="shared" si="621"/>
        <v/>
      </c>
      <c r="CU427" s="192" t="str">
        <f t="shared" si="621"/>
        <v/>
      </c>
      <c r="CV427" s="192">
        <f t="shared" si="621"/>
        <v>7.2576156418039606E-2</v>
      </c>
      <c r="CW427" s="192">
        <f t="shared" si="621"/>
        <v>-2.5065976084472141E-2</v>
      </c>
      <c r="CX427" s="192">
        <f t="shared" si="621"/>
        <v>5.0634401903961734E-2</v>
      </c>
    </row>
    <row r="428" spans="2:102" x14ac:dyDescent="0.25">
      <c r="B428" s="37" t="s">
        <v>243</v>
      </c>
      <c r="C428" s="37"/>
      <c r="D428" s="37"/>
      <c r="E428" s="37"/>
      <c r="F428" s="37"/>
      <c r="G428" s="37"/>
      <c r="H428" s="37"/>
      <c r="I428" s="37"/>
      <c r="J428" s="37"/>
      <c r="K428" s="37"/>
      <c r="L428" s="37"/>
      <c r="M428" s="37"/>
      <c r="N428" s="37"/>
      <c r="O428" s="37"/>
      <c r="P428" s="37"/>
      <c r="Q428" s="37"/>
      <c r="R428" s="37"/>
      <c r="S428" s="166"/>
      <c r="T428" s="166"/>
      <c r="U428" s="166"/>
      <c r="V428" s="166"/>
      <c r="W428" s="166">
        <f t="shared" ref="W428:BE428" si="622">+W426/W$259</f>
        <v>-0.13708513708513709</v>
      </c>
      <c r="X428" s="166">
        <f t="shared" si="622"/>
        <v>-7.8534031413612562E-3</v>
      </c>
      <c r="Y428" s="166">
        <f t="shared" si="622"/>
        <v>0.48141985579589575</v>
      </c>
      <c r="Z428" s="166">
        <f t="shared" si="622"/>
        <v>0.39610389610389612</v>
      </c>
      <c r="AA428" s="166">
        <f t="shared" si="622"/>
        <v>-0.2316715542521994</v>
      </c>
      <c r="AB428" s="166">
        <f t="shared" si="622"/>
        <v>7.2859744990892539E-2</v>
      </c>
      <c r="AC428" s="166">
        <f t="shared" si="622"/>
        <v>0.52657004830917875</v>
      </c>
      <c r="AD428" s="166">
        <f t="shared" si="622"/>
        <v>0.34615384615384615</v>
      </c>
      <c r="AE428" s="166">
        <f t="shared" si="622"/>
        <v>0.18451612903225806</v>
      </c>
      <c r="AF428" s="166">
        <f t="shared" si="622"/>
        <v>1.8659881255301103E-2</v>
      </c>
      <c r="AG428" s="166">
        <f t="shared" si="622"/>
        <v>0.41856925418569252</v>
      </c>
      <c r="AH428" s="166">
        <f t="shared" si="622"/>
        <v>0.47410358565737054</v>
      </c>
      <c r="AI428" s="166">
        <f t="shared" si="622"/>
        <v>0.11027568922305764</v>
      </c>
      <c r="AJ428" s="166">
        <f t="shared" si="622"/>
        <v>-0.1240126382306477</v>
      </c>
      <c r="AK428" s="166">
        <f t="shared" si="622"/>
        <v>0.56306578153289077</v>
      </c>
      <c r="AL428" s="166">
        <f t="shared" si="622"/>
        <v>0.3997165131112686</v>
      </c>
      <c r="AM428" s="166">
        <f t="shared" si="622"/>
        <v>0.14450127877237851</v>
      </c>
      <c r="AN428" s="166">
        <f t="shared" si="622"/>
        <v>7.6161462300076161E-3</v>
      </c>
      <c r="AO428" s="166">
        <f t="shared" si="622"/>
        <v>0.53240969816922312</v>
      </c>
      <c r="AP428" s="166">
        <f t="shared" si="622"/>
        <v>0.36464968152866239</v>
      </c>
      <c r="AQ428" s="166">
        <f t="shared" si="622"/>
        <v>0.2446043165467626</v>
      </c>
      <c r="AR428" s="166">
        <f t="shared" si="622"/>
        <v>3.9560439560439559E-2</v>
      </c>
      <c r="AS428" s="166">
        <f t="shared" si="622"/>
        <v>0.45583333333333331</v>
      </c>
      <c r="AT428" s="166">
        <f t="shared" si="622"/>
        <v>0.22818791946308725</v>
      </c>
      <c r="AU428" s="166">
        <f t="shared" si="622"/>
        <v>-0.13997005988023953</v>
      </c>
      <c r="AV428" s="166">
        <f t="shared" si="622"/>
        <v>1.1345218800648298E-2</v>
      </c>
      <c r="AW428" s="166">
        <f t="shared" si="622"/>
        <v>0.57663950329840896</v>
      </c>
      <c r="AX428" s="166">
        <f t="shared" si="622"/>
        <v>0.22330097087378642</v>
      </c>
      <c r="AY428" s="166">
        <f t="shared" si="622"/>
        <v>-0.10546574287913779</v>
      </c>
      <c r="AZ428" s="166">
        <f t="shared" si="622"/>
        <v>-9.4070695553021666E-2</v>
      </c>
      <c r="BA428" s="166">
        <f t="shared" si="622"/>
        <v>0.45900939368061489</v>
      </c>
      <c r="BB428" s="166">
        <f t="shared" si="622"/>
        <v>0.29290853031860226</v>
      </c>
      <c r="BC428" s="166">
        <f>+BC426/BC$259</f>
        <v>0.19898605830164764</v>
      </c>
      <c r="BD428" s="166">
        <f t="shared" si="622"/>
        <v>3.3516483516483515E-2</v>
      </c>
      <c r="BE428" s="166">
        <f t="shared" si="622"/>
        <v>0.51225697379543533</v>
      </c>
      <c r="BF428" s="166">
        <f>+BF426/BF$259</f>
        <v>0.31752701080432172</v>
      </c>
      <c r="BG428" s="166">
        <f t="shared" ref="BG428:BR428" si="623">+BG426/BG$259</f>
        <v>4.1996830427892234E-2</v>
      </c>
      <c r="BH428" s="166" t="e">
        <f t="shared" si="623"/>
        <v>#NAME?</v>
      </c>
      <c r="BI428" s="166">
        <f t="shared" si="623"/>
        <v>0.48669815032869684</v>
      </c>
      <c r="BJ428" s="166">
        <f t="shared" si="623"/>
        <v>0.26547200149512928</v>
      </c>
      <c r="BK428" s="166">
        <f t="shared" si="623"/>
        <v>8.6209835843073762E-2</v>
      </c>
      <c r="BL428" s="166">
        <f t="shared" si="623"/>
        <v>0.28106959893155309</v>
      </c>
      <c r="BM428" s="166">
        <f t="shared" si="623"/>
        <v>0.37570893929558724</v>
      </c>
      <c r="BN428" s="166">
        <f t="shared" si="623"/>
        <v>0.19697858895525874</v>
      </c>
      <c r="BO428" s="166">
        <f t="shared" si="623"/>
        <v>0.1985349071440955</v>
      </c>
      <c r="BP428" s="166">
        <f t="shared" si="623"/>
        <v>0.28173167963474766</v>
      </c>
      <c r="BQ428" s="166">
        <f t="shared" si="623"/>
        <v>0.35562302560271392</v>
      </c>
      <c r="BR428" s="166">
        <f t="shared" si="623"/>
        <v>0.20019663535734653</v>
      </c>
      <c r="BS428" s="166">
        <f>+BS426/BS$259</f>
        <v>0.18590866967154995</v>
      </c>
      <c r="BT428" s="166">
        <f>+BT426/BT$259</f>
        <v>0.27559949525277105</v>
      </c>
      <c r="BU428" s="166">
        <f>+BU426/BU$259</f>
        <v>0.34864651330813956</v>
      </c>
      <c r="BV428" s="166">
        <f>+BV426/BV$259</f>
        <v>0.18894597552643691</v>
      </c>
      <c r="BW428" s="166">
        <f t="shared" ref="BW428:CD428" si="624">+BW426/BW$259</f>
        <v>0.1863002175959802</v>
      </c>
      <c r="BX428" s="166">
        <f t="shared" si="624"/>
        <v>0.28261470042547576</v>
      </c>
      <c r="BY428" s="166">
        <f t="shared" si="624"/>
        <v>0.3536854122888029</v>
      </c>
      <c r="BZ428" s="166">
        <f t="shared" si="624"/>
        <v>0.19502783268703819</v>
      </c>
      <c r="CA428" s="166">
        <f t="shared" si="624"/>
        <v>0.20315398522804984</v>
      </c>
      <c r="CB428" s="166">
        <f t="shared" si="624"/>
        <v>0.29910593637564109</v>
      </c>
      <c r="CC428" s="166">
        <f t="shared" si="624"/>
        <v>0.37444616112666579</v>
      </c>
      <c r="CD428" s="166">
        <f t="shared" si="624"/>
        <v>0.22037100527275602</v>
      </c>
      <c r="CG428" s="166"/>
      <c r="CH428" s="166"/>
      <c r="CI428" s="166" t="e">
        <f t="shared" ref="CI428:CX428" si="625">+CI426/CI$259</f>
        <v>#DIV/0!</v>
      </c>
      <c r="CJ428" s="166">
        <f t="shared" si="625"/>
        <v>0.22505209539245197</v>
      </c>
      <c r="CK428" s="166">
        <f t="shared" si="625"/>
        <v>0.2474813841436706</v>
      </c>
      <c r="CL428" s="166">
        <f t="shared" si="625"/>
        <v>0.28126264670174017</v>
      </c>
      <c r="CM428" s="166">
        <f t="shared" si="625"/>
        <v>0.30598455598455598</v>
      </c>
      <c r="CN428" s="166">
        <f t="shared" si="625"/>
        <v>0.27825409197194079</v>
      </c>
      <c r="CO428" s="166">
        <f t="shared" si="625"/>
        <v>0.30845122859270291</v>
      </c>
      <c r="CP428" s="166">
        <f t="shared" si="625"/>
        <v>0.29240710823909533</v>
      </c>
      <c r="CQ428" s="166">
        <f>+CQ426/CQ$259</f>
        <v>0.22767797737857617</v>
      </c>
      <c r="CR428" s="166">
        <f t="shared" si="625"/>
        <v>0.18294510284702356</v>
      </c>
      <c r="CS428" s="166">
        <f t="shared" si="625"/>
        <v>0.28479138627187078</v>
      </c>
      <c r="CT428" s="156" t="e">
        <f t="shared" si="625"/>
        <v>#NAME?</v>
      </c>
      <c r="CU428" s="156">
        <f t="shared" si="625"/>
        <v>0.26376640861202572</v>
      </c>
      <c r="CV428" s="156">
        <f t="shared" si="625"/>
        <v>0.2709518690461088</v>
      </c>
      <c r="CW428" s="156">
        <f t="shared" si="625"/>
        <v>0.26231077391843083</v>
      </c>
      <c r="CX428" s="156">
        <f t="shared" si="625"/>
        <v>0.2672009300303092</v>
      </c>
    </row>
    <row r="429" spans="2:102" x14ac:dyDescent="0.25">
      <c r="B429" s="37"/>
      <c r="C429" s="37"/>
      <c r="D429" s="37"/>
      <c r="E429" s="37"/>
      <c r="F429" s="37"/>
      <c r="G429" s="37"/>
      <c r="H429" s="37"/>
      <c r="I429" s="37"/>
      <c r="J429" s="37"/>
      <c r="K429" s="37"/>
      <c r="L429" s="37"/>
      <c r="M429" s="37"/>
      <c r="N429" s="37"/>
      <c r="O429" s="37"/>
      <c r="P429" s="37"/>
      <c r="Q429" s="37"/>
      <c r="R429" s="37"/>
      <c r="CT429" s="60"/>
      <c r="CU429" s="60"/>
      <c r="CV429" s="60"/>
      <c r="CW429" s="60"/>
      <c r="CX429" s="60"/>
    </row>
    <row r="430" spans="2:102" x14ac:dyDescent="0.25">
      <c r="B430" s="42" t="s">
        <v>293</v>
      </c>
      <c r="C430" s="42"/>
      <c r="D430" s="42"/>
      <c r="E430" s="42"/>
      <c r="F430" s="42"/>
      <c r="G430" s="42"/>
      <c r="H430" s="42"/>
      <c r="I430" s="42"/>
      <c r="J430" s="42"/>
      <c r="K430" s="42"/>
      <c r="L430" s="42"/>
      <c r="M430" s="42"/>
      <c r="N430" s="42"/>
      <c r="O430" s="42"/>
      <c r="P430" s="42"/>
      <c r="Q430" s="42"/>
      <c r="R430" s="42"/>
      <c r="S430" s="2">
        <f t="shared" ref="S430:CD430" si="626">+S426-S414</f>
        <v>-52</v>
      </c>
      <c r="T430" s="2">
        <f t="shared" si="626"/>
        <v>122</v>
      </c>
      <c r="U430" s="2">
        <f t="shared" si="626"/>
        <v>628</v>
      </c>
      <c r="V430" s="2">
        <f t="shared" si="626"/>
        <v>130</v>
      </c>
      <c r="W430" s="2">
        <f t="shared" si="626"/>
        <v>-140</v>
      </c>
      <c r="X430" s="2">
        <f t="shared" si="626"/>
        <v>-53</v>
      </c>
      <c r="Y430" s="2">
        <f t="shared" si="626"/>
        <v>826</v>
      </c>
      <c r="Z430" s="2">
        <f t="shared" si="626"/>
        <v>319</v>
      </c>
      <c r="AA430" s="2">
        <f t="shared" si="626"/>
        <v>-206</v>
      </c>
      <c r="AB430" s="2">
        <f t="shared" si="626"/>
        <v>32</v>
      </c>
      <c r="AC430" s="2">
        <f t="shared" si="626"/>
        <v>1042</v>
      </c>
      <c r="AD430" s="2">
        <f t="shared" si="626"/>
        <v>326</v>
      </c>
      <c r="AE430" s="2">
        <f t="shared" si="626"/>
        <v>95</v>
      </c>
      <c r="AF430" s="2">
        <f t="shared" si="626"/>
        <v>-40</v>
      </c>
      <c r="AG430" s="2">
        <f t="shared" si="626"/>
        <v>762</v>
      </c>
      <c r="AH430" s="2">
        <f t="shared" si="626"/>
        <v>526</v>
      </c>
      <c r="AI430" s="2">
        <f t="shared" si="626"/>
        <v>18</v>
      </c>
      <c r="AJ430" s="2">
        <f t="shared" si="626"/>
        <v>-223</v>
      </c>
      <c r="AK430" s="2">
        <f t="shared" si="626"/>
        <v>858</v>
      </c>
      <c r="AL430" s="2">
        <f t="shared" si="626"/>
        <v>491</v>
      </c>
      <c r="AM430" s="2">
        <f t="shared" si="626"/>
        <v>40</v>
      </c>
      <c r="AN430" s="2">
        <f t="shared" si="626"/>
        <v>-82</v>
      </c>
      <c r="AO430" s="2">
        <f t="shared" si="626"/>
        <v>985</v>
      </c>
      <c r="AP430" s="2">
        <f t="shared" si="626"/>
        <v>367</v>
      </c>
      <c r="AQ430" s="2">
        <f t="shared" si="626"/>
        <v>238</v>
      </c>
      <c r="AR430" s="2">
        <f t="shared" si="626"/>
        <v>-77</v>
      </c>
      <c r="AS430" s="2">
        <f t="shared" si="626"/>
        <v>983</v>
      </c>
      <c r="AT430" s="2">
        <f t="shared" si="626"/>
        <v>231</v>
      </c>
      <c r="AU430" s="2">
        <f t="shared" si="626"/>
        <v>-312</v>
      </c>
      <c r="AV430" s="2">
        <f t="shared" si="626"/>
        <v>-128</v>
      </c>
      <c r="AW430" s="2">
        <f t="shared" si="626"/>
        <v>1357</v>
      </c>
      <c r="AX430" s="2">
        <f t="shared" si="626"/>
        <v>266</v>
      </c>
      <c r="AY430" s="2">
        <f t="shared" si="626"/>
        <v>-262</v>
      </c>
      <c r="AZ430" s="2">
        <f t="shared" si="626"/>
        <v>-305</v>
      </c>
      <c r="BA430" s="2">
        <f t="shared" si="626"/>
        <v>934</v>
      </c>
      <c r="BB430" s="2">
        <f t="shared" si="626"/>
        <v>428</v>
      </c>
      <c r="BC430" s="2">
        <f t="shared" si="626"/>
        <v>184</v>
      </c>
      <c r="BD430" s="2">
        <f t="shared" si="626"/>
        <v>-94</v>
      </c>
      <c r="BE430" s="2">
        <f t="shared" si="626"/>
        <v>1061</v>
      </c>
      <c r="BF430" s="2">
        <f t="shared" si="626"/>
        <v>381</v>
      </c>
      <c r="BG430" s="2">
        <f t="shared" si="626"/>
        <v>-90</v>
      </c>
      <c r="BH430" s="2" t="e">
        <f t="shared" si="626"/>
        <v>#NAME?</v>
      </c>
      <c r="BI430" s="2">
        <f t="shared" si="626"/>
        <v>978.54966756496947</v>
      </c>
      <c r="BJ430" s="2">
        <f t="shared" si="626"/>
        <v>267.89385345681069</v>
      </c>
      <c r="BK430" s="2">
        <f t="shared" si="626"/>
        <v>-44.454445753705386</v>
      </c>
      <c r="BL430" s="2">
        <f t="shared" si="626"/>
        <v>431.63258961084523</v>
      </c>
      <c r="BM430" s="2">
        <f t="shared" si="626"/>
        <v>802.74626465895949</v>
      </c>
      <c r="BN430" s="2">
        <f t="shared" si="626"/>
        <v>155.89788223795421</v>
      </c>
      <c r="BO430" s="2">
        <f t="shared" si="626"/>
        <v>154.29548800177704</v>
      </c>
      <c r="BP430" s="2">
        <f t="shared" si="626"/>
        <v>439.66313301843547</v>
      </c>
      <c r="BQ430" s="2">
        <f t="shared" si="626"/>
        <v>700.69401099372033</v>
      </c>
      <c r="BR430" s="2">
        <f t="shared" si="626"/>
        <v>163.53423416364348</v>
      </c>
      <c r="BS430" s="2">
        <f t="shared" si="626"/>
        <v>127.13915796852658</v>
      </c>
      <c r="BT430" s="2">
        <f t="shared" si="626"/>
        <v>424.53702660811871</v>
      </c>
      <c r="BU430" s="2">
        <f t="shared" si="626"/>
        <v>680.91545482350898</v>
      </c>
      <c r="BV430" s="2">
        <f t="shared" si="626"/>
        <v>137.75782978217225</v>
      </c>
      <c r="BW430" s="2">
        <f t="shared" si="626"/>
        <v>127.75129747409989</v>
      </c>
      <c r="BX430" s="2">
        <f t="shared" si="626"/>
        <v>448.0677088150079</v>
      </c>
      <c r="BY430" s="2">
        <f t="shared" si="626"/>
        <v>713.29080687447572</v>
      </c>
      <c r="BZ430" s="2">
        <f t="shared" si="626"/>
        <v>151.08158916287601</v>
      </c>
      <c r="CA430" s="2">
        <f t="shared" si="626"/>
        <v>155.92995898418204</v>
      </c>
      <c r="CB430" s="2">
        <f t="shared" si="626"/>
        <v>495.27867105260822</v>
      </c>
      <c r="CC430" s="2">
        <f t="shared" si="626"/>
        <v>789.28008421235836</v>
      </c>
      <c r="CD430" s="2">
        <f t="shared" si="626"/>
        <v>200.27021190284984</v>
      </c>
      <c r="CG430" s="2"/>
      <c r="CH430" s="2"/>
      <c r="CI430" s="2">
        <f t="shared" ref="CI430:CX430" si="627">+CI426-CI414</f>
        <v>0</v>
      </c>
      <c r="CJ430" s="2">
        <f t="shared" si="627"/>
        <v>828</v>
      </c>
      <c r="CK430" s="2">
        <f t="shared" si="627"/>
        <v>952</v>
      </c>
      <c r="CL430" s="2">
        <f t="shared" si="627"/>
        <v>1194</v>
      </c>
      <c r="CM430" s="2">
        <f t="shared" si="627"/>
        <v>1343</v>
      </c>
      <c r="CN430" s="2">
        <f t="shared" si="627"/>
        <v>1144</v>
      </c>
      <c r="CO430" s="2">
        <f t="shared" si="627"/>
        <v>1310</v>
      </c>
      <c r="CP430" s="2">
        <f t="shared" si="627"/>
        <v>1375</v>
      </c>
      <c r="CQ430" s="2">
        <f t="shared" si="627"/>
        <v>1183</v>
      </c>
      <c r="CR430" s="2">
        <f t="shared" si="627"/>
        <v>795</v>
      </c>
      <c r="CS430" s="2">
        <f t="shared" si="627"/>
        <v>1532</v>
      </c>
      <c r="CT430" s="24" t="e">
        <f t="shared" si="627"/>
        <v>#NAME?</v>
      </c>
      <c r="CU430" s="24">
        <f t="shared" si="627"/>
        <v>1345.8222907540535</v>
      </c>
      <c r="CV430" s="24">
        <f t="shared" si="627"/>
        <v>1458.1868661775761</v>
      </c>
      <c r="CW430" s="24">
        <f t="shared" si="627"/>
        <v>1370.3494691823266</v>
      </c>
      <c r="CX430" s="24">
        <f t="shared" si="627"/>
        <v>1440.1914023264596</v>
      </c>
    </row>
    <row r="431" spans="2:102" s="185" customFormat="1" x14ac:dyDescent="0.25">
      <c r="B431" s="190" t="s">
        <v>170</v>
      </c>
      <c r="C431" s="190"/>
      <c r="D431" s="190"/>
      <c r="E431" s="190"/>
      <c r="F431" s="190"/>
      <c r="G431" s="190"/>
      <c r="H431" s="190"/>
      <c r="I431" s="190"/>
      <c r="J431" s="190"/>
      <c r="K431" s="190"/>
      <c r="L431" s="190"/>
      <c r="M431" s="190"/>
      <c r="N431" s="190"/>
      <c r="O431" s="190"/>
      <c r="P431" s="190"/>
      <c r="Q431" s="190"/>
      <c r="R431" s="190"/>
      <c r="S431" s="191"/>
      <c r="T431" s="191"/>
      <c r="U431" s="191"/>
      <c r="V431" s="191"/>
      <c r="W431" s="191">
        <f>+IFERROR(W430/S430-1,"")</f>
        <v>1.6923076923076925</v>
      </c>
      <c r="X431" s="191">
        <f t="shared" ref="X431:BB431" si="628">+IFERROR(X430/T430-1,"")</f>
        <v>-1.4344262295081966</v>
      </c>
      <c r="Y431" s="191">
        <f t="shared" si="628"/>
        <v>0.3152866242038217</v>
      </c>
      <c r="Z431" s="191">
        <f t="shared" si="628"/>
        <v>1.453846153846154</v>
      </c>
      <c r="AA431" s="191">
        <f t="shared" si="628"/>
        <v>0.47142857142857153</v>
      </c>
      <c r="AB431" s="191">
        <f t="shared" si="628"/>
        <v>-1.6037735849056602</v>
      </c>
      <c r="AC431" s="191">
        <f t="shared" si="628"/>
        <v>0.26150121065375309</v>
      </c>
      <c r="AD431" s="191">
        <f t="shared" si="628"/>
        <v>2.1943573667711602E-2</v>
      </c>
      <c r="AE431" s="191">
        <f t="shared" si="628"/>
        <v>-1.4611650485436893</v>
      </c>
      <c r="AF431" s="191">
        <f t="shared" si="628"/>
        <v>-2.25</v>
      </c>
      <c r="AG431" s="191">
        <f t="shared" si="628"/>
        <v>-0.2687140115163148</v>
      </c>
      <c r="AH431" s="191">
        <f t="shared" si="628"/>
        <v>0.61349693251533743</v>
      </c>
      <c r="AI431" s="191">
        <f t="shared" si="628"/>
        <v>-0.81052631578947365</v>
      </c>
      <c r="AJ431" s="191">
        <f t="shared" si="628"/>
        <v>4.5750000000000002</v>
      </c>
      <c r="AK431" s="191">
        <f t="shared" si="628"/>
        <v>0.12598425196850394</v>
      </c>
      <c r="AL431" s="191">
        <f t="shared" si="628"/>
        <v>-6.6539923954372582E-2</v>
      </c>
      <c r="AM431" s="191">
        <f t="shared" si="628"/>
        <v>1.2222222222222223</v>
      </c>
      <c r="AN431" s="191">
        <f t="shared" si="628"/>
        <v>-0.63228699551569512</v>
      </c>
      <c r="AO431" s="191">
        <f t="shared" si="628"/>
        <v>0.14801864801864806</v>
      </c>
      <c r="AP431" s="191">
        <f t="shared" si="628"/>
        <v>-0.25254582484725052</v>
      </c>
      <c r="AQ431" s="191">
        <f t="shared" si="628"/>
        <v>4.95</v>
      </c>
      <c r="AR431" s="191">
        <f t="shared" si="628"/>
        <v>-6.0975609756097615E-2</v>
      </c>
      <c r="AS431" s="191">
        <f t="shared" si="628"/>
        <v>-2.0304568527919065E-3</v>
      </c>
      <c r="AT431" s="191">
        <f t="shared" si="628"/>
        <v>-0.3705722070844687</v>
      </c>
      <c r="AU431" s="191">
        <f t="shared" si="628"/>
        <v>-2.3109243697478989</v>
      </c>
      <c r="AV431" s="191">
        <f t="shared" si="628"/>
        <v>0.66233766233766245</v>
      </c>
      <c r="AW431" s="191">
        <f t="shared" si="628"/>
        <v>0.38046795523906418</v>
      </c>
      <c r="AX431" s="191">
        <f t="shared" si="628"/>
        <v>0.1515151515151516</v>
      </c>
      <c r="AY431" s="191">
        <f t="shared" si="628"/>
        <v>-0.16025641025641024</v>
      </c>
      <c r="AZ431" s="191">
        <f t="shared" si="628"/>
        <v>1.3828125</v>
      </c>
      <c r="BA431" s="191">
        <f t="shared" si="628"/>
        <v>-0.31171702284450997</v>
      </c>
      <c r="BB431" s="191">
        <f t="shared" si="628"/>
        <v>0.60902255639097747</v>
      </c>
      <c r="BC431" s="191">
        <f>+IFERROR(BC430/AY430-1,"")</f>
        <v>-1.7022900763358777</v>
      </c>
      <c r="BD431" s="191">
        <f t="shared" ref="BD431:BF431" si="629">+IFERROR(BD430/AZ430-1,"")</f>
        <v>-0.69180327868852465</v>
      </c>
      <c r="BE431" s="191">
        <f t="shared" si="629"/>
        <v>0.1359743040685224</v>
      </c>
      <c r="BF431" s="191">
        <f t="shared" si="629"/>
        <v>-0.10981308411214952</v>
      </c>
      <c r="BG431" s="191">
        <f>+IFERROR(BG430/BC430-1,"")</f>
        <v>-1.4891304347826086</v>
      </c>
      <c r="BH431" s="191" t="str">
        <f t="shared" ref="BH431" si="630">+IFERROR(BH430/BD430-1,"")</f>
        <v/>
      </c>
      <c r="BI431" s="191">
        <f>+IFERROR(BI430/BE430-1,"")</f>
        <v>-7.771002114517489E-2</v>
      </c>
      <c r="BJ431" s="191">
        <f t="shared" ref="BJ431:BL431" si="631">+IFERROR(BJ430/BF430-1,"")</f>
        <v>-0.29686652636007693</v>
      </c>
      <c r="BK431" s="191">
        <f t="shared" si="631"/>
        <v>-0.50606171384771792</v>
      </c>
      <c r="BL431" s="191" t="str">
        <f t="shared" si="631"/>
        <v/>
      </c>
      <c r="BM431" s="191">
        <f>+IFERROR(BM430/BI430-1,"")</f>
        <v>-0.17965710758809061</v>
      </c>
      <c r="BN431" s="191">
        <f t="shared" ref="BN431:BV431" si="632">+IFERROR(BN430/BJ430-1,"")</f>
        <v>-0.41806099607623981</v>
      </c>
      <c r="BO431" s="191">
        <f t="shared" si="632"/>
        <v>-4.4708674326215423</v>
      </c>
      <c r="BP431" s="191">
        <f t="shared" si="632"/>
        <v>1.8605044199351273E-2</v>
      </c>
      <c r="BQ431" s="191">
        <f t="shared" si="632"/>
        <v>-0.12712890505768382</v>
      </c>
      <c r="BR431" s="191">
        <f t="shared" si="632"/>
        <v>4.8983038230330456E-2</v>
      </c>
      <c r="BS431" s="191">
        <f t="shared" si="632"/>
        <v>-0.17600210080632883</v>
      </c>
      <c r="BT431" s="191">
        <f t="shared" si="632"/>
        <v>-3.4403854392955235E-2</v>
      </c>
      <c r="BU431" s="191">
        <f t="shared" si="632"/>
        <v>-2.8227094651717577E-2</v>
      </c>
      <c r="BV431" s="191">
        <f t="shared" si="632"/>
        <v>-0.15762084626071382</v>
      </c>
      <c r="BW431" s="191">
        <f t="shared" ref="BW431:CD431" si="633">+IFERROR(BW430/BO430-1,"")</f>
        <v>-0.1720347812592643</v>
      </c>
      <c r="BX431" s="191">
        <f t="shared" si="633"/>
        <v>1.9115943924777667E-2</v>
      </c>
      <c r="BY431" s="191">
        <f t="shared" si="633"/>
        <v>1.7977598899255209E-2</v>
      </c>
      <c r="BZ431" s="191">
        <f t="shared" si="633"/>
        <v>-7.6147022453454616E-2</v>
      </c>
      <c r="CA431" s="191">
        <f t="shared" si="633"/>
        <v>0.22645109088092785</v>
      </c>
      <c r="CB431" s="191">
        <f t="shared" si="633"/>
        <v>0.16663244902261409</v>
      </c>
      <c r="CC431" s="191">
        <f t="shared" si="633"/>
        <v>0.15914549834521985</v>
      </c>
      <c r="CD431" s="191">
        <f t="shared" si="633"/>
        <v>0.45378460316574709</v>
      </c>
      <c r="CE431"/>
      <c r="CG431" s="191"/>
      <c r="CH431" s="191"/>
      <c r="CI431" s="191" t="str">
        <f>+IFERROR(CI430/CH430-1,"")</f>
        <v/>
      </c>
      <c r="CJ431" s="191" t="str">
        <f>+IFERROR(CJ430/CI430-1,"")</f>
        <v/>
      </c>
      <c r="CK431" s="191">
        <f t="shared" ref="CK431:CP431" si="634">+IFERROR(CK430/CJ430-1,"")</f>
        <v>0.14975845410628019</v>
      </c>
      <c r="CL431" s="191">
        <f t="shared" si="634"/>
        <v>0.25420168067226889</v>
      </c>
      <c r="CM431" s="191">
        <f t="shared" si="634"/>
        <v>0.12479061976549422</v>
      </c>
      <c r="CN431" s="191">
        <f t="shared" si="634"/>
        <v>-0.14817572598659712</v>
      </c>
      <c r="CO431" s="191">
        <f t="shared" si="634"/>
        <v>0.14510489510489522</v>
      </c>
      <c r="CP431" s="191">
        <f t="shared" si="634"/>
        <v>4.961832061068705E-2</v>
      </c>
      <c r="CQ431" s="191">
        <f>+IFERROR(CQ430/CP430-1,"")</f>
        <v>-0.13963636363636367</v>
      </c>
      <c r="CR431" s="191">
        <f>+IFERROR(CR430/CQ430-1,"")</f>
        <v>-0.32797971259509717</v>
      </c>
      <c r="CS431" s="191">
        <f t="shared" ref="CS431:CX431" si="635">+IFERROR(CS430/CR430-1,"")</f>
        <v>0.92704402515723272</v>
      </c>
      <c r="CT431" s="192" t="str">
        <f t="shared" si="635"/>
        <v/>
      </c>
      <c r="CU431" s="192" t="str">
        <f t="shared" si="635"/>
        <v/>
      </c>
      <c r="CV431" s="192">
        <f t="shared" si="635"/>
        <v>8.3491391244950863E-2</v>
      </c>
      <c r="CW431" s="192">
        <f t="shared" si="635"/>
        <v>-6.0237407860833647E-2</v>
      </c>
      <c r="CX431" s="192">
        <f t="shared" si="635"/>
        <v>5.0966512349442494E-2</v>
      </c>
    </row>
    <row r="432" spans="2:102" x14ac:dyDescent="0.25">
      <c r="B432" s="37" t="s">
        <v>243</v>
      </c>
      <c r="C432" s="37"/>
      <c r="D432" s="37"/>
      <c r="E432" s="37"/>
      <c r="F432" s="37"/>
      <c r="G432" s="37"/>
      <c r="H432" s="37"/>
      <c r="I432" s="37"/>
      <c r="J432" s="37"/>
      <c r="K432" s="37"/>
      <c r="L432" s="37"/>
      <c r="M432" s="37"/>
      <c r="N432" s="37"/>
      <c r="O432" s="37"/>
      <c r="P432" s="37"/>
      <c r="Q432" s="37"/>
      <c r="R432" s="37"/>
      <c r="S432" s="166"/>
      <c r="T432" s="166"/>
      <c r="U432" s="166"/>
      <c r="V432" s="166"/>
      <c r="W432" s="166">
        <f t="shared" ref="W432:BE432" si="636">+W430/W$259</f>
        <v>-0.20202020202020202</v>
      </c>
      <c r="X432" s="166">
        <f t="shared" si="636"/>
        <v>-4.6247818499127402E-2</v>
      </c>
      <c r="Y432" s="166">
        <f t="shared" si="636"/>
        <v>0.4581253466444814</v>
      </c>
      <c r="Z432" s="166">
        <f t="shared" si="636"/>
        <v>0.34523809523809523</v>
      </c>
      <c r="AA432" s="166">
        <f t="shared" si="636"/>
        <v>-0.30205278592375367</v>
      </c>
      <c r="AB432" s="166">
        <f t="shared" si="636"/>
        <v>2.9143897996357013E-2</v>
      </c>
      <c r="AC432" s="166">
        <f t="shared" si="636"/>
        <v>0.50338164251207729</v>
      </c>
      <c r="AD432" s="166">
        <f t="shared" si="636"/>
        <v>0.29853479853479853</v>
      </c>
      <c r="AE432" s="166">
        <f t="shared" si="636"/>
        <v>0.12258064516129032</v>
      </c>
      <c r="AF432" s="166">
        <f t="shared" si="636"/>
        <v>-3.3927056827820185E-2</v>
      </c>
      <c r="AG432" s="166">
        <f t="shared" si="636"/>
        <v>0.38660578386605782</v>
      </c>
      <c r="AH432" s="166">
        <f t="shared" si="636"/>
        <v>0.4191235059760956</v>
      </c>
      <c r="AI432" s="166">
        <f t="shared" si="636"/>
        <v>2.2556390977443608E-2</v>
      </c>
      <c r="AJ432" s="166">
        <f t="shared" si="636"/>
        <v>-0.17614533965244866</v>
      </c>
      <c r="AK432" s="166">
        <f t="shared" si="636"/>
        <v>0.51780325890162948</v>
      </c>
      <c r="AL432" s="166">
        <f t="shared" si="636"/>
        <v>0.3479801559177888</v>
      </c>
      <c r="AM432" s="166">
        <f t="shared" si="636"/>
        <v>5.1150895140664961E-2</v>
      </c>
      <c r="AN432" s="166">
        <f t="shared" si="636"/>
        <v>-6.2452399086062454E-2</v>
      </c>
      <c r="AO432" s="166">
        <f t="shared" si="636"/>
        <v>0.48738248391885203</v>
      </c>
      <c r="AP432" s="166">
        <f t="shared" si="636"/>
        <v>0.29219745222929938</v>
      </c>
      <c r="AQ432" s="166">
        <f t="shared" si="636"/>
        <v>0.17122302158273381</v>
      </c>
      <c r="AR432" s="166">
        <f t="shared" si="636"/>
        <v>-8.461538461538462E-2</v>
      </c>
      <c r="AS432" s="166">
        <f t="shared" si="636"/>
        <v>0.40958333333333335</v>
      </c>
      <c r="AT432" s="166">
        <f t="shared" si="636"/>
        <v>0.15503355704697985</v>
      </c>
      <c r="AU432" s="166">
        <f t="shared" si="636"/>
        <v>-0.23353293413173654</v>
      </c>
      <c r="AV432" s="166">
        <f t="shared" si="636"/>
        <v>-6.9151809832522962E-2</v>
      </c>
      <c r="AW432" s="166">
        <f t="shared" si="636"/>
        <v>0.52658129608071402</v>
      </c>
      <c r="AX432" s="166">
        <f t="shared" si="636"/>
        <v>0.1519131924614506</v>
      </c>
      <c r="AY432" s="166">
        <f t="shared" si="636"/>
        <v>-0.201693610469592</v>
      </c>
      <c r="AZ432" s="166">
        <f t="shared" si="636"/>
        <v>-0.17388825541619157</v>
      </c>
      <c r="BA432" s="166">
        <f t="shared" si="636"/>
        <v>0.39880444064901793</v>
      </c>
      <c r="BB432" s="166">
        <f t="shared" si="636"/>
        <v>0.21993833504624871</v>
      </c>
      <c r="BC432" s="166">
        <f>+BC430/BC$259</f>
        <v>0.11660329531051965</v>
      </c>
      <c r="BD432" s="166">
        <f t="shared" si="636"/>
        <v>-5.1648351648351645E-2</v>
      </c>
      <c r="BE432" s="166">
        <f t="shared" si="636"/>
        <v>0.44843617920540996</v>
      </c>
      <c r="BF432" s="166">
        <f>+BF430/BF$259</f>
        <v>0.22869147659063627</v>
      </c>
      <c r="BG432" s="166">
        <f t="shared" ref="BG432:BR432" si="637">+BG430/BG$259</f>
        <v>-7.1315372424722662E-2</v>
      </c>
      <c r="BH432" s="166" t="e">
        <f t="shared" si="637"/>
        <v>#NAME?</v>
      </c>
      <c r="BI432" s="166">
        <f t="shared" si="637"/>
        <v>0.4188360324020764</v>
      </c>
      <c r="BJ432" s="166">
        <f t="shared" si="637"/>
        <v>0.16801169420400927</v>
      </c>
      <c r="BK432" s="166">
        <f t="shared" si="637"/>
        <v>-3.6258956190261163E-2</v>
      </c>
      <c r="BL432" s="166">
        <f t="shared" si="637"/>
        <v>0.20135228839600205</v>
      </c>
      <c r="BM432" s="166">
        <f t="shared" si="637"/>
        <v>0.31117576623251281</v>
      </c>
      <c r="BN432" s="166">
        <f t="shared" si="637"/>
        <v>9.6244550372649285E-2</v>
      </c>
      <c r="BO432" s="166">
        <f t="shared" si="637"/>
        <v>9.8197618107159157E-2</v>
      </c>
      <c r="BP432" s="166">
        <f t="shared" si="637"/>
        <v>0.2000775831406329</v>
      </c>
      <c r="BQ432" s="166">
        <f t="shared" si="637"/>
        <v>0.28461934602711364</v>
      </c>
      <c r="BR432" s="166">
        <f t="shared" si="637"/>
        <v>9.7768428986495362E-2</v>
      </c>
      <c r="BS432" s="166">
        <f>+BS430/BS$259</f>
        <v>8.0758198160824426E-2</v>
      </c>
      <c r="BT432" s="166">
        <f>+BT430/BT$259</f>
        <v>0.19088670292692875</v>
      </c>
      <c r="BU432" s="166">
        <f>+BU430/BU$259</f>
        <v>0.27462190373353274</v>
      </c>
      <c r="BV432" s="166">
        <f>+BV430/BV$259</f>
        <v>8.1941009932202227E-2</v>
      </c>
      <c r="BW432" s="166">
        <f t="shared" ref="BW432:CD432" si="638">+BW430/BW$259</f>
        <v>7.8920972933186298E-2</v>
      </c>
      <c r="BX432" s="166">
        <f t="shared" si="638"/>
        <v>0.19605545282582837</v>
      </c>
      <c r="BY432" s="166">
        <f t="shared" si="638"/>
        <v>0.27845249133663458</v>
      </c>
      <c r="BZ432" s="166">
        <f t="shared" si="638"/>
        <v>8.6669428638072213E-2</v>
      </c>
      <c r="CA432" s="166">
        <f t="shared" si="638"/>
        <v>9.3599926029080502E-2</v>
      </c>
      <c r="CB432" s="166">
        <f t="shared" si="638"/>
        <v>0.21072853682440887</v>
      </c>
      <c r="CC432" s="166">
        <f t="shared" si="638"/>
        <v>0.29803611094005455</v>
      </c>
      <c r="CD432" s="166">
        <f t="shared" si="638"/>
        <v>0.11072068348597781</v>
      </c>
      <c r="CG432" s="166"/>
      <c r="CH432" s="166"/>
      <c r="CI432" s="166" t="e">
        <f t="shared" ref="CI432:CX432" si="639">+CI430/CI$259</f>
        <v>#DIV/0!</v>
      </c>
      <c r="CJ432" s="166">
        <f t="shared" si="639"/>
        <v>0.19171104422319982</v>
      </c>
      <c r="CK432" s="166">
        <f t="shared" si="639"/>
        <v>0.20849759088918091</v>
      </c>
      <c r="CL432" s="166">
        <f t="shared" si="639"/>
        <v>0.2416025900445164</v>
      </c>
      <c r="CM432" s="166">
        <f t="shared" si="639"/>
        <v>0.25926640926640926</v>
      </c>
      <c r="CN432" s="166">
        <f t="shared" si="639"/>
        <v>0.22291504286827749</v>
      </c>
      <c r="CO432" s="166">
        <f t="shared" si="639"/>
        <v>0.24385703648548027</v>
      </c>
      <c r="CP432" s="166">
        <f t="shared" si="639"/>
        <v>0.22213247172859452</v>
      </c>
      <c r="CQ432" s="166">
        <f>+CQ430/CQ$259</f>
        <v>0.15741849634065203</v>
      </c>
      <c r="CR432" s="166">
        <f t="shared" si="639"/>
        <v>0.10829587249693502</v>
      </c>
      <c r="CS432" s="166">
        <f t="shared" si="639"/>
        <v>0.20619111709286675</v>
      </c>
      <c r="CT432" s="156" t="e">
        <f t="shared" si="639"/>
        <v>#NAME?</v>
      </c>
      <c r="CU432" s="156">
        <f t="shared" si="639"/>
        <v>0.17780186123344136</v>
      </c>
      <c r="CV432" s="156">
        <f t="shared" si="639"/>
        <v>0.18450421609636367</v>
      </c>
      <c r="CW432" s="156">
        <f t="shared" si="639"/>
        <v>0.17217623189141532</v>
      </c>
      <c r="CX432" s="156">
        <f t="shared" si="639"/>
        <v>0.17544148569970089</v>
      </c>
    </row>
    <row r="433" spans="1:102" x14ac:dyDescent="0.25">
      <c r="B433" s="37"/>
      <c r="C433" s="37"/>
      <c r="D433" s="37"/>
      <c r="E433" s="37"/>
      <c r="F433" s="37"/>
      <c r="G433" s="37"/>
      <c r="H433" s="37"/>
      <c r="I433" s="37"/>
      <c r="J433" s="37"/>
      <c r="K433" s="37"/>
      <c r="L433" s="37"/>
      <c r="M433" s="37"/>
      <c r="N433" s="37"/>
      <c r="O433" s="37"/>
      <c r="P433" s="37"/>
      <c r="Q433" s="37"/>
      <c r="R433" s="37"/>
      <c r="CT433" s="60"/>
      <c r="CU433" s="60"/>
      <c r="CV433" s="60"/>
      <c r="CW433" s="60"/>
      <c r="CX433" s="60"/>
    </row>
    <row r="434" spans="1:102" x14ac:dyDescent="0.25">
      <c r="B434" s="193" t="s">
        <v>294</v>
      </c>
      <c r="C434" s="193"/>
      <c r="D434" s="193"/>
      <c r="E434" s="193"/>
      <c r="F434" s="193"/>
      <c r="G434" s="193"/>
      <c r="H434" s="193"/>
      <c r="I434" s="193"/>
      <c r="J434" s="193"/>
      <c r="K434" s="193"/>
      <c r="L434" s="193"/>
      <c r="M434" s="193"/>
      <c r="N434" s="193"/>
      <c r="O434" s="193"/>
      <c r="P434" s="193"/>
      <c r="Q434" s="193"/>
      <c r="R434" s="193"/>
      <c r="S434" s="80">
        <f t="shared" ref="S434:BE434" si="640">+S426/S$385</f>
        <v>-7.1651090342679122E-2</v>
      </c>
      <c r="T434" s="80">
        <f t="shared" si="640"/>
        <v>0.50783699059561127</v>
      </c>
      <c r="U434" s="80">
        <f t="shared" si="640"/>
        <v>2.0909090909090908</v>
      </c>
      <c r="V434" s="80">
        <f t="shared" si="640"/>
        <v>0.51234567901234573</v>
      </c>
      <c r="W434" s="80">
        <f t="shared" si="640"/>
        <v>-0.29230769230769232</v>
      </c>
      <c r="X434" s="80">
        <f t="shared" si="640"/>
        <v>-2.7607361963190184E-2</v>
      </c>
      <c r="Y434" s="80">
        <f t="shared" si="640"/>
        <v>2.6707692307692308</v>
      </c>
      <c r="Z434" s="80">
        <f t="shared" si="640"/>
        <v>1.1473354231974922</v>
      </c>
      <c r="AA434" s="80">
        <f t="shared" si="640"/>
        <v>-0.50479233226837061</v>
      </c>
      <c r="AB434" s="80">
        <f t="shared" si="640"/>
        <v>0.25477707006369427</v>
      </c>
      <c r="AC434" s="80">
        <f t="shared" si="640"/>
        <v>3.4824281150159746</v>
      </c>
      <c r="AD434" s="80">
        <f t="shared" si="640"/>
        <v>1.2115384615384615</v>
      </c>
      <c r="AE434" s="80">
        <f t="shared" si="640"/>
        <v>0.45686900958466453</v>
      </c>
      <c r="AF434" s="80">
        <f t="shared" si="640"/>
        <v>7.0512820512820512E-2</v>
      </c>
      <c r="AG434" s="80">
        <f t="shared" si="640"/>
        <v>2.652733118971061</v>
      </c>
      <c r="AH434" s="80">
        <f t="shared" si="640"/>
        <v>1.9131832797427653</v>
      </c>
      <c r="AI434" s="80">
        <f t="shared" si="640"/>
        <v>0.28387096774193549</v>
      </c>
      <c r="AJ434" s="80">
        <f t="shared" si="640"/>
        <v>-0.51140065146579805</v>
      </c>
      <c r="AK434" s="80">
        <f t="shared" si="640"/>
        <v>3.0690789473684212</v>
      </c>
      <c r="AL434" s="80">
        <f t="shared" si="640"/>
        <v>1.8737541528239203</v>
      </c>
      <c r="AM434" s="80">
        <f t="shared" si="640"/>
        <v>0.3779264214046823</v>
      </c>
      <c r="AN434" s="80">
        <f t="shared" si="640"/>
        <v>3.3783783783783786E-2</v>
      </c>
      <c r="AO434" s="80">
        <f t="shared" si="640"/>
        <v>3.6598639455782314</v>
      </c>
      <c r="AP434" s="80">
        <f t="shared" si="640"/>
        <v>1.5684931506849316</v>
      </c>
      <c r="AQ434" s="80">
        <f t="shared" si="640"/>
        <v>1.1643835616438356</v>
      </c>
      <c r="AR434" s="80">
        <f t="shared" si="640"/>
        <v>0.12286689419795221</v>
      </c>
      <c r="AS434" s="80">
        <f t="shared" si="640"/>
        <v>3.7465753424657535</v>
      </c>
      <c r="AT434" s="80">
        <f t="shared" si="640"/>
        <v>1.1724137931034482</v>
      </c>
      <c r="AU434" s="80">
        <f t="shared" si="640"/>
        <v>-0.6470588235294118</v>
      </c>
      <c r="AV434" s="80">
        <f t="shared" si="640"/>
        <v>7.3170731707317069E-2</v>
      </c>
      <c r="AW434" s="80">
        <f t="shared" si="640"/>
        <v>5.2140350877192985</v>
      </c>
      <c r="AX434" s="80">
        <f t="shared" si="640"/>
        <v>1.3816254416961131</v>
      </c>
      <c r="AY434" s="80">
        <f t="shared" si="640"/>
        <v>-0.48754448398576511</v>
      </c>
      <c r="AZ434" s="80">
        <f t="shared" si="640"/>
        <v>-0.59139784946236562</v>
      </c>
      <c r="BA434" s="80">
        <f t="shared" si="640"/>
        <v>3.8669064748201438</v>
      </c>
      <c r="BB434" s="80">
        <f t="shared" si="640"/>
        <v>2.0727272727272728</v>
      </c>
      <c r="BC434" s="80">
        <f>+BC426/BC$385</f>
        <v>1.1459854014598541</v>
      </c>
      <c r="BD434" s="80">
        <f t="shared" si="640"/>
        <v>0.22426470588235295</v>
      </c>
      <c r="BE434" s="80">
        <f t="shared" si="640"/>
        <v>4.4723247232472323</v>
      </c>
      <c r="BF434" s="80">
        <f>+BF426/BF$385</f>
        <v>1.9592592592592593</v>
      </c>
      <c r="BG434" s="80">
        <f t="shared" ref="BG434:BR434" si="641">+BG426/BG$385</f>
        <v>0.19776119402985073</v>
      </c>
      <c r="BH434" s="80" t="e">
        <f t="shared" si="641"/>
        <v>#NAME?</v>
      </c>
      <c r="BI434" s="80">
        <f>+BI426/BI$385</f>
        <v>4.305274219509128</v>
      </c>
      <c r="BJ434" s="80">
        <f t="shared" si="641"/>
        <v>1.6143421723367328</v>
      </c>
      <c r="BK434" s="80">
        <f t="shared" si="641"/>
        <v>0.4061261026333528</v>
      </c>
      <c r="BL434" s="80">
        <f t="shared" si="641"/>
        <v>2.331029081349393</v>
      </c>
      <c r="BM434" s="80">
        <f t="shared" si="641"/>
        <v>3.7762222859607455</v>
      </c>
      <c r="BN434" s="80">
        <f t="shared" si="641"/>
        <v>1.2521161398995324</v>
      </c>
      <c r="BO434" s="80">
        <f t="shared" si="641"/>
        <v>1.2333424852177066</v>
      </c>
      <c r="BP434" s="80">
        <f t="shared" si="641"/>
        <v>2.4642324908694575</v>
      </c>
      <c r="BQ434" s="80">
        <f t="shared" si="641"/>
        <v>3.5091186947169528</v>
      </c>
      <c r="BR434" s="80">
        <f t="shared" si="641"/>
        <v>1.3517765883971065</v>
      </c>
      <c r="BS434" s="80">
        <f>+BS426/BS$385</f>
        <v>1.1902424708941752</v>
      </c>
      <c r="BT434" s="80">
        <f>+BT426/BT$385</f>
        <v>2.5092077314148935</v>
      </c>
      <c r="BU434" s="80">
        <f>+BU426/BU$385</f>
        <v>3.5631302336782023</v>
      </c>
      <c r="BV434" s="80">
        <f>+BV426/BV$385</f>
        <v>1.3185258132139088</v>
      </c>
      <c r="BW434" s="80">
        <f t="shared" ref="BW434:CD434" si="642">+BW426/BW$385</f>
        <v>1.2260332331617461</v>
      </c>
      <c r="BX434" s="80">
        <f t="shared" si="642"/>
        <v>2.6424346865611517</v>
      </c>
      <c r="BY434" s="80">
        <f t="shared" si="642"/>
        <v>3.7308079804359853</v>
      </c>
      <c r="BZ434" s="80">
        <f t="shared" si="642"/>
        <v>1.4093417367249585</v>
      </c>
      <c r="CA434" s="80">
        <f t="shared" si="642"/>
        <v>1.4146316114751236</v>
      </c>
      <c r="CB434" s="80">
        <f t="shared" si="642"/>
        <v>2.9564051658919017</v>
      </c>
      <c r="CC434" s="80">
        <f t="shared" si="642"/>
        <v>4.1967673613455867</v>
      </c>
      <c r="CD434" s="80">
        <f t="shared" si="642"/>
        <v>1.6980017045036893</v>
      </c>
      <c r="CG434" s="80"/>
      <c r="CH434" s="80"/>
      <c r="CI434" s="80" t="e">
        <f t="shared" ref="CI434:CX434" si="643">+CI426/CI$385</f>
        <v>#VALUE!</v>
      </c>
      <c r="CJ434" s="80">
        <f t="shared" si="643"/>
        <v>3.030397505845674</v>
      </c>
      <c r="CK434" s="80">
        <f t="shared" si="643"/>
        <v>3.4903474903474905</v>
      </c>
      <c r="CL434" s="80">
        <f t="shared" si="643"/>
        <v>4.440894568690096</v>
      </c>
      <c r="CM434" s="80">
        <f t="shared" si="643"/>
        <v>5.0842020850040095</v>
      </c>
      <c r="CN434" s="80">
        <f t="shared" si="643"/>
        <v>4.6743044189852698</v>
      </c>
      <c r="CO434" s="80">
        <f t="shared" si="643"/>
        <v>5.6121930567315834</v>
      </c>
      <c r="CP434" s="80">
        <f t="shared" si="643"/>
        <v>6.2039417309340186</v>
      </c>
      <c r="CQ434" s="80">
        <f>+CQ426/CQ$385</f>
        <v>5.9825174825174825</v>
      </c>
      <c r="CR434" s="80">
        <f t="shared" si="643"/>
        <v>4.82659478885894</v>
      </c>
      <c r="CS434" s="80">
        <f t="shared" si="643"/>
        <v>7.7865685372585096</v>
      </c>
      <c r="CT434" s="194" t="e">
        <f t="shared" si="643"/>
        <v>#NAME?</v>
      </c>
      <c r="CU434" s="194">
        <f t="shared" si="643"/>
        <v>7.75177801467387</v>
      </c>
      <c r="CV434" s="194">
        <f t="shared" si="643"/>
        <v>8.5538427085861173</v>
      </c>
      <c r="CW434" s="194">
        <f t="shared" si="643"/>
        <v>8.5764597262012945</v>
      </c>
      <c r="CX434" s="194">
        <f t="shared" si="643"/>
        <v>9.0035901638983962</v>
      </c>
    </row>
    <row r="435" spans="1:102" x14ac:dyDescent="0.25">
      <c r="B435" s="37" t="s">
        <v>170</v>
      </c>
      <c r="C435" s="37"/>
      <c r="D435" s="37"/>
      <c r="E435" s="37"/>
      <c r="F435" s="37"/>
      <c r="G435" s="37"/>
      <c r="H435" s="37"/>
      <c r="I435" s="37"/>
      <c r="J435" s="37"/>
      <c r="K435" s="37"/>
      <c r="L435" s="37"/>
      <c r="M435" s="37"/>
      <c r="N435" s="37"/>
      <c r="O435" s="37"/>
      <c r="P435" s="37"/>
      <c r="Q435" s="37"/>
      <c r="R435" s="37"/>
      <c r="S435" s="191"/>
      <c r="T435" s="191"/>
      <c r="U435" s="191"/>
      <c r="V435" s="191"/>
      <c r="W435" s="191">
        <f>+IFERROR(W434/S434-1,"")</f>
        <v>3.0795986622073581</v>
      </c>
      <c r="X435" s="191">
        <f t="shared" ref="X435:BB435" si="644">+IFERROR(X434/T434-1,"")</f>
        <v>-1.0543626448534424</v>
      </c>
      <c r="Y435" s="191">
        <f t="shared" si="644"/>
        <v>0.27732441471571923</v>
      </c>
      <c r="Z435" s="191">
        <f t="shared" si="644"/>
        <v>1.239377572987876</v>
      </c>
      <c r="AA435" s="191">
        <f t="shared" si="644"/>
        <v>0.72692113670758363</v>
      </c>
      <c r="AB435" s="191">
        <f t="shared" si="644"/>
        <v>-10.228591648973815</v>
      </c>
      <c r="AC435" s="191">
        <f t="shared" si="644"/>
        <v>0.30390453615229474</v>
      </c>
      <c r="AD435" s="191">
        <f t="shared" si="644"/>
        <v>5.5958385876418548E-2</v>
      </c>
      <c r="AE435" s="191">
        <f t="shared" si="644"/>
        <v>-1.9050632911392404</v>
      </c>
      <c r="AF435" s="191">
        <f t="shared" si="644"/>
        <v>-0.72323717948717947</v>
      </c>
      <c r="AG435" s="191">
        <f t="shared" si="644"/>
        <v>-0.2382518658367504</v>
      </c>
      <c r="AH435" s="191">
        <f t="shared" si="644"/>
        <v>0.57913540550196507</v>
      </c>
      <c r="AI435" s="191">
        <f t="shared" si="644"/>
        <v>-0.37866004962779154</v>
      </c>
      <c r="AJ435" s="191">
        <f t="shared" si="644"/>
        <v>-8.2525910571513172</v>
      </c>
      <c r="AK435" s="191">
        <f t="shared" si="644"/>
        <v>0.15694976076555034</v>
      </c>
      <c r="AL435" s="191">
        <f t="shared" si="644"/>
        <v>-2.0609173902118916E-2</v>
      </c>
      <c r="AM435" s="191">
        <f t="shared" si="644"/>
        <v>0.33133171176649445</v>
      </c>
      <c r="AN435" s="191">
        <f t="shared" si="644"/>
        <v>-1.0660612842141504</v>
      </c>
      <c r="AO435" s="191">
        <f t="shared" si="644"/>
        <v>0.19249586222484694</v>
      </c>
      <c r="AP435" s="191">
        <f t="shared" si="644"/>
        <v>-0.16291411638977948</v>
      </c>
      <c r="AQ435" s="191">
        <f t="shared" si="644"/>
        <v>2.0809795126682018</v>
      </c>
      <c r="AR435" s="191">
        <f t="shared" si="644"/>
        <v>2.6368600682593852</v>
      </c>
      <c r="AS435" s="191">
        <f t="shared" si="644"/>
        <v>2.3692519223914132E-2</v>
      </c>
      <c r="AT435" s="191">
        <f t="shared" si="644"/>
        <v>-0.25252221051046542</v>
      </c>
      <c r="AU435" s="191">
        <f t="shared" si="644"/>
        <v>-1.5557093425605537</v>
      </c>
      <c r="AV435" s="191">
        <f t="shared" si="644"/>
        <v>-0.40447154471544722</v>
      </c>
      <c r="AW435" s="191">
        <f t="shared" si="644"/>
        <v>0.39168029763622947</v>
      </c>
      <c r="AX435" s="191">
        <f t="shared" si="644"/>
        <v>0.17844522968197896</v>
      </c>
      <c r="AY435" s="191">
        <f t="shared" si="644"/>
        <v>-0.24652216111290848</v>
      </c>
      <c r="AZ435" s="191">
        <f t="shared" si="644"/>
        <v>-9.0824372759856633</v>
      </c>
      <c r="BA435" s="191">
        <f t="shared" si="644"/>
        <v>-0.25836585106073962</v>
      </c>
      <c r="BB435" s="191">
        <f t="shared" si="644"/>
        <v>0.50020925366193913</v>
      </c>
      <c r="BC435" s="191">
        <f>+IFERROR(BC434/AY434-1,"")</f>
        <v>-3.3505248015344451</v>
      </c>
      <c r="BD435" s="191">
        <f t="shared" ref="BD435:BF435" si="645">+IFERROR(BD434/AZ434-1,"")</f>
        <v>-1.379211229946524</v>
      </c>
      <c r="BE435" s="191">
        <f t="shared" si="645"/>
        <v>0.15656397494207508</v>
      </c>
      <c r="BF435" s="191">
        <f t="shared" si="645"/>
        <v>-5.4743339831059168E-2</v>
      </c>
      <c r="BG435" s="191">
        <f>+IFERROR(BG434/BC434-1,"")</f>
        <v>-0.82743131476376086</v>
      </c>
      <c r="BH435" s="191" t="str">
        <f t="shared" ref="BH435" si="646">+IFERROR(BH434/BD434-1,"")</f>
        <v/>
      </c>
      <c r="BI435" s="191">
        <f>+IFERROR(BI434/BE434-1,"")</f>
        <v>-3.7352051578404488E-2</v>
      </c>
      <c r="BJ435" s="191">
        <f t="shared" ref="BJ435:BL435" si="647">+IFERROR(BJ434/BF434-1,"")</f>
        <v>-0.17604463793777336</v>
      </c>
      <c r="BK435" s="191">
        <f t="shared" si="647"/>
        <v>1.0536187831271424</v>
      </c>
      <c r="BL435" s="191" t="str">
        <f t="shared" si="647"/>
        <v/>
      </c>
      <c r="BM435" s="191">
        <f>+IFERROR(BM434/BI434-1,"")</f>
        <v>-0.1228846077100062</v>
      </c>
      <c r="BN435" s="191">
        <f t="shared" ref="BN435:BV435" si="648">+IFERROR(BN434/BJ434-1,"")</f>
        <v>-0.224379960236611</v>
      </c>
      <c r="BO435" s="191">
        <f t="shared" si="648"/>
        <v>2.0368461352782283</v>
      </c>
      <c r="BP435" s="191">
        <f t="shared" si="648"/>
        <v>5.714360690985254E-2</v>
      </c>
      <c r="BQ435" s="191">
        <f t="shared" si="648"/>
        <v>-7.0733015965938062E-2</v>
      </c>
      <c r="BR435" s="191">
        <f t="shared" si="648"/>
        <v>7.9593613820496456E-2</v>
      </c>
      <c r="BS435" s="191">
        <f t="shared" si="648"/>
        <v>-3.4945698246925727E-2</v>
      </c>
      <c r="BT435" s="191">
        <f t="shared" si="648"/>
        <v>1.8251216438416318E-2</v>
      </c>
      <c r="BU435" s="191">
        <f t="shared" si="648"/>
        <v>1.5391767466448103E-2</v>
      </c>
      <c r="BV435" s="191">
        <f t="shared" si="648"/>
        <v>-2.4597833302191896E-2</v>
      </c>
      <c r="BW435" s="191">
        <f t="shared" ref="BW435:CD435" si="649">+IFERROR(BW434/BO434-1,"")</f>
        <v>-5.9263766095516424E-3</v>
      </c>
      <c r="BX435" s="191">
        <f t="shared" si="649"/>
        <v>7.2315496347026498E-2</v>
      </c>
      <c r="BY435" s="191">
        <f t="shared" si="649"/>
        <v>6.317520295132506E-2</v>
      </c>
      <c r="BZ435" s="191">
        <f t="shared" si="649"/>
        <v>4.2584809370098009E-2</v>
      </c>
      <c r="CA435" s="191">
        <f t="shared" si="649"/>
        <v>0.18852388993679159</v>
      </c>
      <c r="CB435" s="191">
        <f t="shared" si="649"/>
        <v>0.1782225635917527</v>
      </c>
      <c r="CC435" s="191">
        <f t="shared" si="649"/>
        <v>0.17783159360225897</v>
      </c>
      <c r="CD435" s="191">
        <f t="shared" si="649"/>
        <v>0.28780315674276213</v>
      </c>
      <c r="CG435" s="191"/>
      <c r="CH435" s="191"/>
      <c r="CI435" s="191" t="str">
        <f>+IFERROR(CI434/CH434-1,"")</f>
        <v/>
      </c>
      <c r="CJ435" s="191" t="str">
        <f>+IFERROR(CJ434/CI434-1,"")</f>
        <v/>
      </c>
      <c r="CK435" s="191">
        <f t="shared" ref="CK435:CP435" si="650">+IFERROR(CK434/CJ434-1,"")</f>
        <v>0.15177876288987413</v>
      </c>
      <c r="CL435" s="191">
        <f t="shared" si="650"/>
        <v>0.27233594390568006</v>
      </c>
      <c r="CM435" s="191">
        <f t="shared" si="650"/>
        <v>0.14485989396133436</v>
      </c>
      <c r="CN435" s="191">
        <f t="shared" si="650"/>
        <v>-8.0621828000846718E-2</v>
      </c>
      <c r="CO435" s="191">
        <f t="shared" si="650"/>
        <v>0.20064774427976118</v>
      </c>
      <c r="CP435" s="191">
        <f t="shared" si="650"/>
        <v>0.10543982864107959</v>
      </c>
      <c r="CQ435" s="191">
        <f>+IFERROR(CQ434/CP434-1,"")</f>
        <v>-3.5690897500289753E-2</v>
      </c>
      <c r="CR435" s="191">
        <f>+IFERROR(CR434/CQ434-1,"")</f>
        <v>-0.1932167681977458</v>
      </c>
      <c r="CS435" s="191">
        <f t="shared" ref="CS435:CX435" si="651">+IFERROR(CS434/CR434-1,"")</f>
        <v>0.61326336224287425</v>
      </c>
      <c r="CT435" s="192" t="str">
        <f t="shared" si="651"/>
        <v/>
      </c>
      <c r="CU435" s="192" t="str">
        <f t="shared" si="651"/>
        <v/>
      </c>
      <c r="CV435" s="192">
        <f t="shared" si="651"/>
        <v>0.10346848070132619</v>
      </c>
      <c r="CW435" s="192">
        <f t="shared" si="651"/>
        <v>2.6440768652988833E-3</v>
      </c>
      <c r="CX435" s="192">
        <f t="shared" si="651"/>
        <v>4.9802651832224765E-2</v>
      </c>
    </row>
    <row r="436" spans="1:102" x14ac:dyDescent="0.25">
      <c r="B436" s="37"/>
      <c r="C436" s="37"/>
      <c r="D436" s="37"/>
      <c r="E436" s="37"/>
      <c r="F436" s="37"/>
      <c r="G436" s="37"/>
      <c r="H436" s="37"/>
      <c r="I436" s="37"/>
      <c r="J436" s="37"/>
      <c r="K436" s="37"/>
      <c r="L436" s="37"/>
      <c r="M436" s="37"/>
      <c r="N436" s="37"/>
      <c r="O436" s="37"/>
      <c r="P436" s="37"/>
      <c r="Q436" s="37"/>
      <c r="R436" s="37"/>
      <c r="CT436" s="60"/>
      <c r="CU436" s="60"/>
      <c r="CV436" s="60"/>
      <c r="CW436" s="60"/>
      <c r="CX436" s="60"/>
    </row>
    <row r="437" spans="1:102" x14ac:dyDescent="0.25">
      <c r="B437" s="193" t="s">
        <v>295</v>
      </c>
      <c r="C437" s="193"/>
      <c r="D437" s="193"/>
      <c r="E437" s="193"/>
      <c r="F437" s="193"/>
      <c r="G437" s="193"/>
      <c r="H437" s="193"/>
      <c r="I437" s="193"/>
      <c r="J437" s="193"/>
      <c r="K437" s="193"/>
      <c r="L437" s="193"/>
      <c r="M437" s="193"/>
      <c r="N437" s="193"/>
      <c r="O437" s="193"/>
      <c r="P437" s="193"/>
      <c r="Q437" s="193"/>
      <c r="R437" s="193"/>
      <c r="S437" s="80">
        <f t="shared" ref="S437:BE437" si="652">+S430/S$385</f>
        <v>-0.16199376947040497</v>
      </c>
      <c r="T437" s="80">
        <f t="shared" si="652"/>
        <v>0.38244514106583072</v>
      </c>
      <c r="U437" s="80">
        <f t="shared" si="652"/>
        <v>1.9686520376175549</v>
      </c>
      <c r="V437" s="80">
        <f t="shared" si="652"/>
        <v>0.40123456790123457</v>
      </c>
      <c r="W437" s="80">
        <f t="shared" si="652"/>
        <v>-0.43076923076923079</v>
      </c>
      <c r="X437" s="80">
        <f t="shared" si="652"/>
        <v>-0.16257668711656442</v>
      </c>
      <c r="Y437" s="80">
        <f t="shared" si="652"/>
        <v>2.5415384615384617</v>
      </c>
      <c r="Z437" s="80">
        <f t="shared" si="652"/>
        <v>1</v>
      </c>
      <c r="AA437" s="80">
        <f t="shared" si="652"/>
        <v>-0.65814696485623003</v>
      </c>
      <c r="AB437" s="80">
        <f t="shared" si="652"/>
        <v>0.10191082802547771</v>
      </c>
      <c r="AC437" s="80">
        <f t="shared" si="652"/>
        <v>3.329073482428115</v>
      </c>
      <c r="AD437" s="80">
        <f t="shared" si="652"/>
        <v>1.0448717948717949</v>
      </c>
      <c r="AE437" s="80">
        <f t="shared" si="652"/>
        <v>0.30351437699680511</v>
      </c>
      <c r="AF437" s="80">
        <f t="shared" si="652"/>
        <v>-0.12820512820512819</v>
      </c>
      <c r="AG437" s="80">
        <f t="shared" si="652"/>
        <v>2.45016077170418</v>
      </c>
      <c r="AH437" s="80">
        <f t="shared" si="652"/>
        <v>1.6913183279742765</v>
      </c>
      <c r="AI437" s="80">
        <f t="shared" si="652"/>
        <v>5.8064516129032261E-2</v>
      </c>
      <c r="AJ437" s="80">
        <f t="shared" si="652"/>
        <v>-0.7263843648208469</v>
      </c>
      <c r="AK437" s="80">
        <f t="shared" si="652"/>
        <v>2.8223684210526314</v>
      </c>
      <c r="AL437" s="80">
        <f t="shared" si="652"/>
        <v>1.6312292358803986</v>
      </c>
      <c r="AM437" s="80">
        <f t="shared" si="652"/>
        <v>0.13377926421404682</v>
      </c>
      <c r="AN437" s="80">
        <f t="shared" si="652"/>
        <v>-0.27702702702702703</v>
      </c>
      <c r="AO437" s="80">
        <f t="shared" si="652"/>
        <v>3.3503401360544216</v>
      </c>
      <c r="AP437" s="80">
        <f t="shared" si="652"/>
        <v>1.2568493150684932</v>
      </c>
      <c r="AQ437" s="80">
        <f t="shared" si="652"/>
        <v>0.81506849315068497</v>
      </c>
      <c r="AR437" s="80">
        <f t="shared" si="652"/>
        <v>-0.26279863481228671</v>
      </c>
      <c r="AS437" s="80">
        <f t="shared" si="652"/>
        <v>3.3664383561643834</v>
      </c>
      <c r="AT437" s="80">
        <f t="shared" si="652"/>
        <v>0.79655172413793107</v>
      </c>
      <c r="AU437" s="80">
        <f t="shared" si="652"/>
        <v>-1.0795847750865053</v>
      </c>
      <c r="AV437" s="80">
        <f t="shared" si="652"/>
        <v>-0.44599303135888502</v>
      </c>
      <c r="AW437" s="80">
        <f t="shared" si="652"/>
        <v>4.76140350877193</v>
      </c>
      <c r="AX437" s="80">
        <f t="shared" si="652"/>
        <v>0.93992932862190814</v>
      </c>
      <c r="AY437" s="80">
        <f t="shared" si="652"/>
        <v>-0.93238434163701067</v>
      </c>
      <c r="AZ437" s="80">
        <f t="shared" si="652"/>
        <v>-1.0931899641577061</v>
      </c>
      <c r="BA437" s="80">
        <f t="shared" si="652"/>
        <v>3.3597122302158273</v>
      </c>
      <c r="BB437" s="80">
        <f t="shared" si="652"/>
        <v>1.5563636363636364</v>
      </c>
      <c r="BC437" s="80">
        <f>+BC430/BC$385</f>
        <v>0.67153284671532842</v>
      </c>
      <c r="BD437" s="80">
        <f t="shared" si="652"/>
        <v>-0.34558823529411764</v>
      </c>
      <c r="BE437" s="80">
        <f t="shared" si="652"/>
        <v>3.915129151291513</v>
      </c>
      <c r="BF437" s="80">
        <f>+BF430/BF$385</f>
        <v>1.4111111111111112</v>
      </c>
      <c r="BG437" s="80">
        <f t="shared" ref="BG437:BR437" si="653">+BG430/BG$385</f>
        <v>-0.33582089552238809</v>
      </c>
      <c r="BH437" s="80" t="e">
        <f t="shared" si="653"/>
        <v>#NAME?</v>
      </c>
      <c r="BI437" s="80">
        <f>+BI430/BI$385</f>
        <v>3.7049739582620891</v>
      </c>
      <c r="BJ437" s="80">
        <f t="shared" si="653"/>
        <v>1.0216834990949186</v>
      </c>
      <c r="BK437" s="80">
        <f t="shared" si="653"/>
        <v>-0.17081239535021497</v>
      </c>
      <c r="BL437" s="80">
        <f t="shared" si="653"/>
        <v>1.6698997032462064</v>
      </c>
      <c r="BM437" s="80">
        <f t="shared" si="653"/>
        <v>3.127604218045092</v>
      </c>
      <c r="BN437" s="80">
        <f t="shared" si="653"/>
        <v>0.61178910630911232</v>
      </c>
      <c r="BO437" s="80">
        <f t="shared" si="653"/>
        <v>0.61002518952921991</v>
      </c>
      <c r="BP437" s="80">
        <f t="shared" si="653"/>
        <v>1.7500257042764369</v>
      </c>
      <c r="BQ437" s="80">
        <f t="shared" si="653"/>
        <v>2.8084881914750679</v>
      </c>
      <c r="BR437" s="80">
        <f t="shared" si="653"/>
        <v>0.66015631657547535</v>
      </c>
      <c r="BS437" s="80">
        <f>+BS430/BS$385</f>
        <v>0.5170379492990953</v>
      </c>
      <c r="BT437" s="80">
        <f>+BT430/BT$385</f>
        <v>1.7379363861651762</v>
      </c>
      <c r="BU437" s="80">
        <f>+BU430/BU$385</f>
        <v>2.8066066077603038</v>
      </c>
      <c r="BV437" s="80">
        <f>+BV430/BV$385</f>
        <v>0.57181073296429663</v>
      </c>
      <c r="BW437" s="80">
        <f t="shared" ref="BW437:CD437" si="654">+BW430/BW$385</f>
        <v>0.51937532257414187</v>
      </c>
      <c r="BX437" s="80">
        <f t="shared" si="654"/>
        <v>1.8331096303783165</v>
      </c>
      <c r="BY437" s="80">
        <f t="shared" si="654"/>
        <v>2.937222573383151</v>
      </c>
      <c r="BZ437" s="80">
        <f t="shared" si="654"/>
        <v>0.62630467351677943</v>
      </c>
      <c r="CA437" s="80">
        <f t="shared" si="654"/>
        <v>0.65176872628826243</v>
      </c>
      <c r="CB437" s="80">
        <f t="shared" si="654"/>
        <v>2.0828705120921192</v>
      </c>
      <c r="CC437" s="80">
        <f t="shared" si="654"/>
        <v>3.3403686637676144</v>
      </c>
      <c r="CD437" s="80">
        <f t="shared" si="654"/>
        <v>0.85312452538984862</v>
      </c>
      <c r="CG437" s="80"/>
      <c r="CH437" s="80"/>
      <c r="CI437" s="80" t="e">
        <f t="shared" ref="CI437:CX437" si="655">+CI430/CI$385</f>
        <v>#VALUE!</v>
      </c>
      <c r="CJ437" s="80">
        <f t="shared" si="655"/>
        <v>2.5814497272018708</v>
      </c>
      <c r="CK437" s="80">
        <f t="shared" si="655"/>
        <v>2.9405405405405407</v>
      </c>
      <c r="CL437" s="80">
        <f t="shared" si="655"/>
        <v>3.8146964856230032</v>
      </c>
      <c r="CM437" s="80">
        <f t="shared" si="655"/>
        <v>4.3079390537289495</v>
      </c>
      <c r="CN437" s="80">
        <f t="shared" si="655"/>
        <v>3.7446808510638299</v>
      </c>
      <c r="CO437" s="80">
        <f t="shared" si="655"/>
        <v>4.4369178662150723</v>
      </c>
      <c r="CP437" s="80">
        <f t="shared" si="655"/>
        <v>4.7129391602399311</v>
      </c>
      <c r="CQ437" s="80">
        <f>+CQ430/CQ$385</f>
        <v>4.1363636363636367</v>
      </c>
      <c r="CR437" s="80">
        <f t="shared" si="655"/>
        <v>2.8571428571428572</v>
      </c>
      <c r="CS437" s="80">
        <f t="shared" si="655"/>
        <v>5.6375344986200551</v>
      </c>
      <c r="CT437" s="194" t="e">
        <f t="shared" si="655"/>
        <v>#NAME?</v>
      </c>
      <c r="CU437" s="194">
        <f t="shared" si="655"/>
        <v>5.2253831946614522</v>
      </c>
      <c r="CV437" s="194">
        <f t="shared" si="655"/>
        <v>5.8247246978418392</v>
      </c>
      <c r="CW437" s="194">
        <f t="shared" si="655"/>
        <v>5.6294390678935926</v>
      </c>
      <c r="CX437" s="194">
        <f t="shared" si="655"/>
        <v>5.9116681772266668</v>
      </c>
    </row>
    <row r="438" spans="1:102" x14ac:dyDescent="0.25">
      <c r="B438" s="37" t="s">
        <v>170</v>
      </c>
      <c r="C438" s="37"/>
      <c r="D438" s="37"/>
      <c r="E438" s="37"/>
      <c r="F438" s="37"/>
      <c r="G438" s="37"/>
      <c r="H438" s="37"/>
      <c r="I438" s="37"/>
      <c r="J438" s="37"/>
      <c r="K438" s="37"/>
      <c r="L438" s="37"/>
      <c r="M438" s="37"/>
      <c r="N438" s="37"/>
      <c r="O438" s="37"/>
      <c r="P438" s="37"/>
      <c r="Q438" s="37"/>
      <c r="R438" s="37"/>
      <c r="S438" s="191"/>
      <c r="T438" s="191"/>
      <c r="U438" s="191"/>
      <c r="V438" s="191"/>
      <c r="W438" s="191">
        <f>+IFERROR(W437/S437-1,"")</f>
        <v>1.6591715976331365</v>
      </c>
      <c r="X438" s="191">
        <f t="shared" ref="X438:BB438" si="656">+IFERROR(X437/T437-1,"")</f>
        <v>-1.4250980589359348</v>
      </c>
      <c r="Y438" s="191">
        <f t="shared" si="656"/>
        <v>0.29100440960313589</v>
      </c>
      <c r="Z438" s="191">
        <f t="shared" si="656"/>
        <v>1.4923076923076923</v>
      </c>
      <c r="AA438" s="191">
        <f t="shared" si="656"/>
        <v>0.52784116841624829</v>
      </c>
      <c r="AB438" s="191">
        <f t="shared" si="656"/>
        <v>-1.6268477346472778</v>
      </c>
      <c r="AC438" s="191">
        <f t="shared" si="656"/>
        <v>0.30986547432098943</v>
      </c>
      <c r="AD438" s="191">
        <f t="shared" si="656"/>
        <v>4.4871794871794934E-2</v>
      </c>
      <c r="AE438" s="191">
        <f t="shared" si="656"/>
        <v>-1.4611650485436893</v>
      </c>
      <c r="AF438" s="191">
        <f t="shared" si="656"/>
        <v>-2.2580128205128203</v>
      </c>
      <c r="AG438" s="191">
        <f t="shared" si="656"/>
        <v>-0.26401120773185383</v>
      </c>
      <c r="AH438" s="191">
        <f t="shared" si="656"/>
        <v>0.6186850255459333</v>
      </c>
      <c r="AI438" s="191">
        <f t="shared" si="656"/>
        <v>-0.80869269949066214</v>
      </c>
      <c r="AJ438" s="191">
        <f t="shared" si="656"/>
        <v>4.6657980456026067</v>
      </c>
      <c r="AK438" s="191">
        <f t="shared" si="656"/>
        <v>0.15191152092830507</v>
      </c>
      <c r="AL438" s="191">
        <f t="shared" si="656"/>
        <v>-3.5527961295049537E-2</v>
      </c>
      <c r="AM438" s="191">
        <f t="shared" si="656"/>
        <v>1.3039762170196951</v>
      </c>
      <c r="AN438" s="191">
        <f t="shared" si="656"/>
        <v>-0.61862198521391343</v>
      </c>
      <c r="AO438" s="191">
        <f t="shared" si="656"/>
        <v>0.18706690135261561</v>
      </c>
      <c r="AP438" s="191">
        <f t="shared" si="656"/>
        <v>-0.22950785369528215</v>
      </c>
      <c r="AQ438" s="191">
        <f t="shared" si="656"/>
        <v>5.0926369863013701</v>
      </c>
      <c r="AR438" s="191">
        <f t="shared" si="656"/>
        <v>-5.1361025555647921E-2</v>
      </c>
      <c r="AS438" s="191">
        <f t="shared" si="656"/>
        <v>4.8049509769834131E-3</v>
      </c>
      <c r="AT438" s="191">
        <f t="shared" si="656"/>
        <v>-0.36623132575401673</v>
      </c>
      <c r="AU438" s="191">
        <f t="shared" si="656"/>
        <v>-2.3245325811985698</v>
      </c>
      <c r="AV438" s="191">
        <f t="shared" si="656"/>
        <v>0.69709036607991304</v>
      </c>
      <c r="AW438" s="191">
        <f t="shared" si="656"/>
        <v>0.41437418571862028</v>
      </c>
      <c r="AX438" s="191">
        <f t="shared" si="656"/>
        <v>0.17999785844308813</v>
      </c>
      <c r="AY438" s="191">
        <f t="shared" si="656"/>
        <v>-0.13634911944520489</v>
      </c>
      <c r="AZ438" s="191">
        <f t="shared" si="656"/>
        <v>1.4511368727598568</v>
      </c>
      <c r="BA438" s="191">
        <f t="shared" si="656"/>
        <v>-0.29438615651325661</v>
      </c>
      <c r="BB438" s="191">
        <f t="shared" si="656"/>
        <v>0.65583048530416943</v>
      </c>
      <c r="BC438" s="191">
        <f>+IFERROR(BC437/AY437-1,"")</f>
        <v>-1.7202317936145315</v>
      </c>
      <c r="BD438" s="191">
        <f t="shared" ref="BD438:BF438" si="657">+IFERROR(BD437/AZ437-1,"")</f>
        <v>-0.68387174541947926</v>
      </c>
      <c r="BE438" s="191">
        <f t="shared" si="657"/>
        <v>0.16531681376770946</v>
      </c>
      <c r="BF438" s="191">
        <f t="shared" si="657"/>
        <v>-9.3328141225337391E-2</v>
      </c>
      <c r="BG438" s="191">
        <f>+IFERROR(BG437/BC437-1,"")</f>
        <v>-1.5000811161583387</v>
      </c>
      <c r="BH438" s="191" t="str">
        <f t="shared" ref="BH438" si="658">+IFERROR(BH437/BD437-1,"")</f>
        <v/>
      </c>
      <c r="BI438" s="191">
        <f>+IFERROR(BI437/BE437-1,"")</f>
        <v>-5.3677716598467318E-2</v>
      </c>
      <c r="BJ438" s="191">
        <f t="shared" ref="BJ438:BL438" si="659">+IFERROR(BJ437/BF437-1,"")</f>
        <v>-0.27597232347604195</v>
      </c>
      <c r="BK438" s="191">
        <f t="shared" si="659"/>
        <v>-0.49135864495713766</v>
      </c>
      <c r="BL438" s="191" t="str">
        <f t="shared" si="659"/>
        <v/>
      </c>
      <c r="BM438" s="191">
        <f>+IFERROR(BM437/BI437-1,"")</f>
        <v>-0.15583638285215551</v>
      </c>
      <c r="BN438" s="191">
        <f t="shared" ref="BN438:BV438" si="660">+IFERROR(BN437/BJ437-1,"")</f>
        <v>-0.40119507963955614</v>
      </c>
      <c r="BO438" s="191">
        <f t="shared" si="660"/>
        <v>-4.5713168723996365</v>
      </c>
      <c r="BP438" s="191">
        <f t="shared" si="660"/>
        <v>4.7982523066786076E-2</v>
      </c>
      <c r="BQ438" s="191">
        <f t="shared" si="660"/>
        <v>-0.10203210007482577</v>
      </c>
      <c r="BR438" s="191">
        <f t="shared" si="660"/>
        <v>7.9058632734014367E-2</v>
      </c>
      <c r="BS438" s="191">
        <f t="shared" si="660"/>
        <v>-0.15243180417170388</v>
      </c>
      <c r="BT438" s="191">
        <f t="shared" si="660"/>
        <v>-6.9080803108884092E-3</v>
      </c>
      <c r="BU438" s="191">
        <f t="shared" si="660"/>
        <v>-6.6996319246614977E-4</v>
      </c>
      <c r="BV438" s="191">
        <f t="shared" si="660"/>
        <v>-0.13382524925227801</v>
      </c>
      <c r="BW438" s="191">
        <f t="shared" ref="BW438:CD438" si="661">+IFERROR(BW437/BO437-1,"")</f>
        <v>-0.14860020292774478</v>
      </c>
      <c r="BX438" s="191">
        <f t="shared" si="661"/>
        <v>4.7475831868556195E-2</v>
      </c>
      <c r="BY438" s="191">
        <f t="shared" si="661"/>
        <v>4.5837608396875451E-2</v>
      </c>
      <c r="BZ438" s="191">
        <f t="shared" si="661"/>
        <v>-5.1278223367307141E-2</v>
      </c>
      <c r="CA438" s="191">
        <f t="shared" si="661"/>
        <v>0.2605819885596603</v>
      </c>
      <c r="CB438" s="191">
        <f t="shared" si="661"/>
        <v>0.19847338986213026</v>
      </c>
      <c r="CC438" s="191">
        <f t="shared" si="661"/>
        <v>0.19018057412515588</v>
      </c>
      <c r="CD438" s="191">
        <f t="shared" si="661"/>
        <v>0.49197011564859339</v>
      </c>
      <c r="CG438" s="191"/>
      <c r="CH438" s="191"/>
      <c r="CI438" s="191" t="str">
        <f>+IFERROR(CI437/CH437-1,"")</f>
        <v/>
      </c>
      <c r="CJ438" s="191" t="str">
        <f>+IFERROR(CJ437/CI437-1,"")</f>
        <v/>
      </c>
      <c r="CK438" s="191">
        <f t="shared" ref="CK438:CP438" si="662">+IFERROR(CK437/CJ437-1,"")</f>
        <v>0.13910432171301723</v>
      </c>
      <c r="CL438" s="191">
        <f t="shared" si="662"/>
        <v>0.29727729750046983</v>
      </c>
      <c r="CM438" s="191">
        <f t="shared" si="662"/>
        <v>0.12930060621202788</v>
      </c>
      <c r="CN438" s="191">
        <f t="shared" si="662"/>
        <v>-0.13074887913689581</v>
      </c>
      <c r="CO438" s="191">
        <f t="shared" si="662"/>
        <v>0.18485874836425231</v>
      </c>
      <c r="CP438" s="191">
        <f t="shared" si="662"/>
        <v>6.2210142794534073E-2</v>
      </c>
      <c r="CQ438" s="191">
        <f>+IFERROR(CQ437/CP437-1,"")</f>
        <v>-0.12233884297520647</v>
      </c>
      <c r="CR438" s="191">
        <f>+IFERROR(CR437/CQ437-1,"")</f>
        <v>-0.30926216640502358</v>
      </c>
      <c r="CS438" s="191">
        <f t="shared" ref="CS438:CX438" si="663">+IFERROR(CS437/CR437-1,"")</f>
        <v>0.97313707451701914</v>
      </c>
      <c r="CT438" s="192" t="str">
        <f t="shared" si="663"/>
        <v/>
      </c>
      <c r="CU438" s="192" t="str">
        <f t="shared" si="663"/>
        <v/>
      </c>
      <c r="CV438" s="192">
        <f t="shared" si="663"/>
        <v>0.11469809597747949</v>
      </c>
      <c r="CW438" s="192">
        <f t="shared" si="663"/>
        <v>-3.3527014593600191E-2</v>
      </c>
      <c r="CX438" s="192">
        <f t="shared" si="663"/>
        <v>5.0134499357620266E-2</v>
      </c>
    </row>
    <row r="439" spans="1:102" x14ac:dyDescent="0.25">
      <c r="CT439" s="60"/>
      <c r="CU439" s="60"/>
      <c r="CV439" s="60"/>
      <c r="CW439" s="60"/>
      <c r="CX439" s="60"/>
    </row>
    <row r="440" spans="1:102" x14ac:dyDescent="0.25">
      <c r="CT440" s="60"/>
      <c r="CU440" s="60"/>
      <c r="CV440" s="60"/>
      <c r="CW440" s="60"/>
      <c r="CX440" s="60"/>
    </row>
    <row r="441" spans="1:102" ht="15" customHeight="1" x14ac:dyDescent="0.25">
      <c r="A441" s="1" t="s">
        <v>18</v>
      </c>
      <c r="B441" s="195" t="s">
        <v>296</v>
      </c>
      <c r="C441" s="196"/>
      <c r="D441" s="196"/>
      <c r="E441" s="196"/>
      <c r="F441" s="196"/>
      <c r="G441" s="196"/>
      <c r="H441" s="196"/>
      <c r="I441" s="196"/>
      <c r="J441" s="196"/>
      <c r="K441" s="196"/>
      <c r="L441" s="196"/>
      <c r="M441" s="196"/>
      <c r="N441" s="196"/>
      <c r="O441" s="196"/>
      <c r="P441" s="196"/>
      <c r="Q441" s="196"/>
      <c r="R441" s="196"/>
      <c r="S441" s="197"/>
      <c r="T441" s="197"/>
      <c r="U441" s="197"/>
      <c r="V441" s="197"/>
      <c r="W441" s="197"/>
      <c r="X441" s="197"/>
      <c r="Y441" s="197"/>
      <c r="Z441" s="197"/>
      <c r="AA441" s="197"/>
      <c r="AB441" s="197"/>
      <c r="AC441" s="197"/>
      <c r="AD441" s="197"/>
      <c r="AE441" s="197"/>
      <c r="AF441" s="197"/>
      <c r="AG441" s="197"/>
      <c r="AH441" s="197"/>
      <c r="AI441" s="197"/>
      <c r="AJ441" s="197"/>
      <c r="AK441" s="197"/>
      <c r="AL441" s="197"/>
      <c r="AM441" s="197"/>
      <c r="AN441" s="197"/>
      <c r="AO441" s="197"/>
      <c r="AP441" s="197"/>
      <c r="AQ441" s="197"/>
      <c r="AR441" s="197"/>
      <c r="AS441" s="197"/>
      <c r="AT441" s="197"/>
      <c r="AU441" s="197"/>
      <c r="AV441" s="197"/>
      <c r="AW441" s="197"/>
      <c r="AX441" s="197"/>
      <c r="AY441" s="197"/>
      <c r="AZ441" s="197"/>
      <c r="BA441" s="197"/>
      <c r="BB441" s="197"/>
      <c r="BC441" s="197"/>
      <c r="BD441" s="197"/>
      <c r="BE441" s="197"/>
      <c r="BF441" s="197"/>
      <c r="BG441" s="197" t="s">
        <v>297</v>
      </c>
      <c r="BH441" s="197"/>
      <c r="BI441" s="197"/>
      <c r="BJ441" s="197"/>
      <c r="BK441" s="197"/>
      <c r="BL441" s="197"/>
      <c r="BM441" s="197"/>
      <c r="BN441" s="197"/>
      <c r="BO441" s="197"/>
      <c r="BP441" s="197"/>
      <c r="BQ441" s="197"/>
      <c r="BR441" s="197"/>
      <c r="BS441" s="197"/>
      <c r="BT441" s="197"/>
      <c r="BU441" s="197"/>
      <c r="BV441" s="197"/>
      <c r="BW441" s="197"/>
      <c r="BX441" s="197"/>
      <c r="BY441" s="197"/>
      <c r="BZ441" s="197"/>
      <c r="CA441" s="197"/>
      <c r="CB441" s="197"/>
      <c r="CC441" s="197"/>
      <c r="CD441" s="197"/>
      <c r="CF441" s="197"/>
      <c r="CG441" s="197"/>
      <c r="CH441" s="195"/>
      <c r="CI441" s="20"/>
      <c r="CJ441" s="20"/>
      <c r="CK441" s="20"/>
      <c r="CL441" s="20"/>
      <c r="CM441" s="20"/>
      <c r="CN441" s="20"/>
      <c r="CO441" s="196" t="str">
        <f>+B441</f>
        <v>SHARE CAPITAL</v>
      </c>
      <c r="CP441" s="20"/>
      <c r="CQ441" s="20"/>
      <c r="CR441" s="20"/>
      <c r="CS441" s="20"/>
      <c r="CT441" s="198"/>
      <c r="CU441" s="198"/>
      <c r="CV441" s="198"/>
      <c r="CW441" s="198"/>
      <c r="CX441" s="198"/>
    </row>
    <row r="442" spans="1:102" x14ac:dyDescent="0.25">
      <c r="B442" s="37" t="s">
        <v>298</v>
      </c>
      <c r="C442" s="37"/>
      <c r="D442" s="37"/>
      <c r="E442" s="37"/>
      <c r="F442" s="37"/>
      <c r="G442" s="37"/>
      <c r="H442" s="37"/>
      <c r="I442" s="37"/>
      <c r="J442" s="37"/>
      <c r="K442" s="37"/>
      <c r="L442" s="37"/>
      <c r="M442" s="37"/>
      <c r="N442" s="37"/>
      <c r="O442" s="37"/>
      <c r="P442" s="37"/>
      <c r="Q442" s="37"/>
      <c r="R442" s="37"/>
      <c r="BG442" s="73">
        <v>375</v>
      </c>
      <c r="BH442" s="73">
        <v>375</v>
      </c>
      <c r="BI442" s="73">
        <v>375</v>
      </c>
      <c r="BJ442" s="73">
        <v>375</v>
      </c>
      <c r="BK442" s="73">
        <v>375</v>
      </c>
      <c r="BL442" s="73">
        <f t="shared" ref="BL442:CD443" si="664">+BK442</f>
        <v>375</v>
      </c>
      <c r="BM442" s="73">
        <f t="shared" si="664"/>
        <v>375</v>
      </c>
      <c r="BN442" s="73">
        <f t="shared" si="664"/>
        <v>375</v>
      </c>
      <c r="BO442" s="73">
        <f t="shared" si="664"/>
        <v>375</v>
      </c>
      <c r="BP442" s="73">
        <f t="shared" si="664"/>
        <v>375</v>
      </c>
      <c r="BQ442" s="73">
        <f t="shared" si="664"/>
        <v>375</v>
      </c>
      <c r="BR442" s="73">
        <f t="shared" si="664"/>
        <v>375</v>
      </c>
      <c r="BS442" s="73">
        <f t="shared" si="664"/>
        <v>375</v>
      </c>
      <c r="BT442" s="73">
        <f t="shared" si="664"/>
        <v>375</v>
      </c>
      <c r="BU442" s="73">
        <f t="shared" si="664"/>
        <v>375</v>
      </c>
      <c r="BV442" s="73">
        <f t="shared" si="664"/>
        <v>375</v>
      </c>
      <c r="BW442" s="73">
        <f t="shared" si="664"/>
        <v>375</v>
      </c>
      <c r="BX442" s="73">
        <f t="shared" si="664"/>
        <v>375</v>
      </c>
      <c r="BY442" s="73">
        <f t="shared" si="664"/>
        <v>375</v>
      </c>
      <c r="BZ442" s="73">
        <f t="shared" si="664"/>
        <v>375</v>
      </c>
      <c r="CA442" s="73">
        <f t="shared" si="664"/>
        <v>375</v>
      </c>
      <c r="CB442" s="73">
        <f t="shared" si="664"/>
        <v>375</v>
      </c>
      <c r="CC442" s="73">
        <f t="shared" si="664"/>
        <v>375</v>
      </c>
      <c r="CD442" s="73">
        <f t="shared" si="664"/>
        <v>375</v>
      </c>
      <c r="CI442" s="29">
        <f t="shared" ref="CI442:CP442" si="665">+SUMIFS($S442:$CD442,$S$5:$CD$5,"&lt;="&amp;CI$5,$S$5:$CD$5,"&gt;"&amp;CH$5)</f>
        <v>0</v>
      </c>
      <c r="CJ442" s="29">
        <f t="shared" si="665"/>
        <v>0</v>
      </c>
      <c r="CK442" s="29">
        <f t="shared" si="665"/>
        <v>0</v>
      </c>
      <c r="CL442" s="29">
        <f t="shared" si="665"/>
        <v>0</v>
      </c>
      <c r="CM442" s="29">
        <f t="shared" si="665"/>
        <v>0</v>
      </c>
      <c r="CN442" s="29">
        <f t="shared" si="665"/>
        <v>0</v>
      </c>
      <c r="CO442" s="29">
        <f t="shared" si="665"/>
        <v>0</v>
      </c>
      <c r="CP442" s="29">
        <f t="shared" si="665"/>
        <v>0</v>
      </c>
      <c r="CQ442" s="29">
        <f>+SUMIFS($S442:$CD442,$S$5:$CD$5,"&lt;="&amp;CQ$5,$S$5:$CD$5,"&gt;"&amp;CP$5)</f>
        <v>0</v>
      </c>
      <c r="CR442" s="29">
        <f t="shared" ref="CR442:CX442" si="666">+SUMIFS($S442:$CD442,$S$5:$CD$5,"&lt;="&amp;CR$5,$S$5:$CD$5,"&gt;"&amp;CQ$5)</f>
        <v>0</v>
      </c>
      <c r="CS442" s="29">
        <f t="shared" si="666"/>
        <v>0</v>
      </c>
      <c r="CT442" s="29">
        <f t="shared" si="666"/>
        <v>1500</v>
      </c>
      <c r="CU442" s="29">
        <f t="shared" si="666"/>
        <v>1500</v>
      </c>
      <c r="CV442" s="29">
        <f t="shared" si="666"/>
        <v>1500</v>
      </c>
      <c r="CW442" s="29">
        <f t="shared" si="666"/>
        <v>1500</v>
      </c>
      <c r="CX442" s="29">
        <f t="shared" si="666"/>
        <v>1500</v>
      </c>
    </row>
    <row r="443" spans="1:102" x14ac:dyDescent="0.25">
      <c r="B443" s="37" t="s">
        <v>299</v>
      </c>
      <c r="C443" s="37"/>
      <c r="D443" s="37"/>
      <c r="E443" s="37"/>
      <c r="F443" s="37"/>
      <c r="G443" s="37"/>
      <c r="H443" s="37"/>
      <c r="I443" s="37"/>
      <c r="J443" s="37"/>
      <c r="K443" s="37"/>
      <c r="L443" s="37"/>
      <c r="M443" s="37"/>
      <c r="N443" s="37"/>
      <c r="O443" s="37"/>
      <c r="P443" s="37"/>
      <c r="Q443" s="37"/>
      <c r="R443" s="37"/>
      <c r="BG443" s="199">
        <v>115</v>
      </c>
      <c r="BH443" s="199">
        <f>+BG443</f>
        <v>115</v>
      </c>
      <c r="BI443" s="199">
        <f>+BH443</f>
        <v>115</v>
      </c>
      <c r="BJ443" s="199">
        <f>+BI443</f>
        <v>115</v>
      </c>
      <c r="BK443" s="199">
        <f t="shared" ref="BK443:BV443" si="667">+BJ443</f>
        <v>115</v>
      </c>
      <c r="BL443" s="199">
        <f t="shared" si="667"/>
        <v>115</v>
      </c>
      <c r="BM443" s="199">
        <f t="shared" si="667"/>
        <v>115</v>
      </c>
      <c r="BN443" s="199">
        <f t="shared" si="667"/>
        <v>115</v>
      </c>
      <c r="BO443" s="199">
        <f t="shared" si="667"/>
        <v>115</v>
      </c>
      <c r="BP443" s="199">
        <f t="shared" si="667"/>
        <v>115</v>
      </c>
      <c r="BQ443" s="199">
        <f t="shared" si="667"/>
        <v>115</v>
      </c>
      <c r="BR443" s="199">
        <f t="shared" si="667"/>
        <v>115</v>
      </c>
      <c r="BS443" s="199">
        <f t="shared" si="667"/>
        <v>115</v>
      </c>
      <c r="BT443" s="199">
        <f t="shared" si="667"/>
        <v>115</v>
      </c>
      <c r="BU443" s="199">
        <f t="shared" si="667"/>
        <v>115</v>
      </c>
      <c r="BV443" s="199">
        <f t="shared" si="667"/>
        <v>115</v>
      </c>
      <c r="BW443" s="199">
        <f>+BR443</f>
        <v>115</v>
      </c>
      <c r="BX443" s="199">
        <f t="shared" si="664"/>
        <v>115</v>
      </c>
      <c r="BY443" s="199">
        <f t="shared" si="664"/>
        <v>115</v>
      </c>
      <c r="BZ443" s="199">
        <f t="shared" si="664"/>
        <v>115</v>
      </c>
      <c r="CA443" s="199">
        <f>+BV443</f>
        <v>115</v>
      </c>
      <c r="CB443" s="199">
        <f t="shared" si="664"/>
        <v>115</v>
      </c>
      <c r="CC443" s="199">
        <f t="shared" si="664"/>
        <v>115</v>
      </c>
      <c r="CD443" s="199">
        <f t="shared" si="664"/>
        <v>115</v>
      </c>
      <c r="CO443" s="29">
        <f>+IFERROR(CO442/CO444,0)</f>
        <v>0</v>
      </c>
      <c r="CP443" s="29">
        <f t="shared" ref="CP443:CX443" si="668">+IFERROR(CP442/CP444,0)</f>
        <v>0</v>
      </c>
      <c r="CQ443" s="29">
        <f t="shared" si="668"/>
        <v>0</v>
      </c>
      <c r="CR443" s="29">
        <f t="shared" si="668"/>
        <v>0</v>
      </c>
      <c r="CS443" s="29">
        <f t="shared" si="668"/>
        <v>0</v>
      </c>
      <c r="CT443" s="29">
        <f t="shared" si="668"/>
        <v>115</v>
      </c>
      <c r="CU443" s="29">
        <f t="shared" si="668"/>
        <v>115</v>
      </c>
      <c r="CV443" s="29">
        <f t="shared" si="668"/>
        <v>115</v>
      </c>
      <c r="CW443" s="29">
        <f t="shared" si="668"/>
        <v>115</v>
      </c>
      <c r="CX443" s="29">
        <f t="shared" si="668"/>
        <v>115</v>
      </c>
    </row>
    <row r="444" spans="1:102" x14ac:dyDescent="0.25">
      <c r="B444" t="s">
        <v>300</v>
      </c>
      <c r="BG444" s="86">
        <f t="shared" ref="BG444:CD444" si="669">+BG442/BG443</f>
        <v>3.2608695652173911</v>
      </c>
      <c r="BH444" s="86">
        <f t="shared" si="669"/>
        <v>3.2608695652173911</v>
      </c>
      <c r="BI444" s="86">
        <f t="shared" si="669"/>
        <v>3.2608695652173911</v>
      </c>
      <c r="BJ444" s="86">
        <f t="shared" si="669"/>
        <v>3.2608695652173911</v>
      </c>
      <c r="BK444" s="86">
        <f t="shared" si="669"/>
        <v>3.2608695652173911</v>
      </c>
      <c r="BL444" s="86">
        <f t="shared" si="669"/>
        <v>3.2608695652173911</v>
      </c>
      <c r="BM444" s="86">
        <f t="shared" si="669"/>
        <v>3.2608695652173911</v>
      </c>
      <c r="BN444" s="86">
        <f t="shared" si="669"/>
        <v>3.2608695652173911</v>
      </c>
      <c r="BO444" s="86">
        <f t="shared" si="669"/>
        <v>3.2608695652173911</v>
      </c>
      <c r="BP444" s="86">
        <f t="shared" si="669"/>
        <v>3.2608695652173911</v>
      </c>
      <c r="BQ444" s="86">
        <f t="shared" si="669"/>
        <v>3.2608695652173911</v>
      </c>
      <c r="BR444" s="86">
        <f t="shared" si="669"/>
        <v>3.2608695652173911</v>
      </c>
      <c r="BS444" s="86">
        <f t="shared" si="669"/>
        <v>3.2608695652173911</v>
      </c>
      <c r="BT444" s="86">
        <f t="shared" si="669"/>
        <v>3.2608695652173911</v>
      </c>
      <c r="BU444" s="86">
        <f t="shared" si="669"/>
        <v>3.2608695652173911</v>
      </c>
      <c r="BV444" s="86">
        <f t="shared" si="669"/>
        <v>3.2608695652173911</v>
      </c>
      <c r="BW444" s="86">
        <f t="shared" si="669"/>
        <v>3.2608695652173911</v>
      </c>
      <c r="BX444" s="86">
        <f t="shared" si="669"/>
        <v>3.2608695652173911</v>
      </c>
      <c r="BY444" s="86">
        <f t="shared" si="669"/>
        <v>3.2608695652173911</v>
      </c>
      <c r="BZ444" s="86">
        <f t="shared" si="669"/>
        <v>3.2608695652173911</v>
      </c>
      <c r="CA444" s="86">
        <f t="shared" si="669"/>
        <v>3.2608695652173911</v>
      </c>
      <c r="CB444" s="86">
        <f t="shared" si="669"/>
        <v>3.2608695652173911</v>
      </c>
      <c r="CC444" s="86">
        <f t="shared" si="669"/>
        <v>3.2608695652173911</v>
      </c>
      <c r="CD444" s="86">
        <f t="shared" si="669"/>
        <v>3.2608695652173911</v>
      </c>
      <c r="CI444" s="29">
        <f t="shared" ref="CI444:CP445" si="670">+SUMIFS($S444:$CD444,$S$5:$CD$5,"&lt;="&amp;CI$5,$S$5:$CD$5,"&gt;"&amp;CH$5)</f>
        <v>0</v>
      </c>
      <c r="CJ444" s="29">
        <f t="shared" si="670"/>
        <v>0</v>
      </c>
      <c r="CK444" s="29">
        <f t="shared" si="670"/>
        <v>0</v>
      </c>
      <c r="CL444" s="29">
        <f t="shared" si="670"/>
        <v>0</v>
      </c>
      <c r="CM444" s="29">
        <f t="shared" si="670"/>
        <v>0</v>
      </c>
      <c r="CN444" s="29">
        <f t="shared" si="670"/>
        <v>0</v>
      </c>
      <c r="CO444" s="29">
        <f t="shared" si="670"/>
        <v>0</v>
      </c>
      <c r="CP444" s="29">
        <f t="shared" si="670"/>
        <v>0</v>
      </c>
      <c r="CQ444" s="29">
        <f>+SUMIFS($S444:$CD444,$S$5:$CD$5,"&lt;="&amp;CQ$5,$S$5:$CD$5,"&gt;"&amp;CP$5)</f>
        <v>0</v>
      </c>
      <c r="CR444" s="29">
        <f t="shared" ref="CR444:CX445" si="671">+SUMIFS($S444:$CD444,$S$5:$CD$5,"&lt;="&amp;CR$5,$S$5:$CD$5,"&gt;"&amp;CQ$5)</f>
        <v>0</v>
      </c>
      <c r="CS444" s="29">
        <f t="shared" si="671"/>
        <v>0</v>
      </c>
      <c r="CT444" s="29">
        <f t="shared" si="671"/>
        <v>13.043478260869565</v>
      </c>
      <c r="CU444" s="29">
        <f t="shared" si="671"/>
        <v>13.043478260869565</v>
      </c>
      <c r="CV444" s="29">
        <f t="shared" si="671"/>
        <v>13.043478260869565</v>
      </c>
      <c r="CW444" s="29">
        <f t="shared" si="671"/>
        <v>13.043478260869565</v>
      </c>
      <c r="CX444" s="29">
        <f t="shared" si="671"/>
        <v>13.043478260869565</v>
      </c>
    </row>
    <row r="445" spans="1:102" x14ac:dyDescent="0.25">
      <c r="B445" s="37" t="s">
        <v>284</v>
      </c>
      <c r="C445" s="37"/>
      <c r="D445" s="37"/>
      <c r="E445" s="37"/>
      <c r="F445" s="37"/>
      <c r="G445" s="37"/>
      <c r="H445" s="37"/>
      <c r="I445" s="37"/>
      <c r="J445" s="37"/>
      <c r="K445" s="37"/>
      <c r="L445" s="37"/>
      <c r="M445" s="37"/>
      <c r="N445" s="37"/>
      <c r="O445" s="37"/>
      <c r="P445" s="37"/>
      <c r="Q445" s="37"/>
      <c r="R445" s="37"/>
      <c r="AU445" s="87">
        <f t="shared" ref="AU445:CD445" si="672">+AU414</f>
        <v>125</v>
      </c>
      <c r="AV445" s="87">
        <f t="shared" si="672"/>
        <v>149</v>
      </c>
      <c r="AW445" s="87">
        <f t="shared" si="672"/>
        <v>129</v>
      </c>
      <c r="AX445" s="87">
        <f t="shared" si="672"/>
        <v>125</v>
      </c>
      <c r="AY445" s="87">
        <f t="shared" si="672"/>
        <v>125</v>
      </c>
      <c r="AZ445" s="87">
        <f t="shared" si="672"/>
        <v>140</v>
      </c>
      <c r="BA445" s="87">
        <f t="shared" si="672"/>
        <v>141</v>
      </c>
      <c r="BB445" s="87">
        <f t="shared" si="672"/>
        <v>142</v>
      </c>
      <c r="BC445" s="87">
        <f t="shared" si="672"/>
        <v>130</v>
      </c>
      <c r="BD445" s="87">
        <f t="shared" si="672"/>
        <v>155</v>
      </c>
      <c r="BE445" s="87">
        <f t="shared" si="672"/>
        <v>151</v>
      </c>
      <c r="BF445" s="87">
        <f t="shared" si="672"/>
        <v>148</v>
      </c>
      <c r="BG445" s="87">
        <f t="shared" si="672"/>
        <v>143</v>
      </c>
      <c r="BH445" s="87">
        <f t="shared" si="672"/>
        <v>162.75</v>
      </c>
      <c r="BI445" s="86">
        <f t="shared" si="672"/>
        <v>158.55000000000001</v>
      </c>
      <c r="BJ445" s="86">
        <f t="shared" si="672"/>
        <v>155.4</v>
      </c>
      <c r="BK445" s="86">
        <f t="shared" si="672"/>
        <v>150.15</v>
      </c>
      <c r="BL445" s="86">
        <f t="shared" si="672"/>
        <v>170.88750000000002</v>
      </c>
      <c r="BM445" s="86">
        <f t="shared" si="672"/>
        <v>166.47750000000002</v>
      </c>
      <c r="BN445" s="86">
        <f t="shared" si="672"/>
        <v>163.17000000000002</v>
      </c>
      <c r="BO445" s="86">
        <f t="shared" si="672"/>
        <v>157.6575</v>
      </c>
      <c r="BP445" s="86">
        <f t="shared" si="672"/>
        <v>179.43187500000002</v>
      </c>
      <c r="BQ445" s="86">
        <f t="shared" si="672"/>
        <v>174.80137500000004</v>
      </c>
      <c r="BR445" s="86">
        <f t="shared" si="672"/>
        <v>171.32850000000002</v>
      </c>
      <c r="BS445" s="86">
        <f t="shared" si="672"/>
        <v>165.54037500000001</v>
      </c>
      <c r="BT445" s="86">
        <f t="shared" si="672"/>
        <v>188.40346875000003</v>
      </c>
      <c r="BU445" s="86">
        <f t="shared" si="672"/>
        <v>183.54144375000004</v>
      </c>
      <c r="BV445" s="86">
        <f t="shared" si="672"/>
        <v>179.89492500000003</v>
      </c>
      <c r="BW445" s="86">
        <f t="shared" si="672"/>
        <v>173.81739375000001</v>
      </c>
      <c r="BX445" s="86">
        <f t="shared" si="672"/>
        <v>197.82364218750004</v>
      </c>
      <c r="BY445" s="86">
        <f t="shared" si="672"/>
        <v>192.71851593750006</v>
      </c>
      <c r="BZ445" s="86">
        <f t="shared" si="672"/>
        <v>188.88967125000005</v>
      </c>
      <c r="CA445" s="86">
        <f t="shared" si="672"/>
        <v>182.50826343750001</v>
      </c>
      <c r="CB445" s="86">
        <f t="shared" si="672"/>
        <v>207.71482429687507</v>
      </c>
      <c r="CC445" s="86">
        <f t="shared" si="672"/>
        <v>202.35444173437506</v>
      </c>
      <c r="CD445" s="86">
        <f t="shared" si="672"/>
        <v>198.33415481250006</v>
      </c>
      <c r="CI445" s="29">
        <f t="shared" si="670"/>
        <v>0</v>
      </c>
      <c r="CJ445" s="29">
        <f t="shared" si="670"/>
        <v>0</v>
      </c>
      <c r="CK445" s="29">
        <f t="shared" si="670"/>
        <v>0</v>
      </c>
      <c r="CL445" s="29">
        <f t="shared" si="670"/>
        <v>0</v>
      </c>
      <c r="CM445" s="29">
        <f t="shared" si="670"/>
        <v>0</v>
      </c>
      <c r="CN445" s="29">
        <f t="shared" si="670"/>
        <v>0</v>
      </c>
      <c r="CO445" s="29">
        <f t="shared" si="670"/>
        <v>0</v>
      </c>
      <c r="CP445" s="29">
        <f t="shared" si="670"/>
        <v>0</v>
      </c>
      <c r="CQ445" s="29">
        <f>+SUMIFS($S445:$CD445,$S$5:$CD$5,"&lt;="&amp;CQ$5,$S$5:$CD$5,"&gt;"&amp;CP$5)</f>
        <v>528</v>
      </c>
      <c r="CR445" s="29">
        <f t="shared" si="671"/>
        <v>548</v>
      </c>
      <c r="CS445" s="29">
        <f t="shared" si="671"/>
        <v>584</v>
      </c>
      <c r="CT445" s="29">
        <f t="shared" si="671"/>
        <v>619.70000000000005</v>
      </c>
      <c r="CU445" s="29">
        <f t="shared" si="671"/>
        <v>650.68500000000006</v>
      </c>
      <c r="CV445" s="29">
        <f t="shared" si="671"/>
        <v>683.2192500000001</v>
      </c>
      <c r="CW445" s="29">
        <f t="shared" si="671"/>
        <v>717.3802125000002</v>
      </c>
      <c r="CX445" s="29">
        <f t="shared" si="671"/>
        <v>753.24922312500007</v>
      </c>
    </row>
    <row r="447" spans="1:102" x14ac:dyDescent="0.25">
      <c r="B447" t="s">
        <v>301</v>
      </c>
      <c r="BG447" s="2">
        <f t="shared" ref="BG447:BH447" si="673">+BF450</f>
        <v>270</v>
      </c>
      <c r="BH447" s="2">
        <f t="shared" si="673"/>
        <v>268</v>
      </c>
      <c r="BI447" s="2">
        <f>+BH450</f>
        <v>266</v>
      </c>
      <c r="BJ447" s="2">
        <f>+BI450</f>
        <v>264.11782608695654</v>
      </c>
      <c r="BK447" s="2">
        <f t="shared" ref="BK447:BV447" si="674">+BJ450</f>
        <v>262.20826086956527</v>
      </c>
      <c r="BL447" s="2">
        <f t="shared" si="674"/>
        <v>260.25304347826091</v>
      </c>
      <c r="BM447" s="2">
        <f t="shared" si="674"/>
        <v>258.47815217391309</v>
      </c>
      <c r="BN447" s="2">
        <f t="shared" si="674"/>
        <v>256.66491304347829</v>
      </c>
      <c r="BO447" s="2">
        <f t="shared" si="674"/>
        <v>254.82291304347828</v>
      </c>
      <c r="BP447" s="2">
        <f t="shared" si="674"/>
        <v>252.93297826086959</v>
      </c>
      <c r="BQ447" s="2">
        <f t="shared" si="674"/>
        <v>251.23238586956523</v>
      </c>
      <c r="BR447" s="2">
        <f t="shared" si="674"/>
        <v>249.49152826086956</v>
      </c>
      <c r="BS447" s="2">
        <f t="shared" si="674"/>
        <v>247.7204717391304</v>
      </c>
      <c r="BT447" s="2">
        <f t="shared" si="674"/>
        <v>245.89908369565214</v>
      </c>
      <c r="BU447" s="2">
        <f t="shared" si="674"/>
        <v>244.27650516304342</v>
      </c>
      <c r="BV447" s="2">
        <f t="shared" si="674"/>
        <v>242.61164815217384</v>
      </c>
      <c r="BW447" s="2">
        <f t="shared" ref="BW447" si="675">+BR450</f>
        <v>247.7204717391304</v>
      </c>
      <c r="BX447" s="2">
        <f t="shared" ref="BX447:BZ447" si="676">+BW450</f>
        <v>245.97105777173908</v>
      </c>
      <c r="BY447" s="2">
        <f t="shared" si="676"/>
        <v>244.4303937907608</v>
      </c>
      <c r="BZ447" s="2">
        <f t="shared" si="676"/>
        <v>242.84533740760861</v>
      </c>
      <c r="CA447" s="2">
        <f t="shared" ref="CA447" si="677">+BV450</f>
        <v>240.91508228260861</v>
      </c>
      <c r="CB447" s="2">
        <f t="shared" ref="CB447:CD447" si="678">+CA450</f>
        <v>239.24124109510859</v>
      </c>
      <c r="CC447" s="2">
        <f t="shared" si="678"/>
        <v>237.78658739334227</v>
      </c>
      <c r="CD447" s="2">
        <f t="shared" si="678"/>
        <v>236.28532166929335</v>
      </c>
      <c r="CI447" s="97">
        <f t="shared" ref="CI447:CP447" si="679">+CH450</f>
        <v>0</v>
      </c>
      <c r="CJ447" s="97">
        <f t="shared" si="679"/>
        <v>0</v>
      </c>
      <c r="CK447" s="97">
        <f t="shared" si="679"/>
        <v>0</v>
      </c>
      <c r="CL447" s="97">
        <f t="shared" si="679"/>
        <v>0</v>
      </c>
      <c r="CM447" s="97">
        <f t="shared" si="679"/>
        <v>0</v>
      </c>
      <c r="CN447" s="97">
        <f t="shared" si="679"/>
        <v>0</v>
      </c>
      <c r="CO447" s="97">
        <f t="shared" si="679"/>
        <v>0</v>
      </c>
      <c r="CP447" s="97">
        <f t="shared" si="679"/>
        <v>0</v>
      </c>
      <c r="CQ447" s="97">
        <f>+CP450</f>
        <v>0</v>
      </c>
      <c r="CR447" s="97">
        <f>+CQ450</f>
        <v>0</v>
      </c>
      <c r="CS447" s="97">
        <f>+CR450</f>
        <v>0</v>
      </c>
      <c r="CT447" s="97">
        <f t="shared" ref="CT447:CX447" si="680">+CS450</f>
        <v>270</v>
      </c>
      <c r="CU447" s="97">
        <f t="shared" si="680"/>
        <v>262.20826086956527</v>
      </c>
      <c r="CV447" s="97">
        <f t="shared" si="680"/>
        <v>254.82291304347828</v>
      </c>
      <c r="CW447" s="97">
        <f t="shared" si="680"/>
        <v>247.7204717391304</v>
      </c>
      <c r="CX447" s="97">
        <f t="shared" si="680"/>
        <v>240.91508228260861</v>
      </c>
    </row>
    <row r="448" spans="1:102" x14ac:dyDescent="0.25">
      <c r="B448" s="37" t="s">
        <v>284</v>
      </c>
      <c r="C448" s="37"/>
      <c r="D448" s="37"/>
      <c r="E448" s="37"/>
      <c r="F448" s="37"/>
      <c r="G448" s="37"/>
      <c r="H448" s="37"/>
      <c r="I448" s="37"/>
      <c r="J448" s="37"/>
      <c r="K448" s="37"/>
      <c r="L448" s="37"/>
      <c r="M448" s="37"/>
      <c r="N448" s="37"/>
      <c r="O448" s="37"/>
      <c r="P448" s="37"/>
      <c r="Q448" s="37"/>
      <c r="R448" s="37"/>
      <c r="BG448" s="84">
        <f>+BG445/BG443</f>
        <v>1.2434782608695651</v>
      </c>
      <c r="BH448" s="84">
        <f>+BH445/BH443</f>
        <v>1.4152173913043478</v>
      </c>
      <c r="BI448" s="84">
        <f t="shared" ref="BI448:CD448" si="681">+BI445/BI443</f>
        <v>1.3786956521739131</v>
      </c>
      <c r="BJ448" s="84">
        <f t="shared" si="681"/>
        <v>1.3513043478260871</v>
      </c>
      <c r="BK448" s="84">
        <f t="shared" si="681"/>
        <v>1.3056521739130436</v>
      </c>
      <c r="BL448" s="84">
        <f t="shared" si="681"/>
        <v>1.4859782608695653</v>
      </c>
      <c r="BM448" s="84">
        <f t="shared" si="681"/>
        <v>1.4476304347826088</v>
      </c>
      <c r="BN448" s="84">
        <f t="shared" si="681"/>
        <v>1.4188695652173915</v>
      </c>
      <c r="BO448" s="84">
        <f t="shared" si="681"/>
        <v>1.3709347826086957</v>
      </c>
      <c r="BP448" s="84">
        <f t="shared" si="681"/>
        <v>1.5602771739130437</v>
      </c>
      <c r="BQ448" s="84">
        <f t="shared" si="681"/>
        <v>1.5200119565217394</v>
      </c>
      <c r="BR448" s="84">
        <f t="shared" si="681"/>
        <v>1.489813043478261</v>
      </c>
      <c r="BS448" s="84">
        <f t="shared" si="681"/>
        <v>1.4394815217391306</v>
      </c>
      <c r="BT448" s="84">
        <f t="shared" si="681"/>
        <v>1.6382910326086959</v>
      </c>
      <c r="BU448" s="84">
        <f t="shared" si="681"/>
        <v>1.5960125543478265</v>
      </c>
      <c r="BV448" s="84">
        <f t="shared" si="681"/>
        <v>1.5643036956521741</v>
      </c>
      <c r="BW448" s="84">
        <f t="shared" si="681"/>
        <v>1.5114555978260871</v>
      </c>
      <c r="BX448" s="84">
        <f t="shared" si="681"/>
        <v>1.7202055842391308</v>
      </c>
      <c r="BY448" s="84">
        <f t="shared" si="681"/>
        <v>1.6758131820652178</v>
      </c>
      <c r="BZ448" s="84">
        <f t="shared" si="681"/>
        <v>1.642518880434783</v>
      </c>
      <c r="CA448" s="84">
        <f t="shared" si="681"/>
        <v>1.5870283777173912</v>
      </c>
      <c r="CB448" s="84">
        <f t="shared" si="681"/>
        <v>1.8062158634510874</v>
      </c>
      <c r="CC448" s="84">
        <f t="shared" si="681"/>
        <v>1.7596038411684787</v>
      </c>
      <c r="CD448" s="84">
        <f t="shared" si="681"/>
        <v>1.7246448244565222</v>
      </c>
      <c r="CI448" s="29">
        <f t="shared" ref="CI448:CP449" si="682">+SUMIFS($S448:$CD448,$S$5:$CD$5,"&lt;="&amp;CI$5,$S$5:$CD$5,"&gt;"&amp;CH$5)</f>
        <v>0</v>
      </c>
      <c r="CJ448" s="29">
        <f t="shared" si="682"/>
        <v>0</v>
      </c>
      <c r="CK448" s="29">
        <f t="shared" si="682"/>
        <v>0</v>
      </c>
      <c r="CL448" s="29">
        <f t="shared" si="682"/>
        <v>0</v>
      </c>
      <c r="CM448" s="29">
        <f t="shared" si="682"/>
        <v>0</v>
      </c>
      <c r="CN448" s="29">
        <f t="shared" si="682"/>
        <v>0</v>
      </c>
      <c r="CO448" s="29">
        <f t="shared" si="682"/>
        <v>0</v>
      </c>
      <c r="CP448" s="29">
        <f t="shared" si="682"/>
        <v>0</v>
      </c>
      <c r="CQ448" s="29">
        <f>+SUMIFS($S448:$CD448,$S$5:$CD$5,"&lt;="&amp;CQ$5,$S$5:$CD$5,"&gt;"&amp;CP$5)</f>
        <v>0</v>
      </c>
      <c r="CR448" s="29">
        <f t="shared" ref="CR448:CX449" si="683">+SUMIFS($S448:$CD448,$S$5:$CD$5,"&lt;="&amp;CR$5,$S$5:$CD$5,"&gt;"&amp;CQ$5)</f>
        <v>0</v>
      </c>
      <c r="CS448" s="29">
        <f t="shared" si="683"/>
        <v>0</v>
      </c>
      <c r="CT448" s="29">
        <f t="shared" si="683"/>
        <v>5.3886956521739133</v>
      </c>
      <c r="CU448" s="29">
        <f t="shared" si="683"/>
        <v>5.6581304347826098</v>
      </c>
      <c r="CV448" s="29">
        <f t="shared" si="683"/>
        <v>5.9410369565217396</v>
      </c>
      <c r="CW448" s="29">
        <f t="shared" si="683"/>
        <v>6.2380888043478269</v>
      </c>
      <c r="CX448" s="29">
        <f t="shared" si="683"/>
        <v>6.5499932445652185</v>
      </c>
    </row>
    <row r="449" spans="1:102" x14ac:dyDescent="0.25">
      <c r="B449" s="37" t="s">
        <v>300</v>
      </c>
      <c r="C449" s="37"/>
      <c r="D449" s="37"/>
      <c r="E449" s="37"/>
      <c r="F449" s="37"/>
      <c r="G449" s="37"/>
      <c r="H449" s="37"/>
      <c r="I449" s="37"/>
      <c r="J449" s="37"/>
      <c r="K449" s="37"/>
      <c r="L449" s="37"/>
      <c r="M449" s="37"/>
      <c r="N449" s="37"/>
      <c r="O449" s="37"/>
      <c r="P449" s="37"/>
      <c r="Q449" s="37"/>
      <c r="R449" s="37"/>
      <c r="BG449" s="84">
        <f t="shared" ref="BG449:CD449" si="684">-BG444</f>
        <v>-3.2608695652173911</v>
      </c>
      <c r="BH449" s="84">
        <f t="shared" si="684"/>
        <v>-3.2608695652173911</v>
      </c>
      <c r="BI449" s="84">
        <f t="shared" si="684"/>
        <v>-3.2608695652173911</v>
      </c>
      <c r="BJ449" s="84">
        <f t="shared" si="684"/>
        <v>-3.2608695652173911</v>
      </c>
      <c r="BK449" s="84">
        <f t="shared" si="684"/>
        <v>-3.2608695652173911</v>
      </c>
      <c r="BL449" s="84">
        <f t="shared" si="684"/>
        <v>-3.2608695652173911</v>
      </c>
      <c r="BM449" s="84">
        <f t="shared" si="684"/>
        <v>-3.2608695652173911</v>
      </c>
      <c r="BN449" s="84">
        <f t="shared" si="684"/>
        <v>-3.2608695652173911</v>
      </c>
      <c r="BO449" s="84">
        <f t="shared" si="684"/>
        <v>-3.2608695652173911</v>
      </c>
      <c r="BP449" s="84">
        <f t="shared" si="684"/>
        <v>-3.2608695652173911</v>
      </c>
      <c r="BQ449" s="84">
        <f t="shared" si="684"/>
        <v>-3.2608695652173911</v>
      </c>
      <c r="BR449" s="84">
        <f t="shared" si="684"/>
        <v>-3.2608695652173911</v>
      </c>
      <c r="BS449" s="84">
        <f t="shared" si="684"/>
        <v>-3.2608695652173911</v>
      </c>
      <c r="BT449" s="84">
        <f t="shared" si="684"/>
        <v>-3.2608695652173911</v>
      </c>
      <c r="BU449" s="84">
        <f t="shared" si="684"/>
        <v>-3.2608695652173911</v>
      </c>
      <c r="BV449" s="84">
        <f t="shared" si="684"/>
        <v>-3.2608695652173911</v>
      </c>
      <c r="BW449" s="84">
        <f t="shared" si="684"/>
        <v>-3.2608695652173911</v>
      </c>
      <c r="BX449" s="84">
        <f t="shared" si="684"/>
        <v>-3.2608695652173911</v>
      </c>
      <c r="BY449" s="84">
        <f t="shared" si="684"/>
        <v>-3.2608695652173911</v>
      </c>
      <c r="BZ449" s="84">
        <f t="shared" si="684"/>
        <v>-3.2608695652173911</v>
      </c>
      <c r="CA449" s="84">
        <f t="shared" si="684"/>
        <v>-3.2608695652173911</v>
      </c>
      <c r="CB449" s="84">
        <f t="shared" si="684"/>
        <v>-3.2608695652173911</v>
      </c>
      <c r="CC449" s="84">
        <f t="shared" si="684"/>
        <v>-3.2608695652173911</v>
      </c>
      <c r="CD449" s="84">
        <f t="shared" si="684"/>
        <v>-3.2608695652173911</v>
      </c>
      <c r="CI449" s="29">
        <f t="shared" si="682"/>
        <v>0</v>
      </c>
      <c r="CJ449" s="29">
        <f t="shared" si="682"/>
        <v>0</v>
      </c>
      <c r="CK449" s="29">
        <f t="shared" si="682"/>
        <v>0</v>
      </c>
      <c r="CL449" s="29">
        <f t="shared" si="682"/>
        <v>0</v>
      </c>
      <c r="CM449" s="29">
        <f t="shared" si="682"/>
        <v>0</v>
      </c>
      <c r="CN449" s="29">
        <f t="shared" si="682"/>
        <v>0</v>
      </c>
      <c r="CO449" s="29">
        <f t="shared" si="682"/>
        <v>0</v>
      </c>
      <c r="CP449" s="29">
        <f t="shared" si="682"/>
        <v>0</v>
      </c>
      <c r="CQ449" s="29">
        <f>+SUMIFS($S449:$CD449,$S$5:$CD$5,"&lt;="&amp;CQ$5,$S$5:$CD$5,"&gt;"&amp;CP$5)</f>
        <v>0</v>
      </c>
      <c r="CR449" s="29">
        <f t="shared" si="683"/>
        <v>0</v>
      </c>
      <c r="CS449" s="29">
        <f t="shared" si="683"/>
        <v>0</v>
      </c>
      <c r="CT449" s="29">
        <f t="shared" si="683"/>
        <v>-13.043478260869565</v>
      </c>
      <c r="CU449" s="29">
        <f t="shared" si="683"/>
        <v>-13.043478260869565</v>
      </c>
      <c r="CV449" s="29">
        <f t="shared" si="683"/>
        <v>-13.043478260869565</v>
      </c>
      <c r="CW449" s="29">
        <f t="shared" si="683"/>
        <v>-13.043478260869565</v>
      </c>
      <c r="CX449" s="29">
        <f t="shared" si="683"/>
        <v>-13.043478260869565</v>
      </c>
    </row>
    <row r="450" spans="1:102" x14ac:dyDescent="0.25">
      <c r="B450" t="s">
        <v>302</v>
      </c>
      <c r="BC450" s="87">
        <f t="shared" ref="BC450:BH450" si="685">+BC385</f>
        <v>274</v>
      </c>
      <c r="BD450" s="87">
        <f t="shared" si="685"/>
        <v>272</v>
      </c>
      <c r="BE450" s="87">
        <f t="shared" si="685"/>
        <v>271</v>
      </c>
      <c r="BF450" s="87">
        <f t="shared" si="685"/>
        <v>270</v>
      </c>
      <c r="BG450" s="87">
        <f t="shared" si="685"/>
        <v>268</v>
      </c>
      <c r="BH450" s="87">
        <f t="shared" si="685"/>
        <v>266</v>
      </c>
      <c r="BI450" s="200">
        <f t="shared" ref="BI450:CD450" si="686">+BI447+BI448+BI449</f>
        <v>264.11782608695654</v>
      </c>
      <c r="BJ450" s="200">
        <f t="shared" si="686"/>
        <v>262.20826086956527</v>
      </c>
      <c r="BK450" s="200">
        <f t="shared" si="686"/>
        <v>260.25304347826091</v>
      </c>
      <c r="BL450" s="200">
        <f t="shared" si="686"/>
        <v>258.47815217391309</v>
      </c>
      <c r="BM450" s="200">
        <f t="shared" si="686"/>
        <v>256.66491304347829</v>
      </c>
      <c r="BN450" s="200">
        <f t="shared" si="686"/>
        <v>254.82291304347828</v>
      </c>
      <c r="BO450" s="200">
        <f t="shared" si="686"/>
        <v>252.93297826086959</v>
      </c>
      <c r="BP450" s="200">
        <f t="shared" si="686"/>
        <v>251.23238586956523</v>
      </c>
      <c r="BQ450" s="200">
        <f t="shared" si="686"/>
        <v>249.49152826086956</v>
      </c>
      <c r="BR450" s="200">
        <f t="shared" si="686"/>
        <v>247.7204717391304</v>
      </c>
      <c r="BS450" s="200">
        <f t="shared" si="686"/>
        <v>245.89908369565214</v>
      </c>
      <c r="BT450" s="200">
        <f t="shared" si="686"/>
        <v>244.27650516304342</v>
      </c>
      <c r="BU450" s="200">
        <f t="shared" si="686"/>
        <v>242.61164815217384</v>
      </c>
      <c r="BV450" s="200">
        <f t="shared" si="686"/>
        <v>240.91508228260861</v>
      </c>
      <c r="BW450" s="200">
        <f t="shared" si="686"/>
        <v>245.97105777173908</v>
      </c>
      <c r="BX450" s="200">
        <f t="shared" si="686"/>
        <v>244.4303937907608</v>
      </c>
      <c r="BY450" s="200">
        <f t="shared" si="686"/>
        <v>242.84533740760861</v>
      </c>
      <c r="BZ450" s="200">
        <f t="shared" si="686"/>
        <v>241.22698672282598</v>
      </c>
      <c r="CA450" s="200">
        <f t="shared" si="686"/>
        <v>239.24124109510859</v>
      </c>
      <c r="CB450" s="200">
        <f t="shared" si="686"/>
        <v>237.78658739334227</v>
      </c>
      <c r="CC450" s="200">
        <f t="shared" si="686"/>
        <v>236.28532166929335</v>
      </c>
      <c r="CD450" s="200">
        <f t="shared" si="686"/>
        <v>234.74909692853248</v>
      </c>
      <c r="CI450" s="201">
        <f t="shared" ref="CI450:CX450" si="687">+SUMIF($S$5:$CD$5,"="&amp;CI$5,$S450:$CD450)</f>
        <v>0</v>
      </c>
      <c r="CJ450" s="201">
        <f t="shared" si="687"/>
        <v>0</v>
      </c>
      <c r="CK450" s="201">
        <f t="shared" si="687"/>
        <v>0</v>
      </c>
      <c r="CL450" s="201">
        <f t="shared" si="687"/>
        <v>0</v>
      </c>
      <c r="CM450" s="201">
        <f t="shared" si="687"/>
        <v>0</v>
      </c>
      <c r="CN450" s="201">
        <f t="shared" si="687"/>
        <v>0</v>
      </c>
      <c r="CO450" s="201">
        <f t="shared" si="687"/>
        <v>0</v>
      </c>
      <c r="CP450" s="201">
        <f t="shared" si="687"/>
        <v>0</v>
      </c>
      <c r="CQ450" s="201">
        <f t="shared" si="687"/>
        <v>0</v>
      </c>
      <c r="CR450" s="201">
        <f t="shared" si="687"/>
        <v>0</v>
      </c>
      <c r="CS450" s="201">
        <f t="shared" si="687"/>
        <v>270</v>
      </c>
      <c r="CT450" s="201">
        <f t="shared" si="687"/>
        <v>262.20826086956527</v>
      </c>
      <c r="CU450" s="201">
        <f t="shared" si="687"/>
        <v>254.82291304347828</v>
      </c>
      <c r="CV450" s="201">
        <f t="shared" si="687"/>
        <v>247.7204717391304</v>
      </c>
      <c r="CW450" s="201">
        <f t="shared" si="687"/>
        <v>240.91508228260861</v>
      </c>
      <c r="CX450" s="201">
        <f t="shared" si="687"/>
        <v>241.22698672282598</v>
      </c>
    </row>
    <row r="452" spans="1:102" x14ac:dyDescent="0.25">
      <c r="B452" t="s">
        <v>303</v>
      </c>
      <c r="BG452" s="2">
        <f t="shared" ref="BG452:CD452" si="688">+AVERAGE(BG447,BG450)</f>
        <v>269</v>
      </c>
      <c r="BH452" s="2">
        <f t="shared" si="688"/>
        <v>267</v>
      </c>
      <c r="BI452" s="2">
        <f t="shared" si="688"/>
        <v>265.05891304347824</v>
      </c>
      <c r="BJ452" s="2">
        <f t="shared" si="688"/>
        <v>263.16304347826087</v>
      </c>
      <c r="BK452" s="2">
        <f t="shared" si="688"/>
        <v>261.23065217391309</v>
      </c>
      <c r="BL452" s="2">
        <f t="shared" si="688"/>
        <v>259.36559782608697</v>
      </c>
      <c r="BM452" s="2">
        <f t="shared" si="688"/>
        <v>257.57153260869569</v>
      </c>
      <c r="BN452" s="2">
        <f t="shared" si="688"/>
        <v>255.7439130434783</v>
      </c>
      <c r="BO452" s="2">
        <f t="shared" si="688"/>
        <v>253.87794565217393</v>
      </c>
      <c r="BP452" s="2">
        <f t="shared" si="688"/>
        <v>252.0826820652174</v>
      </c>
      <c r="BQ452" s="2">
        <f t="shared" si="688"/>
        <v>250.36195706521738</v>
      </c>
      <c r="BR452" s="2">
        <f t="shared" si="688"/>
        <v>248.60599999999999</v>
      </c>
      <c r="BS452" s="2">
        <f t="shared" si="688"/>
        <v>246.80977771739128</v>
      </c>
      <c r="BT452" s="2">
        <f t="shared" si="688"/>
        <v>245.08779442934778</v>
      </c>
      <c r="BU452" s="2">
        <f t="shared" si="688"/>
        <v>243.44407665760863</v>
      </c>
      <c r="BV452" s="2">
        <f t="shared" si="688"/>
        <v>241.76336521739123</v>
      </c>
      <c r="BW452" s="2">
        <f t="shared" si="688"/>
        <v>246.84576475543474</v>
      </c>
      <c r="BX452" s="2">
        <f t="shared" si="688"/>
        <v>245.20072578124996</v>
      </c>
      <c r="BY452" s="2">
        <f t="shared" si="688"/>
        <v>243.63786559918469</v>
      </c>
      <c r="BZ452" s="2">
        <f t="shared" si="688"/>
        <v>242.0361620652173</v>
      </c>
      <c r="CA452" s="2">
        <f t="shared" si="688"/>
        <v>240.07816168885859</v>
      </c>
      <c r="CB452" s="2">
        <f t="shared" si="688"/>
        <v>238.51391424422542</v>
      </c>
      <c r="CC452" s="2">
        <f t="shared" si="688"/>
        <v>237.03595453131783</v>
      </c>
      <c r="CD452" s="2">
        <f t="shared" si="688"/>
        <v>235.51720929891292</v>
      </c>
    </row>
    <row r="454" spans="1:102" ht="15" customHeight="1" x14ac:dyDescent="0.25">
      <c r="A454" s="1" t="s">
        <v>18</v>
      </c>
      <c r="B454" s="195" t="s">
        <v>304</v>
      </c>
      <c r="C454" s="196"/>
      <c r="D454" s="196"/>
      <c r="E454" s="196"/>
      <c r="F454" s="196"/>
      <c r="G454" s="196"/>
      <c r="H454" s="196"/>
      <c r="I454" s="196"/>
      <c r="J454" s="196"/>
      <c r="K454" s="196"/>
      <c r="L454" s="196"/>
      <c r="M454" s="196"/>
      <c r="N454" s="196"/>
      <c r="O454" s="196"/>
      <c r="P454" s="196"/>
      <c r="Q454" s="196"/>
      <c r="R454" s="196"/>
      <c r="S454" s="197"/>
      <c r="T454" s="197"/>
      <c r="U454" s="197"/>
      <c r="V454" s="197"/>
      <c r="W454" s="197"/>
      <c r="X454" s="197"/>
      <c r="Y454" s="197"/>
      <c r="Z454" s="197"/>
      <c r="AA454" s="197"/>
      <c r="AB454" s="197"/>
      <c r="AC454" s="197"/>
      <c r="AD454" s="197"/>
      <c r="AE454" s="197"/>
      <c r="AF454" s="197"/>
      <c r="AG454" s="197"/>
      <c r="AH454" s="197"/>
      <c r="AI454" s="197"/>
      <c r="AJ454" s="197"/>
      <c r="AK454" s="197"/>
      <c r="AL454" s="197"/>
      <c r="AM454" s="197"/>
      <c r="AN454" s="197"/>
      <c r="AO454" s="197"/>
      <c r="AP454" s="197"/>
      <c r="AQ454" s="197"/>
      <c r="AR454" s="197"/>
      <c r="AS454" s="197"/>
      <c r="AT454" s="197"/>
      <c r="AU454" s="197"/>
      <c r="AV454" s="197"/>
      <c r="AW454" s="197"/>
      <c r="AX454" s="197"/>
      <c r="AY454" s="197"/>
      <c r="AZ454" s="197"/>
      <c r="BA454" s="197"/>
      <c r="BB454" s="197"/>
      <c r="BC454" s="197"/>
      <c r="BD454" s="197"/>
      <c r="BE454" s="197"/>
      <c r="BF454" s="197"/>
      <c r="BG454" s="197"/>
      <c r="BH454" s="197"/>
      <c r="BI454" s="197"/>
      <c r="BJ454" s="197"/>
      <c r="BK454" s="197"/>
      <c r="BL454" s="197"/>
      <c r="BM454" s="197"/>
      <c r="BN454" s="197"/>
      <c r="BO454" s="197"/>
      <c r="BP454" s="197"/>
      <c r="BQ454" s="197"/>
      <c r="BR454" s="197"/>
      <c r="BS454" s="197"/>
      <c r="BT454" s="197"/>
      <c r="BU454" s="197"/>
      <c r="BV454" s="197"/>
      <c r="BW454" s="197"/>
      <c r="BX454" s="197"/>
      <c r="BY454" s="197"/>
      <c r="BZ454" s="197"/>
      <c r="CA454" s="197"/>
      <c r="CB454" s="197"/>
      <c r="CC454" s="197"/>
      <c r="CD454" s="197"/>
      <c r="CF454" s="197"/>
      <c r="CG454" s="197"/>
      <c r="CH454" s="195"/>
      <c r="CI454" s="20"/>
      <c r="CJ454" s="20"/>
      <c r="CK454" s="20"/>
      <c r="CL454" s="20"/>
      <c r="CM454" s="20"/>
      <c r="CN454" s="20"/>
      <c r="CO454" s="196" t="str">
        <f>+B454</f>
        <v>BALANCE SHEET</v>
      </c>
      <c r="CP454" s="20"/>
      <c r="CQ454" s="20"/>
      <c r="CR454" s="20"/>
      <c r="CS454" s="20"/>
      <c r="CT454" s="20"/>
      <c r="CU454" s="20"/>
      <c r="CV454" s="20"/>
      <c r="CW454" s="20"/>
      <c r="CX454" s="20"/>
    </row>
    <row r="455" spans="1:102" x14ac:dyDescent="0.25">
      <c r="B455" s="37" t="s">
        <v>305</v>
      </c>
      <c r="C455" s="37"/>
      <c r="D455" s="37"/>
      <c r="E455" s="37"/>
      <c r="F455" s="37"/>
      <c r="G455" s="37"/>
      <c r="H455" s="37"/>
      <c r="I455" s="37"/>
      <c r="J455" s="37"/>
      <c r="K455" s="37"/>
      <c r="L455" s="37"/>
      <c r="M455" s="37"/>
      <c r="N455" s="37"/>
      <c r="O455" s="37"/>
      <c r="P455" s="37"/>
      <c r="Q455" s="37"/>
      <c r="R455" s="37"/>
      <c r="S455" s="52">
        <f t="shared" ref="S455:BG455" si="689">+IF(ISNUMBER(S488),S488,0)+IF(ISNUMBER(S495),S495,0)</f>
        <v>586</v>
      </c>
      <c r="T455" s="52">
        <f t="shared" si="689"/>
        <v>591</v>
      </c>
      <c r="U455" s="52">
        <f t="shared" si="689"/>
        <v>37</v>
      </c>
      <c r="V455" s="52">
        <f t="shared" si="689"/>
        <v>31</v>
      </c>
      <c r="W455" s="52">
        <f t="shared" si="689"/>
        <v>25</v>
      </c>
      <c r="X455" s="52">
        <f t="shared" si="689"/>
        <v>13</v>
      </c>
      <c r="Y455" s="52">
        <f t="shared" si="689"/>
        <v>7</v>
      </c>
      <c r="Z455" s="52">
        <f t="shared" si="689"/>
        <v>989</v>
      </c>
      <c r="AA455" s="52">
        <f t="shared" si="689"/>
        <v>989</v>
      </c>
      <c r="AB455" s="52">
        <f t="shared" si="689"/>
        <v>990</v>
      </c>
      <c r="AC455" s="52">
        <f t="shared" si="689"/>
        <v>990</v>
      </c>
      <c r="AD455" s="52">
        <f t="shared" si="689"/>
        <v>990</v>
      </c>
      <c r="AE455" s="52">
        <f t="shared" si="689"/>
        <v>991</v>
      </c>
      <c r="AF455" s="52">
        <f t="shared" si="689"/>
        <v>991</v>
      </c>
      <c r="AG455" s="52">
        <f t="shared" si="689"/>
        <v>992</v>
      </c>
      <c r="AH455" s="52">
        <f t="shared" si="689"/>
        <v>992</v>
      </c>
      <c r="AI455" s="52">
        <f t="shared" si="689"/>
        <v>993</v>
      </c>
      <c r="AJ455" s="52">
        <f t="shared" si="689"/>
        <v>993</v>
      </c>
      <c r="AK455" s="52">
        <f t="shared" si="689"/>
        <v>994</v>
      </c>
      <c r="AL455" s="52">
        <f t="shared" si="689"/>
        <v>994</v>
      </c>
      <c r="AM455" s="52">
        <f t="shared" si="689"/>
        <v>995</v>
      </c>
      <c r="AN455" s="52">
        <f t="shared" si="689"/>
        <v>995</v>
      </c>
      <c r="AO455" s="52">
        <f t="shared" si="689"/>
        <v>995</v>
      </c>
      <c r="AP455" s="52">
        <f t="shared" si="689"/>
        <v>397</v>
      </c>
      <c r="AQ455" s="52">
        <f t="shared" si="689"/>
        <v>397</v>
      </c>
      <c r="AR455" s="52">
        <f t="shared" si="689"/>
        <v>397</v>
      </c>
      <c r="AS455" s="52">
        <f t="shared" si="689"/>
        <v>397</v>
      </c>
      <c r="AT455" s="52">
        <f t="shared" si="689"/>
        <v>1876</v>
      </c>
      <c r="AU455" s="52">
        <f t="shared" si="689"/>
        <v>1877</v>
      </c>
      <c r="AV455" s="52">
        <f t="shared" si="689"/>
        <v>1877</v>
      </c>
      <c r="AW455" s="52">
        <f t="shared" si="689"/>
        <v>1878</v>
      </c>
      <c r="AX455" s="52">
        <f t="shared" si="689"/>
        <v>1878</v>
      </c>
      <c r="AY455" s="52">
        <f t="shared" si="689"/>
        <v>1878</v>
      </c>
      <c r="AZ455" s="52">
        <f t="shared" si="689"/>
        <v>1879</v>
      </c>
      <c r="BA455" s="52">
        <f t="shared" si="689"/>
        <v>1879</v>
      </c>
      <c r="BB455" s="52">
        <f t="shared" si="689"/>
        <v>1880</v>
      </c>
      <c r="BC455" s="52">
        <f t="shared" si="689"/>
        <v>1880</v>
      </c>
      <c r="BD455" s="52">
        <f t="shared" si="689"/>
        <v>1881</v>
      </c>
      <c r="BE455" s="52">
        <f t="shared" si="689"/>
        <v>1881</v>
      </c>
      <c r="BF455" s="52">
        <f t="shared" si="689"/>
        <v>1882</v>
      </c>
      <c r="BG455" s="52">
        <f t="shared" si="689"/>
        <v>1882</v>
      </c>
      <c r="BH455" s="58">
        <v>1883</v>
      </c>
      <c r="BI455" s="51">
        <f>+BH455</f>
        <v>1883</v>
      </c>
      <c r="BJ455" s="51">
        <f>+BI455</f>
        <v>1883</v>
      </c>
      <c r="BK455" s="51">
        <f t="shared" ref="BK455:BV455" si="690">+BJ455</f>
        <v>1883</v>
      </c>
      <c r="BL455" s="51">
        <f t="shared" si="690"/>
        <v>1883</v>
      </c>
      <c r="BM455" s="51">
        <f t="shared" si="690"/>
        <v>1883</v>
      </c>
      <c r="BN455" s="51">
        <f t="shared" si="690"/>
        <v>1883</v>
      </c>
      <c r="BO455" s="51">
        <f t="shared" si="690"/>
        <v>1883</v>
      </c>
      <c r="BP455" s="51">
        <f t="shared" si="690"/>
        <v>1883</v>
      </c>
      <c r="BQ455" s="51">
        <f t="shared" si="690"/>
        <v>1883</v>
      </c>
      <c r="BR455" s="51">
        <f t="shared" si="690"/>
        <v>1883</v>
      </c>
      <c r="BS455" s="51">
        <f t="shared" si="690"/>
        <v>1883</v>
      </c>
      <c r="BT455" s="51">
        <f t="shared" si="690"/>
        <v>1883</v>
      </c>
      <c r="BU455" s="51">
        <f t="shared" si="690"/>
        <v>1883</v>
      </c>
      <c r="BV455" s="51">
        <f t="shared" si="690"/>
        <v>1883</v>
      </c>
      <c r="BW455" s="51">
        <f t="shared" ref="BW455" si="691">+BR455</f>
        <v>1883</v>
      </c>
      <c r="BX455" s="51">
        <f t="shared" ref="BX455:BZ455" si="692">+BW455</f>
        <v>1883</v>
      </c>
      <c r="BY455" s="51">
        <f t="shared" si="692"/>
        <v>1883</v>
      </c>
      <c r="BZ455" s="51">
        <f t="shared" si="692"/>
        <v>1883</v>
      </c>
      <c r="CA455" s="51">
        <f t="shared" ref="CA455" si="693">+BV455</f>
        <v>1883</v>
      </c>
      <c r="CB455" s="51">
        <f t="shared" ref="CB455:CD455" si="694">+CA455</f>
        <v>1883</v>
      </c>
      <c r="CC455" s="51">
        <f t="shared" si="694"/>
        <v>1883</v>
      </c>
      <c r="CD455" s="51">
        <f t="shared" si="694"/>
        <v>1883</v>
      </c>
      <c r="CI455" s="29">
        <f t="shared" ref="CI455:CX457" si="695">+SUMIF($S$5:$CD$5,"="&amp;CI$5,$S455:$CD455)</f>
        <v>0</v>
      </c>
      <c r="CJ455" s="29">
        <f t="shared" si="695"/>
        <v>31</v>
      </c>
      <c r="CK455" s="29">
        <f t="shared" si="695"/>
        <v>989</v>
      </c>
      <c r="CL455" s="29">
        <f t="shared" si="695"/>
        <v>990</v>
      </c>
      <c r="CM455" s="29">
        <f t="shared" si="695"/>
        <v>992</v>
      </c>
      <c r="CN455" s="29">
        <f t="shared" si="695"/>
        <v>994</v>
      </c>
      <c r="CO455" s="29">
        <f t="shared" si="695"/>
        <v>397</v>
      </c>
      <c r="CP455" s="29">
        <f t="shared" si="695"/>
        <v>1876</v>
      </c>
      <c r="CQ455" s="29">
        <f t="shared" si="695"/>
        <v>1878</v>
      </c>
      <c r="CR455" s="29">
        <f t="shared" si="695"/>
        <v>1880</v>
      </c>
      <c r="CS455" s="29">
        <f t="shared" si="695"/>
        <v>1882</v>
      </c>
      <c r="CT455" s="29">
        <f t="shared" si="695"/>
        <v>1883</v>
      </c>
      <c r="CU455" s="29">
        <f t="shared" si="695"/>
        <v>1883</v>
      </c>
      <c r="CV455" s="29">
        <f t="shared" si="695"/>
        <v>1883</v>
      </c>
      <c r="CW455" s="29">
        <f t="shared" si="695"/>
        <v>1883</v>
      </c>
      <c r="CX455" s="29">
        <f t="shared" si="695"/>
        <v>1883</v>
      </c>
    </row>
    <row r="456" spans="1:102" x14ac:dyDescent="0.25">
      <c r="B456" s="37" t="s">
        <v>306</v>
      </c>
      <c r="C456" s="37"/>
      <c r="D456" s="37"/>
      <c r="E456" s="37"/>
      <c r="F456" s="37"/>
      <c r="G456" s="37"/>
      <c r="H456" s="37"/>
      <c r="I456" s="37"/>
      <c r="J456" s="37"/>
      <c r="K456" s="37"/>
      <c r="L456" s="37"/>
      <c r="M456" s="37"/>
      <c r="N456" s="37"/>
      <c r="O456" s="37"/>
      <c r="P456" s="37"/>
      <c r="Q456" s="37"/>
      <c r="R456" s="37"/>
      <c r="S456" s="52">
        <f t="shared" ref="S456:BE456" si="696">-S474</f>
        <v>-2316</v>
      </c>
      <c r="T456" s="52">
        <f t="shared" si="696"/>
        <v>-2388</v>
      </c>
      <c r="U456" s="52">
        <f t="shared" si="696"/>
        <v>-2940</v>
      </c>
      <c r="V456" s="52">
        <f t="shared" si="696"/>
        <v>-3021</v>
      </c>
      <c r="W456" s="52">
        <f t="shared" si="696"/>
        <v>-2879</v>
      </c>
      <c r="X456" s="52">
        <f t="shared" si="696"/>
        <v>-2588</v>
      </c>
      <c r="Y456" s="52">
        <f t="shared" si="696"/>
        <v>-3229</v>
      </c>
      <c r="Z456" s="52">
        <f t="shared" si="696"/>
        <v>-3834</v>
      </c>
      <c r="AA456" s="52">
        <f t="shared" si="696"/>
        <v>-3427</v>
      </c>
      <c r="AB456" s="52">
        <f t="shared" si="696"/>
        <v>-3266</v>
      </c>
      <c r="AC456" s="52">
        <f t="shared" si="696"/>
        <v>-4219</v>
      </c>
      <c r="AD456" s="52">
        <f t="shared" si="696"/>
        <v>-4532</v>
      </c>
      <c r="AE456" s="52">
        <f t="shared" si="696"/>
        <v>-4470</v>
      </c>
      <c r="AF456" s="52">
        <f t="shared" si="696"/>
        <v>-4355</v>
      </c>
      <c r="AG456" s="52">
        <f t="shared" si="696"/>
        <v>-4884</v>
      </c>
      <c r="AH456" s="52">
        <f t="shared" si="696"/>
        <v>-5331</v>
      </c>
      <c r="AI456" s="52">
        <f t="shared" si="696"/>
        <v>-4971</v>
      </c>
      <c r="AJ456" s="52">
        <f t="shared" si="696"/>
        <v>-4545</v>
      </c>
      <c r="AK456" s="52">
        <f t="shared" si="696"/>
        <v>-5161</v>
      </c>
      <c r="AL456" s="52">
        <f t="shared" si="696"/>
        <v>-5445</v>
      </c>
      <c r="AM456" s="52">
        <f t="shared" si="696"/>
        <v>-5187</v>
      </c>
      <c r="AN456" s="52">
        <f t="shared" si="696"/>
        <v>-4883</v>
      </c>
      <c r="AO456" s="52">
        <f t="shared" si="696"/>
        <v>-5602</v>
      </c>
      <c r="AP456" s="52">
        <f t="shared" si="696"/>
        <v>-5735</v>
      </c>
      <c r="AQ456" s="52">
        <f t="shared" si="696"/>
        <v>-5960</v>
      </c>
      <c r="AR456" s="52">
        <f t="shared" si="696"/>
        <v>-6031</v>
      </c>
      <c r="AS456" s="52">
        <f t="shared" si="696"/>
        <v>-6710</v>
      </c>
      <c r="AT456" s="52">
        <f t="shared" si="696"/>
        <v>-6366</v>
      </c>
      <c r="AU456" s="52">
        <f t="shared" si="696"/>
        <v>-3719</v>
      </c>
      <c r="AV456" s="52">
        <f t="shared" si="696"/>
        <v>-1972</v>
      </c>
      <c r="AW456" s="52">
        <f t="shared" si="696"/>
        <v>-3016</v>
      </c>
      <c r="AX456" s="52">
        <f t="shared" si="696"/>
        <v>-3062</v>
      </c>
      <c r="AY456" s="52">
        <f t="shared" si="696"/>
        <v>-2416</v>
      </c>
      <c r="AZ456" s="52">
        <f t="shared" si="696"/>
        <v>-1874</v>
      </c>
      <c r="BA456" s="52">
        <f t="shared" si="696"/>
        <v>-2553</v>
      </c>
      <c r="BB456" s="52">
        <f t="shared" si="696"/>
        <v>-2767</v>
      </c>
      <c r="BC456" s="52">
        <f t="shared" si="696"/>
        <v>-2602</v>
      </c>
      <c r="BD456" s="52">
        <f t="shared" si="696"/>
        <v>-2305</v>
      </c>
      <c r="BE456" s="52">
        <f t="shared" si="696"/>
        <v>-3104</v>
      </c>
      <c r="BF456" s="52">
        <f>-BF474</f>
        <v>-3262</v>
      </c>
      <c r="BG456" s="52">
        <f>-BG474</f>
        <v>-2766</v>
      </c>
      <c r="BH456" s="58">
        <f>-2197-366</f>
        <v>-2563</v>
      </c>
      <c r="BI456" s="52">
        <f>+BH456-(BI401+BI406+BI411)</f>
        <v>-3325.0996675649694</v>
      </c>
      <c r="BJ456" s="52">
        <f>+BI456-(BJ401+BJ406+BJ411)</f>
        <v>-3373.3935210217801</v>
      </c>
      <c r="BK456" s="52">
        <f t="shared" ref="BK456:BV456" si="697">+BJ456-(BK401+BK406+BK411)</f>
        <v>-3104.0890752680748</v>
      </c>
      <c r="BL456" s="52">
        <f t="shared" si="697"/>
        <v>-3331.6091648789202</v>
      </c>
      <c r="BM456" s="52">
        <f t="shared" si="697"/>
        <v>-3925.8329295378799</v>
      </c>
      <c r="BN456" s="52">
        <f t="shared" si="697"/>
        <v>-3869.900811775834</v>
      </c>
      <c r="BO456" s="52">
        <f t="shared" si="697"/>
        <v>-3806.8537997776111</v>
      </c>
      <c r="BP456" s="52">
        <f t="shared" si="697"/>
        <v>-4050.9488077960468</v>
      </c>
      <c r="BQ456" s="52">
        <f t="shared" si="697"/>
        <v>-4551.4441937897673</v>
      </c>
      <c r="BR456" s="52">
        <f t="shared" si="697"/>
        <v>-4511.3069279534111</v>
      </c>
      <c r="BS456" s="52">
        <f t="shared" si="697"/>
        <v>-4428.9864609219376</v>
      </c>
      <c r="BT456" s="52">
        <f t="shared" si="697"/>
        <v>-4666.9269562800564</v>
      </c>
      <c r="BU456" s="52">
        <f t="shared" si="697"/>
        <v>-5156.383854853565</v>
      </c>
      <c r="BV456" s="52">
        <f t="shared" si="697"/>
        <v>-5099.0366096357375</v>
      </c>
      <c r="BW456" s="52">
        <f>+BR456-(BW401+BW406+BW411)</f>
        <v>-4437.875619177511</v>
      </c>
      <c r="BX456" s="52">
        <f>+BW456-(BX401+BX406+BX411)</f>
        <v>-4708.7669701800187</v>
      </c>
      <c r="BY456" s="52">
        <f>+BX456-(BY401+BY406+BY411)</f>
        <v>-5239.7762929919945</v>
      </c>
      <c r="BZ456" s="52">
        <f>+BY456-(BZ401+BZ406+BZ411)</f>
        <v>-5204.7475534048708</v>
      </c>
      <c r="CA456" s="52">
        <f>+BV456-(CA401+CA406+CA411)</f>
        <v>-5062.4748320574199</v>
      </c>
      <c r="CB456" s="52">
        <f>+CA456-(CB401+CB406+CB411)</f>
        <v>-5390.468327406903</v>
      </c>
      <c r="CC456" s="52">
        <f>+CB456-(CC401+CC406+CC411)</f>
        <v>-6007.1028533536364</v>
      </c>
      <c r="CD456" s="52">
        <f>+CC456-(CD401+CD406+CD411)</f>
        <v>-6030.7072200689863</v>
      </c>
      <c r="CI456" s="29">
        <f t="shared" si="695"/>
        <v>0</v>
      </c>
      <c r="CJ456" s="29">
        <f t="shared" si="695"/>
        <v>-3021</v>
      </c>
      <c r="CK456" s="29">
        <f t="shared" si="695"/>
        <v>-3834</v>
      </c>
      <c r="CL456" s="29">
        <f t="shared" si="695"/>
        <v>-4532</v>
      </c>
      <c r="CM456" s="29">
        <f t="shared" si="695"/>
        <v>-5331</v>
      </c>
      <c r="CN456" s="29">
        <f t="shared" si="695"/>
        <v>-5445</v>
      </c>
      <c r="CO456" s="29">
        <f t="shared" si="695"/>
        <v>-5735</v>
      </c>
      <c r="CP456" s="29">
        <f t="shared" si="695"/>
        <v>-6366</v>
      </c>
      <c r="CQ456" s="29">
        <f t="shared" si="695"/>
        <v>-3062</v>
      </c>
      <c r="CR456" s="29">
        <f t="shared" si="695"/>
        <v>-2767</v>
      </c>
      <c r="CS456" s="29">
        <f t="shared" si="695"/>
        <v>-3262</v>
      </c>
      <c r="CT456" s="29">
        <f t="shared" si="695"/>
        <v>-3373.3935210217801</v>
      </c>
      <c r="CU456" s="29">
        <f t="shared" si="695"/>
        <v>-3869.900811775834</v>
      </c>
      <c r="CV456" s="29">
        <f t="shared" si="695"/>
        <v>-4511.3069279534111</v>
      </c>
      <c r="CW456" s="29">
        <f t="shared" si="695"/>
        <v>-5099.0366096357375</v>
      </c>
      <c r="CX456" s="29">
        <f t="shared" si="695"/>
        <v>-5204.7475534048708</v>
      </c>
    </row>
    <row r="457" spans="1:102" s="10" customFormat="1" x14ac:dyDescent="0.25">
      <c r="B457" s="10" t="s">
        <v>307</v>
      </c>
      <c r="S457" s="54">
        <f t="shared" ref="S457:AT457" si="698">SUM(S455:S456)</f>
        <v>-1730</v>
      </c>
      <c r="T457" s="54">
        <f t="shared" si="698"/>
        <v>-1797</v>
      </c>
      <c r="U457" s="54">
        <f t="shared" si="698"/>
        <v>-2903</v>
      </c>
      <c r="V457" s="54">
        <f t="shared" si="698"/>
        <v>-2990</v>
      </c>
      <c r="W457" s="54">
        <f t="shared" si="698"/>
        <v>-2854</v>
      </c>
      <c r="X457" s="54">
        <f t="shared" si="698"/>
        <v>-2575</v>
      </c>
      <c r="Y457" s="54">
        <f t="shared" si="698"/>
        <v>-3222</v>
      </c>
      <c r="Z457" s="54">
        <f t="shared" si="698"/>
        <v>-2845</v>
      </c>
      <c r="AA457" s="54">
        <f t="shared" si="698"/>
        <v>-2438</v>
      </c>
      <c r="AB457" s="54">
        <f t="shared" si="698"/>
        <v>-2276</v>
      </c>
      <c r="AC457" s="54">
        <f t="shared" si="698"/>
        <v>-3229</v>
      </c>
      <c r="AD457" s="54">
        <f t="shared" si="698"/>
        <v>-3542</v>
      </c>
      <c r="AE457" s="54">
        <f t="shared" si="698"/>
        <v>-3479</v>
      </c>
      <c r="AF457" s="54">
        <f t="shared" si="698"/>
        <v>-3364</v>
      </c>
      <c r="AG457" s="54">
        <f t="shared" si="698"/>
        <v>-3892</v>
      </c>
      <c r="AH457" s="54">
        <f t="shared" si="698"/>
        <v>-4339</v>
      </c>
      <c r="AI457" s="54">
        <f t="shared" si="698"/>
        <v>-3978</v>
      </c>
      <c r="AJ457" s="54">
        <f t="shared" si="698"/>
        <v>-3552</v>
      </c>
      <c r="AK457" s="54">
        <f t="shared" si="698"/>
        <v>-4167</v>
      </c>
      <c r="AL457" s="54">
        <f t="shared" si="698"/>
        <v>-4451</v>
      </c>
      <c r="AM457" s="54">
        <f t="shared" si="698"/>
        <v>-4192</v>
      </c>
      <c r="AN457" s="54">
        <f t="shared" si="698"/>
        <v>-3888</v>
      </c>
      <c r="AO457" s="54">
        <f t="shared" si="698"/>
        <v>-4607</v>
      </c>
      <c r="AP457" s="54">
        <f t="shared" si="698"/>
        <v>-5338</v>
      </c>
      <c r="AQ457" s="54">
        <f t="shared" si="698"/>
        <v>-5563</v>
      </c>
      <c r="AR457" s="54">
        <f t="shared" si="698"/>
        <v>-5634</v>
      </c>
      <c r="AS457" s="54">
        <f t="shared" si="698"/>
        <v>-6313</v>
      </c>
      <c r="AT457" s="54">
        <f t="shared" si="698"/>
        <v>-4490</v>
      </c>
      <c r="AU457" s="54">
        <f>SUM(AU455:AU456)</f>
        <v>-1842</v>
      </c>
      <c r="AV457" s="54">
        <f t="shared" ref="AV457:CD457" si="699">SUM(AV455:AV456)</f>
        <v>-95</v>
      </c>
      <c r="AW457" s="54">
        <f t="shared" si="699"/>
        <v>-1138</v>
      </c>
      <c r="AX457" s="54">
        <f t="shared" si="699"/>
        <v>-1184</v>
      </c>
      <c r="AY457" s="54">
        <f t="shared" si="699"/>
        <v>-538</v>
      </c>
      <c r="AZ457" s="54">
        <f t="shared" si="699"/>
        <v>5</v>
      </c>
      <c r="BA457" s="54">
        <f t="shared" si="699"/>
        <v>-674</v>
      </c>
      <c r="BB457" s="54">
        <f t="shared" si="699"/>
        <v>-887</v>
      </c>
      <c r="BC457" s="54">
        <f t="shared" si="699"/>
        <v>-722</v>
      </c>
      <c r="BD457" s="54">
        <f t="shared" si="699"/>
        <v>-424</v>
      </c>
      <c r="BE457" s="54">
        <f t="shared" si="699"/>
        <v>-1223</v>
      </c>
      <c r="BF457" s="54">
        <f t="shared" si="699"/>
        <v>-1380</v>
      </c>
      <c r="BG457" s="54">
        <f t="shared" si="699"/>
        <v>-884</v>
      </c>
      <c r="BH457" s="54">
        <f t="shared" si="699"/>
        <v>-680</v>
      </c>
      <c r="BI457" s="54">
        <f t="shared" si="699"/>
        <v>-1442.0996675649694</v>
      </c>
      <c r="BJ457" s="54">
        <f t="shared" si="699"/>
        <v>-1490.3935210217801</v>
      </c>
      <c r="BK457" s="54">
        <f t="shared" si="699"/>
        <v>-1221.0890752680748</v>
      </c>
      <c r="BL457" s="54">
        <f t="shared" si="699"/>
        <v>-1448.6091648789202</v>
      </c>
      <c r="BM457" s="54">
        <f t="shared" si="699"/>
        <v>-2042.8329295378799</v>
      </c>
      <c r="BN457" s="54">
        <f t="shared" si="699"/>
        <v>-1986.900811775834</v>
      </c>
      <c r="BO457" s="54">
        <f t="shared" si="699"/>
        <v>-1923.8537997776111</v>
      </c>
      <c r="BP457" s="54">
        <f t="shared" si="699"/>
        <v>-2167.9488077960468</v>
      </c>
      <c r="BQ457" s="54">
        <f t="shared" si="699"/>
        <v>-2668.4441937897673</v>
      </c>
      <c r="BR457" s="54">
        <f t="shared" si="699"/>
        <v>-2628.3069279534111</v>
      </c>
      <c r="BS457" s="54">
        <f t="shared" si="699"/>
        <v>-2545.9864609219376</v>
      </c>
      <c r="BT457" s="54">
        <f t="shared" si="699"/>
        <v>-2783.9269562800564</v>
      </c>
      <c r="BU457" s="54">
        <f t="shared" si="699"/>
        <v>-3273.383854853565</v>
      </c>
      <c r="BV457" s="54">
        <f t="shared" si="699"/>
        <v>-3216.0366096357375</v>
      </c>
      <c r="BW457" s="54">
        <f t="shared" si="699"/>
        <v>-2554.875619177511</v>
      </c>
      <c r="BX457" s="54">
        <f t="shared" si="699"/>
        <v>-2825.7669701800187</v>
      </c>
      <c r="BY457" s="54">
        <f t="shared" si="699"/>
        <v>-3356.7762929919945</v>
      </c>
      <c r="BZ457" s="54">
        <f t="shared" si="699"/>
        <v>-3321.7475534048708</v>
      </c>
      <c r="CA457" s="54">
        <f t="shared" si="699"/>
        <v>-3179.4748320574199</v>
      </c>
      <c r="CB457" s="54">
        <f t="shared" si="699"/>
        <v>-3507.468327406903</v>
      </c>
      <c r="CC457" s="54">
        <f t="shared" si="699"/>
        <v>-4124.1028533536364</v>
      </c>
      <c r="CD457" s="54">
        <f t="shared" si="699"/>
        <v>-4147.7072200689863</v>
      </c>
      <c r="CE457"/>
      <c r="CH457"/>
      <c r="CI457" s="46">
        <f t="shared" si="695"/>
        <v>0</v>
      </c>
      <c r="CJ457" s="46">
        <f t="shared" si="695"/>
        <v>-2990</v>
      </c>
      <c r="CK457" s="46">
        <f t="shared" si="695"/>
        <v>-2845</v>
      </c>
      <c r="CL457" s="46">
        <f t="shared" si="695"/>
        <v>-3542</v>
      </c>
      <c r="CM457" s="46">
        <f t="shared" si="695"/>
        <v>-4339</v>
      </c>
      <c r="CN457" s="46">
        <f t="shared" si="695"/>
        <v>-4451</v>
      </c>
      <c r="CO457" s="46">
        <f t="shared" si="695"/>
        <v>-5338</v>
      </c>
      <c r="CP457" s="46">
        <f t="shared" si="695"/>
        <v>-4490</v>
      </c>
      <c r="CQ457" s="46">
        <f t="shared" si="695"/>
        <v>-1184</v>
      </c>
      <c r="CR457" s="46">
        <f t="shared" si="695"/>
        <v>-887</v>
      </c>
      <c r="CS457" s="46">
        <f t="shared" si="695"/>
        <v>-1380</v>
      </c>
      <c r="CT457" s="46">
        <f t="shared" si="695"/>
        <v>-1490.3935210217801</v>
      </c>
      <c r="CU457" s="46">
        <f t="shared" si="695"/>
        <v>-1986.900811775834</v>
      </c>
      <c r="CV457" s="46">
        <f t="shared" si="695"/>
        <v>-2628.3069279534111</v>
      </c>
      <c r="CW457" s="46">
        <f t="shared" si="695"/>
        <v>-3216.0366096357375</v>
      </c>
      <c r="CX457" s="46">
        <f t="shared" si="695"/>
        <v>-3321.7475534048708</v>
      </c>
    </row>
    <row r="458" spans="1:102" x14ac:dyDescent="0.25">
      <c r="B458" s="10"/>
      <c r="C458" s="10"/>
      <c r="D458" s="10"/>
      <c r="E458" s="10"/>
      <c r="F458" s="10"/>
      <c r="G458" s="10"/>
      <c r="H458" s="10"/>
      <c r="I458" s="10"/>
      <c r="J458" s="10"/>
      <c r="K458" s="10"/>
      <c r="L458" s="10"/>
      <c r="M458" s="10"/>
      <c r="N458" s="10"/>
      <c r="O458" s="10"/>
      <c r="P458" s="10"/>
      <c r="Q458" s="10"/>
      <c r="R458" s="10"/>
    </row>
    <row r="459" spans="1:102" x14ac:dyDescent="0.25">
      <c r="B459" t="s">
        <v>308</v>
      </c>
      <c r="S459" s="2">
        <f t="shared" ref="S459:CD459" si="700">+S362</f>
        <v>141</v>
      </c>
      <c r="T459" s="2">
        <f t="shared" si="700"/>
        <v>365</v>
      </c>
      <c r="U459" s="2">
        <f t="shared" si="700"/>
        <v>572</v>
      </c>
      <c r="V459" s="2">
        <f t="shared" si="700"/>
        <v>218</v>
      </c>
      <c r="W459" s="2">
        <f t="shared" si="700"/>
        <v>109</v>
      </c>
      <c r="X459" s="2">
        <f t="shared" si="700"/>
        <v>320</v>
      </c>
      <c r="Y459" s="2">
        <f t="shared" si="700"/>
        <v>808</v>
      </c>
      <c r="Z459" s="2">
        <f t="shared" si="700"/>
        <v>260</v>
      </c>
      <c r="AA459" s="2">
        <f t="shared" si="700"/>
        <v>80</v>
      </c>
      <c r="AB459" s="2">
        <f t="shared" si="700"/>
        <v>257</v>
      </c>
      <c r="AC459" s="2">
        <f t="shared" si="700"/>
        <v>1034</v>
      </c>
      <c r="AD459" s="2">
        <f t="shared" si="700"/>
        <v>367</v>
      </c>
      <c r="AE459" s="2">
        <f t="shared" si="700"/>
        <v>149</v>
      </c>
      <c r="AF459" s="2">
        <f t="shared" si="700"/>
        <v>275</v>
      </c>
      <c r="AG459" s="2">
        <f t="shared" si="700"/>
        <v>889</v>
      </c>
      <c r="AH459" s="2">
        <f t="shared" si="700"/>
        <v>540</v>
      </c>
      <c r="AI459" s="2">
        <f t="shared" si="700"/>
        <v>76</v>
      </c>
      <c r="AJ459" s="2">
        <f t="shared" si="700"/>
        <v>349</v>
      </c>
      <c r="AK459" s="2">
        <f t="shared" si="700"/>
        <v>727</v>
      </c>
      <c r="AL459" s="2">
        <f t="shared" si="700"/>
        <v>496</v>
      </c>
      <c r="AM459" s="2">
        <f t="shared" si="700"/>
        <v>106</v>
      </c>
      <c r="AN459" s="2">
        <f t="shared" si="700"/>
        <v>370</v>
      </c>
      <c r="AO459" s="2">
        <f t="shared" si="700"/>
        <v>931</v>
      </c>
      <c r="AP459" s="2">
        <f t="shared" si="700"/>
        <v>409</v>
      </c>
      <c r="AQ459" s="2">
        <f t="shared" si="700"/>
        <v>546</v>
      </c>
      <c r="AR459" s="2">
        <f t="shared" si="700"/>
        <v>67</v>
      </c>
      <c r="AS459" s="2">
        <f t="shared" si="700"/>
        <v>1140</v>
      </c>
      <c r="AT459" s="2">
        <f t="shared" si="700"/>
        <v>504</v>
      </c>
      <c r="AU459" s="2">
        <f t="shared" si="700"/>
        <v>399</v>
      </c>
      <c r="AV459" s="2">
        <f t="shared" si="700"/>
        <v>660</v>
      </c>
      <c r="AW459" s="2">
        <f t="shared" si="700"/>
        <v>1270</v>
      </c>
      <c r="AX459" s="2">
        <f t="shared" si="700"/>
        <v>654</v>
      </c>
      <c r="AY459" s="2">
        <f t="shared" si="700"/>
        <v>281</v>
      </c>
      <c r="AZ459" s="2">
        <f t="shared" si="700"/>
        <v>626</v>
      </c>
      <c r="BA459" s="2">
        <f t="shared" si="700"/>
        <v>1089</v>
      </c>
      <c r="BB459" s="2">
        <f t="shared" si="700"/>
        <v>768</v>
      </c>
      <c r="BC459" s="2">
        <f t="shared" si="700"/>
        <v>458</v>
      </c>
      <c r="BD459" s="2">
        <f t="shared" si="700"/>
        <v>562</v>
      </c>
      <c r="BE459" s="2">
        <f t="shared" si="700"/>
        <v>1056</v>
      </c>
      <c r="BF459" s="2">
        <f t="shared" si="700"/>
        <v>580</v>
      </c>
      <c r="BG459" s="2">
        <f t="shared" si="700"/>
        <v>222</v>
      </c>
      <c r="BH459" s="2">
        <f t="shared" si="700"/>
        <v>771</v>
      </c>
      <c r="BI459" s="2">
        <f t="shared" si="700"/>
        <v>1062.4193426728018</v>
      </c>
      <c r="BJ459" s="2">
        <f t="shared" si="700"/>
        <v>428.09117710717373</v>
      </c>
      <c r="BK459" s="2">
        <f t="shared" si="700"/>
        <v>159.45130153863533</v>
      </c>
      <c r="BL459" s="2">
        <f t="shared" si="700"/>
        <v>772.81492544548803</v>
      </c>
      <c r="BM459" s="2">
        <f t="shared" si="700"/>
        <v>1225.5355119246415</v>
      </c>
      <c r="BN459" s="2">
        <f t="shared" si="700"/>
        <v>422.87392868883239</v>
      </c>
      <c r="BO459" s="2">
        <f t="shared" si="700"/>
        <v>414.09010864416916</v>
      </c>
      <c r="BP459" s="2">
        <f t="shared" si="700"/>
        <v>793.27778767708082</v>
      </c>
      <c r="BQ459" s="2">
        <f t="shared" si="700"/>
        <v>1109.8214641897782</v>
      </c>
      <c r="BR459" s="2">
        <f t="shared" si="700"/>
        <v>442.37374588104137</v>
      </c>
      <c r="BS459" s="2">
        <f t="shared" si="700"/>
        <v>390.29571971423036</v>
      </c>
      <c r="BT459" s="2">
        <f t="shared" si="700"/>
        <v>785.67962389891204</v>
      </c>
      <c r="BU459" s="2">
        <f t="shared" si="700"/>
        <v>1096.1937019426036</v>
      </c>
      <c r="BV459" s="2">
        <f t="shared" si="700"/>
        <v>421.12685775576824</v>
      </c>
      <c r="BW459" s="2">
        <f t="shared" si="700"/>
        <v>401.26998916555544</v>
      </c>
      <c r="BX459" s="2">
        <f t="shared" si="700"/>
        <v>826.35969259568878</v>
      </c>
      <c r="BY459" s="2">
        <f t="shared" si="700"/>
        <v>1147.492991125896</v>
      </c>
      <c r="BZ459" s="2">
        <f t="shared" si="700"/>
        <v>448.68056841095813</v>
      </c>
      <c r="CA459" s="2">
        <f t="shared" si="700"/>
        <v>446.78792891565683</v>
      </c>
      <c r="CB459" s="2">
        <f t="shared" si="700"/>
        <v>896.85616709812757</v>
      </c>
      <c r="CC459" s="2">
        <f t="shared" si="700"/>
        <v>1253.2031184527573</v>
      </c>
      <c r="CD459" s="2">
        <f t="shared" si="700"/>
        <v>521.06711940166656</v>
      </c>
      <c r="CG459" s="29"/>
      <c r="CI459" s="29">
        <f t="shared" ref="CI459:CX459" si="701">+SUMIFS($S459:$CD459,$S$5:$CD$5,"&lt;="&amp;CI$5,$S$5:$CD$5,"&gt;"&amp;CH$5)</f>
        <v>0</v>
      </c>
      <c r="CJ459" s="29">
        <f t="shared" si="701"/>
        <v>1296</v>
      </c>
      <c r="CK459" s="29">
        <f t="shared" si="701"/>
        <v>1497</v>
      </c>
      <c r="CL459" s="29">
        <f t="shared" si="701"/>
        <v>1738</v>
      </c>
      <c r="CM459" s="29">
        <f t="shared" si="701"/>
        <v>1853</v>
      </c>
      <c r="CN459" s="29">
        <f t="shared" si="701"/>
        <v>1648</v>
      </c>
      <c r="CO459" s="29">
        <f t="shared" si="701"/>
        <v>1816</v>
      </c>
      <c r="CP459" s="29">
        <f t="shared" si="701"/>
        <v>2257</v>
      </c>
      <c r="CQ459" s="29">
        <f t="shared" si="701"/>
        <v>2983</v>
      </c>
      <c r="CR459" s="29">
        <f t="shared" si="701"/>
        <v>2764</v>
      </c>
      <c r="CS459" s="29">
        <f t="shared" si="701"/>
        <v>2656</v>
      </c>
      <c r="CT459" s="29">
        <f t="shared" si="701"/>
        <v>2483.5105197799753</v>
      </c>
      <c r="CU459" s="29">
        <f t="shared" si="701"/>
        <v>2580.6756675975976</v>
      </c>
      <c r="CV459" s="29">
        <f t="shared" si="701"/>
        <v>2759.5631063920696</v>
      </c>
      <c r="CW459" s="29">
        <f t="shared" si="701"/>
        <v>2693.2959033115139</v>
      </c>
      <c r="CX459" s="29">
        <f t="shared" si="701"/>
        <v>2823.8032412980983</v>
      </c>
    </row>
    <row r="460" spans="1:102" x14ac:dyDescent="0.25">
      <c r="B460" t="s">
        <v>309</v>
      </c>
      <c r="S460" s="2"/>
      <c r="T460" s="2">
        <f>+SUM(A459:T459)</f>
        <v>506</v>
      </c>
      <c r="U460" s="2">
        <f>+SUM(B459:U459)</f>
        <v>1078</v>
      </c>
      <c r="V460" s="2">
        <f t="shared" ref="V460:BE460" si="702">+SUM(S459:V459)</f>
        <v>1296</v>
      </c>
      <c r="W460" s="2">
        <f t="shared" si="702"/>
        <v>1264</v>
      </c>
      <c r="X460" s="2">
        <f t="shared" si="702"/>
        <v>1219</v>
      </c>
      <c r="Y460" s="2">
        <f t="shared" si="702"/>
        <v>1455</v>
      </c>
      <c r="Z460" s="2">
        <f t="shared" si="702"/>
        <v>1497</v>
      </c>
      <c r="AA460" s="2">
        <f t="shared" si="702"/>
        <v>1468</v>
      </c>
      <c r="AB460" s="2">
        <f t="shared" si="702"/>
        <v>1405</v>
      </c>
      <c r="AC460" s="2">
        <f t="shared" si="702"/>
        <v>1631</v>
      </c>
      <c r="AD460" s="2">
        <f t="shared" si="702"/>
        <v>1738</v>
      </c>
      <c r="AE460" s="2">
        <f t="shared" si="702"/>
        <v>1807</v>
      </c>
      <c r="AF460" s="2">
        <f t="shared" si="702"/>
        <v>1825</v>
      </c>
      <c r="AG460" s="2">
        <f t="shared" si="702"/>
        <v>1680</v>
      </c>
      <c r="AH460" s="2">
        <f t="shared" si="702"/>
        <v>1853</v>
      </c>
      <c r="AI460" s="2">
        <f t="shared" si="702"/>
        <v>1780</v>
      </c>
      <c r="AJ460" s="2">
        <f t="shared" si="702"/>
        <v>1854</v>
      </c>
      <c r="AK460" s="2">
        <f t="shared" si="702"/>
        <v>1692</v>
      </c>
      <c r="AL460" s="2">
        <f t="shared" si="702"/>
        <v>1648</v>
      </c>
      <c r="AM460" s="2">
        <f t="shared" si="702"/>
        <v>1678</v>
      </c>
      <c r="AN460" s="2">
        <f t="shared" si="702"/>
        <v>1699</v>
      </c>
      <c r="AO460" s="2">
        <f t="shared" si="702"/>
        <v>1903</v>
      </c>
      <c r="AP460" s="2">
        <f t="shared" si="702"/>
        <v>1816</v>
      </c>
      <c r="AQ460" s="2">
        <f t="shared" si="702"/>
        <v>2256</v>
      </c>
      <c r="AR460" s="2">
        <f t="shared" si="702"/>
        <v>1953</v>
      </c>
      <c r="AS460" s="2">
        <f t="shared" si="702"/>
        <v>2162</v>
      </c>
      <c r="AT460" s="2">
        <f t="shared" si="702"/>
        <v>2257</v>
      </c>
      <c r="AU460" s="2">
        <f t="shared" si="702"/>
        <v>2110</v>
      </c>
      <c r="AV460" s="2">
        <f t="shared" si="702"/>
        <v>2703</v>
      </c>
      <c r="AW460" s="2">
        <f t="shared" si="702"/>
        <v>2833</v>
      </c>
      <c r="AX460" s="2">
        <f t="shared" si="702"/>
        <v>2983</v>
      </c>
      <c r="AY460" s="2">
        <f t="shared" si="702"/>
        <v>2865</v>
      </c>
      <c r="AZ460" s="2">
        <f t="shared" si="702"/>
        <v>2831</v>
      </c>
      <c r="BA460" s="2">
        <f t="shared" si="702"/>
        <v>2650</v>
      </c>
      <c r="BB460" s="2">
        <f t="shared" si="702"/>
        <v>2764</v>
      </c>
      <c r="BC460" s="2">
        <f>+SUM(AZ459:BC459)</f>
        <v>2941</v>
      </c>
      <c r="BD460" s="2">
        <f t="shared" si="702"/>
        <v>2877</v>
      </c>
      <c r="BE460" s="2">
        <f t="shared" si="702"/>
        <v>2844</v>
      </c>
      <c r="BF460" s="2">
        <f>+SUM(BC459:BF459)</f>
        <v>2656</v>
      </c>
      <c r="BG460" s="2">
        <f t="shared" ref="BG460:BV460" si="703">+SUM(BD459:BG459)</f>
        <v>2420</v>
      </c>
      <c r="BH460" s="2">
        <f t="shared" si="703"/>
        <v>2629</v>
      </c>
      <c r="BI460" s="2">
        <f>+SUM(BF459:BI459)</f>
        <v>2635.4193426728016</v>
      </c>
      <c r="BJ460" s="2">
        <f t="shared" si="703"/>
        <v>2483.5105197799753</v>
      </c>
      <c r="BK460" s="2">
        <f t="shared" si="703"/>
        <v>2420.9618213186113</v>
      </c>
      <c r="BL460" s="2">
        <f t="shared" si="703"/>
        <v>2422.7767467640988</v>
      </c>
      <c r="BM460" s="2">
        <f t="shared" si="703"/>
        <v>2585.8929160159387</v>
      </c>
      <c r="BN460" s="2">
        <f t="shared" si="703"/>
        <v>2580.6756675975976</v>
      </c>
      <c r="BO460" s="2">
        <f t="shared" si="703"/>
        <v>2835.3144747031311</v>
      </c>
      <c r="BP460" s="2">
        <f t="shared" si="703"/>
        <v>2855.7773369347242</v>
      </c>
      <c r="BQ460" s="2">
        <f t="shared" si="703"/>
        <v>2740.0632891998603</v>
      </c>
      <c r="BR460" s="2">
        <f t="shared" si="703"/>
        <v>2759.5631063920696</v>
      </c>
      <c r="BS460" s="2">
        <f t="shared" si="703"/>
        <v>2735.768717462131</v>
      </c>
      <c r="BT460" s="2">
        <f t="shared" si="703"/>
        <v>2728.1705536839618</v>
      </c>
      <c r="BU460" s="2">
        <f t="shared" si="703"/>
        <v>2714.5427914367874</v>
      </c>
      <c r="BV460" s="2">
        <f t="shared" si="703"/>
        <v>2693.2959033115139</v>
      </c>
      <c r="BW460" s="2">
        <f t="shared" ref="BW460:BY460" si="704">+SUM(BP459:BW459)</f>
        <v>5440.0388902249715</v>
      </c>
      <c r="BX460" s="2">
        <f t="shared" si="704"/>
        <v>5473.1207951435781</v>
      </c>
      <c r="BY460" s="2">
        <f t="shared" si="704"/>
        <v>5510.7923220796965</v>
      </c>
      <c r="BZ460" s="2">
        <f t="shared" ref="BZ460" si="705">+SUM(BW459:BZ459)</f>
        <v>2823.8032412980983</v>
      </c>
      <c r="CA460" s="2">
        <f t="shared" ref="CA460:CC460" si="706">+SUM(BT459:CA459)</f>
        <v>5573.5913538110399</v>
      </c>
      <c r="CB460" s="2">
        <f t="shared" si="706"/>
        <v>5684.7678970102552</v>
      </c>
      <c r="CC460" s="2">
        <f t="shared" si="706"/>
        <v>5841.7773135204079</v>
      </c>
      <c r="CD460" s="2">
        <f t="shared" ref="CD460" si="707">+SUM(CA459:CD459)</f>
        <v>3117.9143338682079</v>
      </c>
      <c r="CI460" s="202">
        <f t="shared" ref="CI460:CX460" si="708">+CI459</f>
        <v>0</v>
      </c>
      <c r="CJ460" s="202">
        <f t="shared" si="708"/>
        <v>1296</v>
      </c>
      <c r="CK460" s="202">
        <f t="shared" si="708"/>
        <v>1497</v>
      </c>
      <c r="CL460" s="202">
        <f t="shared" si="708"/>
        <v>1738</v>
      </c>
      <c r="CM460" s="202">
        <f t="shared" si="708"/>
        <v>1853</v>
      </c>
      <c r="CN460" s="202">
        <f t="shared" si="708"/>
        <v>1648</v>
      </c>
      <c r="CO460" s="202">
        <f t="shared" si="708"/>
        <v>1816</v>
      </c>
      <c r="CP460" s="202">
        <f t="shared" si="708"/>
        <v>2257</v>
      </c>
      <c r="CQ460" s="202">
        <f t="shared" si="708"/>
        <v>2983</v>
      </c>
      <c r="CR460" s="202">
        <f t="shared" si="708"/>
        <v>2764</v>
      </c>
      <c r="CS460" s="202">
        <f t="shared" si="708"/>
        <v>2656</v>
      </c>
      <c r="CT460" s="202">
        <f t="shared" si="708"/>
        <v>2483.5105197799753</v>
      </c>
      <c r="CU460" s="202">
        <f t="shared" si="708"/>
        <v>2580.6756675975976</v>
      </c>
      <c r="CV460" s="202">
        <f t="shared" si="708"/>
        <v>2759.5631063920696</v>
      </c>
      <c r="CW460" s="202">
        <f t="shared" si="708"/>
        <v>2693.2959033115139</v>
      </c>
      <c r="CX460" s="202">
        <f t="shared" si="708"/>
        <v>2823.8032412980983</v>
      </c>
    </row>
    <row r="462" spans="1:102" x14ac:dyDescent="0.25">
      <c r="B462" t="s">
        <v>310</v>
      </c>
      <c r="S462" s="203"/>
      <c r="T462" s="203">
        <f t="shared" ref="T462:AT462" si="709">+T455/T460</f>
        <v>1.1679841897233201</v>
      </c>
      <c r="U462" s="203">
        <f t="shared" si="709"/>
        <v>3.4322820037105753E-2</v>
      </c>
      <c r="V462" s="203">
        <f t="shared" si="709"/>
        <v>2.3919753086419752E-2</v>
      </c>
      <c r="W462" s="203">
        <f t="shared" si="709"/>
        <v>1.9778481012658229E-2</v>
      </c>
      <c r="X462" s="203">
        <f t="shared" si="709"/>
        <v>1.0664479081214109E-2</v>
      </c>
      <c r="Y462" s="203">
        <f t="shared" si="709"/>
        <v>4.8109965635738834E-3</v>
      </c>
      <c r="Z462" s="203">
        <f t="shared" si="709"/>
        <v>0.66065464261857043</v>
      </c>
      <c r="AA462" s="203">
        <f t="shared" si="709"/>
        <v>0.67370572207084467</v>
      </c>
      <c r="AB462" s="203">
        <f t="shared" si="709"/>
        <v>0.70462633451957291</v>
      </c>
      <c r="AC462" s="203">
        <f t="shared" si="709"/>
        <v>0.60698957694665845</v>
      </c>
      <c r="AD462" s="203">
        <f t="shared" si="709"/>
        <v>0.569620253164557</v>
      </c>
      <c r="AE462" s="203">
        <f t="shared" si="709"/>
        <v>0.54842280022136136</v>
      </c>
      <c r="AF462" s="203">
        <f t="shared" si="709"/>
        <v>0.54301369863013693</v>
      </c>
      <c r="AG462" s="203">
        <f t="shared" si="709"/>
        <v>0.59047619047619049</v>
      </c>
      <c r="AH462" s="203">
        <f t="shared" si="709"/>
        <v>0.53534808418780355</v>
      </c>
      <c r="AI462" s="203">
        <f t="shared" si="709"/>
        <v>0.55786516853932588</v>
      </c>
      <c r="AJ462" s="203">
        <f t="shared" si="709"/>
        <v>0.53559870550161814</v>
      </c>
      <c r="AK462" s="203">
        <f t="shared" si="709"/>
        <v>0.58747044917257685</v>
      </c>
      <c r="AL462" s="203">
        <f t="shared" si="709"/>
        <v>0.60315533980582525</v>
      </c>
      <c r="AM462" s="203">
        <f t="shared" si="709"/>
        <v>0.59296781883194283</v>
      </c>
      <c r="AN462" s="203">
        <f t="shared" si="709"/>
        <v>0.58563861094761627</v>
      </c>
      <c r="AO462" s="203">
        <f t="shared" si="709"/>
        <v>0.52285864424592743</v>
      </c>
      <c r="AP462" s="203">
        <f t="shared" si="709"/>
        <v>0.21861233480176212</v>
      </c>
      <c r="AQ462" s="203">
        <f t="shared" si="709"/>
        <v>0.17597517730496454</v>
      </c>
      <c r="AR462" s="203">
        <f t="shared" si="709"/>
        <v>0.20327700972862264</v>
      </c>
      <c r="AS462" s="203">
        <f t="shared" si="709"/>
        <v>0.18362627197039777</v>
      </c>
      <c r="AT462" s="203">
        <f t="shared" si="709"/>
        <v>0.83119184758529019</v>
      </c>
      <c r="AU462" s="203">
        <f>+AU455/AU460</f>
        <v>0.88957345971563984</v>
      </c>
      <c r="AV462" s="203">
        <f t="shared" ref="AV462:CD462" si="710">+AV455/AV460</f>
        <v>0.69441361450240469</v>
      </c>
      <c r="AW462" s="203">
        <f t="shared" si="710"/>
        <v>0.66290151782562656</v>
      </c>
      <c r="AX462" s="203">
        <f t="shared" si="710"/>
        <v>0.62956754944686555</v>
      </c>
      <c r="AY462" s="203">
        <f t="shared" si="710"/>
        <v>0.65549738219895293</v>
      </c>
      <c r="AZ462" s="203">
        <f t="shared" si="710"/>
        <v>0.66372306605439779</v>
      </c>
      <c r="BA462" s="203">
        <f t="shared" si="710"/>
        <v>0.70905660377358493</v>
      </c>
      <c r="BB462" s="203">
        <f t="shared" si="710"/>
        <v>0.68017366136034729</v>
      </c>
      <c r="BC462" s="203">
        <f t="shared" si="710"/>
        <v>0.63923835430125808</v>
      </c>
      <c r="BD462" s="203">
        <f t="shared" si="710"/>
        <v>0.65380604796663189</v>
      </c>
      <c r="BE462" s="203">
        <f t="shared" si="710"/>
        <v>0.66139240506329111</v>
      </c>
      <c r="BF462" s="203">
        <f t="shared" si="710"/>
        <v>0.70858433734939763</v>
      </c>
      <c r="BG462" s="203">
        <f t="shared" si="710"/>
        <v>0.77768595041322319</v>
      </c>
      <c r="BH462" s="203">
        <f t="shared" si="710"/>
        <v>0.71624191707873719</v>
      </c>
      <c r="BI462" s="203">
        <f t="shared" si="710"/>
        <v>0.71449729821375996</v>
      </c>
      <c r="BJ462" s="203">
        <f t="shared" si="710"/>
        <v>0.7582009357330296</v>
      </c>
      <c r="BK462" s="203">
        <f t="shared" si="710"/>
        <v>0.77779004336978652</v>
      </c>
      <c r="BL462" s="203">
        <f t="shared" si="710"/>
        <v>0.77720739334111832</v>
      </c>
      <c r="BM462" s="203">
        <f t="shared" si="710"/>
        <v>0.72818173882510218</v>
      </c>
      <c r="BN462" s="203">
        <f t="shared" si="710"/>
        <v>0.72965387461994491</v>
      </c>
      <c r="BO462" s="203">
        <f t="shared" si="710"/>
        <v>0.66412386237937782</v>
      </c>
      <c r="BP462" s="203">
        <f t="shared" si="710"/>
        <v>0.65936513174417721</v>
      </c>
      <c r="BQ462" s="203">
        <f t="shared" si="710"/>
        <v>0.68721040401583733</v>
      </c>
      <c r="BR462" s="203">
        <f t="shared" si="710"/>
        <v>0.68235438995337461</v>
      </c>
      <c r="BS462" s="203">
        <f t="shared" si="710"/>
        <v>0.6882891773639358</v>
      </c>
      <c r="BT462" s="203">
        <f t="shared" si="710"/>
        <v>0.69020611539748022</v>
      </c>
      <c r="BU462" s="203">
        <f t="shared" si="710"/>
        <v>0.69367114268378949</v>
      </c>
      <c r="BV462" s="203">
        <f t="shared" si="710"/>
        <v>0.69914337956136829</v>
      </c>
      <c r="BW462" s="203">
        <f t="shared" si="710"/>
        <v>0.34613723136860314</v>
      </c>
      <c r="BX462" s="203">
        <f t="shared" si="710"/>
        <v>0.34404502850929725</v>
      </c>
      <c r="BY462" s="203">
        <f t="shared" si="710"/>
        <v>0.34169315226333585</v>
      </c>
      <c r="BZ462" s="203">
        <f t="shared" si="710"/>
        <v>0.66683116318486402</v>
      </c>
      <c r="CA462" s="203">
        <f t="shared" si="710"/>
        <v>0.33784321104066339</v>
      </c>
      <c r="CB462" s="203">
        <f t="shared" si="710"/>
        <v>0.33123603885223024</v>
      </c>
      <c r="CC462" s="203">
        <f t="shared" si="710"/>
        <v>0.32233340967001956</v>
      </c>
      <c r="CD462" s="203">
        <f t="shared" si="710"/>
        <v>0.60392935737393261</v>
      </c>
      <c r="CI462" s="203" t="e">
        <f t="shared" ref="CI462:CX462" si="711">+CI455/CI460</f>
        <v>#DIV/0!</v>
      </c>
      <c r="CJ462" s="203">
        <f t="shared" si="711"/>
        <v>2.3919753086419752E-2</v>
      </c>
      <c r="CK462" s="203">
        <f t="shared" si="711"/>
        <v>0.66065464261857043</v>
      </c>
      <c r="CL462" s="203">
        <f t="shared" si="711"/>
        <v>0.569620253164557</v>
      </c>
      <c r="CM462" s="203">
        <f t="shared" si="711"/>
        <v>0.53534808418780355</v>
      </c>
      <c r="CN462" s="203">
        <f t="shared" si="711"/>
        <v>0.60315533980582525</v>
      </c>
      <c r="CO462" s="203">
        <f t="shared" si="711"/>
        <v>0.21861233480176212</v>
      </c>
      <c r="CP462" s="203">
        <f t="shared" si="711"/>
        <v>0.83119184758529019</v>
      </c>
      <c r="CQ462" s="203">
        <f t="shared" si="711"/>
        <v>0.62956754944686555</v>
      </c>
      <c r="CR462" s="203">
        <f t="shared" si="711"/>
        <v>0.68017366136034729</v>
      </c>
      <c r="CS462" s="203">
        <f t="shared" si="711"/>
        <v>0.70858433734939763</v>
      </c>
      <c r="CT462" s="203">
        <f t="shared" si="711"/>
        <v>0.7582009357330296</v>
      </c>
      <c r="CU462" s="203">
        <f t="shared" si="711"/>
        <v>0.72965387461994491</v>
      </c>
      <c r="CV462" s="203">
        <f t="shared" si="711"/>
        <v>0.68235438995337461</v>
      </c>
      <c r="CW462" s="203">
        <f t="shared" si="711"/>
        <v>0.69914337956136829</v>
      </c>
      <c r="CX462" s="203">
        <f t="shared" si="711"/>
        <v>0.66683116318486402</v>
      </c>
    </row>
    <row r="463" spans="1:102" x14ac:dyDescent="0.25">
      <c r="B463" t="s">
        <v>311</v>
      </c>
      <c r="S463" s="203"/>
      <c r="T463" s="203">
        <f t="shared" ref="T463:AT463" si="712">+T457/T460</f>
        <v>-3.5513833992094863</v>
      </c>
      <c r="U463" s="203">
        <f t="shared" si="712"/>
        <v>-2.6929499072356213</v>
      </c>
      <c r="V463" s="203">
        <f t="shared" si="712"/>
        <v>-2.3070987654320989</v>
      </c>
      <c r="W463" s="203">
        <f t="shared" si="712"/>
        <v>-2.2579113924050631</v>
      </c>
      <c r="X463" s="203">
        <f t="shared" si="712"/>
        <v>-2.1123872026251025</v>
      </c>
      <c r="Y463" s="203">
        <f t="shared" si="712"/>
        <v>-2.2144329896907218</v>
      </c>
      <c r="Z463" s="203">
        <f t="shared" si="712"/>
        <v>-1.9004676018704074</v>
      </c>
      <c r="AA463" s="203">
        <f t="shared" si="712"/>
        <v>-1.6607629427792916</v>
      </c>
      <c r="AB463" s="203">
        <f t="shared" si="712"/>
        <v>-1.6199288256227757</v>
      </c>
      <c r="AC463" s="203">
        <f t="shared" si="712"/>
        <v>-1.979767014101778</v>
      </c>
      <c r="AD463" s="203">
        <f t="shared" si="712"/>
        <v>-2.037974683544304</v>
      </c>
      <c r="AE463" s="203">
        <f t="shared" si="712"/>
        <v>-1.9252905368013282</v>
      </c>
      <c r="AF463" s="203">
        <f t="shared" si="712"/>
        <v>-1.8432876712328767</v>
      </c>
      <c r="AG463" s="203">
        <f t="shared" si="712"/>
        <v>-2.3166666666666669</v>
      </c>
      <c r="AH463" s="203">
        <f t="shared" si="712"/>
        <v>-2.3416082029141934</v>
      </c>
      <c r="AI463" s="203">
        <f t="shared" si="712"/>
        <v>-2.2348314606741573</v>
      </c>
      <c r="AJ463" s="203">
        <f t="shared" si="712"/>
        <v>-1.9158576051779934</v>
      </c>
      <c r="AK463" s="203">
        <f t="shared" si="712"/>
        <v>-2.4627659574468086</v>
      </c>
      <c r="AL463" s="203">
        <f t="shared" si="712"/>
        <v>-2.7008495145631066</v>
      </c>
      <c r="AM463" s="203">
        <f t="shared" si="712"/>
        <v>-2.4982121573301548</v>
      </c>
      <c r="AN463" s="203">
        <f t="shared" si="712"/>
        <v>-2.2884049440847556</v>
      </c>
      <c r="AO463" s="203">
        <f t="shared" si="712"/>
        <v>-2.420914345769837</v>
      </c>
      <c r="AP463" s="203">
        <f t="shared" si="712"/>
        <v>-2.9394273127753303</v>
      </c>
      <c r="AQ463" s="203">
        <f t="shared" si="712"/>
        <v>-2.4658687943262412</v>
      </c>
      <c r="AR463" s="203">
        <f t="shared" si="712"/>
        <v>-2.8847926267281108</v>
      </c>
      <c r="AS463" s="203">
        <f t="shared" si="712"/>
        <v>-2.9199814986123958</v>
      </c>
      <c r="AT463" s="203">
        <f t="shared" si="712"/>
        <v>-1.9893664155959239</v>
      </c>
      <c r="AU463" s="203">
        <f>+AU457/AU460</f>
        <v>-0.87298578199052135</v>
      </c>
      <c r="AV463" s="203">
        <f t="shared" ref="AV463:CD463" si="713">+AV457/AV460</f>
        <v>-3.5146133925268219E-2</v>
      </c>
      <c r="AW463" s="203">
        <f t="shared" si="713"/>
        <v>-0.40169431697846808</v>
      </c>
      <c r="AX463" s="203">
        <f t="shared" si="713"/>
        <v>-0.39691585652028161</v>
      </c>
      <c r="AY463" s="203">
        <f t="shared" si="713"/>
        <v>-0.18778359511343803</v>
      </c>
      <c r="AZ463" s="203">
        <f t="shared" si="713"/>
        <v>1.7661603673613563E-3</v>
      </c>
      <c r="BA463" s="203">
        <f t="shared" si="713"/>
        <v>-0.25433962264150944</v>
      </c>
      <c r="BB463" s="203">
        <f t="shared" si="713"/>
        <v>-0.32091172214182345</v>
      </c>
      <c r="BC463" s="203">
        <f t="shared" si="713"/>
        <v>-0.24549472968378103</v>
      </c>
      <c r="BD463" s="203">
        <f t="shared" si="713"/>
        <v>-0.14737573861661452</v>
      </c>
      <c r="BE463" s="203">
        <f t="shared" si="713"/>
        <v>-0.43002812939521801</v>
      </c>
      <c r="BF463" s="203">
        <f t="shared" si="713"/>
        <v>-0.51957831325301207</v>
      </c>
      <c r="BG463" s="203">
        <f t="shared" si="713"/>
        <v>-0.36528925619834712</v>
      </c>
      <c r="BH463" s="203">
        <f t="shared" si="713"/>
        <v>-0.25865348041080261</v>
      </c>
      <c r="BI463" s="203">
        <f t="shared" si="713"/>
        <v>-0.54719931823161561</v>
      </c>
      <c r="BJ463" s="203">
        <f t="shared" si="713"/>
        <v>-0.60011564644140114</v>
      </c>
      <c r="BK463" s="203">
        <f t="shared" si="713"/>
        <v>-0.50438179756299972</v>
      </c>
      <c r="BL463" s="203">
        <f t="shared" si="713"/>
        <v>-0.59791277376824215</v>
      </c>
      <c r="BM463" s="203">
        <f t="shared" si="713"/>
        <v>-0.78999130895383463</v>
      </c>
      <c r="BN463" s="203">
        <f t="shared" si="713"/>
        <v>-0.76991496324893838</v>
      </c>
      <c r="BO463" s="203">
        <f t="shared" si="713"/>
        <v>-0.67853277544426405</v>
      </c>
      <c r="BP463" s="203">
        <f t="shared" si="713"/>
        <v>-0.75914490242542343</v>
      </c>
      <c r="BQ463" s="203">
        <f t="shared" si="713"/>
        <v>-0.97386224774720187</v>
      </c>
      <c r="BR463" s="203">
        <f t="shared" si="713"/>
        <v>-0.95243588445771532</v>
      </c>
      <c r="BS463" s="203">
        <f t="shared" si="713"/>
        <v>-0.93062927603169343</v>
      </c>
      <c r="BT463" s="203">
        <f t="shared" si="713"/>
        <v>-1.0204372862689264</v>
      </c>
      <c r="BU463" s="203">
        <f t="shared" si="713"/>
        <v>-1.2058693144126076</v>
      </c>
      <c r="BV463" s="203">
        <f t="shared" si="713"/>
        <v>-1.1940895932309157</v>
      </c>
      <c r="BW463" s="203">
        <f t="shared" si="713"/>
        <v>-0.46964289607713716</v>
      </c>
      <c r="BX463" s="203">
        <f t="shared" si="713"/>
        <v>-0.51629903229751195</v>
      </c>
      <c r="BY463" s="203">
        <f t="shared" si="713"/>
        <v>-0.60912770737932542</v>
      </c>
      <c r="BZ463" s="203">
        <f t="shared" si="713"/>
        <v>-1.1763381757001838</v>
      </c>
      <c r="CA463" s="203">
        <f t="shared" si="713"/>
        <v>-0.57045352452748421</v>
      </c>
      <c r="CB463" s="203">
        <f t="shared" si="713"/>
        <v>-0.61699411320760478</v>
      </c>
      <c r="CC463" s="203">
        <f t="shared" si="713"/>
        <v>-0.70596714527420834</v>
      </c>
      <c r="CD463" s="203">
        <f t="shared" si="713"/>
        <v>-1.3302826107230394</v>
      </c>
      <c r="CI463" s="203" t="e">
        <f t="shared" ref="CI463:CX463" si="714">+CI457/CI460</f>
        <v>#DIV/0!</v>
      </c>
      <c r="CJ463" s="203">
        <f t="shared" si="714"/>
        <v>-2.3070987654320989</v>
      </c>
      <c r="CK463" s="203">
        <f t="shared" si="714"/>
        <v>-1.9004676018704074</v>
      </c>
      <c r="CL463" s="203">
        <f t="shared" si="714"/>
        <v>-2.037974683544304</v>
      </c>
      <c r="CM463" s="203">
        <f t="shared" si="714"/>
        <v>-2.3416082029141934</v>
      </c>
      <c r="CN463" s="203">
        <f t="shared" si="714"/>
        <v>-2.7008495145631066</v>
      </c>
      <c r="CO463" s="203">
        <f t="shared" si="714"/>
        <v>-2.9394273127753303</v>
      </c>
      <c r="CP463" s="203">
        <f t="shared" si="714"/>
        <v>-1.9893664155959239</v>
      </c>
      <c r="CQ463" s="203">
        <f t="shared" si="714"/>
        <v>-0.39691585652028161</v>
      </c>
      <c r="CR463" s="203">
        <f t="shared" si="714"/>
        <v>-0.32091172214182345</v>
      </c>
      <c r="CS463" s="203">
        <f t="shared" si="714"/>
        <v>-0.51957831325301207</v>
      </c>
      <c r="CT463" s="203">
        <f t="shared" si="714"/>
        <v>-0.60011564644140114</v>
      </c>
      <c r="CU463" s="203">
        <f t="shared" si="714"/>
        <v>-0.76991496324893838</v>
      </c>
      <c r="CV463" s="203">
        <f t="shared" si="714"/>
        <v>-0.95243588445771532</v>
      </c>
      <c r="CW463" s="203">
        <f t="shared" si="714"/>
        <v>-1.1940895932309157</v>
      </c>
      <c r="CX463" s="203">
        <f t="shared" si="714"/>
        <v>-1.1763381757001838</v>
      </c>
    </row>
    <row r="465" spans="2:102" x14ac:dyDescent="0.25">
      <c r="B465" s="60" t="s">
        <v>312</v>
      </c>
      <c r="C465" s="60"/>
      <c r="D465" s="60"/>
      <c r="E465" s="60"/>
      <c r="F465" s="60"/>
      <c r="G465" s="60"/>
      <c r="H465" s="60"/>
      <c r="I465" s="60"/>
      <c r="J465" s="60"/>
      <c r="K465" s="60"/>
      <c r="L465" s="60"/>
      <c r="M465" s="60"/>
      <c r="N465" s="60"/>
      <c r="O465" s="60"/>
      <c r="P465" s="60"/>
      <c r="Q465" s="60"/>
      <c r="R465" s="60"/>
      <c r="AV465" s="52">
        <f>+AVERAGE(AU455:AV455)</f>
        <v>1877</v>
      </c>
      <c r="AW465" s="52">
        <f t="shared" ref="AW465:BF465" si="715">+AVERAGE(AV455:AW455)</f>
        <v>1877.5</v>
      </c>
      <c r="AX465" s="52">
        <f t="shared" si="715"/>
        <v>1878</v>
      </c>
      <c r="AY465" s="52">
        <f t="shared" si="715"/>
        <v>1878</v>
      </c>
      <c r="AZ465" s="52">
        <f t="shared" si="715"/>
        <v>1878.5</v>
      </c>
      <c r="BA465" s="52">
        <f t="shared" si="715"/>
        <v>1879</v>
      </c>
      <c r="BB465" s="52">
        <f t="shared" si="715"/>
        <v>1879.5</v>
      </c>
      <c r="BC465" s="52">
        <f>+AVERAGE(BB455:BC455)</f>
        <v>1880</v>
      </c>
      <c r="BD465" s="52">
        <f t="shared" si="715"/>
        <v>1880.5</v>
      </c>
      <c r="BE465" s="52">
        <f t="shared" si="715"/>
        <v>1881</v>
      </c>
      <c r="BF465" s="52">
        <f t="shared" si="715"/>
        <v>1881.5</v>
      </c>
      <c r="BG465" s="52">
        <f>+BF455</f>
        <v>1882</v>
      </c>
      <c r="BH465" s="52">
        <f t="shared" ref="BH465:BV465" si="716">+BG455</f>
        <v>1882</v>
      </c>
      <c r="BI465" s="52">
        <f>+BH455</f>
        <v>1883</v>
      </c>
      <c r="BJ465" s="52">
        <f>+BI455</f>
        <v>1883</v>
      </c>
      <c r="BK465" s="52">
        <f t="shared" si="716"/>
        <v>1883</v>
      </c>
      <c r="BL465" s="52">
        <f t="shared" si="716"/>
        <v>1883</v>
      </c>
      <c r="BM465" s="52">
        <f t="shared" si="716"/>
        <v>1883</v>
      </c>
      <c r="BN465" s="52">
        <f t="shared" si="716"/>
        <v>1883</v>
      </c>
      <c r="BO465" s="52">
        <f t="shared" si="716"/>
        <v>1883</v>
      </c>
      <c r="BP465" s="52">
        <f t="shared" si="716"/>
        <v>1883</v>
      </c>
      <c r="BQ465" s="52">
        <f t="shared" si="716"/>
        <v>1883</v>
      </c>
      <c r="BR465" s="52">
        <f t="shared" si="716"/>
        <v>1883</v>
      </c>
      <c r="BS465" s="52">
        <f t="shared" si="716"/>
        <v>1883</v>
      </c>
      <c r="BT465" s="52">
        <f t="shared" si="716"/>
        <v>1883</v>
      </c>
      <c r="BU465" s="52">
        <f t="shared" si="716"/>
        <v>1883</v>
      </c>
      <c r="BV465" s="52">
        <f t="shared" si="716"/>
        <v>1883</v>
      </c>
      <c r="BW465" s="52">
        <f>+BR455</f>
        <v>1883</v>
      </c>
      <c r="BX465" s="52">
        <f t="shared" ref="BX465:BZ465" si="717">+BW455</f>
        <v>1883</v>
      </c>
      <c r="BY465" s="52">
        <f t="shared" si="717"/>
        <v>1883</v>
      </c>
      <c r="BZ465" s="52">
        <f t="shared" si="717"/>
        <v>1883</v>
      </c>
      <c r="CA465" s="52">
        <f>+BV455</f>
        <v>1883</v>
      </c>
      <c r="CB465" s="52">
        <f t="shared" ref="CB465:CD465" si="718">+CA455</f>
        <v>1883</v>
      </c>
      <c r="CC465" s="52">
        <f t="shared" si="718"/>
        <v>1883</v>
      </c>
      <c r="CD465" s="52">
        <f t="shared" si="718"/>
        <v>1883</v>
      </c>
      <c r="CI465" s="52">
        <f t="shared" ref="CI465:CX465" si="719">+AVERAGE(CH455:CI455)</f>
        <v>0</v>
      </c>
      <c r="CJ465" s="52">
        <f t="shared" si="719"/>
        <v>15.5</v>
      </c>
      <c r="CK465" s="52">
        <f t="shared" si="719"/>
        <v>510</v>
      </c>
      <c r="CL465" s="52">
        <f t="shared" si="719"/>
        <v>989.5</v>
      </c>
      <c r="CM465" s="52">
        <f t="shared" si="719"/>
        <v>991</v>
      </c>
      <c r="CN465" s="52">
        <f t="shared" si="719"/>
        <v>993</v>
      </c>
      <c r="CO465" s="52">
        <f t="shared" si="719"/>
        <v>695.5</v>
      </c>
      <c r="CP465" s="52">
        <f t="shared" si="719"/>
        <v>1136.5</v>
      </c>
      <c r="CQ465" s="52">
        <f>+AVERAGE(CP455:CQ455)</f>
        <v>1877</v>
      </c>
      <c r="CR465" s="52">
        <f t="shared" si="719"/>
        <v>1879</v>
      </c>
      <c r="CS465" s="52">
        <f t="shared" si="719"/>
        <v>1881</v>
      </c>
      <c r="CT465" s="52">
        <f t="shared" si="719"/>
        <v>1882.5</v>
      </c>
      <c r="CU465" s="52">
        <f t="shared" si="719"/>
        <v>1883</v>
      </c>
      <c r="CV465" s="52">
        <f t="shared" si="719"/>
        <v>1883</v>
      </c>
      <c r="CW465" s="52">
        <f t="shared" si="719"/>
        <v>1883</v>
      </c>
      <c r="CX465" s="52">
        <f t="shared" si="719"/>
        <v>1883</v>
      </c>
    </row>
    <row r="466" spans="2:102" x14ac:dyDescent="0.25">
      <c r="B466" s="37" t="s">
        <v>313</v>
      </c>
      <c r="C466" s="37"/>
      <c r="D466" s="37"/>
      <c r="E466" s="37"/>
      <c r="F466" s="37"/>
      <c r="G466" s="37"/>
      <c r="H466" s="37"/>
      <c r="I466" s="37"/>
      <c r="J466" s="37"/>
      <c r="K466" s="37"/>
      <c r="L466" s="37"/>
      <c r="M466" s="37"/>
      <c r="N466" s="37"/>
      <c r="O466" s="37"/>
      <c r="P466" s="37"/>
      <c r="Q466" s="37"/>
      <c r="R466" s="37"/>
    </row>
    <row r="467" spans="2:102" x14ac:dyDescent="0.25">
      <c r="B467" s="204" t="s">
        <v>314</v>
      </c>
      <c r="C467" s="204"/>
      <c r="D467" s="204"/>
      <c r="E467" s="204"/>
      <c r="F467" s="204"/>
      <c r="G467" s="204"/>
      <c r="H467" s="204"/>
      <c r="I467" s="204"/>
      <c r="J467" s="204"/>
      <c r="K467" s="204"/>
      <c r="L467" s="204"/>
      <c r="M467" s="204"/>
      <c r="N467" s="204"/>
      <c r="O467" s="204"/>
      <c r="P467" s="204"/>
      <c r="Q467" s="204"/>
      <c r="R467" s="204"/>
      <c r="AV467" s="191">
        <f>+AV466*4/AV465</f>
        <v>0</v>
      </c>
      <c r="AW467" s="191">
        <f t="shared" ref="AW467:CD467" si="720">+AW466*4/AW465</f>
        <v>0</v>
      </c>
      <c r="AX467" s="191">
        <f t="shared" si="720"/>
        <v>0</v>
      </c>
      <c r="AY467" s="191">
        <f t="shared" si="720"/>
        <v>0</v>
      </c>
      <c r="AZ467" s="191">
        <f t="shared" si="720"/>
        <v>0</v>
      </c>
      <c r="BA467" s="191">
        <f t="shared" si="720"/>
        <v>0</v>
      </c>
      <c r="BB467" s="191">
        <f t="shared" si="720"/>
        <v>0</v>
      </c>
      <c r="BC467" s="191">
        <f t="shared" si="720"/>
        <v>0</v>
      </c>
      <c r="BD467" s="191">
        <f t="shared" si="720"/>
        <v>0</v>
      </c>
      <c r="BE467" s="191">
        <f t="shared" si="720"/>
        <v>0</v>
      </c>
      <c r="BF467" s="191">
        <f t="shared" si="720"/>
        <v>0</v>
      </c>
      <c r="BG467" s="191">
        <f t="shared" si="720"/>
        <v>0</v>
      </c>
      <c r="BH467" s="191">
        <f t="shared" si="720"/>
        <v>0</v>
      </c>
      <c r="BI467" s="191">
        <f t="shared" si="720"/>
        <v>0</v>
      </c>
      <c r="BJ467" s="191">
        <f t="shared" si="720"/>
        <v>0</v>
      </c>
      <c r="BK467" s="191">
        <f t="shared" si="720"/>
        <v>0</v>
      </c>
      <c r="BL467" s="191">
        <f t="shared" si="720"/>
        <v>0</v>
      </c>
      <c r="BM467" s="191">
        <f t="shared" si="720"/>
        <v>0</v>
      </c>
      <c r="BN467" s="191">
        <f t="shared" si="720"/>
        <v>0</v>
      </c>
      <c r="BO467" s="191">
        <f t="shared" si="720"/>
        <v>0</v>
      </c>
      <c r="BP467" s="191">
        <f t="shared" si="720"/>
        <v>0</v>
      </c>
      <c r="BQ467" s="191">
        <f t="shared" si="720"/>
        <v>0</v>
      </c>
      <c r="BR467" s="191">
        <f t="shared" si="720"/>
        <v>0</v>
      </c>
      <c r="BS467" s="191">
        <f t="shared" si="720"/>
        <v>0</v>
      </c>
      <c r="BT467" s="191">
        <f t="shared" si="720"/>
        <v>0</v>
      </c>
      <c r="BU467" s="191">
        <f t="shared" si="720"/>
        <v>0</v>
      </c>
      <c r="BV467" s="191">
        <f t="shared" si="720"/>
        <v>0</v>
      </c>
      <c r="BW467" s="191">
        <f t="shared" si="720"/>
        <v>0</v>
      </c>
      <c r="BX467" s="191">
        <f t="shared" si="720"/>
        <v>0</v>
      </c>
      <c r="BY467" s="191">
        <f t="shared" si="720"/>
        <v>0</v>
      </c>
      <c r="BZ467" s="191">
        <f t="shared" si="720"/>
        <v>0</v>
      </c>
      <c r="CA467" s="191">
        <f t="shared" si="720"/>
        <v>0</v>
      </c>
      <c r="CB467" s="191">
        <f t="shared" si="720"/>
        <v>0</v>
      </c>
      <c r="CC467" s="191">
        <f t="shared" si="720"/>
        <v>0</v>
      </c>
      <c r="CD467" s="191">
        <f t="shared" si="720"/>
        <v>0</v>
      </c>
      <c r="CI467" s="191" t="e">
        <f>+CI466/CI465</f>
        <v>#DIV/0!</v>
      </c>
      <c r="CJ467" s="191">
        <f t="shared" ref="CJ467:CX467" si="721">+CJ466/CJ465</f>
        <v>0</v>
      </c>
      <c r="CK467" s="191">
        <f t="shared" si="721"/>
        <v>0</v>
      </c>
      <c r="CL467" s="191">
        <f t="shared" si="721"/>
        <v>0</v>
      </c>
      <c r="CM467" s="191">
        <f t="shared" si="721"/>
        <v>0</v>
      </c>
      <c r="CN467" s="191">
        <f t="shared" si="721"/>
        <v>0</v>
      </c>
      <c r="CO467" s="191">
        <f t="shared" si="721"/>
        <v>0</v>
      </c>
      <c r="CP467" s="191">
        <f t="shared" si="721"/>
        <v>0</v>
      </c>
      <c r="CQ467" s="191">
        <f t="shared" si="721"/>
        <v>0</v>
      </c>
      <c r="CR467" s="191">
        <f t="shared" si="721"/>
        <v>0</v>
      </c>
      <c r="CS467" s="191">
        <f t="shared" si="721"/>
        <v>0</v>
      </c>
      <c r="CT467" s="191">
        <f t="shared" si="721"/>
        <v>0</v>
      </c>
      <c r="CU467" s="191">
        <f t="shared" si="721"/>
        <v>0</v>
      </c>
      <c r="CV467" s="191">
        <f t="shared" si="721"/>
        <v>0</v>
      </c>
      <c r="CW467" s="191">
        <f t="shared" si="721"/>
        <v>0</v>
      </c>
      <c r="CX467" s="191">
        <f t="shared" si="721"/>
        <v>0</v>
      </c>
    </row>
    <row r="469" spans="2:102" x14ac:dyDescent="0.25">
      <c r="B469" s="60" t="s">
        <v>315</v>
      </c>
      <c r="C469" s="60"/>
      <c r="D469" s="60"/>
      <c r="E469" s="60"/>
      <c r="F469" s="60"/>
      <c r="G469" s="60"/>
      <c r="H469" s="60"/>
      <c r="I469" s="60"/>
      <c r="J469" s="60"/>
      <c r="K469" s="60"/>
      <c r="L469" s="60"/>
      <c r="M469" s="60"/>
      <c r="N469" s="60"/>
      <c r="O469" s="60"/>
      <c r="P469" s="60"/>
      <c r="Q469" s="60"/>
      <c r="R469" s="60"/>
      <c r="AV469" s="52">
        <f>-AVERAGE(AU456:AV456)</f>
        <v>2845.5</v>
      </c>
      <c r="AW469" s="52">
        <f t="shared" ref="AW469:BF469" si="722">-AVERAGE(AV456:AW456)</f>
        <v>2494</v>
      </c>
      <c r="AX469" s="52">
        <f t="shared" si="722"/>
        <v>3039</v>
      </c>
      <c r="AY469" s="52">
        <f t="shared" si="722"/>
        <v>2739</v>
      </c>
      <c r="AZ469" s="52">
        <f t="shared" si="722"/>
        <v>2145</v>
      </c>
      <c r="BA469" s="52">
        <f t="shared" si="722"/>
        <v>2213.5</v>
      </c>
      <c r="BB469" s="52">
        <f t="shared" si="722"/>
        <v>2660</v>
      </c>
      <c r="BC469" s="52">
        <f>-AVERAGE(BB456:BC456)</f>
        <v>2684.5</v>
      </c>
      <c r="BD469" s="52">
        <f t="shared" si="722"/>
        <v>2453.5</v>
      </c>
      <c r="BE469" s="52">
        <f t="shared" si="722"/>
        <v>2704.5</v>
      </c>
      <c r="BF469" s="52">
        <f t="shared" si="722"/>
        <v>3183</v>
      </c>
      <c r="BG469" s="52">
        <f>-BF456</f>
        <v>3262</v>
      </c>
      <c r="BH469" s="52">
        <f t="shared" ref="BH469:BV469" si="723">-BG456</f>
        <v>2766</v>
      </c>
      <c r="BI469" s="52">
        <f>-BH456</f>
        <v>2563</v>
      </c>
      <c r="BJ469" s="52">
        <f>-BI456</f>
        <v>3325.0996675649694</v>
      </c>
      <c r="BK469" s="52">
        <f t="shared" si="723"/>
        <v>3373.3935210217801</v>
      </c>
      <c r="BL469" s="52">
        <f t="shared" si="723"/>
        <v>3104.0890752680748</v>
      </c>
      <c r="BM469" s="52">
        <f t="shared" si="723"/>
        <v>3331.6091648789202</v>
      </c>
      <c r="BN469" s="52">
        <f t="shared" si="723"/>
        <v>3925.8329295378799</v>
      </c>
      <c r="BO469" s="52">
        <f t="shared" si="723"/>
        <v>3869.900811775834</v>
      </c>
      <c r="BP469" s="52">
        <f t="shared" si="723"/>
        <v>3806.8537997776111</v>
      </c>
      <c r="BQ469" s="52">
        <f t="shared" si="723"/>
        <v>4050.9488077960468</v>
      </c>
      <c r="BR469" s="52">
        <f t="shared" si="723"/>
        <v>4551.4441937897673</v>
      </c>
      <c r="BS469" s="52">
        <f t="shared" si="723"/>
        <v>4511.3069279534111</v>
      </c>
      <c r="BT469" s="52">
        <f t="shared" si="723"/>
        <v>4428.9864609219376</v>
      </c>
      <c r="BU469" s="52">
        <f t="shared" si="723"/>
        <v>4666.9269562800564</v>
      </c>
      <c r="BV469" s="52">
        <f t="shared" si="723"/>
        <v>5156.383854853565</v>
      </c>
      <c r="BW469" s="52">
        <f>-BR456</f>
        <v>4511.3069279534111</v>
      </c>
      <c r="BX469" s="52">
        <f t="shared" ref="BX469:BZ469" si="724">-BW456</f>
        <v>4437.875619177511</v>
      </c>
      <c r="BY469" s="52">
        <f t="shared" si="724"/>
        <v>4708.7669701800187</v>
      </c>
      <c r="BZ469" s="52">
        <f t="shared" si="724"/>
        <v>5239.7762929919945</v>
      </c>
      <c r="CA469" s="52">
        <f>-BV456</f>
        <v>5099.0366096357375</v>
      </c>
      <c r="CB469" s="52">
        <f t="shared" ref="CB469:CD469" si="725">-CA456</f>
        <v>5062.4748320574199</v>
      </c>
      <c r="CC469" s="52">
        <f t="shared" si="725"/>
        <v>5390.468327406903</v>
      </c>
      <c r="CD469" s="52">
        <f t="shared" si="725"/>
        <v>6007.1028533536364</v>
      </c>
      <c r="CI469" s="52">
        <f t="shared" ref="CI469:CX469" si="726">-AVERAGE(CH456:CI456)</f>
        <v>0</v>
      </c>
      <c r="CJ469" s="52">
        <f t="shared" si="726"/>
        <v>1510.5</v>
      </c>
      <c r="CK469" s="52">
        <f t="shared" si="726"/>
        <v>3427.5</v>
      </c>
      <c r="CL469" s="52">
        <f t="shared" si="726"/>
        <v>4183</v>
      </c>
      <c r="CM469" s="52">
        <f t="shared" si="726"/>
        <v>4931.5</v>
      </c>
      <c r="CN469" s="52">
        <f t="shared" si="726"/>
        <v>5388</v>
      </c>
      <c r="CO469" s="52">
        <f t="shared" si="726"/>
        <v>5590</v>
      </c>
      <c r="CP469" s="52">
        <f t="shared" si="726"/>
        <v>6050.5</v>
      </c>
      <c r="CQ469" s="52">
        <f>-AVERAGE(CP456:CQ456)</f>
        <v>4714</v>
      </c>
      <c r="CR469" s="52">
        <f t="shared" si="726"/>
        <v>2914.5</v>
      </c>
      <c r="CS469" s="52">
        <f t="shared" si="726"/>
        <v>3014.5</v>
      </c>
      <c r="CT469" s="52">
        <f t="shared" si="726"/>
        <v>3317.6967605108903</v>
      </c>
      <c r="CU469" s="52">
        <f t="shared" si="726"/>
        <v>3621.6471663988068</v>
      </c>
      <c r="CV469" s="52">
        <f t="shared" si="726"/>
        <v>4190.6038698646225</v>
      </c>
      <c r="CW469" s="52">
        <f t="shared" si="726"/>
        <v>4805.1717687945747</v>
      </c>
      <c r="CX469" s="52">
        <f t="shared" si="726"/>
        <v>5151.8920815203037</v>
      </c>
    </row>
    <row r="470" spans="2:102" x14ac:dyDescent="0.25">
      <c r="B470" s="37" t="s">
        <v>316</v>
      </c>
      <c r="C470" s="37"/>
      <c r="D470" s="37"/>
      <c r="E470" s="37"/>
      <c r="F470" s="37"/>
      <c r="G470" s="37"/>
      <c r="H470" s="37"/>
      <c r="I470" s="37"/>
      <c r="J470" s="37"/>
      <c r="K470" s="37"/>
      <c r="L470" s="37"/>
      <c r="M470" s="37"/>
      <c r="N470" s="37"/>
      <c r="O470" s="37"/>
      <c r="P470" s="37"/>
      <c r="Q470" s="37"/>
      <c r="R470" s="37"/>
    </row>
    <row r="471" spans="2:102" x14ac:dyDescent="0.25">
      <c r="B471" s="204" t="s">
        <v>317</v>
      </c>
      <c r="C471" s="204"/>
      <c r="D471" s="204"/>
      <c r="E471" s="204"/>
      <c r="F471" s="204"/>
      <c r="G471" s="204"/>
      <c r="H471" s="204"/>
      <c r="I471" s="204"/>
      <c r="J471" s="204"/>
      <c r="K471" s="204"/>
      <c r="L471" s="204"/>
      <c r="M471" s="204"/>
      <c r="N471" s="204"/>
      <c r="O471" s="204"/>
      <c r="P471" s="204"/>
      <c r="Q471" s="204"/>
      <c r="R471" s="204"/>
      <c r="AV471" s="191">
        <f>+AV470*4/AV469</f>
        <v>0</v>
      </c>
      <c r="AW471" s="191">
        <f t="shared" ref="AW471:CD471" si="727">+AW470*4/AW469</f>
        <v>0</v>
      </c>
      <c r="AX471" s="191">
        <f t="shared" si="727"/>
        <v>0</v>
      </c>
      <c r="AY471" s="191">
        <f t="shared" si="727"/>
        <v>0</v>
      </c>
      <c r="AZ471" s="191">
        <f t="shared" si="727"/>
        <v>0</v>
      </c>
      <c r="BA471" s="191">
        <f t="shared" si="727"/>
        <v>0</v>
      </c>
      <c r="BB471" s="191">
        <f t="shared" si="727"/>
        <v>0</v>
      </c>
      <c r="BC471" s="191">
        <f t="shared" si="727"/>
        <v>0</v>
      </c>
      <c r="BD471" s="191">
        <f t="shared" si="727"/>
        <v>0</v>
      </c>
      <c r="BE471" s="191">
        <f t="shared" si="727"/>
        <v>0</v>
      </c>
      <c r="BF471" s="191">
        <f t="shared" si="727"/>
        <v>0</v>
      </c>
      <c r="BG471" s="191">
        <f t="shared" si="727"/>
        <v>0</v>
      </c>
      <c r="BH471" s="191">
        <f t="shared" si="727"/>
        <v>0</v>
      </c>
      <c r="BI471" s="191">
        <f t="shared" si="727"/>
        <v>0</v>
      </c>
      <c r="BJ471" s="191">
        <f t="shared" si="727"/>
        <v>0</v>
      </c>
      <c r="BK471" s="191">
        <f t="shared" si="727"/>
        <v>0</v>
      </c>
      <c r="BL471" s="191">
        <f t="shared" si="727"/>
        <v>0</v>
      </c>
      <c r="BM471" s="191">
        <f t="shared" si="727"/>
        <v>0</v>
      </c>
      <c r="BN471" s="191">
        <f t="shared" si="727"/>
        <v>0</v>
      </c>
      <c r="BO471" s="191">
        <f t="shared" si="727"/>
        <v>0</v>
      </c>
      <c r="BP471" s="191">
        <f t="shared" si="727"/>
        <v>0</v>
      </c>
      <c r="BQ471" s="191">
        <f t="shared" si="727"/>
        <v>0</v>
      </c>
      <c r="BR471" s="191">
        <f t="shared" si="727"/>
        <v>0</v>
      </c>
      <c r="BS471" s="191">
        <f t="shared" si="727"/>
        <v>0</v>
      </c>
      <c r="BT471" s="191">
        <f t="shared" si="727"/>
        <v>0</v>
      </c>
      <c r="BU471" s="191">
        <f t="shared" si="727"/>
        <v>0</v>
      </c>
      <c r="BV471" s="191">
        <f t="shared" si="727"/>
        <v>0</v>
      </c>
      <c r="BW471" s="191">
        <f t="shared" si="727"/>
        <v>0</v>
      </c>
      <c r="BX471" s="191">
        <f t="shared" si="727"/>
        <v>0</v>
      </c>
      <c r="BY471" s="191">
        <f t="shared" si="727"/>
        <v>0</v>
      </c>
      <c r="BZ471" s="191">
        <f t="shared" si="727"/>
        <v>0</v>
      </c>
      <c r="CA471" s="191">
        <f t="shared" si="727"/>
        <v>0</v>
      </c>
      <c r="CB471" s="191">
        <f t="shared" si="727"/>
        <v>0</v>
      </c>
      <c r="CC471" s="191">
        <f t="shared" si="727"/>
        <v>0</v>
      </c>
      <c r="CD471" s="191">
        <f t="shared" si="727"/>
        <v>0</v>
      </c>
      <c r="CI471" s="191" t="e">
        <f>+CI470/CI469</f>
        <v>#DIV/0!</v>
      </c>
      <c r="CJ471" s="191">
        <f t="shared" ref="CJ471:CX471" si="728">+CJ470/CJ469</f>
        <v>0</v>
      </c>
      <c r="CK471" s="191">
        <f t="shared" si="728"/>
        <v>0</v>
      </c>
      <c r="CL471" s="191">
        <f t="shared" si="728"/>
        <v>0</v>
      </c>
      <c r="CM471" s="191">
        <f t="shared" si="728"/>
        <v>0</v>
      </c>
      <c r="CN471" s="191">
        <f t="shared" si="728"/>
        <v>0</v>
      </c>
      <c r="CO471" s="191">
        <f t="shared" si="728"/>
        <v>0</v>
      </c>
      <c r="CP471" s="191">
        <f t="shared" si="728"/>
        <v>0</v>
      </c>
      <c r="CQ471" s="191">
        <f t="shared" si="728"/>
        <v>0</v>
      </c>
      <c r="CR471" s="191">
        <f t="shared" si="728"/>
        <v>0</v>
      </c>
      <c r="CS471" s="191">
        <f t="shared" si="728"/>
        <v>0</v>
      </c>
      <c r="CT471" s="191">
        <f t="shared" si="728"/>
        <v>0</v>
      </c>
      <c r="CU471" s="191">
        <f t="shared" si="728"/>
        <v>0</v>
      </c>
      <c r="CV471" s="191">
        <f t="shared" si="728"/>
        <v>0</v>
      </c>
      <c r="CW471" s="191">
        <f t="shared" si="728"/>
        <v>0</v>
      </c>
      <c r="CX471" s="191">
        <f t="shared" si="728"/>
        <v>0</v>
      </c>
    </row>
    <row r="473" spans="2:102" x14ac:dyDescent="0.25">
      <c r="B473" s="189" t="s">
        <v>318</v>
      </c>
      <c r="C473" s="189"/>
      <c r="D473" s="189"/>
      <c r="E473" s="189"/>
      <c r="F473" s="189"/>
      <c r="G473" s="189"/>
      <c r="H473" s="189"/>
      <c r="I473" s="189"/>
      <c r="J473" s="189"/>
      <c r="K473" s="189"/>
      <c r="L473" s="189"/>
      <c r="M473" s="189"/>
      <c r="N473" s="189"/>
      <c r="O473" s="189"/>
      <c r="P473" s="189"/>
      <c r="Q473" s="189"/>
      <c r="R473" s="189"/>
    </row>
    <row r="474" spans="2:102" x14ac:dyDescent="0.25">
      <c r="B474" s="37" t="str">
        <f t="shared" ref="B474:B476" si="729">+B601</f>
        <v>CASH</v>
      </c>
      <c r="C474" s="37"/>
      <c r="D474" s="37"/>
      <c r="E474" s="37"/>
      <c r="F474" s="37"/>
      <c r="G474" s="37"/>
      <c r="H474" s="37"/>
      <c r="I474" s="37"/>
      <c r="J474" s="37"/>
      <c r="K474" s="37"/>
      <c r="L474" s="37"/>
      <c r="M474" s="37"/>
      <c r="N474" s="37"/>
      <c r="O474" s="37"/>
      <c r="P474" s="37"/>
      <c r="Q474" s="37"/>
      <c r="R474" s="37"/>
      <c r="S474" s="53">
        <f t="shared" ref="S474:BG476" si="730">+S601</f>
        <v>2316</v>
      </c>
      <c r="T474" s="53">
        <f t="shared" si="730"/>
        <v>2388</v>
      </c>
      <c r="U474" s="53">
        <f t="shared" si="730"/>
        <v>2940</v>
      </c>
      <c r="V474" s="53">
        <f t="shared" si="730"/>
        <v>3021</v>
      </c>
      <c r="W474" s="53">
        <f t="shared" si="730"/>
        <v>2879</v>
      </c>
      <c r="X474" s="53">
        <f t="shared" si="730"/>
        <v>2588</v>
      </c>
      <c r="Y474" s="53">
        <f t="shared" si="730"/>
        <v>3229</v>
      </c>
      <c r="Z474" s="53">
        <f t="shared" si="730"/>
        <v>3834</v>
      </c>
      <c r="AA474" s="53">
        <f t="shared" si="730"/>
        <v>3427</v>
      </c>
      <c r="AB474" s="53">
        <f t="shared" si="730"/>
        <v>3266</v>
      </c>
      <c r="AC474" s="53">
        <f t="shared" si="730"/>
        <v>4219</v>
      </c>
      <c r="AD474" s="53">
        <f t="shared" si="730"/>
        <v>4532</v>
      </c>
      <c r="AE474" s="53">
        <f t="shared" si="730"/>
        <v>4470</v>
      </c>
      <c r="AF474" s="53">
        <f t="shared" si="730"/>
        <v>4355</v>
      </c>
      <c r="AG474" s="53">
        <f t="shared" si="730"/>
        <v>4884</v>
      </c>
      <c r="AH474" s="53">
        <f t="shared" si="730"/>
        <v>5331</v>
      </c>
      <c r="AI474" s="53">
        <f t="shared" si="730"/>
        <v>4971</v>
      </c>
      <c r="AJ474" s="53">
        <f t="shared" si="730"/>
        <v>4545</v>
      </c>
      <c r="AK474" s="53">
        <f t="shared" si="730"/>
        <v>5161</v>
      </c>
      <c r="AL474" s="53">
        <f t="shared" si="730"/>
        <v>5445</v>
      </c>
      <c r="AM474" s="53">
        <f t="shared" si="730"/>
        <v>5187</v>
      </c>
      <c r="AN474" s="53">
        <f t="shared" si="730"/>
        <v>4883</v>
      </c>
      <c r="AO474" s="53">
        <f t="shared" si="730"/>
        <v>5602</v>
      </c>
      <c r="AP474" s="53">
        <f t="shared" si="730"/>
        <v>5735</v>
      </c>
      <c r="AQ474" s="53">
        <f t="shared" si="730"/>
        <v>5960</v>
      </c>
      <c r="AR474" s="53">
        <f t="shared" si="730"/>
        <v>6031</v>
      </c>
      <c r="AS474" s="53">
        <f t="shared" si="730"/>
        <v>6710</v>
      </c>
      <c r="AT474" s="53">
        <f t="shared" si="730"/>
        <v>6366</v>
      </c>
      <c r="AU474" s="53">
        <f t="shared" si="730"/>
        <v>3719</v>
      </c>
      <c r="AV474" s="53">
        <f t="shared" si="730"/>
        <v>1972</v>
      </c>
      <c r="AW474" s="53">
        <f t="shared" si="730"/>
        <v>3016</v>
      </c>
      <c r="AX474" s="53">
        <f t="shared" si="730"/>
        <v>3062</v>
      </c>
      <c r="AY474" s="53">
        <f t="shared" si="730"/>
        <v>2416</v>
      </c>
      <c r="AZ474" s="53">
        <f t="shared" si="730"/>
        <v>1874</v>
      </c>
      <c r="BA474" s="53">
        <f t="shared" si="730"/>
        <v>2553</v>
      </c>
      <c r="BB474" s="53">
        <f t="shared" si="730"/>
        <v>2767</v>
      </c>
      <c r="BC474" s="53">
        <f t="shared" si="730"/>
        <v>2602</v>
      </c>
      <c r="BD474" s="53">
        <f t="shared" si="730"/>
        <v>2305</v>
      </c>
      <c r="BE474" s="53">
        <f t="shared" si="730"/>
        <v>3104</v>
      </c>
      <c r="BF474" s="53">
        <f t="shared" si="730"/>
        <v>3262</v>
      </c>
      <c r="BG474" s="53">
        <f t="shared" si="730"/>
        <v>2766</v>
      </c>
      <c r="CI474" s="29">
        <f t="shared" ref="CI474:CS486" si="731">+SUMIF($S$5:$CD$5,"="&amp;CI$5,$S474:$CD474)</f>
        <v>0</v>
      </c>
      <c r="CJ474" s="29">
        <f t="shared" si="731"/>
        <v>3021</v>
      </c>
      <c r="CK474" s="29">
        <f t="shared" si="731"/>
        <v>3834</v>
      </c>
      <c r="CL474" s="29">
        <f t="shared" si="731"/>
        <v>4532</v>
      </c>
      <c r="CM474" s="29">
        <f t="shared" si="731"/>
        <v>5331</v>
      </c>
      <c r="CN474" s="29">
        <f t="shared" si="731"/>
        <v>5445</v>
      </c>
      <c r="CO474" s="29">
        <f t="shared" si="731"/>
        <v>5735</v>
      </c>
      <c r="CP474" s="29">
        <f t="shared" si="731"/>
        <v>6366</v>
      </c>
      <c r="CQ474" s="29">
        <f>+SUMIF($S$5:$CD$5,"="&amp;CQ$5,$S474:$CD474)</f>
        <v>3062</v>
      </c>
      <c r="CR474" s="29">
        <f t="shared" si="731"/>
        <v>2767</v>
      </c>
      <c r="CS474" s="29">
        <f t="shared" si="731"/>
        <v>3262</v>
      </c>
      <c r="CT474" s="29"/>
      <c r="CU474" s="29"/>
      <c r="CV474" s="29"/>
      <c r="CW474" s="29"/>
      <c r="CX474" s="29"/>
    </row>
    <row r="475" spans="2:102" x14ac:dyDescent="0.25">
      <c r="B475" s="37" t="str">
        <f t="shared" si="729"/>
        <v>Receivables, net</v>
      </c>
      <c r="C475" s="37"/>
      <c r="D475" s="37"/>
      <c r="E475" s="37"/>
      <c r="F475" s="37"/>
      <c r="G475" s="37"/>
      <c r="H475" s="37"/>
      <c r="I475" s="37"/>
      <c r="J475" s="37"/>
      <c r="K475" s="37"/>
      <c r="L475" s="37"/>
      <c r="M475" s="37"/>
      <c r="N475" s="37"/>
      <c r="O475" s="37"/>
      <c r="P475" s="37"/>
      <c r="Q475" s="37"/>
      <c r="R475" s="37"/>
      <c r="S475" s="53">
        <f t="shared" si="730"/>
        <v>219</v>
      </c>
      <c r="T475" s="53">
        <f t="shared" si="730"/>
        <v>829</v>
      </c>
      <c r="U475" s="53">
        <f t="shared" si="730"/>
        <v>488</v>
      </c>
      <c r="V475" s="53">
        <f t="shared" si="730"/>
        <v>362</v>
      </c>
      <c r="W475" s="53">
        <f t="shared" si="730"/>
        <v>144</v>
      </c>
      <c r="X475" s="53">
        <f t="shared" si="730"/>
        <v>737</v>
      </c>
      <c r="Y475" s="53">
        <f t="shared" si="730"/>
        <v>621</v>
      </c>
      <c r="Z475" s="53">
        <f t="shared" si="730"/>
        <v>233</v>
      </c>
      <c r="AA475" s="53">
        <f t="shared" si="730"/>
        <v>246</v>
      </c>
      <c r="AB475" s="53">
        <f t="shared" si="730"/>
        <v>723</v>
      </c>
      <c r="AC475" s="53">
        <f t="shared" si="730"/>
        <v>587</v>
      </c>
      <c r="AD475" s="53">
        <f t="shared" si="730"/>
        <v>359</v>
      </c>
      <c r="AE475" s="53">
        <f t="shared" si="730"/>
        <v>222</v>
      </c>
      <c r="AF475" s="53">
        <f t="shared" si="730"/>
        <v>812</v>
      </c>
      <c r="AG475" s="53">
        <f t="shared" si="730"/>
        <v>886</v>
      </c>
      <c r="AH475" s="53">
        <f t="shared" si="730"/>
        <v>385</v>
      </c>
      <c r="AI475" s="53">
        <f t="shared" si="730"/>
        <v>371</v>
      </c>
      <c r="AJ475" s="53">
        <f t="shared" si="730"/>
        <v>966</v>
      </c>
      <c r="AK475" s="53">
        <f t="shared" si="730"/>
        <v>806</v>
      </c>
      <c r="AL475" s="53">
        <f t="shared" si="730"/>
        <v>623</v>
      </c>
      <c r="AM475" s="53">
        <f t="shared" si="730"/>
        <v>329</v>
      </c>
      <c r="AN475" s="53">
        <f t="shared" si="730"/>
        <v>856</v>
      </c>
      <c r="AO475" s="53">
        <f t="shared" si="730"/>
        <v>798</v>
      </c>
      <c r="AP475" s="53">
        <f t="shared" si="730"/>
        <v>461</v>
      </c>
      <c r="AQ475" s="53">
        <f t="shared" si="730"/>
        <v>507</v>
      </c>
      <c r="AR475" s="53">
        <f t="shared" si="730"/>
        <v>423</v>
      </c>
      <c r="AS475" s="53">
        <f t="shared" si="730"/>
        <v>778</v>
      </c>
      <c r="AT475" s="53">
        <f t="shared" si="730"/>
        <v>521</v>
      </c>
      <c r="AU475" s="53">
        <f t="shared" si="730"/>
        <v>557</v>
      </c>
      <c r="AV475" s="53">
        <f t="shared" si="730"/>
        <v>1031</v>
      </c>
      <c r="AW475" s="53">
        <f t="shared" si="730"/>
        <v>965</v>
      </c>
      <c r="AX475" s="53">
        <f t="shared" si="730"/>
        <v>650</v>
      </c>
      <c r="AY475" s="53">
        <f t="shared" si="730"/>
        <v>579</v>
      </c>
      <c r="AZ475" s="53">
        <f t="shared" si="730"/>
        <v>919</v>
      </c>
      <c r="BA475" s="53">
        <f t="shared" si="730"/>
        <v>836</v>
      </c>
      <c r="BB475" s="53">
        <f t="shared" si="730"/>
        <v>684</v>
      </c>
      <c r="BC475" s="53">
        <f t="shared" si="730"/>
        <v>517</v>
      </c>
      <c r="BD475" s="53">
        <f t="shared" si="730"/>
        <v>1047</v>
      </c>
      <c r="BE475" s="53">
        <f t="shared" si="730"/>
        <v>867</v>
      </c>
      <c r="BF475" s="53">
        <f t="shared" si="730"/>
        <v>565</v>
      </c>
      <c r="BG475" s="53">
        <f t="shared" si="730"/>
        <v>433</v>
      </c>
      <c r="BH475" s="52"/>
      <c r="BI475" s="52"/>
      <c r="BJ475" s="52"/>
      <c r="BK475" s="52"/>
      <c r="BL475" s="52"/>
      <c r="BM475" s="52"/>
      <c r="BN475" s="52"/>
      <c r="BO475" s="52"/>
      <c r="BP475" s="52"/>
      <c r="BQ475" s="52"/>
      <c r="BR475" s="52"/>
      <c r="CI475" s="29">
        <f t="shared" si="731"/>
        <v>0</v>
      </c>
      <c r="CJ475" s="29">
        <f t="shared" si="731"/>
        <v>362</v>
      </c>
      <c r="CK475" s="29">
        <f t="shared" si="731"/>
        <v>233</v>
      </c>
      <c r="CL475" s="29">
        <f t="shared" si="731"/>
        <v>359</v>
      </c>
      <c r="CM475" s="29">
        <f t="shared" si="731"/>
        <v>385</v>
      </c>
      <c r="CN475" s="29">
        <f t="shared" si="731"/>
        <v>623</v>
      </c>
      <c r="CO475" s="29">
        <f t="shared" si="731"/>
        <v>461</v>
      </c>
      <c r="CP475" s="29">
        <f t="shared" si="731"/>
        <v>521</v>
      </c>
      <c r="CQ475" s="29">
        <f>+SUMIF($S$5:$CD$5,"="&amp;CQ$5,$S475:$CD475)</f>
        <v>650</v>
      </c>
      <c r="CR475" s="29">
        <f t="shared" si="731"/>
        <v>684</v>
      </c>
      <c r="CS475" s="29">
        <f t="shared" si="731"/>
        <v>565</v>
      </c>
      <c r="CT475" s="29"/>
      <c r="CU475" s="29"/>
      <c r="CV475" s="29"/>
      <c r="CW475" s="29"/>
      <c r="CX475" s="29"/>
    </row>
    <row r="476" spans="2:102" x14ac:dyDescent="0.25">
      <c r="B476" s="37" t="str">
        <f t="shared" si="729"/>
        <v>Other assets - Current</v>
      </c>
      <c r="C476" s="37"/>
      <c r="D476" s="37"/>
      <c r="E476" s="37"/>
      <c r="F476" s="37"/>
      <c r="G476" s="37"/>
      <c r="H476" s="37"/>
      <c r="I476" s="37"/>
      <c r="J476" s="37"/>
      <c r="K476" s="37"/>
      <c r="L476" s="37"/>
      <c r="M476" s="37"/>
      <c r="N476" s="37"/>
      <c r="O476" s="37"/>
      <c r="P476" s="37"/>
      <c r="Q476" s="37"/>
      <c r="R476" s="37"/>
      <c r="S476" s="53">
        <f t="shared" si="730"/>
        <v>395</v>
      </c>
      <c r="T476" s="53">
        <f t="shared" si="730"/>
        <v>315</v>
      </c>
      <c r="U476" s="53">
        <f t="shared" si="730"/>
        <v>326</v>
      </c>
      <c r="V476" s="53">
        <f t="shared" si="730"/>
        <v>337</v>
      </c>
      <c r="W476" s="53">
        <f t="shared" si="730"/>
        <v>303</v>
      </c>
      <c r="X476" s="53">
        <f t="shared" si="730"/>
        <v>321</v>
      </c>
      <c r="Y476" s="53">
        <f t="shared" si="730"/>
        <v>302</v>
      </c>
      <c r="Z476" s="53">
        <f t="shared" si="730"/>
        <v>287</v>
      </c>
      <c r="AA476" s="53">
        <f t="shared" si="730"/>
        <v>299</v>
      </c>
      <c r="AB476" s="53">
        <f t="shared" si="730"/>
        <v>271</v>
      </c>
      <c r="AC476" s="53">
        <f t="shared" si="730"/>
        <v>295</v>
      </c>
      <c r="AD476" s="53">
        <f t="shared" si="730"/>
        <v>308</v>
      </c>
      <c r="AE476" s="53">
        <f t="shared" si="730"/>
        <v>210</v>
      </c>
      <c r="AF476" s="53">
        <f t="shared" si="730"/>
        <v>248</v>
      </c>
      <c r="AG476" s="53">
        <f t="shared" si="730"/>
        <v>196</v>
      </c>
      <c r="AH476" s="53">
        <f t="shared" si="730"/>
        <v>288</v>
      </c>
      <c r="AI476" s="53">
        <f t="shared" si="730"/>
        <v>282</v>
      </c>
      <c r="AJ476" s="53">
        <f t="shared" si="730"/>
        <v>292</v>
      </c>
      <c r="AK476" s="53">
        <f t="shared" si="730"/>
        <v>280</v>
      </c>
      <c r="AL476" s="53">
        <f t="shared" si="730"/>
        <v>313</v>
      </c>
      <c r="AM476" s="53">
        <f t="shared" si="730"/>
        <v>284</v>
      </c>
      <c r="AN476" s="53">
        <f t="shared" si="730"/>
        <v>301</v>
      </c>
      <c r="AO476" s="53">
        <f t="shared" si="730"/>
        <v>229</v>
      </c>
      <c r="AP476" s="53">
        <f t="shared" si="730"/>
        <v>321</v>
      </c>
      <c r="AQ476" s="53">
        <f t="shared" si="730"/>
        <v>223</v>
      </c>
      <c r="AR476" s="53">
        <f t="shared" si="730"/>
        <v>376</v>
      </c>
      <c r="AS476" s="53">
        <f t="shared" si="730"/>
        <v>233</v>
      </c>
      <c r="AT476" s="53">
        <f t="shared" si="730"/>
        <v>326</v>
      </c>
      <c r="AU476" s="53">
        <f t="shared" si="730"/>
        <v>401</v>
      </c>
      <c r="AV476" s="53">
        <f t="shared" si="730"/>
        <v>387</v>
      </c>
      <c r="AW476" s="53">
        <f t="shared" si="730"/>
        <v>377</v>
      </c>
      <c r="AX476" s="53">
        <f t="shared" si="730"/>
        <v>439</v>
      </c>
      <c r="AY476" s="53">
        <f t="shared" si="730"/>
        <v>522</v>
      </c>
      <c r="AZ476" s="53">
        <f t="shared" si="730"/>
        <v>649</v>
      </c>
      <c r="BA476" s="53">
        <f t="shared" si="730"/>
        <v>453</v>
      </c>
      <c r="BB476" s="53">
        <f t="shared" si="730"/>
        <v>518</v>
      </c>
      <c r="BC476" s="53">
        <f t="shared" si="730"/>
        <v>455</v>
      </c>
      <c r="BD476" s="53">
        <f t="shared" si="730"/>
        <v>492</v>
      </c>
      <c r="BE476" s="53">
        <f t="shared" si="730"/>
        <v>378</v>
      </c>
      <c r="BF476" s="53">
        <f t="shared" si="730"/>
        <v>420</v>
      </c>
      <c r="BG476" s="53">
        <f t="shared" si="730"/>
        <v>388</v>
      </c>
      <c r="CI476" s="29">
        <f t="shared" si="731"/>
        <v>0</v>
      </c>
      <c r="CJ476" s="29">
        <f t="shared" si="731"/>
        <v>337</v>
      </c>
      <c r="CK476" s="29">
        <f t="shared" si="731"/>
        <v>287</v>
      </c>
      <c r="CL476" s="29">
        <f t="shared" si="731"/>
        <v>308</v>
      </c>
      <c r="CM476" s="29">
        <f t="shared" si="731"/>
        <v>288</v>
      </c>
      <c r="CN476" s="29">
        <f t="shared" si="731"/>
        <v>313</v>
      </c>
      <c r="CO476" s="29">
        <f t="shared" si="731"/>
        <v>321</v>
      </c>
      <c r="CP476" s="29">
        <f t="shared" si="731"/>
        <v>326</v>
      </c>
      <c r="CQ476" s="29">
        <f>+SUMIF($S$5:$CD$5,"="&amp;CQ$5,$S476:$CD476)</f>
        <v>439</v>
      </c>
      <c r="CR476" s="29">
        <f t="shared" si="731"/>
        <v>518</v>
      </c>
      <c r="CS476" s="29">
        <f t="shared" si="731"/>
        <v>420</v>
      </c>
      <c r="CT476" s="29"/>
      <c r="CU476" s="29"/>
      <c r="CV476" s="29"/>
      <c r="CW476" s="29"/>
      <c r="CX476" s="29"/>
    </row>
    <row r="477" spans="2:102" x14ac:dyDescent="0.25">
      <c r="B477" s="37" t="s">
        <v>273</v>
      </c>
      <c r="C477" s="37"/>
      <c r="D477" s="37"/>
      <c r="E477" s="37"/>
      <c r="F477" s="37"/>
      <c r="G477" s="37"/>
      <c r="H477" s="37"/>
      <c r="I477" s="37"/>
      <c r="J477" s="37"/>
      <c r="K477" s="37"/>
      <c r="L477" s="37"/>
      <c r="M477" s="37"/>
      <c r="N477" s="37"/>
      <c r="O477" s="37"/>
      <c r="P477" s="37"/>
      <c r="Q477" s="37"/>
      <c r="R477" s="37"/>
      <c r="S477" s="50">
        <f t="shared" ref="S477" si="732">+S478-SUM(S474:S476)</f>
        <v>0</v>
      </c>
      <c r="T477" s="50">
        <f t="shared" ref="T477" si="733">+T478-SUM(T474:T476)</f>
        <v>0</v>
      </c>
      <c r="U477" s="50">
        <f t="shared" ref="U477:BE477" si="734">+U478-SUM(U474:U476)</f>
        <v>0</v>
      </c>
      <c r="V477" s="50">
        <f t="shared" si="734"/>
        <v>0</v>
      </c>
      <c r="W477" s="50">
        <f t="shared" si="734"/>
        <v>0</v>
      </c>
      <c r="X477" s="50">
        <f t="shared" si="734"/>
        <v>0</v>
      </c>
      <c r="Y477" s="50">
        <f t="shared" si="734"/>
        <v>0</v>
      </c>
      <c r="Z477" s="50">
        <f t="shared" si="734"/>
        <v>0</v>
      </c>
      <c r="AA477" s="50">
        <f t="shared" si="734"/>
        <v>0</v>
      </c>
      <c r="AB477" s="50">
        <f t="shared" si="734"/>
        <v>0</v>
      </c>
      <c r="AC477" s="50">
        <f t="shared" si="734"/>
        <v>0</v>
      </c>
      <c r="AD477" s="50">
        <f t="shared" si="734"/>
        <v>0</v>
      </c>
      <c r="AE477" s="50">
        <f t="shared" si="734"/>
        <v>0</v>
      </c>
      <c r="AF477" s="50">
        <f t="shared" si="734"/>
        <v>0</v>
      </c>
      <c r="AG477" s="50">
        <f t="shared" si="734"/>
        <v>0</v>
      </c>
      <c r="AH477" s="50">
        <f t="shared" si="734"/>
        <v>0</v>
      </c>
      <c r="AI477" s="50">
        <f t="shared" si="734"/>
        <v>0</v>
      </c>
      <c r="AJ477" s="50">
        <f t="shared" si="734"/>
        <v>0</v>
      </c>
      <c r="AK477" s="50">
        <f t="shared" si="734"/>
        <v>0</v>
      </c>
      <c r="AL477" s="50">
        <f t="shared" si="734"/>
        <v>0</v>
      </c>
      <c r="AM477" s="50">
        <f t="shared" si="734"/>
        <v>0</v>
      </c>
      <c r="AN477" s="50">
        <f t="shared" si="734"/>
        <v>0</v>
      </c>
      <c r="AO477" s="50">
        <f t="shared" si="734"/>
        <v>0</v>
      </c>
      <c r="AP477" s="50">
        <f t="shared" si="734"/>
        <v>0</v>
      </c>
      <c r="AQ477" s="50">
        <f t="shared" si="734"/>
        <v>0</v>
      </c>
      <c r="AR477" s="50">
        <f t="shared" si="734"/>
        <v>0</v>
      </c>
      <c r="AS477" s="50">
        <f t="shared" si="734"/>
        <v>0</v>
      </c>
      <c r="AT477" s="50">
        <f t="shared" si="734"/>
        <v>0</v>
      </c>
      <c r="AU477" s="50">
        <f t="shared" si="734"/>
        <v>0</v>
      </c>
      <c r="AV477" s="50">
        <f t="shared" si="734"/>
        <v>0</v>
      </c>
      <c r="AW477" s="50">
        <f t="shared" si="734"/>
        <v>0</v>
      </c>
      <c r="AX477" s="50">
        <f t="shared" si="734"/>
        <v>0</v>
      </c>
      <c r="AY477" s="50">
        <f t="shared" si="734"/>
        <v>0</v>
      </c>
      <c r="AZ477" s="50">
        <f t="shared" si="734"/>
        <v>0</v>
      </c>
      <c r="BA477" s="50">
        <f t="shared" si="734"/>
        <v>0</v>
      </c>
      <c r="BB477" s="50">
        <f t="shared" si="734"/>
        <v>0</v>
      </c>
      <c r="BC477" s="50">
        <f t="shared" si="734"/>
        <v>0</v>
      </c>
      <c r="BD477" s="50">
        <f t="shared" si="734"/>
        <v>0</v>
      </c>
      <c r="BE477" s="50">
        <f t="shared" si="734"/>
        <v>0</v>
      </c>
      <c r="BF477" s="50">
        <f>+BF478-SUM(BF474:BF476)</f>
        <v>0</v>
      </c>
      <c r="BG477" s="50">
        <f>+BG478-SUM(BG474:BG476)</f>
        <v>0</v>
      </c>
      <c r="CI477" s="29">
        <f t="shared" si="731"/>
        <v>0</v>
      </c>
      <c r="CJ477" s="29">
        <f t="shared" si="731"/>
        <v>0</v>
      </c>
      <c r="CK477" s="29">
        <f t="shared" si="731"/>
        <v>0</v>
      </c>
      <c r="CL477" s="29">
        <f t="shared" si="731"/>
        <v>0</v>
      </c>
      <c r="CM477" s="29">
        <f t="shared" si="731"/>
        <v>0</v>
      </c>
      <c r="CN477" s="29">
        <f t="shared" si="731"/>
        <v>0</v>
      </c>
      <c r="CO477" s="29">
        <f t="shared" si="731"/>
        <v>0</v>
      </c>
      <c r="CP477" s="29">
        <f t="shared" si="731"/>
        <v>0</v>
      </c>
      <c r="CQ477" s="29">
        <f>+SUMIF($S$5:$CD$5,"="&amp;CQ$5,$S477:$CD477)</f>
        <v>0</v>
      </c>
      <c r="CR477" s="29">
        <f t="shared" si="731"/>
        <v>0</v>
      </c>
      <c r="CS477" s="29">
        <f t="shared" si="731"/>
        <v>0</v>
      </c>
      <c r="CT477" s="29"/>
      <c r="CU477" s="29"/>
      <c r="CV477" s="29"/>
      <c r="CW477" s="29"/>
      <c r="CX477" s="29"/>
    </row>
    <row r="478" spans="2:102" s="10" customFormat="1" x14ac:dyDescent="0.25">
      <c r="B478" s="10" t="s">
        <v>319</v>
      </c>
      <c r="S478" s="205">
        <f t="shared" ref="S478:BG478" si="735">+S604</f>
        <v>2930</v>
      </c>
      <c r="T478" s="205">
        <f t="shared" si="735"/>
        <v>3532</v>
      </c>
      <c r="U478" s="205">
        <f t="shared" si="735"/>
        <v>3754</v>
      </c>
      <c r="V478" s="205">
        <f t="shared" si="735"/>
        <v>3720</v>
      </c>
      <c r="W478" s="205">
        <f t="shared" si="735"/>
        <v>3326</v>
      </c>
      <c r="X478" s="205">
        <f t="shared" si="735"/>
        <v>3646</v>
      </c>
      <c r="Y478" s="205">
        <f t="shared" si="735"/>
        <v>4152</v>
      </c>
      <c r="Z478" s="205">
        <f t="shared" si="735"/>
        <v>4354</v>
      </c>
      <c r="AA478" s="205">
        <f t="shared" si="735"/>
        <v>3972</v>
      </c>
      <c r="AB478" s="205">
        <f t="shared" si="735"/>
        <v>4260</v>
      </c>
      <c r="AC478" s="205">
        <f t="shared" si="735"/>
        <v>5101</v>
      </c>
      <c r="AD478" s="205">
        <f t="shared" si="735"/>
        <v>5199</v>
      </c>
      <c r="AE478" s="205">
        <f t="shared" si="735"/>
        <v>4902</v>
      </c>
      <c r="AF478" s="205">
        <f t="shared" si="735"/>
        <v>5415</v>
      </c>
      <c r="AG478" s="205">
        <f t="shared" si="735"/>
        <v>5966</v>
      </c>
      <c r="AH478" s="205">
        <f t="shared" si="735"/>
        <v>6004</v>
      </c>
      <c r="AI478" s="205">
        <f t="shared" si="735"/>
        <v>5624</v>
      </c>
      <c r="AJ478" s="205">
        <f t="shared" si="735"/>
        <v>5803</v>
      </c>
      <c r="AK478" s="205">
        <f t="shared" si="735"/>
        <v>6247</v>
      </c>
      <c r="AL478" s="205">
        <f t="shared" si="735"/>
        <v>6381</v>
      </c>
      <c r="AM478" s="205">
        <f t="shared" si="735"/>
        <v>5800</v>
      </c>
      <c r="AN478" s="205">
        <f t="shared" si="735"/>
        <v>6040</v>
      </c>
      <c r="AO478" s="205">
        <f t="shared" si="735"/>
        <v>6629</v>
      </c>
      <c r="AP478" s="205">
        <f t="shared" si="735"/>
        <v>6517</v>
      </c>
      <c r="AQ478" s="205">
        <f t="shared" si="735"/>
        <v>6690</v>
      </c>
      <c r="AR478" s="205">
        <f t="shared" si="735"/>
        <v>6830</v>
      </c>
      <c r="AS478" s="205">
        <f t="shared" si="735"/>
        <v>7721</v>
      </c>
      <c r="AT478" s="205">
        <f t="shared" si="735"/>
        <v>7213</v>
      </c>
      <c r="AU478" s="205">
        <f t="shared" si="735"/>
        <v>4677</v>
      </c>
      <c r="AV478" s="205">
        <f t="shared" si="735"/>
        <v>3390</v>
      </c>
      <c r="AW478" s="205">
        <f t="shared" si="735"/>
        <v>4358</v>
      </c>
      <c r="AX478" s="205">
        <f t="shared" si="735"/>
        <v>4151</v>
      </c>
      <c r="AY478" s="205">
        <f t="shared" si="735"/>
        <v>3517</v>
      </c>
      <c r="AZ478" s="205">
        <f t="shared" si="735"/>
        <v>3442</v>
      </c>
      <c r="BA478" s="205">
        <f t="shared" si="735"/>
        <v>3842</v>
      </c>
      <c r="BB478" s="205">
        <f t="shared" si="735"/>
        <v>3969</v>
      </c>
      <c r="BC478" s="205">
        <f t="shared" si="735"/>
        <v>3574</v>
      </c>
      <c r="BD478" s="205">
        <f t="shared" si="735"/>
        <v>3844</v>
      </c>
      <c r="BE478" s="205">
        <f t="shared" si="735"/>
        <v>4349</v>
      </c>
      <c r="BF478" s="205">
        <f t="shared" si="735"/>
        <v>4247</v>
      </c>
      <c r="BG478" s="205">
        <f t="shared" si="735"/>
        <v>3587</v>
      </c>
      <c r="CE478"/>
      <c r="CH478"/>
      <c r="CI478" s="29">
        <f t="shared" si="731"/>
        <v>0</v>
      </c>
      <c r="CJ478" s="29">
        <f t="shared" si="731"/>
        <v>3720</v>
      </c>
      <c r="CK478" s="29">
        <f t="shared" si="731"/>
        <v>4354</v>
      </c>
      <c r="CL478" s="29">
        <f t="shared" si="731"/>
        <v>5199</v>
      </c>
      <c r="CM478" s="29">
        <f t="shared" si="731"/>
        <v>6004</v>
      </c>
      <c r="CN478" s="29">
        <f t="shared" si="731"/>
        <v>6381</v>
      </c>
      <c r="CO478" s="29">
        <f t="shared" si="731"/>
        <v>6517</v>
      </c>
      <c r="CP478" s="29">
        <f t="shared" si="731"/>
        <v>7213</v>
      </c>
      <c r="CQ478" s="29">
        <f>+SUMIF($S$5:$CD$5,"="&amp;CQ$5,$S478:$CD478)</f>
        <v>4151</v>
      </c>
      <c r="CR478" s="29">
        <f t="shared" si="731"/>
        <v>3969</v>
      </c>
      <c r="CS478" s="29">
        <f t="shared" si="731"/>
        <v>4247</v>
      </c>
      <c r="CT478" s="29"/>
      <c r="CU478" s="29"/>
      <c r="CV478" s="29"/>
      <c r="CW478" s="29"/>
      <c r="CX478" s="29"/>
    </row>
    <row r="479" spans="2:102" x14ac:dyDescent="0.25">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CI479" s="29"/>
      <c r="CJ479" s="29"/>
      <c r="CK479" s="29"/>
      <c r="CL479" s="29"/>
      <c r="CM479" s="29"/>
      <c r="CN479" s="29"/>
      <c r="CO479" s="29"/>
      <c r="CP479" s="29"/>
      <c r="CQ479" s="29"/>
      <c r="CR479" s="29"/>
      <c r="CS479" s="29"/>
      <c r="CT479" s="29"/>
      <c r="CU479" s="29"/>
      <c r="CV479" s="29"/>
      <c r="CW479" s="29"/>
      <c r="CX479" s="29"/>
    </row>
    <row r="480" spans="2:102" x14ac:dyDescent="0.25">
      <c r="B480" s="37" t="str">
        <f t="shared" ref="B480:BG484" si="736">+B606</f>
        <v>Property and equipment, net</v>
      </c>
      <c r="C480" s="37"/>
      <c r="D480" s="37"/>
      <c r="E480" s="37"/>
      <c r="F480" s="37"/>
      <c r="G480" s="37"/>
      <c r="H480" s="37"/>
      <c r="I480" s="37"/>
      <c r="J480" s="37"/>
      <c r="K480" s="37"/>
      <c r="L480" s="37"/>
      <c r="M480" s="37"/>
      <c r="N480" s="37"/>
      <c r="O480" s="37"/>
      <c r="P480" s="37"/>
      <c r="Q480" s="37"/>
      <c r="R480" s="37"/>
      <c r="S480" s="53">
        <f t="shared" si="736"/>
        <v>503</v>
      </c>
      <c r="T480" s="53">
        <f t="shared" si="736"/>
        <v>483</v>
      </c>
      <c r="U480" s="53">
        <f t="shared" si="736"/>
        <v>461</v>
      </c>
      <c r="V480" s="53">
        <f t="shared" si="736"/>
        <v>459</v>
      </c>
      <c r="W480" s="53">
        <f t="shared" si="736"/>
        <v>444</v>
      </c>
      <c r="X480" s="53">
        <f t="shared" si="736"/>
        <v>430</v>
      </c>
      <c r="Y480" s="53">
        <f t="shared" si="736"/>
        <v>415</v>
      </c>
      <c r="Z480" s="53">
        <f t="shared" si="736"/>
        <v>439</v>
      </c>
      <c r="AA480" s="53">
        <f t="shared" si="736"/>
        <v>435</v>
      </c>
      <c r="AB480" s="53">
        <f t="shared" si="736"/>
        <v>431</v>
      </c>
      <c r="AC480" s="53">
        <f t="shared" si="736"/>
        <v>424</v>
      </c>
      <c r="AD480" s="53">
        <f t="shared" si="736"/>
        <v>434</v>
      </c>
      <c r="AE480" s="53">
        <f t="shared" si="736"/>
        <v>436</v>
      </c>
      <c r="AF480" s="53">
        <f t="shared" si="736"/>
        <v>444</v>
      </c>
      <c r="AG480" s="53">
        <f t="shared" si="736"/>
        <v>447</v>
      </c>
      <c r="AH480" s="53">
        <f t="shared" si="736"/>
        <v>453</v>
      </c>
      <c r="AI480" s="53">
        <f t="shared" si="736"/>
        <v>440</v>
      </c>
      <c r="AJ480" s="53">
        <f t="shared" si="736"/>
        <v>440</v>
      </c>
      <c r="AK480" s="53">
        <f t="shared" si="736"/>
        <v>426</v>
      </c>
      <c r="AL480" s="53">
        <f t="shared" si="736"/>
        <v>448</v>
      </c>
      <c r="AM480" s="53">
        <f t="shared" si="736"/>
        <v>446</v>
      </c>
      <c r="AN480" s="53">
        <f t="shared" si="736"/>
        <v>442</v>
      </c>
      <c r="AO480" s="53">
        <f t="shared" si="736"/>
        <v>439</v>
      </c>
      <c r="AP480" s="53">
        <f t="shared" si="736"/>
        <v>449</v>
      </c>
      <c r="AQ480" s="53">
        <f t="shared" si="736"/>
        <v>450</v>
      </c>
      <c r="AR480" s="53">
        <f t="shared" si="736"/>
        <v>458</v>
      </c>
      <c r="AS480" s="53">
        <f t="shared" si="736"/>
        <v>467</v>
      </c>
      <c r="AT480" s="53">
        <f t="shared" si="736"/>
        <v>491</v>
      </c>
      <c r="AU480" s="53">
        <f t="shared" si="736"/>
        <v>510</v>
      </c>
      <c r="AV480" s="53">
        <f t="shared" si="736"/>
        <v>516</v>
      </c>
      <c r="AW480" s="53">
        <f t="shared" si="736"/>
        <v>522</v>
      </c>
      <c r="AX480" s="53">
        <f t="shared" si="736"/>
        <v>550</v>
      </c>
      <c r="AY480" s="53">
        <f t="shared" si="736"/>
        <v>545</v>
      </c>
      <c r="AZ480" s="53">
        <f t="shared" si="736"/>
        <v>531</v>
      </c>
      <c r="BA480" s="53">
        <f t="shared" si="736"/>
        <v>553</v>
      </c>
      <c r="BB480" s="53">
        <f t="shared" si="736"/>
        <v>549</v>
      </c>
      <c r="BC480" s="53">
        <f t="shared" si="736"/>
        <v>545</v>
      </c>
      <c r="BD480" s="53">
        <f t="shared" si="736"/>
        <v>542</v>
      </c>
      <c r="BE480" s="53">
        <f t="shared" si="736"/>
        <v>561</v>
      </c>
      <c r="BF480" s="53">
        <f t="shared" si="736"/>
        <v>578</v>
      </c>
      <c r="BG480" s="53">
        <f t="shared" si="736"/>
        <v>558</v>
      </c>
      <c r="CI480" s="29">
        <f t="shared" ref="CI480:CS486" si="737">+SUMIF($S$5:$CD$5,"="&amp;CI$5,$S480:$CD480)</f>
        <v>0</v>
      </c>
      <c r="CJ480" s="29">
        <f t="shared" si="737"/>
        <v>459</v>
      </c>
      <c r="CK480" s="29">
        <f t="shared" si="737"/>
        <v>439</v>
      </c>
      <c r="CL480" s="29">
        <f t="shared" si="737"/>
        <v>434</v>
      </c>
      <c r="CM480" s="29">
        <f t="shared" si="737"/>
        <v>453</v>
      </c>
      <c r="CN480" s="29">
        <f t="shared" si="737"/>
        <v>448</v>
      </c>
      <c r="CO480" s="29">
        <f t="shared" si="737"/>
        <v>449</v>
      </c>
      <c r="CP480" s="29">
        <f t="shared" si="737"/>
        <v>491</v>
      </c>
      <c r="CQ480" s="29">
        <f t="shared" si="737"/>
        <v>550</v>
      </c>
      <c r="CR480" s="29">
        <f t="shared" si="737"/>
        <v>549</v>
      </c>
      <c r="CS480" s="29">
        <f t="shared" si="737"/>
        <v>578</v>
      </c>
      <c r="CT480" s="29"/>
      <c r="CU480" s="29"/>
      <c r="CV480" s="29"/>
      <c r="CW480" s="29"/>
      <c r="CX480" s="29"/>
    </row>
    <row r="481" spans="2:102" x14ac:dyDescent="0.25">
      <c r="B481" s="37" t="str">
        <f t="shared" si="736"/>
        <v>Goodwill</v>
      </c>
      <c r="C481" s="37"/>
      <c r="D481" s="37"/>
      <c r="E481" s="37"/>
      <c r="F481" s="37"/>
      <c r="G481" s="37"/>
      <c r="H481" s="37"/>
      <c r="I481" s="37"/>
      <c r="J481" s="37"/>
      <c r="K481" s="37"/>
      <c r="L481" s="37"/>
      <c r="M481" s="37"/>
      <c r="N481" s="37"/>
      <c r="O481" s="37"/>
      <c r="P481" s="37"/>
      <c r="Q481" s="37"/>
      <c r="R481" s="37"/>
      <c r="S481" s="53">
        <f t="shared" si="736"/>
        <v>1726</v>
      </c>
      <c r="T481" s="53">
        <f t="shared" si="736"/>
        <v>1723</v>
      </c>
      <c r="U481" s="53">
        <f t="shared" si="736"/>
        <v>1718</v>
      </c>
      <c r="V481" s="53">
        <f t="shared" si="736"/>
        <v>1713</v>
      </c>
      <c r="W481" s="53">
        <f t="shared" si="736"/>
        <v>1713</v>
      </c>
      <c r="X481" s="53">
        <f t="shared" si="736"/>
        <v>1709</v>
      </c>
      <c r="Y481" s="53">
        <f t="shared" si="736"/>
        <v>1708</v>
      </c>
      <c r="Z481" s="53">
        <f t="shared" si="736"/>
        <v>1710</v>
      </c>
      <c r="AA481" s="53">
        <f t="shared" si="736"/>
        <v>1708</v>
      </c>
      <c r="AB481" s="53">
        <f t="shared" si="736"/>
        <v>1709</v>
      </c>
      <c r="AC481" s="53">
        <f t="shared" si="736"/>
        <v>1704</v>
      </c>
      <c r="AD481" s="53">
        <f t="shared" si="736"/>
        <v>1707</v>
      </c>
      <c r="AE481" s="53">
        <f t="shared" si="736"/>
        <v>1708</v>
      </c>
      <c r="AF481" s="53">
        <f t="shared" si="736"/>
        <v>1711</v>
      </c>
      <c r="AG481" s="53">
        <f t="shared" si="736"/>
        <v>1879</v>
      </c>
      <c r="AH481" s="53">
        <f t="shared" si="736"/>
        <v>1883</v>
      </c>
      <c r="AI481" s="53">
        <f t="shared" si="736"/>
        <v>1886</v>
      </c>
      <c r="AJ481" s="53">
        <f t="shared" si="736"/>
        <v>1894</v>
      </c>
      <c r="AK481" s="53">
        <f t="shared" si="736"/>
        <v>1891</v>
      </c>
      <c r="AL481" s="53">
        <f t="shared" si="736"/>
        <v>1892</v>
      </c>
      <c r="AM481" s="53">
        <f t="shared" si="736"/>
        <v>1892</v>
      </c>
      <c r="AN481" s="53">
        <f t="shared" si="736"/>
        <v>1890</v>
      </c>
      <c r="AO481" s="53">
        <f t="shared" si="736"/>
        <v>1892</v>
      </c>
      <c r="AP481" s="53">
        <f t="shared" si="736"/>
        <v>1885</v>
      </c>
      <c r="AQ481" s="53">
        <f t="shared" si="736"/>
        <v>1889</v>
      </c>
      <c r="AR481" s="53">
        <f t="shared" si="736"/>
        <v>1891</v>
      </c>
      <c r="AS481" s="53">
        <f t="shared" si="736"/>
        <v>1896</v>
      </c>
      <c r="AT481" s="53">
        <f t="shared" si="736"/>
        <v>2868</v>
      </c>
      <c r="AU481" s="53">
        <f t="shared" si="736"/>
        <v>4256</v>
      </c>
      <c r="AV481" s="53">
        <f t="shared" si="736"/>
        <v>5459</v>
      </c>
      <c r="AW481" s="53">
        <f t="shared" si="736"/>
        <v>5389</v>
      </c>
      <c r="AX481" s="53">
        <f t="shared" si="736"/>
        <v>5387</v>
      </c>
      <c r="AY481" s="53">
        <f t="shared" si="736"/>
        <v>5382</v>
      </c>
      <c r="AZ481" s="53">
        <f t="shared" si="736"/>
        <v>5375</v>
      </c>
      <c r="BA481" s="53">
        <f t="shared" si="736"/>
        <v>5380</v>
      </c>
      <c r="BB481" s="53">
        <f t="shared" si="736"/>
        <v>5380</v>
      </c>
      <c r="BC481" s="53">
        <f t="shared" si="736"/>
        <v>5381</v>
      </c>
      <c r="BD481" s="53">
        <f t="shared" si="736"/>
        <v>5378</v>
      </c>
      <c r="BE481" s="53">
        <f t="shared" si="736"/>
        <v>5382</v>
      </c>
      <c r="BF481" s="53">
        <f t="shared" si="736"/>
        <v>5379</v>
      </c>
      <c r="BG481" s="53">
        <f t="shared" si="736"/>
        <v>5379</v>
      </c>
      <c r="CI481" s="29">
        <f t="shared" si="737"/>
        <v>0</v>
      </c>
      <c r="CJ481" s="29">
        <f t="shared" si="737"/>
        <v>1713</v>
      </c>
      <c r="CK481" s="29">
        <f t="shared" si="737"/>
        <v>1710</v>
      </c>
      <c r="CL481" s="29">
        <f t="shared" si="737"/>
        <v>1707</v>
      </c>
      <c r="CM481" s="29">
        <f t="shared" si="737"/>
        <v>1883</v>
      </c>
      <c r="CN481" s="29">
        <f t="shared" si="737"/>
        <v>1892</v>
      </c>
      <c r="CO481" s="29">
        <f t="shared" si="737"/>
        <v>1885</v>
      </c>
      <c r="CP481" s="29">
        <f t="shared" si="737"/>
        <v>2868</v>
      </c>
      <c r="CQ481" s="29">
        <f t="shared" si="737"/>
        <v>5387</v>
      </c>
      <c r="CR481" s="29">
        <f t="shared" si="737"/>
        <v>5380</v>
      </c>
      <c r="CS481" s="29">
        <f t="shared" si="737"/>
        <v>5379</v>
      </c>
      <c r="CT481" s="29"/>
      <c r="CU481" s="29"/>
      <c r="CV481" s="29"/>
      <c r="CW481" s="29"/>
      <c r="CX481" s="29"/>
    </row>
    <row r="482" spans="2:102" x14ac:dyDescent="0.25">
      <c r="B482" s="37" t="str">
        <f t="shared" si="736"/>
        <v>Acquisition-related intangibles, net</v>
      </c>
      <c r="C482" s="37"/>
      <c r="D482" s="37"/>
      <c r="E482" s="37"/>
      <c r="F482" s="37"/>
      <c r="G482" s="37"/>
      <c r="H482" s="37"/>
      <c r="I482" s="37"/>
      <c r="J482" s="37"/>
      <c r="K482" s="37"/>
      <c r="L482" s="37"/>
      <c r="M482" s="37"/>
      <c r="N482" s="37"/>
      <c r="O482" s="37"/>
      <c r="P482" s="37"/>
      <c r="Q482" s="37"/>
      <c r="R482" s="37"/>
      <c r="S482" s="53">
        <f t="shared" si="736"/>
        <v>160</v>
      </c>
      <c r="T482" s="53">
        <f t="shared" si="736"/>
        <v>143</v>
      </c>
      <c r="U482" s="53">
        <f t="shared" si="736"/>
        <v>127</v>
      </c>
      <c r="V482" s="53">
        <f t="shared" si="736"/>
        <v>111</v>
      </c>
      <c r="W482" s="53">
        <f t="shared" si="736"/>
        <v>98</v>
      </c>
      <c r="X482" s="53">
        <f t="shared" si="736"/>
        <v>84</v>
      </c>
      <c r="Y482" s="53">
        <f t="shared" si="736"/>
        <v>71</v>
      </c>
      <c r="Z482" s="53">
        <f t="shared" si="736"/>
        <v>57</v>
      </c>
      <c r="AA482" s="53">
        <f t="shared" si="736"/>
        <v>42</v>
      </c>
      <c r="AB482" s="53">
        <f t="shared" si="736"/>
        <v>28</v>
      </c>
      <c r="AC482" s="53">
        <f t="shared" si="736"/>
        <v>9</v>
      </c>
      <c r="AD482" s="53">
        <f t="shared" si="736"/>
        <v>8</v>
      </c>
      <c r="AE482" s="53">
        <f t="shared" si="736"/>
        <v>7</v>
      </c>
      <c r="AF482" s="53">
        <f t="shared" si="736"/>
        <v>5</v>
      </c>
      <c r="AG482" s="53">
        <f t="shared" si="736"/>
        <v>81</v>
      </c>
      <c r="AH482" s="53">
        <f t="shared" si="736"/>
        <v>71</v>
      </c>
      <c r="AI482" s="53">
        <f t="shared" si="736"/>
        <v>107</v>
      </c>
      <c r="AJ482" s="53">
        <f t="shared" si="736"/>
        <v>100</v>
      </c>
      <c r="AK482" s="53">
        <f t="shared" si="736"/>
        <v>93</v>
      </c>
      <c r="AL482" s="53">
        <f t="shared" si="736"/>
        <v>87</v>
      </c>
      <c r="AM482" s="53">
        <f t="shared" si="736"/>
        <v>80</v>
      </c>
      <c r="AN482" s="53">
        <f t="shared" si="736"/>
        <v>72</v>
      </c>
      <c r="AO482" s="53">
        <f t="shared" si="736"/>
        <v>62</v>
      </c>
      <c r="AP482" s="53">
        <f t="shared" si="736"/>
        <v>53</v>
      </c>
      <c r="AQ482" s="53">
        <f t="shared" si="736"/>
        <v>48</v>
      </c>
      <c r="AR482" s="53">
        <f t="shared" si="736"/>
        <v>42</v>
      </c>
      <c r="AS482" s="53">
        <f t="shared" si="736"/>
        <v>37</v>
      </c>
      <c r="AT482" s="53">
        <f t="shared" si="736"/>
        <v>309</v>
      </c>
      <c r="AU482" s="53">
        <f t="shared" si="736"/>
        <v>909</v>
      </c>
      <c r="AV482" s="53">
        <f t="shared" si="736"/>
        <v>1080</v>
      </c>
      <c r="AW482" s="53">
        <f t="shared" si="736"/>
        <v>1052</v>
      </c>
      <c r="AX482" s="53">
        <f t="shared" si="736"/>
        <v>962</v>
      </c>
      <c r="AY482" s="53">
        <f t="shared" si="736"/>
        <v>893</v>
      </c>
      <c r="AZ482" s="53">
        <f t="shared" si="736"/>
        <v>811</v>
      </c>
      <c r="BA482" s="53">
        <f t="shared" si="736"/>
        <v>735</v>
      </c>
      <c r="BB482" s="53">
        <f t="shared" si="736"/>
        <v>618</v>
      </c>
      <c r="BC482" s="53">
        <f t="shared" si="736"/>
        <v>577</v>
      </c>
      <c r="BD482" s="53">
        <f t="shared" si="736"/>
        <v>538</v>
      </c>
      <c r="BE482" s="53">
        <f t="shared" si="736"/>
        <v>501</v>
      </c>
      <c r="BF482" s="53">
        <f t="shared" si="736"/>
        <v>400</v>
      </c>
      <c r="BG482" s="53">
        <f t="shared" si="736"/>
        <v>373</v>
      </c>
      <c r="CI482" s="29">
        <f t="shared" si="737"/>
        <v>0</v>
      </c>
      <c r="CJ482" s="29">
        <f t="shared" si="737"/>
        <v>111</v>
      </c>
      <c r="CK482" s="29">
        <f t="shared" si="737"/>
        <v>57</v>
      </c>
      <c r="CL482" s="29">
        <f t="shared" si="737"/>
        <v>8</v>
      </c>
      <c r="CM482" s="29">
        <f t="shared" si="737"/>
        <v>71</v>
      </c>
      <c r="CN482" s="29">
        <f t="shared" si="737"/>
        <v>87</v>
      </c>
      <c r="CO482" s="29">
        <f t="shared" si="737"/>
        <v>53</v>
      </c>
      <c r="CP482" s="29">
        <f t="shared" si="737"/>
        <v>309</v>
      </c>
      <c r="CQ482" s="29">
        <f t="shared" si="737"/>
        <v>962</v>
      </c>
      <c r="CR482" s="29">
        <f t="shared" si="737"/>
        <v>618</v>
      </c>
      <c r="CS482" s="29">
        <f t="shared" si="737"/>
        <v>400</v>
      </c>
      <c r="CT482" s="29"/>
      <c r="CU482" s="29"/>
      <c r="CV482" s="29"/>
      <c r="CW482" s="29"/>
      <c r="CX482" s="29"/>
    </row>
    <row r="483" spans="2:102" x14ac:dyDescent="0.25">
      <c r="B483" s="37" t="str">
        <f t="shared" si="736"/>
        <v>Deferred income taxes - Non-current</v>
      </c>
      <c r="C483" s="37"/>
      <c r="D483" s="37"/>
      <c r="E483" s="37"/>
      <c r="F483" s="37"/>
      <c r="G483" s="37"/>
      <c r="H483" s="37"/>
      <c r="I483" s="37"/>
      <c r="J483" s="37"/>
      <c r="K483" s="37"/>
      <c r="L483" s="37"/>
      <c r="M483" s="37"/>
      <c r="N483" s="37"/>
      <c r="O483" s="37"/>
      <c r="P483" s="37"/>
      <c r="Q483" s="37"/>
      <c r="R483" s="37"/>
      <c r="S483" s="53">
        <f t="shared" si="736"/>
        <v>15</v>
      </c>
      <c r="T483" s="53">
        <f t="shared" si="736"/>
        <v>9</v>
      </c>
      <c r="U483" s="53">
        <f t="shared" si="736"/>
        <v>6</v>
      </c>
      <c r="V483" s="53">
        <f t="shared" si="736"/>
        <v>13</v>
      </c>
      <c r="W483" s="53">
        <f t="shared" si="736"/>
        <v>14</v>
      </c>
      <c r="X483" s="53">
        <f t="shared" si="736"/>
        <v>14</v>
      </c>
      <c r="Y483" s="53">
        <f t="shared" si="736"/>
        <v>8</v>
      </c>
      <c r="Z483" s="53">
        <f t="shared" si="736"/>
        <v>387</v>
      </c>
      <c r="AA483" s="53">
        <f t="shared" si="736"/>
        <v>343</v>
      </c>
      <c r="AB483" s="53">
        <f t="shared" si="736"/>
        <v>366</v>
      </c>
      <c r="AC483" s="53">
        <f t="shared" si="736"/>
        <v>386</v>
      </c>
      <c r="AD483" s="53">
        <f t="shared" si="736"/>
        <v>286</v>
      </c>
      <c r="AE483" s="53">
        <f t="shared" si="736"/>
        <v>232</v>
      </c>
      <c r="AF483" s="53">
        <f t="shared" si="736"/>
        <v>248</v>
      </c>
      <c r="AG483" s="53">
        <f t="shared" si="736"/>
        <v>159</v>
      </c>
      <c r="AH483" s="53">
        <f t="shared" si="736"/>
        <v>84</v>
      </c>
      <c r="AI483" s="53">
        <f t="shared" si="736"/>
        <v>92</v>
      </c>
      <c r="AJ483" s="53">
        <f t="shared" si="736"/>
        <v>112</v>
      </c>
      <c r="AK483" s="53">
        <f t="shared" si="736"/>
        <v>106</v>
      </c>
      <c r="AL483" s="53">
        <f t="shared" si="736"/>
        <v>35</v>
      </c>
      <c r="AM483" s="53">
        <f t="shared" si="736"/>
        <v>1208</v>
      </c>
      <c r="AN483" s="53">
        <f t="shared" si="736"/>
        <v>1835</v>
      </c>
      <c r="AO483" s="53">
        <f t="shared" si="736"/>
        <v>1828</v>
      </c>
      <c r="AP483" s="53">
        <f t="shared" si="736"/>
        <v>1903</v>
      </c>
      <c r="AQ483" s="53">
        <f t="shared" si="736"/>
        <v>1894</v>
      </c>
      <c r="AR483" s="53">
        <f t="shared" si="736"/>
        <v>1937</v>
      </c>
      <c r="AS483" s="53">
        <f t="shared" si="736"/>
        <v>1924</v>
      </c>
      <c r="AT483" s="53">
        <f t="shared" si="736"/>
        <v>2045</v>
      </c>
      <c r="AU483" s="53">
        <f t="shared" si="736"/>
        <v>1960</v>
      </c>
      <c r="AV483" s="53">
        <f t="shared" si="736"/>
        <v>2139</v>
      </c>
      <c r="AW483" s="53">
        <f t="shared" si="736"/>
        <v>2130</v>
      </c>
      <c r="AX483" s="53">
        <f t="shared" si="736"/>
        <v>2243</v>
      </c>
      <c r="AY483" s="53">
        <f t="shared" si="736"/>
        <v>2327</v>
      </c>
      <c r="AZ483" s="53">
        <f t="shared" si="736"/>
        <v>2395</v>
      </c>
      <c r="BA483" s="53">
        <f t="shared" si="736"/>
        <v>2443</v>
      </c>
      <c r="BB483" s="53">
        <f t="shared" si="736"/>
        <v>2462</v>
      </c>
      <c r="BC483" s="53">
        <f t="shared" si="736"/>
        <v>2555</v>
      </c>
      <c r="BD483" s="53">
        <f t="shared" si="736"/>
        <v>2353</v>
      </c>
      <c r="BE483" s="53">
        <f t="shared" si="736"/>
        <v>2375</v>
      </c>
      <c r="BF483" s="53">
        <f t="shared" si="736"/>
        <v>2380</v>
      </c>
      <c r="BG483" s="53">
        <f t="shared" si="736"/>
        <v>2393</v>
      </c>
      <c r="CI483" s="29">
        <f t="shared" si="731"/>
        <v>0</v>
      </c>
      <c r="CJ483" s="29">
        <f t="shared" si="731"/>
        <v>13</v>
      </c>
      <c r="CK483" s="29">
        <f t="shared" si="731"/>
        <v>387</v>
      </c>
      <c r="CL483" s="29">
        <f t="shared" si="731"/>
        <v>286</v>
      </c>
      <c r="CM483" s="29">
        <f t="shared" si="731"/>
        <v>84</v>
      </c>
      <c r="CN483" s="29">
        <f t="shared" si="731"/>
        <v>35</v>
      </c>
      <c r="CO483" s="29">
        <f t="shared" si="731"/>
        <v>1903</v>
      </c>
      <c r="CP483" s="29">
        <f t="shared" si="731"/>
        <v>2045</v>
      </c>
      <c r="CQ483" s="29">
        <f t="shared" si="737"/>
        <v>2243</v>
      </c>
      <c r="CR483" s="29">
        <f t="shared" si="731"/>
        <v>2462</v>
      </c>
      <c r="CS483" s="29">
        <f t="shared" si="731"/>
        <v>2380</v>
      </c>
      <c r="CT483" s="29"/>
      <c r="CU483" s="29"/>
      <c r="CV483" s="29"/>
      <c r="CW483" s="29"/>
      <c r="CX483" s="29"/>
    </row>
    <row r="484" spans="2:102" x14ac:dyDescent="0.25">
      <c r="B484" s="37" t="str">
        <f t="shared" si="736"/>
        <v>Other assets - Non-current</v>
      </c>
      <c r="C484" s="37"/>
      <c r="D484" s="37"/>
      <c r="E484" s="37"/>
      <c r="F484" s="37"/>
      <c r="G484" s="37"/>
      <c r="H484" s="37"/>
      <c r="I484" s="37"/>
      <c r="J484" s="37"/>
      <c r="K484" s="37"/>
      <c r="L484" s="37"/>
      <c r="M484" s="37"/>
      <c r="N484" s="37"/>
      <c r="O484" s="37"/>
      <c r="P484" s="37"/>
      <c r="Q484" s="37"/>
      <c r="R484" s="37"/>
      <c r="S484" s="53">
        <f t="shared" si="736"/>
        <v>142</v>
      </c>
      <c r="T484" s="53">
        <f t="shared" si="736"/>
        <v>141</v>
      </c>
      <c r="U484" s="53">
        <f t="shared" si="736"/>
        <v>101</v>
      </c>
      <c r="V484" s="53">
        <f t="shared" si="736"/>
        <v>131</v>
      </c>
      <c r="W484" s="53">
        <f t="shared" si="736"/>
        <v>126</v>
      </c>
      <c r="X484" s="53">
        <f t="shared" si="736"/>
        <v>117</v>
      </c>
      <c r="Y484" s="53">
        <f t="shared" si="736"/>
        <v>116</v>
      </c>
      <c r="Z484" s="53">
        <f t="shared" si="736"/>
        <v>103</v>
      </c>
      <c r="AA484" s="53">
        <f t="shared" si="736"/>
        <v>105</v>
      </c>
      <c r="AB484" s="53">
        <f t="shared" si="736"/>
        <v>98</v>
      </c>
      <c r="AC484" s="53">
        <f t="shared" si="736"/>
        <v>95</v>
      </c>
      <c r="AD484" s="53">
        <f t="shared" si="736"/>
        <v>84</v>
      </c>
      <c r="AE484" s="53">
        <f t="shared" si="736"/>
        <v>90</v>
      </c>
      <c r="AF484" s="53">
        <f t="shared" si="736"/>
        <v>99</v>
      </c>
      <c r="AG484" s="53">
        <f t="shared" si="736"/>
        <v>110</v>
      </c>
      <c r="AH484" s="53">
        <f t="shared" si="736"/>
        <v>89</v>
      </c>
      <c r="AI484" s="53">
        <f t="shared" si="736"/>
        <v>98</v>
      </c>
      <c r="AJ484" s="53">
        <f t="shared" si="736"/>
        <v>101</v>
      </c>
      <c r="AK484" s="53">
        <f t="shared" si="736"/>
        <v>94</v>
      </c>
      <c r="AL484" s="53">
        <f t="shared" si="736"/>
        <v>114</v>
      </c>
      <c r="AM484" s="53">
        <f t="shared" si="736"/>
        <v>323</v>
      </c>
      <c r="AN484" s="53">
        <f t="shared" si="736"/>
        <v>314</v>
      </c>
      <c r="AO484" s="53">
        <f t="shared" si="736"/>
        <v>311</v>
      </c>
      <c r="AP484" s="53">
        <f t="shared" si="736"/>
        <v>305</v>
      </c>
      <c r="AQ484" s="53">
        <f t="shared" si="736"/>
        <v>313</v>
      </c>
      <c r="AR484" s="53">
        <f t="shared" si="736"/>
        <v>312</v>
      </c>
      <c r="AS484" s="53">
        <f t="shared" si="736"/>
        <v>375</v>
      </c>
      <c r="AT484" s="53">
        <f t="shared" si="736"/>
        <v>362</v>
      </c>
      <c r="AU484" s="53">
        <f t="shared" si="736"/>
        <v>422</v>
      </c>
      <c r="AV484" s="53">
        <f t="shared" si="736"/>
        <v>435</v>
      </c>
      <c r="AW484" s="53">
        <f t="shared" si="736"/>
        <v>479</v>
      </c>
      <c r="AX484" s="53">
        <f t="shared" si="736"/>
        <v>507</v>
      </c>
      <c r="AY484" s="53">
        <f t="shared" si="736"/>
        <v>528</v>
      </c>
      <c r="AZ484" s="53">
        <f t="shared" si="736"/>
        <v>525</v>
      </c>
      <c r="BA484" s="53">
        <f t="shared" si="736"/>
        <v>517</v>
      </c>
      <c r="BB484" s="53">
        <f t="shared" si="736"/>
        <v>481</v>
      </c>
      <c r="BC484" s="53">
        <f t="shared" si="736"/>
        <v>451</v>
      </c>
      <c r="BD484" s="53">
        <f t="shared" si="736"/>
        <v>484</v>
      </c>
      <c r="BE484" s="53">
        <f t="shared" si="736"/>
        <v>449</v>
      </c>
      <c r="BF484" s="53">
        <f t="shared" si="736"/>
        <v>436</v>
      </c>
      <c r="BG484" s="53">
        <f t="shared" si="736"/>
        <v>418</v>
      </c>
      <c r="CI484" s="29">
        <f t="shared" si="731"/>
        <v>0</v>
      </c>
      <c r="CJ484" s="29">
        <f t="shared" si="731"/>
        <v>131</v>
      </c>
      <c r="CK484" s="29">
        <f t="shared" si="731"/>
        <v>103</v>
      </c>
      <c r="CL484" s="29">
        <f t="shared" si="731"/>
        <v>84</v>
      </c>
      <c r="CM484" s="29">
        <f t="shared" si="731"/>
        <v>89</v>
      </c>
      <c r="CN484" s="29">
        <f t="shared" si="731"/>
        <v>114</v>
      </c>
      <c r="CO484" s="29">
        <f t="shared" si="731"/>
        <v>305</v>
      </c>
      <c r="CP484" s="29">
        <f t="shared" si="731"/>
        <v>362</v>
      </c>
      <c r="CQ484" s="29">
        <f t="shared" si="737"/>
        <v>507</v>
      </c>
      <c r="CR484" s="29">
        <f t="shared" si="731"/>
        <v>481</v>
      </c>
      <c r="CS484" s="29">
        <f t="shared" si="731"/>
        <v>436</v>
      </c>
      <c r="CT484" s="29"/>
      <c r="CU484" s="29"/>
      <c r="CV484" s="29"/>
      <c r="CW484" s="29"/>
      <c r="CX484" s="29"/>
    </row>
    <row r="485" spans="2:102" s="10" customFormat="1" x14ac:dyDescent="0.25">
      <c r="B485" s="37" t="s">
        <v>273</v>
      </c>
      <c r="C485" s="37"/>
      <c r="D485" s="37"/>
      <c r="E485" s="37"/>
      <c r="F485" s="37"/>
      <c r="G485" s="37"/>
      <c r="H485" s="37"/>
      <c r="I485" s="37"/>
      <c r="J485" s="37"/>
      <c r="K485" s="37"/>
      <c r="L485" s="37"/>
      <c r="M485" s="37"/>
      <c r="N485" s="37"/>
      <c r="O485" s="37"/>
      <c r="P485" s="37"/>
      <c r="Q485" s="37"/>
      <c r="R485" s="37"/>
      <c r="S485" s="50">
        <f t="shared" ref="S485:BG485" si="738">+S486-SUM(S480:S484,S478)</f>
        <v>0</v>
      </c>
      <c r="T485" s="50">
        <f t="shared" si="738"/>
        <v>0</v>
      </c>
      <c r="U485" s="50">
        <f t="shared" si="738"/>
        <v>0</v>
      </c>
      <c r="V485" s="50">
        <f t="shared" si="738"/>
        <v>0</v>
      </c>
      <c r="W485" s="50">
        <f t="shared" si="738"/>
        <v>0</v>
      </c>
      <c r="X485" s="50">
        <f t="shared" si="738"/>
        <v>0</v>
      </c>
      <c r="Y485" s="50">
        <f t="shared" si="738"/>
        <v>0</v>
      </c>
      <c r="Z485" s="50">
        <f t="shared" si="738"/>
        <v>0</v>
      </c>
      <c r="AA485" s="50">
        <f t="shared" si="738"/>
        <v>0</v>
      </c>
      <c r="AB485" s="50">
        <f t="shared" si="738"/>
        <v>0</v>
      </c>
      <c r="AC485" s="50">
        <f t="shared" si="738"/>
        <v>0</v>
      </c>
      <c r="AD485" s="50">
        <f t="shared" si="738"/>
        <v>0</v>
      </c>
      <c r="AE485" s="50">
        <f t="shared" si="738"/>
        <v>0</v>
      </c>
      <c r="AF485" s="50">
        <f t="shared" si="738"/>
        <v>0</v>
      </c>
      <c r="AG485" s="50">
        <f t="shared" si="738"/>
        <v>0</v>
      </c>
      <c r="AH485" s="50">
        <f t="shared" si="738"/>
        <v>0</v>
      </c>
      <c r="AI485" s="50">
        <f t="shared" si="738"/>
        <v>0</v>
      </c>
      <c r="AJ485" s="50">
        <f t="shared" si="738"/>
        <v>0</v>
      </c>
      <c r="AK485" s="50">
        <f t="shared" si="738"/>
        <v>0</v>
      </c>
      <c r="AL485" s="50">
        <f t="shared" si="738"/>
        <v>0</v>
      </c>
      <c r="AM485" s="50">
        <f t="shared" si="738"/>
        <v>0</v>
      </c>
      <c r="AN485" s="50">
        <f t="shared" si="738"/>
        <v>0</v>
      </c>
      <c r="AO485" s="50">
        <f t="shared" si="738"/>
        <v>0</v>
      </c>
      <c r="AP485" s="50">
        <f t="shared" si="738"/>
        <v>0</v>
      </c>
      <c r="AQ485" s="50">
        <f t="shared" si="738"/>
        <v>0</v>
      </c>
      <c r="AR485" s="50">
        <f t="shared" si="738"/>
        <v>0</v>
      </c>
      <c r="AS485" s="50">
        <f t="shared" si="738"/>
        <v>0</v>
      </c>
      <c r="AT485" s="50">
        <f t="shared" si="738"/>
        <v>0</v>
      </c>
      <c r="AU485" s="50">
        <f t="shared" si="738"/>
        <v>0</v>
      </c>
      <c r="AV485" s="50">
        <f t="shared" si="738"/>
        <v>0</v>
      </c>
      <c r="AW485" s="50">
        <f t="shared" si="738"/>
        <v>0</v>
      </c>
      <c r="AX485" s="50">
        <f t="shared" si="738"/>
        <v>0</v>
      </c>
      <c r="AY485" s="50">
        <f t="shared" si="738"/>
        <v>0</v>
      </c>
      <c r="AZ485" s="50">
        <f t="shared" si="738"/>
        <v>0</v>
      </c>
      <c r="BA485" s="50">
        <f t="shared" si="738"/>
        <v>0</v>
      </c>
      <c r="BB485" s="50">
        <f t="shared" si="738"/>
        <v>0</v>
      </c>
      <c r="BC485" s="50">
        <f t="shared" si="738"/>
        <v>0</v>
      </c>
      <c r="BD485" s="50">
        <f t="shared" si="738"/>
        <v>0</v>
      </c>
      <c r="BE485" s="50">
        <f t="shared" si="738"/>
        <v>0</v>
      </c>
      <c r="BF485" s="50">
        <f t="shared" si="738"/>
        <v>0</v>
      </c>
      <c r="BG485" s="50">
        <f t="shared" si="738"/>
        <v>0</v>
      </c>
      <c r="CE485"/>
      <c r="CH485"/>
      <c r="CI485" s="29">
        <f t="shared" si="731"/>
        <v>0</v>
      </c>
      <c r="CJ485" s="29">
        <f t="shared" si="731"/>
        <v>0</v>
      </c>
      <c r="CK485" s="29">
        <f t="shared" si="731"/>
        <v>0</v>
      </c>
      <c r="CL485" s="29">
        <f t="shared" si="731"/>
        <v>0</v>
      </c>
      <c r="CM485" s="29">
        <f t="shared" si="731"/>
        <v>0</v>
      </c>
      <c r="CN485" s="29">
        <f t="shared" si="731"/>
        <v>0</v>
      </c>
      <c r="CO485" s="29">
        <f t="shared" si="731"/>
        <v>0</v>
      </c>
      <c r="CP485" s="29">
        <f t="shared" si="731"/>
        <v>0</v>
      </c>
      <c r="CQ485" s="29">
        <f t="shared" si="737"/>
        <v>0</v>
      </c>
      <c r="CR485" s="29">
        <f t="shared" si="731"/>
        <v>0</v>
      </c>
      <c r="CS485" s="29">
        <f t="shared" si="731"/>
        <v>0</v>
      </c>
      <c r="CT485" s="29"/>
      <c r="CU485" s="29"/>
      <c r="CV485" s="29"/>
      <c r="CW485" s="29"/>
      <c r="CX485" s="29"/>
    </row>
    <row r="486" spans="2:102" s="10" customFormat="1" x14ac:dyDescent="0.25">
      <c r="B486" s="10" t="s">
        <v>320</v>
      </c>
      <c r="S486" s="205">
        <f t="shared" ref="S486:BG486" si="739">+S612</f>
        <v>5476</v>
      </c>
      <c r="T486" s="205">
        <f t="shared" si="739"/>
        <v>6031</v>
      </c>
      <c r="U486" s="205">
        <f t="shared" si="739"/>
        <v>6167</v>
      </c>
      <c r="V486" s="205">
        <f t="shared" si="739"/>
        <v>6147</v>
      </c>
      <c r="W486" s="205">
        <f t="shared" si="739"/>
        <v>5721</v>
      </c>
      <c r="X486" s="205">
        <f t="shared" si="739"/>
        <v>6000</v>
      </c>
      <c r="Y486" s="205">
        <f t="shared" si="739"/>
        <v>6470</v>
      </c>
      <c r="Z486" s="205">
        <f t="shared" si="739"/>
        <v>7050</v>
      </c>
      <c r="AA486" s="205">
        <f t="shared" si="739"/>
        <v>6605</v>
      </c>
      <c r="AB486" s="205">
        <f t="shared" si="739"/>
        <v>6892</v>
      </c>
      <c r="AC486" s="205">
        <f t="shared" si="739"/>
        <v>7719</v>
      </c>
      <c r="AD486" s="205">
        <f t="shared" si="739"/>
        <v>7718</v>
      </c>
      <c r="AE486" s="205">
        <f t="shared" si="739"/>
        <v>7375</v>
      </c>
      <c r="AF486" s="205">
        <f t="shared" si="739"/>
        <v>7922</v>
      </c>
      <c r="AG486" s="205">
        <f t="shared" si="739"/>
        <v>8642</v>
      </c>
      <c r="AH486" s="205">
        <f t="shared" si="739"/>
        <v>8584</v>
      </c>
      <c r="AI486" s="205">
        <f t="shared" si="739"/>
        <v>8247</v>
      </c>
      <c r="AJ486" s="205">
        <f t="shared" si="739"/>
        <v>8450</v>
      </c>
      <c r="AK486" s="205">
        <f t="shared" si="739"/>
        <v>8857</v>
      </c>
      <c r="AL486" s="205">
        <f t="shared" si="739"/>
        <v>8957</v>
      </c>
      <c r="AM486" s="205">
        <f t="shared" si="739"/>
        <v>9749</v>
      </c>
      <c r="AN486" s="205">
        <f t="shared" si="739"/>
        <v>10593</v>
      </c>
      <c r="AO486" s="205">
        <f t="shared" si="739"/>
        <v>11161</v>
      </c>
      <c r="AP486" s="205">
        <f t="shared" si="739"/>
        <v>11112</v>
      </c>
      <c r="AQ486" s="205">
        <f t="shared" si="739"/>
        <v>11284</v>
      </c>
      <c r="AR486" s="205">
        <f t="shared" si="739"/>
        <v>11470</v>
      </c>
      <c r="AS486" s="205">
        <f t="shared" si="739"/>
        <v>12420</v>
      </c>
      <c r="AT486" s="205">
        <f t="shared" si="739"/>
        <v>13288</v>
      </c>
      <c r="AU486" s="205">
        <f t="shared" si="739"/>
        <v>12734</v>
      </c>
      <c r="AV486" s="205">
        <f t="shared" si="739"/>
        <v>13019</v>
      </c>
      <c r="AW486" s="205">
        <f t="shared" si="739"/>
        <v>13930</v>
      </c>
      <c r="AX486" s="205">
        <f t="shared" si="739"/>
        <v>13800</v>
      </c>
      <c r="AY486" s="205">
        <f t="shared" si="739"/>
        <v>13192</v>
      </c>
      <c r="AZ486" s="205">
        <f t="shared" si="739"/>
        <v>13079</v>
      </c>
      <c r="BA486" s="205">
        <f t="shared" si="739"/>
        <v>13470</v>
      </c>
      <c r="BB486" s="205">
        <f t="shared" si="739"/>
        <v>13459</v>
      </c>
      <c r="BC486" s="205">
        <f t="shared" si="739"/>
        <v>13083</v>
      </c>
      <c r="BD486" s="205">
        <f t="shared" si="739"/>
        <v>13139</v>
      </c>
      <c r="BE486" s="205">
        <f t="shared" si="739"/>
        <v>13617</v>
      </c>
      <c r="BF486" s="205">
        <f t="shared" si="739"/>
        <v>13420</v>
      </c>
      <c r="BG486" s="205">
        <f t="shared" si="739"/>
        <v>12708</v>
      </c>
      <c r="CE486"/>
      <c r="CH486"/>
      <c r="CI486" s="29">
        <f t="shared" si="731"/>
        <v>0</v>
      </c>
      <c r="CJ486" s="29">
        <f t="shared" si="731"/>
        <v>6147</v>
      </c>
      <c r="CK486" s="29">
        <f t="shared" si="731"/>
        <v>7050</v>
      </c>
      <c r="CL486" s="29">
        <f t="shared" si="731"/>
        <v>7718</v>
      </c>
      <c r="CM486" s="29">
        <f t="shared" si="731"/>
        <v>8584</v>
      </c>
      <c r="CN486" s="29">
        <f t="shared" si="731"/>
        <v>8957</v>
      </c>
      <c r="CO486" s="29">
        <f t="shared" si="731"/>
        <v>11112</v>
      </c>
      <c r="CP486" s="29">
        <f t="shared" si="731"/>
        <v>13288</v>
      </c>
      <c r="CQ486" s="29">
        <f t="shared" si="737"/>
        <v>13800</v>
      </c>
      <c r="CR486" s="29">
        <f t="shared" si="731"/>
        <v>13459</v>
      </c>
      <c r="CS486" s="29">
        <f t="shared" si="731"/>
        <v>13420</v>
      </c>
      <c r="CT486" s="29"/>
      <c r="CU486" s="29"/>
      <c r="CV486" s="29"/>
      <c r="CW486" s="29"/>
      <c r="CX486" s="29"/>
    </row>
    <row r="487" spans="2:102" x14ac:dyDescent="0.25">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CI487" s="29"/>
      <c r="CJ487" s="29"/>
      <c r="CK487" s="29"/>
      <c r="CL487" s="29"/>
      <c r="CM487" s="29"/>
      <c r="CN487" s="29"/>
      <c r="CO487" s="29"/>
      <c r="CP487" s="29"/>
      <c r="CQ487" s="29"/>
      <c r="CR487" s="29"/>
      <c r="CS487" s="29"/>
      <c r="CT487" s="29"/>
      <c r="CU487" s="29"/>
      <c r="CV487" s="29"/>
      <c r="CW487" s="29"/>
      <c r="CX487" s="29"/>
    </row>
    <row r="488" spans="2:102" x14ac:dyDescent="0.25">
      <c r="B488" s="37" t="str">
        <f t="shared" ref="B488:BG491" si="740">+B614</f>
        <v>Short-term debt</v>
      </c>
      <c r="C488" s="37"/>
      <c r="D488" s="37"/>
      <c r="E488" s="37"/>
      <c r="F488" s="37"/>
      <c r="G488" s="37"/>
      <c r="H488" s="37"/>
      <c r="I488" s="37"/>
      <c r="J488" s="37"/>
      <c r="K488" s="37"/>
      <c r="L488" s="37"/>
      <c r="M488" s="37"/>
      <c r="N488" s="37"/>
      <c r="O488" s="37"/>
      <c r="P488" s="37"/>
      <c r="Q488" s="37"/>
      <c r="R488" s="37"/>
      <c r="S488" s="53" t="str">
        <f t="shared" si="740"/>
        <v>#InvalidLineItem</v>
      </c>
      <c r="T488" s="53" t="str">
        <f t="shared" si="740"/>
        <v>#InvalidLineItem</v>
      </c>
      <c r="U488" s="53" t="str">
        <f t="shared" si="740"/>
        <v>#InvalidLineItem</v>
      </c>
      <c r="V488" s="53" t="str">
        <f t="shared" si="740"/>
        <v>#InvalidLineItem</v>
      </c>
      <c r="W488" s="53" t="str">
        <f t="shared" si="740"/>
        <v>#InvalidLineItem</v>
      </c>
      <c r="X488" s="53" t="str">
        <f t="shared" si="740"/>
        <v>#InvalidLineItem</v>
      </c>
      <c r="Y488" s="53" t="str">
        <f t="shared" si="740"/>
        <v>#InvalidLineItem</v>
      </c>
      <c r="Z488" s="53" t="str">
        <f t="shared" si="740"/>
        <v>#InvalidLineItem</v>
      </c>
      <c r="AA488" s="53" t="str">
        <f t="shared" si="740"/>
        <v>#InvalidLineItem</v>
      </c>
      <c r="AB488" s="53" t="str">
        <f t="shared" si="740"/>
        <v>#InvalidLineItem</v>
      </c>
      <c r="AC488" s="53" t="str">
        <f t="shared" si="740"/>
        <v>#InvalidLineItem</v>
      </c>
      <c r="AD488" s="53" t="str">
        <f t="shared" si="740"/>
        <v>#InvalidLineItem</v>
      </c>
      <c r="AE488" s="53" t="str">
        <f t="shared" si="740"/>
        <v>#InvalidLineItem</v>
      </c>
      <c r="AF488" s="53" t="str">
        <f t="shared" si="740"/>
        <v>#InvalidLineItem</v>
      </c>
      <c r="AG488" s="53" t="str">
        <f t="shared" si="740"/>
        <v>#InvalidLineItem</v>
      </c>
      <c r="AH488" s="53" t="str">
        <f t="shared" si="740"/>
        <v>#InvalidLineItem</v>
      </c>
      <c r="AI488" s="53" t="str">
        <f t="shared" si="740"/>
        <v>#InvalidLineItem</v>
      </c>
      <c r="AJ488" s="53" t="str">
        <f t="shared" si="740"/>
        <v>#InvalidLineItem</v>
      </c>
      <c r="AK488" s="53" t="str">
        <f t="shared" si="740"/>
        <v>#InvalidLineItem</v>
      </c>
      <c r="AL488" s="53" t="str">
        <f t="shared" si="740"/>
        <v>#InvalidLineItem</v>
      </c>
      <c r="AM488" s="53" t="str">
        <f t="shared" si="740"/>
        <v>#InvalidLineItem</v>
      </c>
      <c r="AN488" s="53" t="str">
        <f t="shared" si="740"/>
        <v>#InvalidLineItem</v>
      </c>
      <c r="AO488" s="53" t="str">
        <f t="shared" si="740"/>
        <v>#InvalidLineItem</v>
      </c>
      <c r="AP488" s="53" t="str">
        <f t="shared" si="740"/>
        <v>#InvalidLineItem</v>
      </c>
      <c r="AQ488" s="53" t="str">
        <f t="shared" si="740"/>
        <v>#InvalidLineItem</v>
      </c>
      <c r="AR488" s="53" t="str">
        <f t="shared" si="740"/>
        <v>#InvalidLineItem</v>
      </c>
      <c r="AS488" s="53" t="str">
        <f t="shared" si="740"/>
        <v>#InvalidLineItem</v>
      </c>
      <c r="AT488" s="53" t="str">
        <f t="shared" si="740"/>
        <v>#InvalidLineItem</v>
      </c>
      <c r="AU488" s="53" t="str">
        <f t="shared" si="740"/>
        <v>#InvalidLineItem</v>
      </c>
      <c r="AV488" s="53" t="str">
        <f t="shared" si="740"/>
        <v>#InvalidLineItem</v>
      </c>
      <c r="AW488" s="53" t="str">
        <f t="shared" si="740"/>
        <v>#InvalidLineItem</v>
      </c>
      <c r="AX488" s="53" t="str">
        <f t="shared" si="740"/>
        <v>#InvalidLineItem</v>
      </c>
      <c r="AY488" s="53" t="str">
        <f t="shared" si="740"/>
        <v>#InvalidLineItem</v>
      </c>
      <c r="AZ488" s="53" t="str">
        <f t="shared" si="740"/>
        <v>#InvalidLineItem</v>
      </c>
      <c r="BA488" s="53" t="str">
        <f t="shared" si="740"/>
        <v>#InvalidLineItem</v>
      </c>
      <c r="BB488" s="53" t="str">
        <f t="shared" si="740"/>
        <v>#InvalidLineItem</v>
      </c>
      <c r="BC488" s="53" t="str">
        <f t="shared" si="740"/>
        <v>#InvalidLineItem</v>
      </c>
      <c r="BD488" s="53" t="str">
        <f t="shared" si="740"/>
        <v>#InvalidLineItem</v>
      </c>
      <c r="BE488" s="53" t="str">
        <f t="shared" si="740"/>
        <v>#InvalidLineItem</v>
      </c>
      <c r="BF488" s="53" t="str">
        <f t="shared" si="740"/>
        <v>#InvalidLineItem</v>
      </c>
      <c r="BG488" s="53" t="str">
        <f t="shared" si="740"/>
        <v>#InvalidLineItem</v>
      </c>
      <c r="CI488" s="29">
        <f t="shared" ref="CI488:CS503" si="741">+SUMIF($S$5:$CD$5,"="&amp;CI$5,$S488:$CD488)</f>
        <v>0</v>
      </c>
      <c r="CJ488" s="29">
        <f t="shared" si="741"/>
        <v>0</v>
      </c>
      <c r="CK488" s="29">
        <f t="shared" si="741"/>
        <v>0</v>
      </c>
      <c r="CL488" s="29">
        <f t="shared" si="741"/>
        <v>0</v>
      </c>
      <c r="CM488" s="29">
        <f t="shared" si="741"/>
        <v>0</v>
      </c>
      <c r="CN488" s="29">
        <f t="shared" si="741"/>
        <v>0</v>
      </c>
      <c r="CO488" s="29">
        <f t="shared" si="741"/>
        <v>0</v>
      </c>
      <c r="CP488" s="29">
        <f t="shared" si="741"/>
        <v>0</v>
      </c>
      <c r="CQ488" s="29">
        <f t="shared" si="741"/>
        <v>0</v>
      </c>
      <c r="CR488" s="29">
        <f t="shared" si="741"/>
        <v>0</v>
      </c>
      <c r="CS488" s="29">
        <f t="shared" si="741"/>
        <v>0</v>
      </c>
      <c r="CT488" s="29"/>
      <c r="CU488" s="29"/>
      <c r="CV488" s="29"/>
      <c r="CW488" s="29"/>
      <c r="CX488" s="29"/>
    </row>
    <row r="489" spans="2:102" x14ac:dyDescent="0.25">
      <c r="B489" s="37" t="str">
        <f t="shared" si="740"/>
        <v>Accounts payable</v>
      </c>
      <c r="C489" s="37"/>
      <c r="D489" s="37"/>
      <c r="E489" s="37"/>
      <c r="F489" s="37"/>
      <c r="G489" s="37"/>
      <c r="H489" s="37"/>
      <c r="I489" s="37"/>
      <c r="J489" s="37"/>
      <c r="K489" s="37"/>
      <c r="L489" s="37"/>
      <c r="M489" s="37"/>
      <c r="N489" s="37"/>
      <c r="O489" s="37"/>
      <c r="P489" s="37"/>
      <c r="Q489" s="37"/>
      <c r="R489" s="37"/>
      <c r="S489" s="53">
        <f t="shared" si="740"/>
        <v>69</v>
      </c>
      <c r="T489" s="53">
        <f t="shared" si="740"/>
        <v>191</v>
      </c>
      <c r="U489" s="53">
        <f t="shared" si="740"/>
        <v>77</v>
      </c>
      <c r="V489" s="53">
        <f t="shared" si="740"/>
        <v>68</v>
      </c>
      <c r="W489" s="53">
        <f t="shared" si="740"/>
        <v>43</v>
      </c>
      <c r="X489" s="53">
        <f t="shared" si="740"/>
        <v>188</v>
      </c>
      <c r="Y489" s="53">
        <f t="shared" si="740"/>
        <v>128</v>
      </c>
      <c r="Z489" s="53">
        <f t="shared" si="740"/>
        <v>89</v>
      </c>
      <c r="AA489" s="53">
        <f t="shared" si="740"/>
        <v>44</v>
      </c>
      <c r="AB489" s="53">
        <f t="shared" si="740"/>
        <v>206</v>
      </c>
      <c r="AC489" s="53">
        <f t="shared" si="740"/>
        <v>65</v>
      </c>
      <c r="AD489" s="53">
        <f t="shared" si="740"/>
        <v>87</v>
      </c>
      <c r="AE489" s="53">
        <f t="shared" si="740"/>
        <v>38</v>
      </c>
      <c r="AF489" s="53">
        <f t="shared" si="740"/>
        <v>187</v>
      </c>
      <c r="AG489" s="53">
        <f t="shared" si="740"/>
        <v>91</v>
      </c>
      <c r="AH489" s="53">
        <f t="shared" si="740"/>
        <v>48</v>
      </c>
      <c r="AI489" s="53">
        <f t="shared" si="740"/>
        <v>47</v>
      </c>
      <c r="AJ489" s="53">
        <f t="shared" si="740"/>
        <v>168</v>
      </c>
      <c r="AK489" s="53">
        <f t="shared" si="740"/>
        <v>70</v>
      </c>
      <c r="AL489" s="53">
        <f t="shared" si="740"/>
        <v>113</v>
      </c>
      <c r="AM489" s="53">
        <f t="shared" si="740"/>
        <v>56</v>
      </c>
      <c r="AN489" s="53">
        <f t="shared" si="740"/>
        <v>148</v>
      </c>
      <c r="AO489" s="53">
        <f t="shared" si="740"/>
        <v>61</v>
      </c>
      <c r="AP489" s="53">
        <f t="shared" si="740"/>
        <v>68</v>
      </c>
      <c r="AQ489" s="53">
        <f t="shared" si="740"/>
        <v>51</v>
      </c>
      <c r="AR489" s="53">
        <f t="shared" si="740"/>
        <v>164</v>
      </c>
      <c r="AS489" s="53">
        <f t="shared" si="740"/>
        <v>89</v>
      </c>
      <c r="AT489" s="53">
        <f t="shared" si="740"/>
        <v>96</v>
      </c>
      <c r="AU489" s="53">
        <f t="shared" si="740"/>
        <v>73</v>
      </c>
      <c r="AV489" s="53">
        <f t="shared" si="740"/>
        <v>136</v>
      </c>
      <c r="AW489" s="53">
        <f t="shared" si="740"/>
        <v>86</v>
      </c>
      <c r="AX489" s="53">
        <f t="shared" si="740"/>
        <v>101</v>
      </c>
      <c r="AY489" s="53">
        <f t="shared" si="740"/>
        <v>70</v>
      </c>
      <c r="AZ489" s="53">
        <f t="shared" si="740"/>
        <v>136</v>
      </c>
      <c r="BA489" s="53">
        <f t="shared" si="740"/>
        <v>62</v>
      </c>
      <c r="BB489" s="53">
        <f t="shared" si="740"/>
        <v>99</v>
      </c>
      <c r="BC489" s="53">
        <f t="shared" si="740"/>
        <v>75</v>
      </c>
      <c r="BD489" s="53">
        <f t="shared" si="740"/>
        <v>152</v>
      </c>
      <c r="BE489" s="53">
        <f t="shared" si="740"/>
        <v>62</v>
      </c>
      <c r="BF489" s="53">
        <f t="shared" si="740"/>
        <v>110</v>
      </c>
      <c r="BG489" s="53">
        <f t="shared" si="740"/>
        <v>80</v>
      </c>
      <c r="CI489" s="29">
        <f t="shared" si="741"/>
        <v>0</v>
      </c>
      <c r="CJ489" s="29">
        <f t="shared" si="741"/>
        <v>68</v>
      </c>
      <c r="CK489" s="29">
        <f t="shared" si="741"/>
        <v>89</v>
      </c>
      <c r="CL489" s="29">
        <f t="shared" si="741"/>
        <v>87</v>
      </c>
      <c r="CM489" s="29">
        <f t="shared" si="741"/>
        <v>48</v>
      </c>
      <c r="CN489" s="29">
        <f t="shared" si="741"/>
        <v>113</v>
      </c>
      <c r="CO489" s="29">
        <f t="shared" si="741"/>
        <v>68</v>
      </c>
      <c r="CP489" s="29">
        <f t="shared" si="741"/>
        <v>96</v>
      </c>
      <c r="CQ489" s="29">
        <f t="shared" si="741"/>
        <v>101</v>
      </c>
      <c r="CR489" s="29">
        <f t="shared" si="741"/>
        <v>99</v>
      </c>
      <c r="CS489" s="29">
        <f t="shared" si="741"/>
        <v>110</v>
      </c>
      <c r="CT489" s="29"/>
      <c r="CU489" s="29"/>
      <c r="CV489" s="29"/>
      <c r="CW489" s="29"/>
      <c r="CX489" s="29"/>
    </row>
    <row r="490" spans="2:102" x14ac:dyDescent="0.25">
      <c r="B490" s="37" t="str">
        <f t="shared" si="740"/>
        <v>Accrued and other current liabilities</v>
      </c>
      <c r="C490" s="37"/>
      <c r="D490" s="37"/>
      <c r="E490" s="37"/>
      <c r="F490" s="37"/>
      <c r="G490" s="37"/>
      <c r="H490" s="37"/>
      <c r="I490" s="37"/>
      <c r="J490" s="37"/>
      <c r="K490" s="37"/>
      <c r="L490" s="37"/>
      <c r="M490" s="37"/>
      <c r="N490" s="37"/>
      <c r="O490" s="37"/>
      <c r="P490" s="37"/>
      <c r="Q490" s="37"/>
      <c r="R490" s="37"/>
      <c r="S490" s="53">
        <f t="shared" si="740"/>
        <v>666</v>
      </c>
      <c r="T490" s="53">
        <f t="shared" si="740"/>
        <v>915</v>
      </c>
      <c r="U490" s="53">
        <f t="shared" si="740"/>
        <v>813</v>
      </c>
      <c r="V490" s="53">
        <f t="shared" si="740"/>
        <v>794</v>
      </c>
      <c r="W490" s="53">
        <f t="shared" si="740"/>
        <v>603</v>
      </c>
      <c r="X490" s="53">
        <f t="shared" si="740"/>
        <v>802</v>
      </c>
      <c r="Y490" s="53">
        <f t="shared" si="740"/>
        <v>840</v>
      </c>
      <c r="Z490" s="53">
        <f t="shared" si="740"/>
        <v>710</v>
      </c>
      <c r="AA490" s="53">
        <f t="shared" si="740"/>
        <v>597</v>
      </c>
      <c r="AB490" s="53">
        <f t="shared" si="740"/>
        <v>777</v>
      </c>
      <c r="AC490" s="53">
        <f t="shared" si="740"/>
        <v>901</v>
      </c>
      <c r="AD490" s="53">
        <f t="shared" si="740"/>
        <v>789</v>
      </c>
      <c r="AE490" s="53">
        <f t="shared" si="740"/>
        <v>709</v>
      </c>
      <c r="AF490" s="53">
        <f t="shared" si="740"/>
        <v>969</v>
      </c>
      <c r="AG490" s="53">
        <f t="shared" si="740"/>
        <v>1070</v>
      </c>
      <c r="AH490" s="53">
        <f t="shared" si="740"/>
        <v>821</v>
      </c>
      <c r="AI490" s="53">
        <f t="shared" si="740"/>
        <v>815</v>
      </c>
      <c r="AJ490" s="53">
        <f t="shared" si="740"/>
        <v>907</v>
      </c>
      <c r="AK490" s="53">
        <f t="shared" si="740"/>
        <v>1092</v>
      </c>
      <c r="AL490" s="53">
        <f t="shared" si="740"/>
        <v>1052</v>
      </c>
      <c r="AM490" s="53">
        <f t="shared" si="740"/>
        <v>915</v>
      </c>
      <c r="AN490" s="53">
        <f t="shared" si="740"/>
        <v>1024</v>
      </c>
      <c r="AO490" s="53">
        <f t="shared" si="740"/>
        <v>1204</v>
      </c>
      <c r="AP490" s="53">
        <f t="shared" si="740"/>
        <v>1052</v>
      </c>
      <c r="AQ490" s="53">
        <f t="shared" si="740"/>
        <v>1040</v>
      </c>
      <c r="AR490" s="53">
        <f t="shared" si="740"/>
        <v>1083</v>
      </c>
      <c r="AS490" s="53">
        <f t="shared" si="740"/>
        <v>1423</v>
      </c>
      <c r="AT490" s="53">
        <f t="shared" si="740"/>
        <v>1341</v>
      </c>
      <c r="AU490" s="53">
        <f t="shared" si="740"/>
        <v>1093</v>
      </c>
      <c r="AV490" s="53">
        <f t="shared" si="740"/>
        <v>1119</v>
      </c>
      <c r="AW490" s="53">
        <f t="shared" si="740"/>
        <v>1443</v>
      </c>
      <c r="AX490" s="53">
        <f t="shared" si="740"/>
        <v>1388</v>
      </c>
      <c r="AY490" s="53">
        <f t="shared" si="740"/>
        <v>1215</v>
      </c>
      <c r="AZ490" s="53">
        <f t="shared" si="740"/>
        <v>1034</v>
      </c>
      <c r="BA490" s="53">
        <f t="shared" si="740"/>
        <v>1243</v>
      </c>
      <c r="BB490" s="53">
        <f t="shared" si="740"/>
        <v>1285</v>
      </c>
      <c r="BC490" s="53">
        <f t="shared" si="740"/>
        <v>1145</v>
      </c>
      <c r="BD490" s="53">
        <f t="shared" si="740"/>
        <v>1138</v>
      </c>
      <c r="BE490" s="53">
        <f t="shared" si="740"/>
        <v>1299</v>
      </c>
      <c r="BF490" s="53">
        <f t="shared" si="740"/>
        <v>1166</v>
      </c>
      <c r="BG490" s="53">
        <f t="shared" si="740"/>
        <v>976</v>
      </c>
      <c r="CI490" s="29">
        <f t="shared" si="741"/>
        <v>0</v>
      </c>
      <c r="CJ490" s="29">
        <f t="shared" si="741"/>
        <v>794</v>
      </c>
      <c r="CK490" s="29">
        <f t="shared" si="741"/>
        <v>710</v>
      </c>
      <c r="CL490" s="29">
        <f t="shared" si="741"/>
        <v>789</v>
      </c>
      <c r="CM490" s="29">
        <f t="shared" si="741"/>
        <v>821</v>
      </c>
      <c r="CN490" s="29">
        <f t="shared" si="741"/>
        <v>1052</v>
      </c>
      <c r="CO490" s="29">
        <f t="shared" si="741"/>
        <v>1052</v>
      </c>
      <c r="CP490" s="29">
        <f t="shared" si="741"/>
        <v>1341</v>
      </c>
      <c r="CQ490" s="29">
        <f t="shared" si="741"/>
        <v>1388</v>
      </c>
      <c r="CR490" s="29">
        <f t="shared" si="741"/>
        <v>1285</v>
      </c>
      <c r="CS490" s="29">
        <f t="shared" si="741"/>
        <v>1166</v>
      </c>
      <c r="CT490" s="29"/>
      <c r="CU490" s="29"/>
      <c r="CV490" s="29"/>
      <c r="CW490" s="29"/>
      <c r="CX490" s="29"/>
    </row>
    <row r="491" spans="2:102" x14ac:dyDescent="0.25">
      <c r="B491" s="37" t="str">
        <f t="shared" si="740"/>
        <v>Deferred net revenue and other assets - Current</v>
      </c>
      <c r="C491" s="37"/>
      <c r="D491" s="37"/>
      <c r="E491" s="37"/>
      <c r="F491" s="37"/>
      <c r="G491" s="37"/>
      <c r="H491" s="37"/>
      <c r="I491" s="37"/>
      <c r="J491" s="37"/>
      <c r="K491" s="37"/>
      <c r="L491" s="37"/>
      <c r="M491" s="37"/>
      <c r="N491" s="37"/>
      <c r="O491" s="37"/>
      <c r="P491" s="37"/>
      <c r="Q491" s="37"/>
      <c r="R491" s="37"/>
      <c r="S491" s="53">
        <f t="shared" si="740"/>
        <v>1051</v>
      </c>
      <c r="T491" s="53">
        <f t="shared" si="740"/>
        <v>1281</v>
      </c>
      <c r="U491" s="53">
        <f t="shared" si="740"/>
        <v>2179</v>
      </c>
      <c r="V491" s="53">
        <f t="shared" si="740"/>
        <v>1885</v>
      </c>
      <c r="W491" s="53">
        <f t="shared" si="740"/>
        <v>1383</v>
      </c>
      <c r="X491" s="53">
        <f t="shared" si="740"/>
        <v>1535</v>
      </c>
      <c r="Y491" s="53">
        <f t="shared" si="740"/>
        <v>2177</v>
      </c>
      <c r="Z491" s="53">
        <f t="shared" si="740"/>
        <v>1619</v>
      </c>
      <c r="AA491" s="53">
        <f t="shared" si="740"/>
        <v>1009</v>
      </c>
      <c r="AB491" s="53">
        <f t="shared" si="740"/>
        <v>1067</v>
      </c>
      <c r="AC491" s="53">
        <f t="shared" si="740"/>
        <v>1971</v>
      </c>
      <c r="AD491" s="53">
        <f t="shared" si="740"/>
        <v>1539</v>
      </c>
      <c r="AE491" s="53">
        <f t="shared" si="740"/>
        <v>882</v>
      </c>
      <c r="AF491" s="53">
        <f t="shared" si="740"/>
        <v>1116</v>
      </c>
      <c r="AG491" s="53">
        <f t="shared" si="740"/>
        <v>1946</v>
      </c>
      <c r="AH491" s="53">
        <f t="shared" si="740"/>
        <v>1622</v>
      </c>
      <c r="AI491" s="53">
        <f t="shared" si="740"/>
        <v>602</v>
      </c>
      <c r="AJ491" s="53">
        <f t="shared" si="740"/>
        <v>574</v>
      </c>
      <c r="AK491" s="53">
        <f t="shared" si="740"/>
        <v>928</v>
      </c>
      <c r="AL491" s="53">
        <f t="shared" si="740"/>
        <v>1100</v>
      </c>
      <c r="AM491" s="53">
        <f t="shared" si="740"/>
        <v>679</v>
      </c>
      <c r="AN491" s="53">
        <f t="shared" si="740"/>
        <v>646</v>
      </c>
      <c r="AO491" s="53">
        <f t="shared" si="740"/>
        <v>1073</v>
      </c>
      <c r="AP491" s="53">
        <f t="shared" si="740"/>
        <v>1544</v>
      </c>
      <c r="AQ491" s="53">
        <f t="shared" si="740"/>
        <v>1477</v>
      </c>
      <c r="AR491" s="53">
        <f t="shared" si="740"/>
        <v>1238</v>
      </c>
      <c r="AS491" s="53">
        <f t="shared" si="740"/>
        <v>1980</v>
      </c>
      <c r="AT491" s="53">
        <f t="shared" si="740"/>
        <v>1527</v>
      </c>
      <c r="AU491" s="53">
        <f t="shared" si="740"/>
        <v>1305</v>
      </c>
      <c r="AV491" s="53">
        <f t="shared" si="740"/>
        <v>1322</v>
      </c>
      <c r="AW491" s="53">
        <f t="shared" si="740"/>
        <v>2101</v>
      </c>
      <c r="AX491" s="53">
        <f t="shared" si="740"/>
        <v>2024</v>
      </c>
      <c r="AY491" s="53">
        <f t="shared" si="740"/>
        <v>1548</v>
      </c>
      <c r="AZ491" s="53">
        <f t="shared" si="740"/>
        <v>1391</v>
      </c>
      <c r="BA491" s="53">
        <f t="shared" si="740"/>
        <v>1808</v>
      </c>
      <c r="BB491" s="53">
        <f t="shared" si="740"/>
        <v>1901</v>
      </c>
      <c r="BC491" s="53">
        <f t="shared" si="740"/>
        <v>1580</v>
      </c>
      <c r="BD491" s="53">
        <f t="shared" si="740"/>
        <v>1498</v>
      </c>
      <c r="BE491" s="53">
        <f t="shared" si="740"/>
        <v>1919</v>
      </c>
      <c r="BF491" s="53">
        <f t="shared" si="740"/>
        <v>1814</v>
      </c>
      <c r="BG491" s="53">
        <f t="shared" si="740"/>
        <v>1412</v>
      </c>
      <c r="CI491" s="29">
        <f t="shared" si="741"/>
        <v>0</v>
      </c>
      <c r="CJ491" s="29">
        <f t="shared" si="741"/>
        <v>1885</v>
      </c>
      <c r="CK491" s="29">
        <f t="shared" si="741"/>
        <v>1619</v>
      </c>
      <c r="CL491" s="29">
        <f t="shared" si="741"/>
        <v>1539</v>
      </c>
      <c r="CM491" s="29">
        <f t="shared" si="741"/>
        <v>1622</v>
      </c>
      <c r="CN491" s="29">
        <f t="shared" si="741"/>
        <v>1100</v>
      </c>
      <c r="CO491" s="29">
        <f t="shared" si="741"/>
        <v>1544</v>
      </c>
      <c r="CP491" s="29">
        <f t="shared" si="741"/>
        <v>1527</v>
      </c>
      <c r="CQ491" s="29">
        <f t="shared" si="741"/>
        <v>2024</v>
      </c>
      <c r="CR491" s="29">
        <f t="shared" si="741"/>
        <v>1901</v>
      </c>
      <c r="CS491" s="29">
        <f t="shared" si="741"/>
        <v>1814</v>
      </c>
      <c r="CT491" s="29"/>
      <c r="CU491" s="29"/>
      <c r="CV491" s="29"/>
      <c r="CW491" s="29"/>
      <c r="CX491" s="29"/>
    </row>
    <row r="492" spans="2:102" x14ac:dyDescent="0.25">
      <c r="B492" s="37" t="s">
        <v>273</v>
      </c>
      <c r="C492" s="37"/>
      <c r="D492" s="37"/>
      <c r="E492" s="37"/>
      <c r="F492" s="37"/>
      <c r="G492" s="37"/>
      <c r="H492" s="37"/>
      <c r="I492" s="37"/>
      <c r="J492" s="37"/>
      <c r="K492" s="37"/>
      <c r="L492" s="37"/>
      <c r="M492" s="37"/>
      <c r="N492" s="37"/>
      <c r="O492" s="37"/>
      <c r="P492" s="37"/>
      <c r="Q492" s="37"/>
      <c r="R492" s="37"/>
      <c r="S492" s="50">
        <f t="shared" ref="S492:BF492" si="742">+S493-SUM(S488:S491)</f>
        <v>0</v>
      </c>
      <c r="T492" s="50">
        <f t="shared" si="742"/>
        <v>0</v>
      </c>
      <c r="U492" s="50">
        <f t="shared" si="742"/>
        <v>0</v>
      </c>
      <c r="V492" s="50">
        <f t="shared" si="742"/>
        <v>0</v>
      </c>
      <c r="W492" s="50">
        <f t="shared" si="742"/>
        <v>0</v>
      </c>
      <c r="X492" s="50">
        <f t="shared" si="742"/>
        <v>0</v>
      </c>
      <c r="Y492" s="50">
        <f t="shared" si="742"/>
        <v>0</v>
      </c>
      <c r="Z492" s="50">
        <f t="shared" si="742"/>
        <v>0</v>
      </c>
      <c r="AA492" s="50">
        <f t="shared" si="742"/>
        <v>0</v>
      </c>
      <c r="AB492" s="50">
        <f t="shared" si="742"/>
        <v>0</v>
      </c>
      <c r="AC492" s="50">
        <f t="shared" si="742"/>
        <v>0</v>
      </c>
      <c r="AD492" s="50">
        <f t="shared" si="742"/>
        <v>0</v>
      </c>
      <c r="AE492" s="50">
        <f t="shared" si="742"/>
        <v>0</v>
      </c>
      <c r="AF492" s="50">
        <f t="shared" si="742"/>
        <v>0</v>
      </c>
      <c r="AG492" s="50">
        <f t="shared" si="742"/>
        <v>0</v>
      </c>
      <c r="AH492" s="50">
        <f t="shared" si="742"/>
        <v>0</v>
      </c>
      <c r="AI492" s="50">
        <f t="shared" si="742"/>
        <v>0</v>
      </c>
      <c r="AJ492" s="50">
        <f t="shared" si="742"/>
        <v>0</v>
      </c>
      <c r="AK492" s="50">
        <f t="shared" si="742"/>
        <v>0</v>
      </c>
      <c r="AL492" s="50">
        <f t="shared" si="742"/>
        <v>0</v>
      </c>
      <c r="AM492" s="50">
        <f t="shared" si="742"/>
        <v>0</v>
      </c>
      <c r="AN492" s="50">
        <f t="shared" si="742"/>
        <v>0</v>
      </c>
      <c r="AO492" s="50">
        <f t="shared" si="742"/>
        <v>0</v>
      </c>
      <c r="AP492" s="50">
        <f t="shared" si="742"/>
        <v>0</v>
      </c>
      <c r="AQ492" s="50">
        <f t="shared" si="742"/>
        <v>0</v>
      </c>
      <c r="AR492" s="50">
        <f t="shared" si="742"/>
        <v>0</v>
      </c>
      <c r="AS492" s="50">
        <f t="shared" si="742"/>
        <v>0</v>
      </c>
      <c r="AT492" s="50">
        <f t="shared" si="742"/>
        <v>0</v>
      </c>
      <c r="AU492" s="50">
        <f t="shared" si="742"/>
        <v>0</v>
      </c>
      <c r="AV492" s="50">
        <f t="shared" si="742"/>
        <v>0</v>
      </c>
      <c r="AW492" s="50">
        <f t="shared" si="742"/>
        <v>0</v>
      </c>
      <c r="AX492" s="50">
        <f t="shared" si="742"/>
        <v>0</v>
      </c>
      <c r="AY492" s="50">
        <f t="shared" si="742"/>
        <v>0</v>
      </c>
      <c r="AZ492" s="50">
        <f t="shared" si="742"/>
        <v>0</v>
      </c>
      <c r="BA492" s="50">
        <f t="shared" si="742"/>
        <v>0</v>
      </c>
      <c r="BB492" s="50">
        <f t="shared" si="742"/>
        <v>0</v>
      </c>
      <c r="BC492" s="50">
        <f t="shared" si="742"/>
        <v>0</v>
      </c>
      <c r="BD492" s="50">
        <f t="shared" si="742"/>
        <v>0</v>
      </c>
      <c r="BE492" s="50">
        <f t="shared" si="742"/>
        <v>0</v>
      </c>
      <c r="BF492" s="50">
        <f t="shared" si="742"/>
        <v>0</v>
      </c>
      <c r="BG492" s="50">
        <f t="shared" ref="BG492" si="743">+BG493-SUM(BG488:BG491)</f>
        <v>0</v>
      </c>
      <c r="CI492" s="29">
        <f t="shared" si="741"/>
        <v>0</v>
      </c>
      <c r="CJ492" s="29">
        <f t="shared" si="741"/>
        <v>0</v>
      </c>
      <c r="CK492" s="29">
        <f t="shared" si="741"/>
        <v>0</v>
      </c>
      <c r="CL492" s="29">
        <f t="shared" si="741"/>
        <v>0</v>
      </c>
      <c r="CM492" s="29">
        <f t="shared" si="741"/>
        <v>0</v>
      </c>
      <c r="CN492" s="29">
        <f t="shared" si="741"/>
        <v>0</v>
      </c>
      <c r="CO492" s="29">
        <f t="shared" si="741"/>
        <v>0</v>
      </c>
      <c r="CP492" s="29">
        <f t="shared" si="741"/>
        <v>0</v>
      </c>
      <c r="CQ492" s="29">
        <f t="shared" si="741"/>
        <v>0</v>
      </c>
      <c r="CR492" s="29">
        <f t="shared" si="741"/>
        <v>0</v>
      </c>
      <c r="CS492" s="29">
        <f t="shared" si="741"/>
        <v>0</v>
      </c>
      <c r="CT492" s="29"/>
      <c r="CU492" s="29"/>
      <c r="CV492" s="29"/>
      <c r="CW492" s="29"/>
      <c r="CX492" s="29"/>
    </row>
    <row r="493" spans="2:102" s="10" customFormat="1" x14ac:dyDescent="0.25">
      <c r="B493" s="10" t="s">
        <v>321</v>
      </c>
      <c r="S493" s="205">
        <f t="shared" ref="S493:BG493" si="744">+S618</f>
        <v>1786</v>
      </c>
      <c r="T493" s="205">
        <f t="shared" si="744"/>
        <v>2387</v>
      </c>
      <c r="U493" s="205">
        <f t="shared" si="744"/>
        <v>3069</v>
      </c>
      <c r="V493" s="205">
        <f t="shared" si="744"/>
        <v>2747</v>
      </c>
      <c r="W493" s="205">
        <f t="shared" si="744"/>
        <v>2029</v>
      </c>
      <c r="X493" s="205">
        <f t="shared" si="744"/>
        <v>2525</v>
      </c>
      <c r="Y493" s="205">
        <f t="shared" si="744"/>
        <v>3145</v>
      </c>
      <c r="Z493" s="205">
        <f t="shared" si="744"/>
        <v>2418</v>
      </c>
      <c r="AA493" s="205">
        <f t="shared" si="744"/>
        <v>1650</v>
      </c>
      <c r="AB493" s="205">
        <f t="shared" si="744"/>
        <v>2050</v>
      </c>
      <c r="AC493" s="205">
        <f t="shared" si="744"/>
        <v>2937</v>
      </c>
      <c r="AD493" s="205">
        <f t="shared" si="744"/>
        <v>2415</v>
      </c>
      <c r="AE493" s="205">
        <f t="shared" si="744"/>
        <v>1629</v>
      </c>
      <c r="AF493" s="205">
        <f t="shared" si="744"/>
        <v>2272</v>
      </c>
      <c r="AG493" s="205">
        <f t="shared" si="744"/>
        <v>3107</v>
      </c>
      <c r="AH493" s="205">
        <f t="shared" si="744"/>
        <v>2491</v>
      </c>
      <c r="AI493" s="205">
        <f t="shared" si="744"/>
        <v>1464</v>
      </c>
      <c r="AJ493" s="205">
        <f t="shared" si="744"/>
        <v>1649</v>
      </c>
      <c r="AK493" s="205">
        <f t="shared" si="744"/>
        <v>2090</v>
      </c>
      <c r="AL493" s="205">
        <f t="shared" si="744"/>
        <v>2265</v>
      </c>
      <c r="AM493" s="205">
        <f t="shared" si="744"/>
        <v>1650</v>
      </c>
      <c r="AN493" s="205">
        <f t="shared" si="744"/>
        <v>1818</v>
      </c>
      <c r="AO493" s="205">
        <f t="shared" si="744"/>
        <v>2338</v>
      </c>
      <c r="AP493" s="205">
        <f t="shared" si="744"/>
        <v>2664</v>
      </c>
      <c r="AQ493" s="205">
        <f t="shared" si="744"/>
        <v>2568</v>
      </c>
      <c r="AR493" s="205">
        <f t="shared" si="744"/>
        <v>2485</v>
      </c>
      <c r="AS493" s="205">
        <f t="shared" si="744"/>
        <v>3492</v>
      </c>
      <c r="AT493" s="205">
        <f t="shared" si="744"/>
        <v>2964</v>
      </c>
      <c r="AU493" s="205">
        <f t="shared" si="744"/>
        <v>2471</v>
      </c>
      <c r="AV493" s="205">
        <f t="shared" si="744"/>
        <v>2577</v>
      </c>
      <c r="AW493" s="205">
        <f t="shared" si="744"/>
        <v>3630</v>
      </c>
      <c r="AX493" s="205">
        <f t="shared" si="744"/>
        <v>3513</v>
      </c>
      <c r="AY493" s="205">
        <f t="shared" si="744"/>
        <v>2833</v>
      </c>
      <c r="AZ493" s="205">
        <f t="shared" si="744"/>
        <v>2561</v>
      </c>
      <c r="BA493" s="205">
        <f t="shared" si="744"/>
        <v>3113</v>
      </c>
      <c r="BB493" s="205">
        <f t="shared" si="744"/>
        <v>3285</v>
      </c>
      <c r="BC493" s="205">
        <f t="shared" si="744"/>
        <v>2800</v>
      </c>
      <c r="BD493" s="205">
        <f t="shared" si="744"/>
        <v>2788</v>
      </c>
      <c r="BE493" s="205">
        <f t="shared" si="744"/>
        <v>3280</v>
      </c>
      <c r="BF493" s="205">
        <f t="shared" si="744"/>
        <v>3090</v>
      </c>
      <c r="BG493" s="205">
        <f t="shared" si="744"/>
        <v>2468</v>
      </c>
      <c r="CE493"/>
      <c r="CH493"/>
      <c r="CI493" s="29">
        <f t="shared" si="741"/>
        <v>0</v>
      </c>
      <c r="CJ493" s="29">
        <f t="shared" si="741"/>
        <v>2747</v>
      </c>
      <c r="CK493" s="29">
        <f t="shared" si="741"/>
        <v>2418</v>
      </c>
      <c r="CL493" s="29">
        <f t="shared" si="741"/>
        <v>2415</v>
      </c>
      <c r="CM493" s="29">
        <f t="shared" si="741"/>
        <v>2491</v>
      </c>
      <c r="CN493" s="29">
        <f t="shared" si="741"/>
        <v>2265</v>
      </c>
      <c r="CO493" s="29">
        <f t="shared" si="741"/>
        <v>2664</v>
      </c>
      <c r="CP493" s="29">
        <f t="shared" si="741"/>
        <v>2964</v>
      </c>
      <c r="CQ493" s="29">
        <f t="shared" si="741"/>
        <v>3513</v>
      </c>
      <c r="CR493" s="29">
        <f t="shared" si="741"/>
        <v>3285</v>
      </c>
      <c r="CS493" s="29">
        <f t="shared" si="741"/>
        <v>3090</v>
      </c>
      <c r="CT493" s="29"/>
      <c r="CU493" s="29"/>
      <c r="CV493" s="29"/>
      <c r="CW493" s="29"/>
      <c r="CX493" s="29"/>
    </row>
    <row r="494" spans="2:102" x14ac:dyDescent="0.25">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CI494" s="29"/>
      <c r="CJ494" s="29"/>
      <c r="CK494" s="29"/>
      <c r="CL494" s="29"/>
      <c r="CM494" s="29"/>
      <c r="CN494" s="29"/>
      <c r="CO494" s="29"/>
      <c r="CP494" s="29"/>
      <c r="CQ494" s="29"/>
      <c r="CR494" s="29"/>
      <c r="CS494" s="29"/>
      <c r="CT494" s="29"/>
      <c r="CU494" s="29"/>
      <c r="CV494" s="29"/>
      <c r="CW494" s="29"/>
      <c r="CX494" s="29"/>
    </row>
    <row r="495" spans="2:102" x14ac:dyDescent="0.25">
      <c r="B495" s="37" t="str">
        <f t="shared" ref="B495:B497" si="745">+B620</f>
        <v>Convertible senior notes due - Non-current</v>
      </c>
      <c r="C495" s="37"/>
      <c r="D495" s="37"/>
      <c r="E495" s="37"/>
      <c r="F495" s="37"/>
      <c r="G495" s="37"/>
      <c r="H495" s="37"/>
      <c r="I495" s="37"/>
      <c r="J495" s="37"/>
      <c r="K495" s="37"/>
      <c r="L495" s="37"/>
      <c r="M495" s="37"/>
      <c r="N495" s="37"/>
      <c r="O495" s="37"/>
      <c r="P495" s="37"/>
      <c r="Q495" s="37"/>
      <c r="R495" s="37"/>
      <c r="S495" s="53">
        <f t="shared" ref="S495:BG497" si="746">+S620</f>
        <v>586</v>
      </c>
      <c r="T495" s="53">
        <f t="shared" si="746"/>
        <v>591</v>
      </c>
      <c r="U495" s="53">
        <f t="shared" si="746"/>
        <v>37</v>
      </c>
      <c r="V495" s="53">
        <f t="shared" si="746"/>
        <v>31</v>
      </c>
      <c r="W495" s="53">
        <f t="shared" si="746"/>
        <v>25</v>
      </c>
      <c r="X495" s="53">
        <f t="shared" si="746"/>
        <v>13</v>
      </c>
      <c r="Y495" s="53">
        <f t="shared" si="746"/>
        <v>7</v>
      </c>
      <c r="Z495" s="53">
        <f t="shared" si="746"/>
        <v>989</v>
      </c>
      <c r="AA495" s="53">
        <f t="shared" si="746"/>
        <v>989</v>
      </c>
      <c r="AB495" s="53">
        <f t="shared" si="746"/>
        <v>990</v>
      </c>
      <c r="AC495" s="53">
        <f t="shared" si="746"/>
        <v>990</v>
      </c>
      <c r="AD495" s="53">
        <f t="shared" si="746"/>
        <v>990</v>
      </c>
      <c r="AE495" s="53">
        <f t="shared" si="746"/>
        <v>991</v>
      </c>
      <c r="AF495" s="53">
        <f t="shared" si="746"/>
        <v>991</v>
      </c>
      <c r="AG495" s="53">
        <f t="shared" si="746"/>
        <v>992</v>
      </c>
      <c r="AH495" s="53">
        <f t="shared" si="746"/>
        <v>992</v>
      </c>
      <c r="AI495" s="53">
        <f t="shared" si="746"/>
        <v>993</v>
      </c>
      <c r="AJ495" s="53">
        <f t="shared" si="746"/>
        <v>993</v>
      </c>
      <c r="AK495" s="53">
        <f t="shared" si="746"/>
        <v>994</v>
      </c>
      <c r="AL495" s="53">
        <f t="shared" si="746"/>
        <v>994</v>
      </c>
      <c r="AM495" s="53">
        <f t="shared" si="746"/>
        <v>995</v>
      </c>
      <c r="AN495" s="53">
        <f t="shared" si="746"/>
        <v>995</v>
      </c>
      <c r="AO495" s="53">
        <f t="shared" si="746"/>
        <v>995</v>
      </c>
      <c r="AP495" s="53">
        <f t="shared" si="746"/>
        <v>397</v>
      </c>
      <c r="AQ495" s="53">
        <f t="shared" si="746"/>
        <v>397</v>
      </c>
      <c r="AR495" s="53">
        <f t="shared" si="746"/>
        <v>397</v>
      </c>
      <c r="AS495" s="53">
        <f t="shared" si="746"/>
        <v>397</v>
      </c>
      <c r="AT495" s="53">
        <f t="shared" si="746"/>
        <v>1876</v>
      </c>
      <c r="AU495" s="53">
        <f t="shared" si="746"/>
        <v>1877</v>
      </c>
      <c r="AV495" s="53">
        <f t="shared" si="746"/>
        <v>1877</v>
      </c>
      <c r="AW495" s="53">
        <f t="shared" si="746"/>
        <v>1878</v>
      </c>
      <c r="AX495" s="53">
        <f t="shared" si="746"/>
        <v>1878</v>
      </c>
      <c r="AY495" s="53">
        <f t="shared" si="746"/>
        <v>1878</v>
      </c>
      <c r="AZ495" s="53">
        <f t="shared" si="746"/>
        <v>1879</v>
      </c>
      <c r="BA495" s="53">
        <f t="shared" si="746"/>
        <v>1879</v>
      </c>
      <c r="BB495" s="53">
        <f t="shared" si="746"/>
        <v>1880</v>
      </c>
      <c r="BC495" s="53">
        <f t="shared" si="746"/>
        <v>1880</v>
      </c>
      <c r="BD495" s="53">
        <f t="shared" si="746"/>
        <v>1881</v>
      </c>
      <c r="BE495" s="53">
        <f t="shared" si="746"/>
        <v>1881</v>
      </c>
      <c r="BF495" s="53">
        <f t="shared" si="746"/>
        <v>1882</v>
      </c>
      <c r="BG495" s="53">
        <f t="shared" si="746"/>
        <v>1882</v>
      </c>
      <c r="CI495" s="29">
        <f t="shared" si="741"/>
        <v>0</v>
      </c>
      <c r="CJ495" s="29">
        <f t="shared" si="741"/>
        <v>31</v>
      </c>
      <c r="CK495" s="29">
        <f t="shared" si="741"/>
        <v>989</v>
      </c>
      <c r="CL495" s="29">
        <f t="shared" si="741"/>
        <v>990</v>
      </c>
      <c r="CM495" s="29">
        <f t="shared" si="741"/>
        <v>992</v>
      </c>
      <c r="CN495" s="29">
        <f t="shared" si="741"/>
        <v>994</v>
      </c>
      <c r="CO495" s="29">
        <f t="shared" si="741"/>
        <v>397</v>
      </c>
      <c r="CP495" s="29">
        <f t="shared" si="741"/>
        <v>1876</v>
      </c>
      <c r="CQ495" s="29">
        <f>+SUMIF($S$5:$CD$5,"="&amp;CQ$5,$S495:$CD495)</f>
        <v>1878</v>
      </c>
      <c r="CR495" s="29">
        <f t="shared" si="741"/>
        <v>1880</v>
      </c>
      <c r="CS495" s="29">
        <f t="shared" si="741"/>
        <v>1882</v>
      </c>
      <c r="CT495" s="29"/>
      <c r="CU495" s="29"/>
      <c r="CV495" s="29"/>
      <c r="CW495" s="29"/>
      <c r="CX495" s="29"/>
    </row>
    <row r="496" spans="2:102" x14ac:dyDescent="0.25">
      <c r="B496" s="37" t="str">
        <f t="shared" si="745"/>
        <v>Income tax obligations - Noncurrent</v>
      </c>
      <c r="C496" s="37"/>
      <c r="D496" s="37"/>
      <c r="E496" s="37"/>
      <c r="F496" s="37"/>
      <c r="G496" s="37"/>
      <c r="H496" s="37"/>
      <c r="I496" s="37"/>
      <c r="J496" s="37"/>
      <c r="K496" s="37"/>
      <c r="L496" s="37"/>
      <c r="M496" s="37"/>
      <c r="N496" s="37"/>
      <c r="O496" s="37"/>
      <c r="P496" s="37"/>
      <c r="Q496" s="37"/>
      <c r="R496" s="37"/>
      <c r="S496" s="53">
        <f t="shared" si="746"/>
        <v>90</v>
      </c>
      <c r="T496" s="53">
        <f t="shared" si="746"/>
        <v>89</v>
      </c>
      <c r="U496" s="53">
        <f t="shared" si="746"/>
        <v>88</v>
      </c>
      <c r="V496" s="53">
        <f t="shared" si="746"/>
        <v>70</v>
      </c>
      <c r="W496" s="53">
        <f t="shared" si="746"/>
        <v>71</v>
      </c>
      <c r="X496" s="53">
        <f t="shared" si="746"/>
        <v>66</v>
      </c>
      <c r="Y496" s="53">
        <f t="shared" si="746"/>
        <v>63</v>
      </c>
      <c r="Z496" s="53">
        <f t="shared" si="746"/>
        <v>80</v>
      </c>
      <c r="AA496" s="53">
        <f t="shared" si="746"/>
        <v>88</v>
      </c>
      <c r="AB496" s="53">
        <f t="shared" si="746"/>
        <v>86</v>
      </c>
      <c r="AC496" s="53">
        <f t="shared" si="746"/>
        <v>87</v>
      </c>
      <c r="AD496" s="53">
        <f t="shared" si="746"/>
        <v>104</v>
      </c>
      <c r="AE496" s="53">
        <f t="shared" si="746"/>
        <v>114</v>
      </c>
      <c r="AF496" s="53">
        <f t="shared" si="746"/>
        <v>122</v>
      </c>
      <c r="AG496" s="53">
        <f t="shared" si="746"/>
        <v>194</v>
      </c>
      <c r="AH496" s="53">
        <f t="shared" si="746"/>
        <v>250</v>
      </c>
      <c r="AI496" s="53">
        <f t="shared" si="746"/>
        <v>276</v>
      </c>
      <c r="AJ496" s="53">
        <f t="shared" si="746"/>
        <v>273</v>
      </c>
      <c r="AK496" s="53">
        <f t="shared" si="746"/>
        <v>264</v>
      </c>
      <c r="AL496" s="53">
        <f t="shared" si="746"/>
        <v>233</v>
      </c>
      <c r="AM496" s="53">
        <f t="shared" si="746"/>
        <v>345</v>
      </c>
      <c r="AN496" s="53">
        <f t="shared" si="746"/>
        <v>361</v>
      </c>
      <c r="AO496" s="53">
        <f t="shared" si="746"/>
        <v>352</v>
      </c>
      <c r="AP496" s="53">
        <f t="shared" si="746"/>
        <v>373</v>
      </c>
      <c r="AQ496" s="53">
        <f t="shared" si="746"/>
        <v>312</v>
      </c>
      <c r="AR496" s="53">
        <f t="shared" si="746"/>
        <v>301</v>
      </c>
      <c r="AS496" s="53">
        <f t="shared" si="746"/>
        <v>296</v>
      </c>
      <c r="AT496" s="53">
        <f t="shared" si="746"/>
        <v>315</v>
      </c>
      <c r="AU496" s="53">
        <f t="shared" si="746"/>
        <v>321</v>
      </c>
      <c r="AV496" s="53">
        <f t="shared" si="746"/>
        <v>318</v>
      </c>
      <c r="AW496" s="53">
        <f t="shared" si="746"/>
        <v>326</v>
      </c>
      <c r="AX496" s="53">
        <f t="shared" si="746"/>
        <v>386</v>
      </c>
      <c r="AY496" s="53">
        <f t="shared" si="746"/>
        <v>438</v>
      </c>
      <c r="AZ496" s="53">
        <f t="shared" si="746"/>
        <v>478</v>
      </c>
      <c r="BA496" s="53">
        <f t="shared" si="746"/>
        <v>525</v>
      </c>
      <c r="BB496" s="53">
        <f t="shared" si="746"/>
        <v>607</v>
      </c>
      <c r="BC496" s="53">
        <f t="shared" si="746"/>
        <v>681</v>
      </c>
      <c r="BD496" s="53">
        <f t="shared" si="746"/>
        <v>458</v>
      </c>
      <c r="BE496" s="53">
        <f t="shared" si="746"/>
        <v>482</v>
      </c>
      <c r="BF496" s="53">
        <f t="shared" si="746"/>
        <v>497</v>
      </c>
      <c r="BG496" s="53">
        <f t="shared" si="746"/>
        <v>525</v>
      </c>
      <c r="CI496" s="29">
        <f t="shared" si="741"/>
        <v>0</v>
      </c>
      <c r="CJ496" s="29">
        <f t="shared" si="741"/>
        <v>70</v>
      </c>
      <c r="CK496" s="29">
        <f t="shared" si="741"/>
        <v>80</v>
      </c>
      <c r="CL496" s="29">
        <f t="shared" si="741"/>
        <v>104</v>
      </c>
      <c r="CM496" s="29">
        <f t="shared" si="741"/>
        <v>250</v>
      </c>
      <c r="CN496" s="29">
        <f t="shared" si="741"/>
        <v>233</v>
      </c>
      <c r="CO496" s="29">
        <f t="shared" si="741"/>
        <v>373</v>
      </c>
      <c r="CP496" s="29">
        <f t="shared" si="741"/>
        <v>315</v>
      </c>
      <c r="CQ496" s="29">
        <f>+SUMIF($S$5:$CD$5,"="&amp;CQ$5,$S496:$CD496)</f>
        <v>386</v>
      </c>
      <c r="CR496" s="29">
        <f t="shared" si="741"/>
        <v>607</v>
      </c>
      <c r="CS496" s="29">
        <f t="shared" si="741"/>
        <v>497</v>
      </c>
      <c r="CT496" s="29"/>
      <c r="CU496" s="29"/>
      <c r="CV496" s="29"/>
      <c r="CW496" s="29"/>
      <c r="CX496" s="29"/>
    </row>
    <row r="497" spans="1:102" x14ac:dyDescent="0.25">
      <c r="B497" s="37" t="str">
        <f t="shared" si="745"/>
        <v>Other liabilities - Non-current</v>
      </c>
      <c r="C497" s="37"/>
      <c r="D497" s="37"/>
      <c r="E497" s="37"/>
      <c r="F497" s="37"/>
      <c r="G497" s="37"/>
      <c r="H497" s="37"/>
      <c r="I497" s="37"/>
      <c r="J497" s="37"/>
      <c r="K497" s="37"/>
      <c r="L497" s="37"/>
      <c r="M497" s="37"/>
      <c r="N497" s="37"/>
      <c r="O497" s="37"/>
      <c r="P497" s="37"/>
      <c r="Q497" s="37"/>
      <c r="R497" s="37"/>
      <c r="S497" s="53">
        <f t="shared" si="746"/>
        <v>301</v>
      </c>
      <c r="T497" s="53">
        <f t="shared" si="746"/>
        <v>294</v>
      </c>
      <c r="U497" s="53">
        <f t="shared" si="746"/>
        <v>286</v>
      </c>
      <c r="V497" s="53">
        <f t="shared" si="746"/>
        <v>263</v>
      </c>
      <c r="W497" s="53">
        <f t="shared" si="746"/>
        <v>260</v>
      </c>
      <c r="X497" s="53">
        <f t="shared" si="746"/>
        <v>250</v>
      </c>
      <c r="Y497" s="53">
        <f t="shared" si="746"/>
        <v>243</v>
      </c>
      <c r="Z497" s="53">
        <f t="shared" si="746"/>
        <v>165</v>
      </c>
      <c r="AA497" s="53">
        <f t="shared" si="746"/>
        <v>162</v>
      </c>
      <c r="AB497" s="53">
        <f t="shared" si="746"/>
        <v>158</v>
      </c>
      <c r="AC497" s="53">
        <f t="shared" si="746"/>
        <v>156</v>
      </c>
      <c r="AD497" s="53">
        <f t="shared" si="746"/>
        <v>149</v>
      </c>
      <c r="AE497" s="53">
        <f t="shared" si="746"/>
        <v>155</v>
      </c>
      <c r="AF497" s="53">
        <f t="shared" si="746"/>
        <v>149</v>
      </c>
      <c r="AG497" s="53">
        <f t="shared" si="746"/>
        <v>263</v>
      </c>
      <c r="AH497" s="53">
        <f t="shared" si="746"/>
        <v>256</v>
      </c>
      <c r="AI497" s="53">
        <f t="shared" si="746"/>
        <v>254</v>
      </c>
      <c r="AJ497" s="53">
        <f t="shared" si="746"/>
        <v>218</v>
      </c>
      <c r="AK497" s="53">
        <f t="shared" si="746"/>
        <v>165</v>
      </c>
      <c r="AL497" s="53">
        <f t="shared" si="746"/>
        <v>134</v>
      </c>
      <c r="AM497" s="53">
        <f t="shared" si="746"/>
        <v>274</v>
      </c>
      <c r="AN497" s="53">
        <f t="shared" si="746"/>
        <v>261</v>
      </c>
      <c r="AO497" s="53">
        <f t="shared" si="746"/>
        <v>239</v>
      </c>
      <c r="AP497" s="53">
        <f t="shared" si="746"/>
        <v>217</v>
      </c>
      <c r="AQ497" s="53">
        <f t="shared" si="746"/>
        <v>225</v>
      </c>
      <c r="AR497" s="53">
        <f t="shared" si="746"/>
        <v>212</v>
      </c>
      <c r="AS497" s="53">
        <f t="shared" si="746"/>
        <v>272</v>
      </c>
      <c r="AT497" s="53">
        <f t="shared" si="746"/>
        <v>293</v>
      </c>
      <c r="AU497" s="53">
        <f t="shared" si="746"/>
        <v>337</v>
      </c>
      <c r="AV497" s="53">
        <f t="shared" si="746"/>
        <v>391</v>
      </c>
      <c r="AW497" s="53">
        <f t="shared" si="746"/>
        <v>479</v>
      </c>
      <c r="AX497" s="53">
        <f t="shared" si="746"/>
        <v>398</v>
      </c>
      <c r="AY497" s="53">
        <f t="shared" si="746"/>
        <v>402</v>
      </c>
      <c r="AZ497" s="53">
        <f t="shared" si="746"/>
        <v>363</v>
      </c>
      <c r="BA497" s="53">
        <f t="shared" si="746"/>
        <v>402</v>
      </c>
      <c r="BB497" s="53">
        <f t="shared" si="746"/>
        <v>394</v>
      </c>
      <c r="BC497" s="53">
        <f t="shared" si="746"/>
        <v>388</v>
      </c>
      <c r="BD497" s="53">
        <f t="shared" si="746"/>
        <v>437</v>
      </c>
      <c r="BE497" s="53">
        <f t="shared" si="746"/>
        <v>441</v>
      </c>
      <c r="BF497" s="53">
        <f t="shared" si="746"/>
        <v>438</v>
      </c>
      <c r="BG497" s="53">
        <f t="shared" si="746"/>
        <v>433</v>
      </c>
      <c r="CI497" s="29">
        <f t="shared" si="741"/>
        <v>0</v>
      </c>
      <c r="CJ497" s="29">
        <f t="shared" si="741"/>
        <v>263</v>
      </c>
      <c r="CK497" s="29">
        <f t="shared" si="741"/>
        <v>165</v>
      </c>
      <c r="CL497" s="29">
        <f t="shared" si="741"/>
        <v>149</v>
      </c>
      <c r="CM497" s="29">
        <f t="shared" si="741"/>
        <v>256</v>
      </c>
      <c r="CN497" s="29">
        <f t="shared" si="741"/>
        <v>134</v>
      </c>
      <c r="CO497" s="29">
        <f t="shared" si="741"/>
        <v>217</v>
      </c>
      <c r="CP497" s="29">
        <f t="shared" si="741"/>
        <v>293</v>
      </c>
      <c r="CQ497" s="29">
        <f>+SUMIF($S$5:$CD$5,"="&amp;CQ$5,$S497:$CD497)</f>
        <v>398</v>
      </c>
      <c r="CR497" s="29">
        <f t="shared" si="741"/>
        <v>394</v>
      </c>
      <c r="CS497" s="29">
        <f t="shared" si="741"/>
        <v>438</v>
      </c>
      <c r="CT497" s="29"/>
      <c r="CU497" s="29"/>
      <c r="CV497" s="29"/>
      <c r="CW497" s="29"/>
      <c r="CX497" s="29"/>
    </row>
    <row r="498" spans="1:102" x14ac:dyDescent="0.25">
      <c r="B498" s="37" t="s">
        <v>273</v>
      </c>
      <c r="C498" s="37"/>
      <c r="D498" s="37"/>
      <c r="E498" s="37"/>
      <c r="F498" s="37"/>
      <c r="G498" s="37"/>
      <c r="H498" s="37"/>
      <c r="I498" s="37"/>
      <c r="J498" s="37"/>
      <c r="K498" s="37"/>
      <c r="L498" s="37"/>
      <c r="M498" s="37"/>
      <c r="N498" s="37"/>
      <c r="O498" s="37"/>
      <c r="P498" s="37"/>
      <c r="Q498" s="37"/>
      <c r="R498" s="37"/>
      <c r="S498" s="50">
        <f t="shared" ref="S498:BG498" si="747">+S499-SUM(S495:S497,S493)</f>
        <v>0</v>
      </c>
      <c r="T498" s="50">
        <f t="shared" si="747"/>
        <v>0</v>
      </c>
      <c r="U498" s="50">
        <f t="shared" si="747"/>
        <v>-37</v>
      </c>
      <c r="V498" s="50">
        <f t="shared" si="747"/>
        <v>-31</v>
      </c>
      <c r="W498" s="50">
        <f t="shared" si="747"/>
        <v>-25</v>
      </c>
      <c r="X498" s="50">
        <f t="shared" si="747"/>
        <v>0</v>
      </c>
      <c r="Y498" s="50">
        <f t="shared" si="747"/>
        <v>0</v>
      </c>
      <c r="Z498" s="50">
        <f t="shared" si="747"/>
        <v>0</v>
      </c>
      <c r="AA498" s="50">
        <f t="shared" si="747"/>
        <v>0</v>
      </c>
      <c r="AB498" s="50">
        <f t="shared" si="747"/>
        <v>0</v>
      </c>
      <c r="AC498" s="50">
        <f t="shared" si="747"/>
        <v>0</v>
      </c>
      <c r="AD498" s="50">
        <f t="shared" si="747"/>
        <v>0</v>
      </c>
      <c r="AE498" s="50">
        <f t="shared" si="747"/>
        <v>0</v>
      </c>
      <c r="AF498" s="50">
        <f t="shared" si="747"/>
        <v>0</v>
      </c>
      <c r="AG498" s="50">
        <f t="shared" si="747"/>
        <v>0</v>
      </c>
      <c r="AH498" s="50">
        <f t="shared" si="747"/>
        <v>0</v>
      </c>
      <c r="AI498" s="50">
        <f t="shared" si="747"/>
        <v>0</v>
      </c>
      <c r="AJ498" s="50">
        <f t="shared" si="747"/>
        <v>0</v>
      </c>
      <c r="AK498" s="50">
        <f t="shared" si="747"/>
        <v>0</v>
      </c>
      <c r="AL498" s="50">
        <f t="shared" si="747"/>
        <v>0</v>
      </c>
      <c r="AM498" s="50">
        <f t="shared" si="747"/>
        <v>0</v>
      </c>
      <c r="AN498" s="50">
        <f t="shared" si="747"/>
        <v>0</v>
      </c>
      <c r="AO498" s="50">
        <f t="shared" si="747"/>
        <v>0</v>
      </c>
      <c r="AP498" s="50">
        <f t="shared" si="747"/>
        <v>0</v>
      </c>
      <c r="AQ498" s="50">
        <f t="shared" si="747"/>
        <v>0</v>
      </c>
      <c r="AR498" s="50">
        <f t="shared" si="747"/>
        <v>0</v>
      </c>
      <c r="AS498" s="50">
        <f t="shared" si="747"/>
        <v>0</v>
      </c>
      <c r="AT498" s="50">
        <f t="shared" si="747"/>
        <v>0</v>
      </c>
      <c r="AU498" s="50">
        <f t="shared" si="747"/>
        <v>0</v>
      </c>
      <c r="AV498" s="50">
        <f t="shared" si="747"/>
        <v>0</v>
      </c>
      <c r="AW498" s="50">
        <f t="shared" si="747"/>
        <v>0</v>
      </c>
      <c r="AX498" s="50">
        <f t="shared" si="747"/>
        <v>0</v>
      </c>
      <c r="AY498" s="50">
        <f t="shared" si="747"/>
        <v>0</v>
      </c>
      <c r="AZ498" s="50">
        <f t="shared" si="747"/>
        <v>0</v>
      </c>
      <c r="BA498" s="50">
        <f t="shared" si="747"/>
        <v>0</v>
      </c>
      <c r="BB498" s="50">
        <f t="shared" si="747"/>
        <v>0</v>
      </c>
      <c r="BC498" s="50">
        <f t="shared" si="747"/>
        <v>0</v>
      </c>
      <c r="BD498" s="50">
        <f t="shared" si="747"/>
        <v>0</v>
      </c>
      <c r="BE498" s="50">
        <f t="shared" si="747"/>
        <v>0</v>
      </c>
      <c r="BF498" s="50">
        <f t="shared" si="747"/>
        <v>0</v>
      </c>
      <c r="BG498" s="50">
        <f t="shared" si="747"/>
        <v>0</v>
      </c>
      <c r="CI498" s="29">
        <f t="shared" si="741"/>
        <v>0</v>
      </c>
      <c r="CJ498" s="29">
        <f t="shared" si="741"/>
        <v>-31</v>
      </c>
      <c r="CK498" s="29">
        <f t="shared" si="741"/>
        <v>0</v>
      </c>
      <c r="CL498" s="29">
        <f t="shared" si="741"/>
        <v>0</v>
      </c>
      <c r="CM498" s="29">
        <f t="shared" si="741"/>
        <v>0</v>
      </c>
      <c r="CN498" s="29">
        <f t="shared" si="741"/>
        <v>0</v>
      </c>
      <c r="CO498" s="29">
        <f t="shared" si="741"/>
        <v>0</v>
      </c>
      <c r="CP498" s="29">
        <f t="shared" si="741"/>
        <v>0</v>
      </c>
      <c r="CQ498" s="29">
        <f>+SUMIF($S$5:$CD$5,"="&amp;CQ$5,$S498:$CD498)</f>
        <v>0</v>
      </c>
      <c r="CR498" s="29">
        <f t="shared" si="741"/>
        <v>0</v>
      </c>
      <c r="CS498" s="29">
        <f t="shared" si="741"/>
        <v>0</v>
      </c>
      <c r="CT498" s="29"/>
      <c r="CU498" s="29"/>
      <c r="CV498" s="29"/>
      <c r="CW498" s="29"/>
      <c r="CX498" s="29"/>
    </row>
    <row r="499" spans="1:102" s="10" customFormat="1" x14ac:dyDescent="0.25">
      <c r="B499" s="10" t="s">
        <v>322</v>
      </c>
      <c r="S499" s="205">
        <f t="shared" ref="S499:BG499" si="748">+S624</f>
        <v>2763</v>
      </c>
      <c r="T499" s="205">
        <f t="shared" si="748"/>
        <v>3361</v>
      </c>
      <c r="U499" s="205">
        <f t="shared" si="748"/>
        <v>3443</v>
      </c>
      <c r="V499" s="205">
        <f t="shared" si="748"/>
        <v>3080</v>
      </c>
      <c r="W499" s="205">
        <f t="shared" si="748"/>
        <v>2360</v>
      </c>
      <c r="X499" s="205">
        <f t="shared" si="748"/>
        <v>2854</v>
      </c>
      <c r="Y499" s="205">
        <f t="shared" si="748"/>
        <v>3458</v>
      </c>
      <c r="Z499" s="205">
        <f t="shared" si="748"/>
        <v>3652</v>
      </c>
      <c r="AA499" s="205">
        <f t="shared" si="748"/>
        <v>2889</v>
      </c>
      <c r="AB499" s="205">
        <f t="shared" si="748"/>
        <v>3284</v>
      </c>
      <c r="AC499" s="205">
        <f t="shared" si="748"/>
        <v>4170</v>
      </c>
      <c r="AD499" s="205">
        <f t="shared" si="748"/>
        <v>3658</v>
      </c>
      <c r="AE499" s="205">
        <f t="shared" si="748"/>
        <v>2889</v>
      </c>
      <c r="AF499" s="205">
        <f t="shared" si="748"/>
        <v>3534</v>
      </c>
      <c r="AG499" s="205">
        <f t="shared" si="748"/>
        <v>4556</v>
      </c>
      <c r="AH499" s="205">
        <f t="shared" si="748"/>
        <v>3989</v>
      </c>
      <c r="AI499" s="205">
        <f t="shared" si="748"/>
        <v>2987</v>
      </c>
      <c r="AJ499" s="205">
        <f t="shared" si="748"/>
        <v>3133</v>
      </c>
      <c r="AK499" s="205">
        <f t="shared" si="748"/>
        <v>3513</v>
      </c>
      <c r="AL499" s="205">
        <f t="shared" si="748"/>
        <v>3626</v>
      </c>
      <c r="AM499" s="205">
        <f t="shared" si="748"/>
        <v>3264</v>
      </c>
      <c r="AN499" s="205">
        <f t="shared" si="748"/>
        <v>3435</v>
      </c>
      <c r="AO499" s="205">
        <f t="shared" si="748"/>
        <v>3924</v>
      </c>
      <c r="AP499" s="205">
        <f t="shared" si="748"/>
        <v>3651</v>
      </c>
      <c r="AQ499" s="205">
        <f t="shared" si="748"/>
        <v>3502</v>
      </c>
      <c r="AR499" s="205">
        <f t="shared" si="748"/>
        <v>3395</v>
      </c>
      <c r="AS499" s="205">
        <f t="shared" si="748"/>
        <v>4457</v>
      </c>
      <c r="AT499" s="205">
        <f t="shared" si="748"/>
        <v>5448</v>
      </c>
      <c r="AU499" s="205">
        <f t="shared" si="748"/>
        <v>5006</v>
      </c>
      <c r="AV499" s="205">
        <f t="shared" si="748"/>
        <v>5163</v>
      </c>
      <c r="AW499" s="205">
        <f t="shared" si="748"/>
        <v>6313</v>
      </c>
      <c r="AX499" s="205">
        <f t="shared" si="748"/>
        <v>6175</v>
      </c>
      <c r="AY499" s="205">
        <f t="shared" si="748"/>
        <v>5551</v>
      </c>
      <c r="AZ499" s="205">
        <f t="shared" si="748"/>
        <v>5281</v>
      </c>
      <c r="BA499" s="205">
        <f t="shared" si="748"/>
        <v>5919</v>
      </c>
      <c r="BB499" s="205">
        <f t="shared" si="748"/>
        <v>6166</v>
      </c>
      <c r="BC499" s="205">
        <f t="shared" si="748"/>
        <v>5749</v>
      </c>
      <c r="BD499" s="205">
        <f t="shared" si="748"/>
        <v>5564</v>
      </c>
      <c r="BE499" s="205">
        <f t="shared" si="748"/>
        <v>6084</v>
      </c>
      <c r="BF499" s="205">
        <f t="shared" si="748"/>
        <v>5907</v>
      </c>
      <c r="BG499" s="205">
        <f t="shared" si="748"/>
        <v>5308</v>
      </c>
      <c r="CE499"/>
      <c r="CH499"/>
      <c r="CI499" s="29">
        <f t="shared" si="741"/>
        <v>0</v>
      </c>
      <c r="CJ499" s="29">
        <f t="shared" si="741"/>
        <v>3080</v>
      </c>
      <c r="CK499" s="29">
        <f t="shared" si="741"/>
        <v>3652</v>
      </c>
      <c r="CL499" s="29">
        <f t="shared" si="741"/>
        <v>3658</v>
      </c>
      <c r="CM499" s="29">
        <f t="shared" si="741"/>
        <v>3989</v>
      </c>
      <c r="CN499" s="29">
        <f t="shared" si="741"/>
        <v>3626</v>
      </c>
      <c r="CO499" s="29">
        <f t="shared" si="741"/>
        <v>3651</v>
      </c>
      <c r="CP499" s="29">
        <f t="shared" si="741"/>
        <v>5448</v>
      </c>
      <c r="CQ499" s="29">
        <f>+SUMIF($S$5:$CD$5,"="&amp;CQ$5,$S499:$CD499)</f>
        <v>6175</v>
      </c>
      <c r="CR499" s="29">
        <f t="shared" si="741"/>
        <v>6166</v>
      </c>
      <c r="CS499" s="29">
        <f t="shared" si="741"/>
        <v>5907</v>
      </c>
      <c r="CT499" s="29"/>
      <c r="CU499" s="29"/>
      <c r="CV499" s="29"/>
      <c r="CW499" s="29"/>
      <c r="CX499" s="29"/>
    </row>
    <row r="500" spans="1:102" x14ac:dyDescent="0.25">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CI500" s="29"/>
      <c r="CJ500" s="29"/>
      <c r="CK500" s="29"/>
      <c r="CL500" s="29"/>
      <c r="CM500" s="29"/>
      <c r="CN500" s="29"/>
      <c r="CO500" s="29"/>
      <c r="CP500" s="29"/>
      <c r="CQ500" s="29"/>
      <c r="CR500" s="29"/>
      <c r="CS500" s="29"/>
      <c r="CT500" s="29"/>
      <c r="CU500" s="29"/>
      <c r="CV500" s="29"/>
      <c r="CW500" s="29"/>
      <c r="CX500" s="29"/>
    </row>
    <row r="501" spans="1:102" x14ac:dyDescent="0.25">
      <c r="B501" s="37" t="str">
        <f t="shared" ref="B501:BG502" si="749">+B627</f>
        <v>Retained earnings</v>
      </c>
      <c r="C501" s="37"/>
      <c r="D501" s="37"/>
      <c r="E501" s="37"/>
      <c r="F501" s="37"/>
      <c r="G501" s="37"/>
      <c r="H501" s="37"/>
      <c r="I501" s="37"/>
      <c r="J501" s="37"/>
      <c r="K501" s="37"/>
      <c r="L501" s="37"/>
      <c r="M501" s="37"/>
      <c r="N501" s="37"/>
      <c r="O501" s="37"/>
      <c r="P501" s="37"/>
      <c r="Q501" s="37"/>
      <c r="R501" s="37"/>
      <c r="S501" s="53">
        <f t="shared" si="749"/>
        <v>364</v>
      </c>
      <c r="T501" s="53">
        <f t="shared" si="749"/>
        <v>367</v>
      </c>
      <c r="U501" s="53">
        <f t="shared" si="749"/>
        <v>509</v>
      </c>
      <c r="V501" s="53">
        <f t="shared" si="749"/>
        <v>904</v>
      </c>
      <c r="W501" s="53">
        <f t="shared" si="749"/>
        <v>1346</v>
      </c>
      <c r="X501" s="53">
        <f t="shared" si="749"/>
        <v>1206</v>
      </c>
      <c r="Y501" s="53">
        <f t="shared" si="749"/>
        <v>1161</v>
      </c>
      <c r="Z501" s="53">
        <f t="shared" si="749"/>
        <v>2060</v>
      </c>
      <c r="AA501" s="53">
        <f t="shared" si="749"/>
        <v>2500</v>
      </c>
      <c r="AB501" s="53">
        <f t="shared" si="749"/>
        <v>2462</v>
      </c>
      <c r="AC501" s="53">
        <f t="shared" si="749"/>
        <v>2461</v>
      </c>
      <c r="AD501" s="53">
        <f t="shared" si="749"/>
        <v>3027</v>
      </c>
      <c r="AE501" s="53">
        <f t="shared" si="749"/>
        <v>3663</v>
      </c>
      <c r="AF501" s="53">
        <f t="shared" si="749"/>
        <v>3641</v>
      </c>
      <c r="AG501" s="53">
        <f t="shared" si="749"/>
        <v>3455</v>
      </c>
      <c r="AH501" s="53">
        <f t="shared" si="749"/>
        <v>4062</v>
      </c>
      <c r="AI501" s="53">
        <f t="shared" si="749"/>
        <v>4944</v>
      </c>
      <c r="AJ501" s="53">
        <f t="shared" si="749"/>
        <v>5199</v>
      </c>
      <c r="AK501" s="53">
        <f t="shared" si="749"/>
        <v>5358</v>
      </c>
      <c r="AL501" s="53">
        <f t="shared" si="749"/>
        <v>5358</v>
      </c>
      <c r="AM501" s="53">
        <f t="shared" si="749"/>
        <v>6499</v>
      </c>
      <c r="AN501" s="53">
        <f t="shared" si="749"/>
        <v>7165</v>
      </c>
      <c r="AO501" s="53">
        <f t="shared" si="749"/>
        <v>7267</v>
      </c>
      <c r="AP501" s="53">
        <f t="shared" si="749"/>
        <v>7508</v>
      </c>
      <c r="AQ501" s="53">
        <f t="shared" si="749"/>
        <v>7831</v>
      </c>
      <c r="AR501" s="53">
        <f t="shared" si="749"/>
        <v>8016</v>
      </c>
      <c r="AS501" s="53">
        <f t="shared" si="749"/>
        <v>8054</v>
      </c>
      <c r="AT501" s="53">
        <f t="shared" si="749"/>
        <v>7887</v>
      </c>
      <c r="AU501" s="53">
        <f t="shared" si="749"/>
        <v>7760</v>
      </c>
      <c r="AV501" s="53">
        <f t="shared" si="749"/>
        <v>7855</v>
      </c>
      <c r="AW501" s="53">
        <f t="shared" si="749"/>
        <v>7608</v>
      </c>
      <c r="AX501" s="53">
        <f t="shared" si="749"/>
        <v>7607</v>
      </c>
      <c r="AY501" s="53">
        <f t="shared" si="749"/>
        <v>7567</v>
      </c>
      <c r="AZ501" s="53">
        <f t="shared" si="749"/>
        <v>7658</v>
      </c>
      <c r="BA501" s="53">
        <f t="shared" si="749"/>
        <v>7585</v>
      </c>
      <c r="BB501" s="53">
        <f t="shared" si="749"/>
        <v>7357</v>
      </c>
      <c r="BC501" s="53">
        <f t="shared" si="749"/>
        <v>7406</v>
      </c>
      <c r="BD501" s="53">
        <f t="shared" si="749"/>
        <v>7606</v>
      </c>
      <c r="BE501" s="53">
        <f t="shared" si="749"/>
        <v>7614</v>
      </c>
      <c r="BF501" s="53">
        <f t="shared" si="749"/>
        <v>7582</v>
      </c>
      <c r="BG501" s="53">
        <f t="shared" si="749"/>
        <v>7457</v>
      </c>
      <c r="CI501" s="29">
        <f t="shared" ref="CI501:CS501" si="750">+SUMIF($S$5:$CD$5,"="&amp;CI$5,$S501:$CD501)</f>
        <v>0</v>
      </c>
      <c r="CJ501" s="29">
        <f t="shared" si="750"/>
        <v>904</v>
      </c>
      <c r="CK501" s="29">
        <f t="shared" si="750"/>
        <v>2060</v>
      </c>
      <c r="CL501" s="29">
        <f t="shared" si="750"/>
        <v>3027</v>
      </c>
      <c r="CM501" s="29">
        <f t="shared" si="750"/>
        <v>4062</v>
      </c>
      <c r="CN501" s="29">
        <f t="shared" si="750"/>
        <v>5358</v>
      </c>
      <c r="CO501" s="29">
        <f t="shared" si="750"/>
        <v>7508</v>
      </c>
      <c r="CP501" s="29">
        <f t="shared" si="750"/>
        <v>7887</v>
      </c>
      <c r="CQ501" s="29">
        <f>+SUMIF($S$5:$CD$5,"="&amp;CQ$5,$S501:$CD501)</f>
        <v>7607</v>
      </c>
      <c r="CR501" s="29">
        <f t="shared" si="750"/>
        <v>7357</v>
      </c>
      <c r="CS501" s="29">
        <f t="shared" si="750"/>
        <v>7582</v>
      </c>
      <c r="CT501" s="29"/>
      <c r="CU501" s="29"/>
      <c r="CV501" s="29"/>
      <c r="CW501" s="29"/>
      <c r="CX501" s="29"/>
    </row>
    <row r="502" spans="1:102" x14ac:dyDescent="0.25">
      <c r="B502" s="37" t="str">
        <f t="shared" si="749"/>
        <v>Accumulated other comprehensive income</v>
      </c>
      <c r="C502" s="37"/>
      <c r="D502" s="37"/>
      <c r="E502" s="37"/>
      <c r="F502" s="37"/>
      <c r="G502" s="37"/>
      <c r="H502" s="37"/>
      <c r="I502" s="37"/>
      <c r="J502" s="37"/>
      <c r="K502" s="37"/>
      <c r="L502" s="37"/>
      <c r="M502" s="37"/>
      <c r="N502" s="37"/>
      <c r="O502" s="37"/>
      <c r="P502" s="37"/>
      <c r="Q502" s="37"/>
      <c r="R502" s="37"/>
      <c r="S502" s="53">
        <f t="shared" si="749"/>
        <v>61</v>
      </c>
      <c r="T502" s="53">
        <f t="shared" si="749"/>
        <v>53</v>
      </c>
      <c r="U502" s="53">
        <f t="shared" si="749"/>
        <v>23</v>
      </c>
      <c r="V502" s="53">
        <f t="shared" si="749"/>
        <v>2</v>
      </c>
      <c r="W502" s="53">
        <f t="shared" si="749"/>
        <v>-14</v>
      </c>
      <c r="X502" s="53">
        <f t="shared" si="749"/>
        <v>-44</v>
      </c>
      <c r="Y502" s="53">
        <f t="shared" si="749"/>
        <v>-57</v>
      </c>
      <c r="Z502" s="53">
        <f t="shared" si="749"/>
        <v>-16</v>
      </c>
      <c r="AA502" s="53">
        <f t="shared" si="749"/>
        <v>3</v>
      </c>
      <c r="AB502" s="53">
        <f t="shared" si="749"/>
        <v>-10</v>
      </c>
      <c r="AC502" s="53">
        <f t="shared" si="749"/>
        <v>-1</v>
      </c>
      <c r="AD502" s="53">
        <f t="shared" si="749"/>
        <v>-19</v>
      </c>
      <c r="AE502" s="53">
        <f t="shared" si="749"/>
        <v>-71</v>
      </c>
      <c r="AF502" s="53">
        <f t="shared" si="749"/>
        <v>-73</v>
      </c>
      <c r="AG502" s="53">
        <f t="shared" si="749"/>
        <v>-95</v>
      </c>
      <c r="AH502" s="53">
        <f t="shared" si="749"/>
        <v>-127</v>
      </c>
      <c r="AI502" s="53">
        <f t="shared" si="749"/>
        <v>-26</v>
      </c>
      <c r="AJ502" s="53">
        <f t="shared" si="749"/>
        <v>-19</v>
      </c>
      <c r="AK502" s="53">
        <f t="shared" si="749"/>
        <v>-17</v>
      </c>
      <c r="AL502" s="53">
        <f t="shared" si="749"/>
        <v>-30</v>
      </c>
      <c r="AM502" s="53">
        <f t="shared" si="749"/>
        <v>-17</v>
      </c>
      <c r="AN502" s="53">
        <f t="shared" si="749"/>
        <v>-10</v>
      </c>
      <c r="AO502" s="53">
        <f t="shared" si="749"/>
        <v>-33</v>
      </c>
      <c r="AP502" s="53">
        <f t="shared" si="749"/>
        <v>-50</v>
      </c>
      <c r="AQ502" s="53">
        <f t="shared" si="749"/>
        <v>-52</v>
      </c>
      <c r="AR502" s="53">
        <f t="shared" si="749"/>
        <v>-89</v>
      </c>
      <c r="AS502" s="53">
        <f t="shared" si="749"/>
        <v>-94</v>
      </c>
      <c r="AT502" s="53">
        <f t="shared" si="749"/>
        <v>-50</v>
      </c>
      <c r="AU502" s="53">
        <f t="shared" si="749"/>
        <v>-35</v>
      </c>
      <c r="AV502" s="53">
        <f t="shared" si="749"/>
        <v>-2</v>
      </c>
      <c r="AW502" s="53">
        <f t="shared" si="749"/>
        <v>6</v>
      </c>
      <c r="AX502" s="53">
        <f t="shared" si="749"/>
        <v>15</v>
      </c>
      <c r="AY502" s="53">
        <f t="shared" si="749"/>
        <v>71</v>
      </c>
      <c r="AZ502" s="53">
        <f t="shared" si="749"/>
        <v>137</v>
      </c>
      <c r="BA502" s="53">
        <f t="shared" si="749"/>
        <v>-37</v>
      </c>
      <c r="BB502" s="53">
        <f t="shared" si="749"/>
        <v>-67</v>
      </c>
      <c r="BC502" s="53">
        <f t="shared" si="749"/>
        <v>-75</v>
      </c>
      <c r="BD502" s="53">
        <f t="shared" si="749"/>
        <v>-34</v>
      </c>
      <c r="BE502" s="53">
        <f t="shared" si="749"/>
        <v>-84</v>
      </c>
      <c r="BF502" s="53">
        <f t="shared" si="749"/>
        <v>-72</v>
      </c>
      <c r="BG502" s="53">
        <f t="shared" si="749"/>
        <v>-60</v>
      </c>
      <c r="CI502" s="29">
        <f t="shared" si="741"/>
        <v>0</v>
      </c>
      <c r="CJ502" s="29">
        <f t="shared" si="741"/>
        <v>2</v>
      </c>
      <c r="CK502" s="29">
        <f t="shared" si="741"/>
        <v>-16</v>
      </c>
      <c r="CL502" s="29">
        <f t="shared" si="741"/>
        <v>-19</v>
      </c>
      <c r="CM502" s="29">
        <f t="shared" si="741"/>
        <v>-127</v>
      </c>
      <c r="CN502" s="29">
        <f t="shared" si="741"/>
        <v>-30</v>
      </c>
      <c r="CO502" s="29">
        <f t="shared" si="741"/>
        <v>-50</v>
      </c>
      <c r="CP502" s="29">
        <f t="shared" si="741"/>
        <v>-50</v>
      </c>
      <c r="CQ502" s="29">
        <f>+SUMIF($S$5:$CD$5,"="&amp;CQ$5,$S502:$CD502)</f>
        <v>15</v>
      </c>
      <c r="CR502" s="29">
        <f t="shared" si="741"/>
        <v>-67</v>
      </c>
      <c r="CS502" s="29">
        <f t="shared" si="741"/>
        <v>-72</v>
      </c>
      <c r="CT502" s="29"/>
      <c r="CU502" s="29"/>
      <c r="CV502" s="29"/>
      <c r="CW502" s="29"/>
      <c r="CX502" s="29"/>
    </row>
    <row r="503" spans="1:102" x14ac:dyDescent="0.25">
      <c r="B503" s="37" t="str">
        <f t="shared" ref="B503:BG503" si="751">+B626</f>
        <v>Common stock</v>
      </c>
      <c r="C503" s="37"/>
      <c r="D503" s="37"/>
      <c r="E503" s="37"/>
      <c r="F503" s="37"/>
      <c r="G503" s="37"/>
      <c r="H503" s="37"/>
      <c r="I503" s="37"/>
      <c r="J503" s="37"/>
      <c r="K503" s="37"/>
      <c r="L503" s="37"/>
      <c r="M503" s="37"/>
      <c r="N503" s="37"/>
      <c r="O503" s="37"/>
      <c r="P503" s="37"/>
      <c r="Q503" s="37"/>
      <c r="R503" s="37"/>
      <c r="S503" s="53">
        <f t="shared" si="751"/>
        <v>3</v>
      </c>
      <c r="T503" s="53">
        <f t="shared" si="751"/>
        <v>3</v>
      </c>
      <c r="U503" s="53">
        <f t="shared" si="751"/>
        <v>3</v>
      </c>
      <c r="V503" s="53">
        <f t="shared" si="751"/>
        <v>3</v>
      </c>
      <c r="W503" s="53">
        <f t="shared" si="751"/>
        <v>3</v>
      </c>
      <c r="X503" s="53">
        <f t="shared" si="751"/>
        <v>3</v>
      </c>
      <c r="Y503" s="53">
        <f t="shared" si="751"/>
        <v>3</v>
      </c>
      <c r="Z503" s="53">
        <f t="shared" si="751"/>
        <v>3</v>
      </c>
      <c r="AA503" s="53">
        <f t="shared" si="751"/>
        <v>3</v>
      </c>
      <c r="AB503" s="53">
        <f t="shared" si="751"/>
        <v>3</v>
      </c>
      <c r="AC503" s="53">
        <f t="shared" si="751"/>
        <v>3</v>
      </c>
      <c r="AD503" s="53">
        <f t="shared" si="751"/>
        <v>3</v>
      </c>
      <c r="AE503" s="53">
        <f t="shared" si="751"/>
        <v>3</v>
      </c>
      <c r="AF503" s="53">
        <f t="shared" si="751"/>
        <v>3</v>
      </c>
      <c r="AG503" s="53">
        <f t="shared" si="751"/>
        <v>3</v>
      </c>
      <c r="AH503" s="53">
        <f t="shared" si="751"/>
        <v>3</v>
      </c>
      <c r="AI503" s="53">
        <f t="shared" si="751"/>
        <v>3</v>
      </c>
      <c r="AJ503" s="53">
        <f t="shared" si="751"/>
        <v>3</v>
      </c>
      <c r="AK503" s="53">
        <f t="shared" si="751"/>
        <v>3</v>
      </c>
      <c r="AL503" s="53">
        <f t="shared" si="751"/>
        <v>3</v>
      </c>
      <c r="AM503" s="53">
        <f t="shared" si="751"/>
        <v>3</v>
      </c>
      <c r="AN503" s="53">
        <f t="shared" si="751"/>
        <v>3</v>
      </c>
      <c r="AO503" s="53">
        <f t="shared" si="751"/>
        <v>3</v>
      </c>
      <c r="AP503" s="53">
        <f t="shared" si="751"/>
        <v>3</v>
      </c>
      <c r="AQ503" s="53">
        <f t="shared" si="751"/>
        <v>3</v>
      </c>
      <c r="AR503" s="53">
        <f t="shared" si="751"/>
        <v>3</v>
      </c>
      <c r="AS503" s="53">
        <f t="shared" si="751"/>
        <v>3</v>
      </c>
      <c r="AT503" s="53">
        <f t="shared" si="751"/>
        <v>3</v>
      </c>
      <c r="AU503" s="53">
        <f t="shared" si="751"/>
        <v>3</v>
      </c>
      <c r="AV503" s="53">
        <f t="shared" si="751"/>
        <v>3</v>
      </c>
      <c r="AW503" s="53">
        <f t="shared" si="751"/>
        <v>3</v>
      </c>
      <c r="AX503" s="53">
        <f t="shared" si="751"/>
        <v>3</v>
      </c>
      <c r="AY503" s="53">
        <f t="shared" si="751"/>
        <v>3</v>
      </c>
      <c r="AZ503" s="53">
        <f t="shared" si="751"/>
        <v>3</v>
      </c>
      <c r="BA503" s="53">
        <f t="shared" si="751"/>
        <v>3</v>
      </c>
      <c r="BB503" s="53">
        <f t="shared" si="751"/>
        <v>3</v>
      </c>
      <c r="BC503" s="53">
        <f t="shared" si="751"/>
        <v>3</v>
      </c>
      <c r="BD503" s="53">
        <f t="shared" si="751"/>
        <v>3</v>
      </c>
      <c r="BE503" s="53">
        <f t="shared" si="751"/>
        <v>3</v>
      </c>
      <c r="BF503" s="53">
        <f t="shared" si="751"/>
        <v>3</v>
      </c>
      <c r="BG503" s="53">
        <f t="shared" si="751"/>
        <v>3</v>
      </c>
      <c r="CI503" s="29">
        <f t="shared" si="741"/>
        <v>0</v>
      </c>
      <c r="CJ503" s="29">
        <f t="shared" si="741"/>
        <v>3</v>
      </c>
      <c r="CK503" s="29">
        <f t="shared" si="741"/>
        <v>3</v>
      </c>
      <c r="CL503" s="29">
        <f t="shared" si="741"/>
        <v>3</v>
      </c>
      <c r="CM503" s="29">
        <f t="shared" si="741"/>
        <v>3</v>
      </c>
      <c r="CN503" s="29">
        <f t="shared" si="741"/>
        <v>3</v>
      </c>
      <c r="CO503" s="29">
        <f t="shared" si="741"/>
        <v>3</v>
      </c>
      <c r="CP503" s="29">
        <f t="shared" si="741"/>
        <v>3</v>
      </c>
      <c r="CQ503" s="29">
        <f>+SUMIF($S$5:$CD$5,"="&amp;CQ$5,$S503:$CD503)</f>
        <v>3</v>
      </c>
      <c r="CR503" s="29">
        <f t="shared" si="741"/>
        <v>3</v>
      </c>
      <c r="CS503" s="29">
        <f t="shared" si="741"/>
        <v>3</v>
      </c>
      <c r="CT503" s="29"/>
      <c r="CU503" s="29"/>
      <c r="CV503" s="29"/>
      <c r="CW503" s="29"/>
      <c r="CX503" s="29"/>
    </row>
    <row r="504" spans="1:102" x14ac:dyDescent="0.25">
      <c r="B504" s="37" t="s">
        <v>273</v>
      </c>
      <c r="C504" s="37"/>
      <c r="D504" s="37"/>
      <c r="E504" s="37"/>
      <c r="F504" s="37"/>
      <c r="G504" s="37"/>
      <c r="H504" s="37"/>
      <c r="I504" s="37"/>
      <c r="J504" s="37"/>
      <c r="K504" s="37"/>
      <c r="L504" s="37"/>
      <c r="M504" s="37"/>
      <c r="N504" s="37"/>
      <c r="O504" s="37"/>
      <c r="P504" s="37"/>
      <c r="Q504" s="37"/>
      <c r="R504" s="37"/>
      <c r="S504" s="50">
        <f t="shared" ref="S504:BG504" si="752">+S505-SUM(S501:S503,S499)</f>
        <v>2285</v>
      </c>
      <c r="T504" s="50">
        <f t="shared" si="752"/>
        <v>2247</v>
      </c>
      <c r="U504" s="50">
        <f t="shared" si="752"/>
        <v>2189</v>
      </c>
      <c r="V504" s="50">
        <f t="shared" si="752"/>
        <v>2158</v>
      </c>
      <c r="W504" s="50">
        <f t="shared" si="752"/>
        <v>2026</v>
      </c>
      <c r="X504" s="50">
        <f t="shared" si="752"/>
        <v>1981</v>
      </c>
      <c r="Y504" s="50">
        <f t="shared" si="752"/>
        <v>1905</v>
      </c>
      <c r="Z504" s="50">
        <f t="shared" si="752"/>
        <v>1351</v>
      </c>
      <c r="AA504" s="50">
        <f t="shared" si="752"/>
        <v>1210</v>
      </c>
      <c r="AB504" s="50">
        <f t="shared" si="752"/>
        <v>1153</v>
      </c>
      <c r="AC504" s="50">
        <f t="shared" si="752"/>
        <v>1086</v>
      </c>
      <c r="AD504" s="50">
        <f t="shared" si="752"/>
        <v>1049</v>
      </c>
      <c r="AE504" s="50">
        <f t="shared" si="752"/>
        <v>891</v>
      </c>
      <c r="AF504" s="50">
        <f t="shared" si="752"/>
        <v>817</v>
      </c>
      <c r="AG504" s="50">
        <f t="shared" si="752"/>
        <v>723</v>
      </c>
      <c r="AH504" s="50">
        <f t="shared" si="752"/>
        <v>657</v>
      </c>
      <c r="AI504" s="50">
        <f t="shared" si="752"/>
        <v>339</v>
      </c>
      <c r="AJ504" s="50">
        <f t="shared" si="752"/>
        <v>134</v>
      </c>
      <c r="AK504" s="50">
        <f t="shared" si="752"/>
        <v>0</v>
      </c>
      <c r="AL504" s="50">
        <f t="shared" si="752"/>
        <v>0</v>
      </c>
      <c r="AM504" s="50">
        <f t="shared" si="752"/>
        <v>0</v>
      </c>
      <c r="AN504" s="50">
        <f t="shared" si="752"/>
        <v>0</v>
      </c>
      <c r="AO504" s="50">
        <f t="shared" si="752"/>
        <v>0</v>
      </c>
      <c r="AP504" s="50">
        <f t="shared" si="752"/>
        <v>0</v>
      </c>
      <c r="AQ504" s="50">
        <f t="shared" si="752"/>
        <v>0</v>
      </c>
      <c r="AR504" s="50">
        <f t="shared" si="752"/>
        <v>145</v>
      </c>
      <c r="AS504" s="50">
        <f t="shared" si="752"/>
        <v>0</v>
      </c>
      <c r="AT504" s="50">
        <f t="shared" si="752"/>
        <v>0</v>
      </c>
      <c r="AU504" s="50">
        <f t="shared" si="752"/>
        <v>0</v>
      </c>
      <c r="AV504" s="50">
        <f t="shared" si="752"/>
        <v>0</v>
      </c>
      <c r="AW504" s="50">
        <f t="shared" si="752"/>
        <v>0</v>
      </c>
      <c r="AX504" s="50">
        <f t="shared" si="752"/>
        <v>0</v>
      </c>
      <c r="AY504" s="50">
        <f t="shared" si="752"/>
        <v>0</v>
      </c>
      <c r="AZ504" s="50">
        <f t="shared" si="752"/>
        <v>0</v>
      </c>
      <c r="BA504" s="50">
        <f t="shared" si="752"/>
        <v>0</v>
      </c>
      <c r="BB504" s="50">
        <f t="shared" si="752"/>
        <v>0</v>
      </c>
      <c r="BC504" s="50">
        <f t="shared" si="752"/>
        <v>0</v>
      </c>
      <c r="BD504" s="50">
        <f t="shared" si="752"/>
        <v>0</v>
      </c>
      <c r="BE504" s="50">
        <f t="shared" si="752"/>
        <v>0</v>
      </c>
      <c r="BF504" s="50">
        <f t="shared" si="752"/>
        <v>0</v>
      </c>
      <c r="BG504" s="50">
        <f t="shared" si="752"/>
        <v>0</v>
      </c>
      <c r="CI504" s="29">
        <f t="shared" ref="CI504:CS505" si="753">+SUMIF($S$5:$CD$5,"="&amp;CI$5,$S504:$CD504)</f>
        <v>0</v>
      </c>
      <c r="CJ504" s="29">
        <f t="shared" si="753"/>
        <v>2158</v>
      </c>
      <c r="CK504" s="29">
        <f t="shared" si="753"/>
        <v>1351</v>
      </c>
      <c r="CL504" s="29">
        <f t="shared" si="753"/>
        <v>1049</v>
      </c>
      <c r="CM504" s="29">
        <f t="shared" si="753"/>
        <v>657</v>
      </c>
      <c r="CN504" s="29">
        <f t="shared" si="753"/>
        <v>0</v>
      </c>
      <c r="CO504" s="29">
        <f t="shared" si="753"/>
        <v>0</v>
      </c>
      <c r="CP504" s="29">
        <f t="shared" si="753"/>
        <v>0</v>
      </c>
      <c r="CQ504" s="29">
        <f>+SUMIF($S$5:$CD$5,"="&amp;CQ$5,$S504:$CD504)</f>
        <v>0</v>
      </c>
      <c r="CR504" s="29">
        <f t="shared" si="753"/>
        <v>0</v>
      </c>
      <c r="CS504" s="29">
        <f t="shared" si="753"/>
        <v>0</v>
      </c>
      <c r="CT504" s="29"/>
      <c r="CU504" s="29"/>
      <c r="CV504" s="29"/>
      <c r="CW504" s="29"/>
      <c r="CX504" s="29"/>
    </row>
    <row r="505" spans="1:102" s="10" customFormat="1" x14ac:dyDescent="0.25">
      <c r="B505" s="10" t="s">
        <v>323</v>
      </c>
      <c r="S505" s="205">
        <f t="shared" ref="S505:BG505" si="754">+S631</f>
        <v>5476</v>
      </c>
      <c r="T505" s="205">
        <f t="shared" si="754"/>
        <v>6031</v>
      </c>
      <c r="U505" s="205">
        <f t="shared" si="754"/>
        <v>6167</v>
      </c>
      <c r="V505" s="205">
        <f t="shared" si="754"/>
        <v>6147</v>
      </c>
      <c r="W505" s="205">
        <f t="shared" si="754"/>
        <v>5721</v>
      </c>
      <c r="X505" s="205">
        <f t="shared" si="754"/>
        <v>6000</v>
      </c>
      <c r="Y505" s="205">
        <f t="shared" si="754"/>
        <v>6470</v>
      </c>
      <c r="Z505" s="205">
        <f t="shared" si="754"/>
        <v>7050</v>
      </c>
      <c r="AA505" s="205">
        <f t="shared" si="754"/>
        <v>6605</v>
      </c>
      <c r="AB505" s="205">
        <f t="shared" si="754"/>
        <v>6892</v>
      </c>
      <c r="AC505" s="205">
        <f t="shared" si="754"/>
        <v>7719</v>
      </c>
      <c r="AD505" s="205">
        <f t="shared" si="754"/>
        <v>7718</v>
      </c>
      <c r="AE505" s="205">
        <f t="shared" si="754"/>
        <v>7375</v>
      </c>
      <c r="AF505" s="205">
        <f t="shared" si="754"/>
        <v>7922</v>
      </c>
      <c r="AG505" s="205">
        <f t="shared" si="754"/>
        <v>8642</v>
      </c>
      <c r="AH505" s="205">
        <f t="shared" si="754"/>
        <v>8584</v>
      </c>
      <c r="AI505" s="205">
        <f t="shared" si="754"/>
        <v>8247</v>
      </c>
      <c r="AJ505" s="205">
        <f t="shared" si="754"/>
        <v>8450</v>
      </c>
      <c r="AK505" s="205">
        <f t="shared" si="754"/>
        <v>8857</v>
      </c>
      <c r="AL505" s="205">
        <f t="shared" si="754"/>
        <v>8957</v>
      </c>
      <c r="AM505" s="205">
        <f t="shared" si="754"/>
        <v>9749</v>
      </c>
      <c r="AN505" s="205">
        <f t="shared" si="754"/>
        <v>10593</v>
      </c>
      <c r="AO505" s="205">
        <f t="shared" si="754"/>
        <v>11161</v>
      </c>
      <c r="AP505" s="205">
        <f t="shared" si="754"/>
        <v>11112</v>
      </c>
      <c r="AQ505" s="205">
        <f t="shared" si="754"/>
        <v>11284</v>
      </c>
      <c r="AR505" s="205">
        <f t="shared" si="754"/>
        <v>11470</v>
      </c>
      <c r="AS505" s="205">
        <f t="shared" si="754"/>
        <v>12420</v>
      </c>
      <c r="AT505" s="205">
        <f t="shared" si="754"/>
        <v>13288</v>
      </c>
      <c r="AU505" s="205">
        <f t="shared" si="754"/>
        <v>12734</v>
      </c>
      <c r="AV505" s="205">
        <f t="shared" si="754"/>
        <v>13019</v>
      </c>
      <c r="AW505" s="205">
        <f t="shared" si="754"/>
        <v>13930</v>
      </c>
      <c r="AX505" s="205">
        <f t="shared" si="754"/>
        <v>13800</v>
      </c>
      <c r="AY505" s="205">
        <f t="shared" si="754"/>
        <v>13192</v>
      </c>
      <c r="AZ505" s="205">
        <f t="shared" si="754"/>
        <v>13079</v>
      </c>
      <c r="BA505" s="205">
        <f t="shared" si="754"/>
        <v>13470</v>
      </c>
      <c r="BB505" s="205">
        <f t="shared" si="754"/>
        <v>13459</v>
      </c>
      <c r="BC505" s="205">
        <f t="shared" si="754"/>
        <v>13083</v>
      </c>
      <c r="BD505" s="205">
        <f t="shared" si="754"/>
        <v>13139</v>
      </c>
      <c r="BE505" s="205">
        <f t="shared" si="754"/>
        <v>13617</v>
      </c>
      <c r="BF505" s="205">
        <f t="shared" si="754"/>
        <v>13420</v>
      </c>
      <c r="BG505" s="205">
        <f t="shared" si="754"/>
        <v>12708</v>
      </c>
      <c r="CE505"/>
      <c r="CH505"/>
      <c r="CI505" s="29">
        <f t="shared" si="753"/>
        <v>0</v>
      </c>
      <c r="CJ505" s="29">
        <f t="shared" si="753"/>
        <v>6147</v>
      </c>
      <c r="CK505" s="29">
        <f t="shared" si="753"/>
        <v>7050</v>
      </c>
      <c r="CL505" s="29">
        <f t="shared" si="753"/>
        <v>7718</v>
      </c>
      <c r="CM505" s="29">
        <f t="shared" si="753"/>
        <v>8584</v>
      </c>
      <c r="CN505" s="29">
        <f t="shared" si="753"/>
        <v>8957</v>
      </c>
      <c r="CO505" s="29">
        <f t="shared" si="753"/>
        <v>11112</v>
      </c>
      <c r="CP505" s="29">
        <f t="shared" si="753"/>
        <v>13288</v>
      </c>
      <c r="CQ505" s="29">
        <f>+SUMIF($S$5:$CD$5,"="&amp;CQ$5,$S505:$CD505)</f>
        <v>13800</v>
      </c>
      <c r="CR505" s="29">
        <f t="shared" si="753"/>
        <v>13459</v>
      </c>
      <c r="CS505" s="29">
        <f t="shared" si="753"/>
        <v>13420</v>
      </c>
      <c r="CT505" s="29"/>
      <c r="CU505" s="29"/>
      <c r="CV505" s="29"/>
      <c r="CW505" s="29"/>
      <c r="CX505" s="29"/>
    </row>
    <row r="508" spans="1:102" ht="15" customHeight="1" x14ac:dyDescent="0.25">
      <c r="A508" s="1" t="s">
        <v>18</v>
      </c>
      <c r="B508" s="16" t="s">
        <v>324</v>
      </c>
      <c r="C508" s="17"/>
      <c r="D508" s="17"/>
      <c r="E508" s="17"/>
      <c r="F508" s="17"/>
      <c r="G508" s="17"/>
      <c r="H508" s="17"/>
      <c r="I508" s="17"/>
      <c r="J508" s="17"/>
      <c r="K508" s="17"/>
      <c r="L508" s="17"/>
      <c r="M508" s="17"/>
      <c r="N508" s="17"/>
      <c r="O508" s="17"/>
      <c r="P508" s="17"/>
      <c r="Q508" s="17"/>
      <c r="R508" s="17"/>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F508" s="19" t="str">
        <f>+B508</f>
        <v>Visible Alpha Pulls</v>
      </c>
      <c r="CG508" s="20"/>
      <c r="CH508" s="20"/>
      <c r="CI508" s="20"/>
      <c r="CJ508" s="20"/>
      <c r="CK508" s="20"/>
      <c r="CL508" s="20"/>
      <c r="CM508" s="21" t="str">
        <f>+B508</f>
        <v>Visible Alpha Pulls</v>
      </c>
      <c r="CN508" s="20"/>
      <c r="CO508" s="20"/>
      <c r="CP508" s="20"/>
      <c r="CQ508" s="20"/>
      <c r="CR508" s="20"/>
      <c r="CS508" s="20"/>
      <c r="CT508" s="20"/>
      <c r="CU508" s="20"/>
      <c r="CV508" s="20"/>
      <c r="CW508" s="20"/>
      <c r="CX508" s="20"/>
    </row>
    <row r="509" spans="1:102" x14ac:dyDescent="0.25">
      <c r="S509" s="9" t="str">
        <f t="shared" ref="S509:CD509" si="755">+MROUND(MONTH(EOMONTH(S$5,-3))/3,1)&amp;"Q-"&amp;TEXT(EOMONTH(S$5,9),"yy")</f>
        <v>1Q-15</v>
      </c>
      <c r="T509" s="9" t="str">
        <f t="shared" si="755"/>
        <v>2Q-15</v>
      </c>
      <c r="U509" s="9" t="str">
        <f t="shared" si="755"/>
        <v>3Q-15</v>
      </c>
      <c r="V509" s="9" t="str">
        <f t="shared" si="755"/>
        <v>4Q-15</v>
      </c>
      <c r="W509" s="9" t="str">
        <f t="shared" si="755"/>
        <v>1Q-16</v>
      </c>
      <c r="X509" s="9" t="str">
        <f t="shared" si="755"/>
        <v>2Q-16</v>
      </c>
      <c r="Y509" s="9" t="str">
        <f t="shared" si="755"/>
        <v>3Q-16</v>
      </c>
      <c r="Z509" s="9" t="str">
        <f t="shared" si="755"/>
        <v>4Q-16</v>
      </c>
      <c r="AA509" s="9" t="str">
        <f t="shared" si="755"/>
        <v>1Q-17</v>
      </c>
      <c r="AB509" s="9" t="str">
        <f t="shared" si="755"/>
        <v>2Q-17</v>
      </c>
      <c r="AC509" s="9" t="str">
        <f t="shared" si="755"/>
        <v>3Q-17</v>
      </c>
      <c r="AD509" s="9" t="str">
        <f t="shared" si="755"/>
        <v>4Q-17</v>
      </c>
      <c r="AE509" s="9" t="str">
        <f t="shared" si="755"/>
        <v>1Q-18</v>
      </c>
      <c r="AF509" s="9" t="str">
        <f t="shared" si="755"/>
        <v>2Q-18</v>
      </c>
      <c r="AG509" s="9" t="str">
        <f t="shared" si="755"/>
        <v>3Q-18</v>
      </c>
      <c r="AH509" s="9" t="str">
        <f t="shared" si="755"/>
        <v>4Q-18</v>
      </c>
      <c r="AI509" s="9" t="str">
        <f t="shared" si="755"/>
        <v>1Q-19</v>
      </c>
      <c r="AJ509" s="9" t="str">
        <f t="shared" si="755"/>
        <v>2Q-19</v>
      </c>
      <c r="AK509" s="9" t="str">
        <f t="shared" si="755"/>
        <v>3Q-19</v>
      </c>
      <c r="AL509" s="9" t="str">
        <f t="shared" si="755"/>
        <v>4Q-19</v>
      </c>
      <c r="AM509" s="9" t="str">
        <f t="shared" si="755"/>
        <v>1Q-20</v>
      </c>
      <c r="AN509" s="9" t="str">
        <f t="shared" si="755"/>
        <v>2Q-20</v>
      </c>
      <c r="AO509" s="9" t="str">
        <f t="shared" si="755"/>
        <v>3Q-20</v>
      </c>
      <c r="AP509" s="9" t="str">
        <f t="shared" si="755"/>
        <v>4Q-20</v>
      </c>
      <c r="AQ509" s="9" t="str">
        <f t="shared" si="755"/>
        <v>1Q-21</v>
      </c>
      <c r="AR509" s="9" t="str">
        <f t="shared" si="755"/>
        <v>2Q-21</v>
      </c>
      <c r="AS509" s="9" t="str">
        <f t="shared" si="755"/>
        <v>3Q-21</v>
      </c>
      <c r="AT509" s="9" t="str">
        <f t="shared" si="755"/>
        <v>4Q-21</v>
      </c>
      <c r="AU509" s="9" t="str">
        <f t="shared" si="755"/>
        <v>1Q-22</v>
      </c>
      <c r="AV509" s="9" t="str">
        <f t="shared" si="755"/>
        <v>2Q-22</v>
      </c>
      <c r="AW509" s="9" t="str">
        <f t="shared" si="755"/>
        <v>3Q-22</v>
      </c>
      <c r="AX509" s="9" t="str">
        <f t="shared" si="755"/>
        <v>4Q-22</v>
      </c>
      <c r="AY509" s="9" t="str">
        <f t="shared" si="755"/>
        <v>1Q-23</v>
      </c>
      <c r="AZ509" s="9" t="str">
        <f t="shared" si="755"/>
        <v>2Q-23</v>
      </c>
      <c r="BA509" s="9" t="str">
        <f t="shared" si="755"/>
        <v>3Q-23</v>
      </c>
      <c r="BB509" s="9" t="str">
        <f t="shared" si="755"/>
        <v>4Q-23</v>
      </c>
      <c r="BC509" s="9" t="str">
        <f t="shared" si="755"/>
        <v>1Q-24</v>
      </c>
      <c r="BD509" s="9" t="str">
        <f t="shared" si="755"/>
        <v>2Q-24</v>
      </c>
      <c r="BE509" s="9" t="str">
        <f t="shared" si="755"/>
        <v>3Q-24</v>
      </c>
      <c r="BF509" s="9" t="str">
        <f t="shared" si="755"/>
        <v>4Q-24</v>
      </c>
      <c r="BG509" s="9" t="str">
        <f t="shared" si="755"/>
        <v>1Q-25</v>
      </c>
      <c r="BH509" s="9" t="str">
        <f t="shared" si="755"/>
        <v>2Q-25</v>
      </c>
      <c r="BI509" s="9" t="str">
        <f t="shared" si="755"/>
        <v>3Q-25</v>
      </c>
      <c r="BJ509" s="9" t="str">
        <f t="shared" si="755"/>
        <v>4Q-25</v>
      </c>
      <c r="BK509" s="9" t="str">
        <f t="shared" si="755"/>
        <v>1Q-26</v>
      </c>
      <c r="BL509" s="9" t="str">
        <f t="shared" si="755"/>
        <v>2Q-26</v>
      </c>
      <c r="BM509" s="9" t="str">
        <f t="shared" si="755"/>
        <v>3Q-26</v>
      </c>
      <c r="BN509" s="9" t="str">
        <f t="shared" si="755"/>
        <v>4Q-26</v>
      </c>
      <c r="BO509" s="9" t="str">
        <f t="shared" si="755"/>
        <v>1Q-27</v>
      </c>
      <c r="BP509" s="9" t="str">
        <f t="shared" si="755"/>
        <v>2Q-27</v>
      </c>
      <c r="BQ509" s="9" t="str">
        <f t="shared" si="755"/>
        <v>3Q-27</v>
      </c>
      <c r="BR509" s="9" t="str">
        <f t="shared" si="755"/>
        <v>4Q-27</v>
      </c>
      <c r="BS509" s="9" t="str">
        <f t="shared" si="755"/>
        <v>1Q-28</v>
      </c>
      <c r="BT509" s="9" t="str">
        <f t="shared" si="755"/>
        <v>2Q-28</v>
      </c>
      <c r="BU509" s="9" t="str">
        <f t="shared" si="755"/>
        <v>3Q-28</v>
      </c>
      <c r="BV509" s="9" t="str">
        <f t="shared" si="755"/>
        <v>4Q-28</v>
      </c>
      <c r="BW509" s="9" t="str">
        <f t="shared" si="755"/>
        <v>1Q-29</v>
      </c>
      <c r="BX509" s="9" t="str">
        <f t="shared" si="755"/>
        <v>2Q-29</v>
      </c>
      <c r="BY509" s="9" t="str">
        <f t="shared" si="755"/>
        <v>3Q-29</v>
      </c>
      <c r="BZ509" s="9" t="str">
        <f t="shared" si="755"/>
        <v>4Q-29</v>
      </c>
      <c r="CA509" s="9" t="str">
        <f t="shared" si="755"/>
        <v>1Q-30</v>
      </c>
      <c r="CB509" s="9" t="str">
        <f t="shared" si="755"/>
        <v>2Q-30</v>
      </c>
      <c r="CC509" s="9" t="str">
        <f t="shared" si="755"/>
        <v>3Q-30</v>
      </c>
      <c r="CD509" s="9" t="str">
        <f t="shared" si="755"/>
        <v>4Q-30</v>
      </c>
      <c r="CF509" s="206" t="s">
        <v>325</v>
      </c>
      <c r="CG509" s="206" t="s">
        <v>326</v>
      </c>
      <c r="CH509" s="206" t="s">
        <v>327</v>
      </c>
      <c r="CI509" s="206" t="s">
        <v>328</v>
      </c>
      <c r="CJ509" s="206" t="s">
        <v>329</v>
      </c>
      <c r="CK509" s="206" t="s">
        <v>330</v>
      </c>
      <c r="CL509" s="206" t="s">
        <v>331</v>
      </c>
      <c r="CM509" s="9" t="str">
        <f>+"FY-"&amp;TEXT(CM$5,"yy")</f>
        <v>FY-18</v>
      </c>
      <c r="CN509" s="9" t="str">
        <f t="shared" ref="CN509:CX509" si="756">+"FY-"&amp;TEXT(CN$5,"yy")</f>
        <v>FY-19</v>
      </c>
      <c r="CO509" s="9" t="str">
        <f t="shared" si="756"/>
        <v>FY-20</v>
      </c>
      <c r="CP509" s="9" t="str">
        <f t="shared" si="756"/>
        <v>FY-21</v>
      </c>
      <c r="CQ509" s="9" t="str">
        <f t="shared" si="756"/>
        <v>FY-22</v>
      </c>
      <c r="CR509" s="9" t="str">
        <f t="shared" si="756"/>
        <v>FY-23</v>
      </c>
      <c r="CS509" s="9" t="str">
        <f t="shared" si="756"/>
        <v>FY-24</v>
      </c>
      <c r="CT509" s="9" t="str">
        <f t="shared" si="756"/>
        <v>FY-25</v>
      </c>
      <c r="CU509" s="9" t="str">
        <f t="shared" si="756"/>
        <v>FY-26</v>
      </c>
      <c r="CV509" s="9" t="str">
        <f t="shared" si="756"/>
        <v>FY-27</v>
      </c>
      <c r="CW509" s="9" t="str">
        <f t="shared" si="756"/>
        <v>FY-28</v>
      </c>
      <c r="CX509" s="9" t="str">
        <f t="shared" si="756"/>
        <v>FY-29</v>
      </c>
    </row>
    <row r="510" spans="1:102" x14ac:dyDescent="0.25">
      <c r="S510" s="206" t="e">
        <v>#NAME?</v>
      </c>
      <c r="T510" s="206" t="e">
        <v>#NAME?</v>
      </c>
      <c r="U510" s="206" t="e">
        <v>#NAME?</v>
      </c>
      <c r="V510" s="206" t="e">
        <v>#NAME?</v>
      </c>
      <c r="W510" s="206" t="e">
        <v>#NAME?</v>
      </c>
      <c r="X510" s="206" t="e">
        <v>#NAME?</v>
      </c>
      <c r="Y510" s="206" t="e">
        <v>#NAME?</v>
      </c>
      <c r="Z510" s="206" t="e">
        <v>#NAME?</v>
      </c>
      <c r="AA510" s="206" t="e">
        <v>#NAME?</v>
      </c>
      <c r="AB510" s="206" t="e">
        <v>#NAME?</v>
      </c>
      <c r="AC510" s="206" t="e">
        <v>#NAME?</v>
      </c>
      <c r="AD510" s="206" t="e">
        <v>#NAME?</v>
      </c>
      <c r="AE510" s="206" t="e">
        <v>#NAME?</v>
      </c>
      <c r="AF510" s="206" t="e">
        <v>#NAME?</v>
      </c>
      <c r="AG510" s="206" t="e">
        <v>#NAME?</v>
      </c>
      <c r="AH510" s="206" t="e">
        <v>#NAME?</v>
      </c>
      <c r="AI510" s="9" t="e">
        <v>#NAME?</v>
      </c>
      <c r="AJ510" s="9" t="e">
        <v>#NAME?</v>
      </c>
      <c r="AK510" s="9" t="e">
        <v>#NAME?</v>
      </c>
      <c r="AL510" s="9" t="e">
        <v>#NAME?</v>
      </c>
      <c r="AM510" s="9" t="e">
        <v>#NAME?</v>
      </c>
      <c r="AN510" s="9" t="e">
        <v>#NAME?</v>
      </c>
      <c r="AO510" s="9" t="e">
        <v>#NAME?</v>
      </c>
      <c r="AP510" s="9" t="e">
        <v>#NAME?</v>
      </c>
      <c r="AQ510" s="9" t="e">
        <v>#NAME?</v>
      </c>
      <c r="AR510" s="9" t="e">
        <v>#NAME?</v>
      </c>
      <c r="AS510" s="9" t="e">
        <v>#NAME?</v>
      </c>
      <c r="AT510" s="9" t="e">
        <v>#NAME?</v>
      </c>
      <c r="AU510" s="9" t="e">
        <v>#NAME?</v>
      </c>
      <c r="AV510" s="9" t="e">
        <v>#NAME?</v>
      </c>
      <c r="AW510" s="9" t="e">
        <v>#NAME?</v>
      </c>
      <c r="AX510" s="9" t="e">
        <v>#NAME?</v>
      </c>
      <c r="AY510" s="9" t="e">
        <v>#NAME?</v>
      </c>
      <c r="AZ510" s="9" t="e">
        <v>#NAME?</v>
      </c>
      <c r="BA510" s="9" t="e">
        <v>#NAME?</v>
      </c>
      <c r="BB510" s="9" t="e">
        <v>#NAME?</v>
      </c>
      <c r="BC510" s="9" t="e">
        <v>#NAME?</v>
      </c>
      <c r="BD510" s="9" t="e">
        <v>#NAME?</v>
      </c>
      <c r="BE510" s="9" t="e">
        <v>#NAME?</v>
      </c>
      <c r="BF510" s="9" t="e">
        <v>#NAME?</v>
      </c>
      <c r="BG510" s="9" t="e">
        <v>#NAME?</v>
      </c>
      <c r="BH510" s="9" t="e">
        <v>#NAME?</v>
      </c>
      <c r="BI510" s="9" t="e">
        <v>#NAME?</v>
      </c>
      <c r="BJ510" s="9" t="e">
        <v>#NAME?</v>
      </c>
      <c r="BK510" s="9" t="e">
        <v>#NAME?</v>
      </c>
      <c r="BL510" s="9" t="e">
        <v>#NAME?</v>
      </c>
      <c r="BM510" s="9" t="e">
        <v>#NAME?</v>
      </c>
      <c r="BN510" s="9" t="e">
        <v>#NAME?</v>
      </c>
      <c r="BO510" s="9" t="e">
        <v>#NAME?</v>
      </c>
      <c r="BP510" s="9" t="e">
        <v>#NAME?</v>
      </c>
      <c r="BQ510" s="9" t="e">
        <v>#NAME?</v>
      </c>
      <c r="BR510" s="9" t="e">
        <v>#NAME?</v>
      </c>
      <c r="BS510" s="9" t="e">
        <v>#NAME?</v>
      </c>
      <c r="BT510" s="9" t="e">
        <v>#NAME?</v>
      </c>
      <c r="BU510" s="9" t="e">
        <v>#NAME?</v>
      </c>
      <c r="BV510" s="9" t="e">
        <v>#NAME?</v>
      </c>
      <c r="BW510" s="9" t="e">
        <v>#NAME?</v>
      </c>
      <c r="BX510" s="9" t="e">
        <v>#NAME?</v>
      </c>
      <c r="BY510" s="9" t="e">
        <v>#NAME?</v>
      </c>
      <c r="BZ510" s="9" t="e">
        <v>#NAME?</v>
      </c>
      <c r="CA510" s="9" t="e">
        <v>#NAME?</v>
      </c>
      <c r="CB510" s="9" t="e">
        <v>#NAME?</v>
      </c>
      <c r="CC510" s="9" t="e">
        <v>#NAME?</v>
      </c>
      <c r="CD510" s="9" t="e">
        <v>#NAME?</v>
      </c>
      <c r="CF510" s="206" t="s">
        <v>332</v>
      </c>
      <c r="CG510" s="206" t="s">
        <v>332</v>
      </c>
      <c r="CH510" s="206" t="s">
        <v>332</v>
      </c>
      <c r="CI510" s="206" t="s">
        <v>332</v>
      </c>
      <c r="CJ510" s="206" t="s">
        <v>332</v>
      </c>
      <c r="CK510" s="206" t="s">
        <v>332</v>
      </c>
      <c r="CL510" s="206" t="s">
        <v>332</v>
      </c>
      <c r="CM510" s="9" t="e">
        <v>#NAME?</v>
      </c>
      <c r="CN510" s="9" t="e">
        <v>#NAME?</v>
      </c>
      <c r="CO510" s="9" t="e">
        <v>#NAME?</v>
      </c>
      <c r="CP510" s="9" t="e">
        <v>#NAME?</v>
      </c>
      <c r="CQ510" s="9" t="e">
        <v>#NAME?</v>
      </c>
      <c r="CR510" s="9" t="e">
        <v>#NAME?</v>
      </c>
      <c r="CS510" s="9" t="e">
        <v>#NAME?</v>
      </c>
      <c r="CT510" s="9" t="e">
        <v>#NAME?</v>
      </c>
      <c r="CU510" s="9" t="e">
        <v>#NAME?</v>
      </c>
      <c r="CV510" s="9" t="e">
        <v>#NAME?</v>
      </c>
      <c r="CW510" s="9" t="e">
        <v>#NAME?</v>
      </c>
      <c r="CX510" s="9" t="e">
        <v>#NAME?</v>
      </c>
    </row>
    <row r="511" spans="1:102" x14ac:dyDescent="0.25">
      <c r="S511" s="165" t="e">
        <f t="shared" ref="S511:CD511" si="757">IF(S$510="A","VA Actuals","Consensus")</f>
        <v>#NAME?</v>
      </c>
      <c r="T511" s="165" t="e">
        <f t="shared" si="757"/>
        <v>#NAME?</v>
      </c>
      <c r="U511" s="165" t="e">
        <f t="shared" si="757"/>
        <v>#NAME?</v>
      </c>
      <c r="V511" s="165" t="e">
        <f t="shared" si="757"/>
        <v>#NAME?</v>
      </c>
      <c r="W511" s="165" t="e">
        <f t="shared" si="757"/>
        <v>#NAME?</v>
      </c>
      <c r="X511" s="165" t="e">
        <f t="shared" si="757"/>
        <v>#NAME?</v>
      </c>
      <c r="Y511" s="165" t="e">
        <f t="shared" si="757"/>
        <v>#NAME?</v>
      </c>
      <c r="Z511" s="165" t="e">
        <f t="shared" si="757"/>
        <v>#NAME?</v>
      </c>
      <c r="AA511" s="165" t="e">
        <f t="shared" si="757"/>
        <v>#NAME?</v>
      </c>
      <c r="AB511" s="165" t="e">
        <f t="shared" si="757"/>
        <v>#NAME?</v>
      </c>
      <c r="AC511" s="165" t="e">
        <f t="shared" si="757"/>
        <v>#NAME?</v>
      </c>
      <c r="AD511" s="165" t="e">
        <f t="shared" si="757"/>
        <v>#NAME?</v>
      </c>
      <c r="AE511" s="165" t="e">
        <f t="shared" si="757"/>
        <v>#NAME?</v>
      </c>
      <c r="AF511" s="165" t="e">
        <f t="shared" si="757"/>
        <v>#NAME?</v>
      </c>
      <c r="AG511" s="165" t="e">
        <f t="shared" si="757"/>
        <v>#NAME?</v>
      </c>
      <c r="AH511" s="165" t="e">
        <f t="shared" si="757"/>
        <v>#NAME?</v>
      </c>
      <c r="AI511" s="10" t="e">
        <f t="shared" si="757"/>
        <v>#NAME?</v>
      </c>
      <c r="AJ511" s="10" t="e">
        <f t="shared" si="757"/>
        <v>#NAME?</v>
      </c>
      <c r="AK511" s="10" t="e">
        <f t="shared" si="757"/>
        <v>#NAME?</v>
      </c>
      <c r="AL511" s="10" t="e">
        <f t="shared" si="757"/>
        <v>#NAME?</v>
      </c>
      <c r="AM511" s="10" t="e">
        <f t="shared" si="757"/>
        <v>#NAME?</v>
      </c>
      <c r="AN511" s="10" t="e">
        <f t="shared" si="757"/>
        <v>#NAME?</v>
      </c>
      <c r="AO511" s="10" t="e">
        <f t="shared" si="757"/>
        <v>#NAME?</v>
      </c>
      <c r="AP511" s="10" t="e">
        <f t="shared" si="757"/>
        <v>#NAME?</v>
      </c>
      <c r="AQ511" s="10" t="e">
        <f t="shared" si="757"/>
        <v>#NAME?</v>
      </c>
      <c r="AR511" s="10" t="e">
        <f t="shared" si="757"/>
        <v>#NAME?</v>
      </c>
      <c r="AS511" s="10" t="e">
        <f t="shared" si="757"/>
        <v>#NAME?</v>
      </c>
      <c r="AT511" s="10" t="e">
        <f t="shared" si="757"/>
        <v>#NAME?</v>
      </c>
      <c r="AU511" s="10" t="e">
        <f t="shared" si="757"/>
        <v>#NAME?</v>
      </c>
      <c r="AV511" s="10" t="e">
        <f t="shared" si="757"/>
        <v>#NAME?</v>
      </c>
      <c r="AW511" s="10" t="e">
        <f t="shared" si="757"/>
        <v>#NAME?</v>
      </c>
      <c r="AX511" s="10" t="e">
        <f t="shared" si="757"/>
        <v>#NAME?</v>
      </c>
      <c r="AY511" s="10" t="e">
        <f t="shared" si="757"/>
        <v>#NAME?</v>
      </c>
      <c r="AZ511" s="10" t="e">
        <f t="shared" si="757"/>
        <v>#NAME?</v>
      </c>
      <c r="BA511" s="10" t="e">
        <f t="shared" si="757"/>
        <v>#NAME?</v>
      </c>
      <c r="BB511" s="10" t="e">
        <f t="shared" si="757"/>
        <v>#NAME?</v>
      </c>
      <c r="BC511" s="10" t="e">
        <f>IF(BC$510="A","VA Actuals","Consensus")</f>
        <v>#NAME?</v>
      </c>
      <c r="BD511" s="10" t="e">
        <f t="shared" si="757"/>
        <v>#NAME?</v>
      </c>
      <c r="BE511" s="10" t="e">
        <f t="shared" si="757"/>
        <v>#NAME?</v>
      </c>
      <c r="BF511" s="10" t="e">
        <f t="shared" si="757"/>
        <v>#NAME?</v>
      </c>
      <c r="BG511" s="10" t="e">
        <f t="shared" si="757"/>
        <v>#NAME?</v>
      </c>
      <c r="BH511" s="10" t="e">
        <f t="shared" si="757"/>
        <v>#NAME?</v>
      </c>
      <c r="BI511" s="10" t="e">
        <f>IF(BI$510="A","VA Actuals","Consensus")</f>
        <v>#NAME?</v>
      </c>
      <c r="BJ511" s="10" t="e">
        <f t="shared" si="757"/>
        <v>#NAME?</v>
      </c>
      <c r="BK511" s="10" t="e">
        <f t="shared" si="757"/>
        <v>#NAME?</v>
      </c>
      <c r="BL511" s="10" t="e">
        <f t="shared" si="757"/>
        <v>#NAME?</v>
      </c>
      <c r="BM511" s="10" t="e">
        <f t="shared" si="757"/>
        <v>#NAME?</v>
      </c>
      <c r="BN511" s="10" t="e">
        <f t="shared" si="757"/>
        <v>#NAME?</v>
      </c>
      <c r="BO511" s="10" t="e">
        <f t="shared" si="757"/>
        <v>#NAME?</v>
      </c>
      <c r="BP511" s="10" t="e">
        <f t="shared" si="757"/>
        <v>#NAME?</v>
      </c>
      <c r="BQ511" s="10" t="e">
        <f t="shared" si="757"/>
        <v>#NAME?</v>
      </c>
      <c r="BR511" s="10" t="e">
        <f t="shared" si="757"/>
        <v>#NAME?</v>
      </c>
      <c r="BS511" s="10" t="e">
        <f t="shared" si="757"/>
        <v>#NAME?</v>
      </c>
      <c r="BT511" s="10" t="e">
        <f t="shared" si="757"/>
        <v>#NAME?</v>
      </c>
      <c r="BU511" s="10" t="e">
        <f t="shared" si="757"/>
        <v>#NAME?</v>
      </c>
      <c r="BV511" s="10" t="e">
        <f t="shared" si="757"/>
        <v>#NAME?</v>
      </c>
      <c r="BW511" s="10" t="e">
        <f t="shared" si="757"/>
        <v>#NAME?</v>
      </c>
      <c r="BX511" s="10" t="e">
        <f t="shared" si="757"/>
        <v>#NAME?</v>
      </c>
      <c r="BY511" s="10" t="e">
        <f t="shared" si="757"/>
        <v>#NAME?</v>
      </c>
      <c r="BZ511" s="10" t="e">
        <f t="shared" si="757"/>
        <v>#NAME?</v>
      </c>
      <c r="CA511" s="10" t="e">
        <f t="shared" si="757"/>
        <v>#NAME?</v>
      </c>
      <c r="CB511" s="10" t="e">
        <f t="shared" si="757"/>
        <v>#NAME?</v>
      </c>
      <c r="CC511" s="10" t="e">
        <f t="shared" si="757"/>
        <v>#NAME?</v>
      </c>
      <c r="CD511" s="10" t="e">
        <f t="shared" si="757"/>
        <v>#NAME?</v>
      </c>
      <c r="CF511" s="165" t="s">
        <v>333</v>
      </c>
      <c r="CG511" s="165" t="s">
        <v>333</v>
      </c>
      <c r="CH511" s="165" t="s">
        <v>333</v>
      </c>
      <c r="CI511" s="165" t="s">
        <v>333</v>
      </c>
      <c r="CJ511" s="165" t="s">
        <v>333</v>
      </c>
      <c r="CK511" s="165" t="s">
        <v>333</v>
      </c>
      <c r="CL511" s="165" t="s">
        <v>333</v>
      </c>
      <c r="CM511" s="10" t="e">
        <f t="shared" ref="CM511:CX511" si="758">IF(CM$510="A","VA Actuals","Consensus")</f>
        <v>#NAME?</v>
      </c>
      <c r="CN511" s="10" t="e">
        <f t="shared" si="758"/>
        <v>#NAME?</v>
      </c>
      <c r="CO511" s="10" t="e">
        <f t="shared" si="758"/>
        <v>#NAME?</v>
      </c>
      <c r="CP511" s="10" t="e">
        <f t="shared" si="758"/>
        <v>#NAME?</v>
      </c>
      <c r="CQ511" s="10" t="e">
        <f>IF(CQ$510="A","VA Actuals","Consensus")</f>
        <v>#NAME?</v>
      </c>
      <c r="CR511" s="10" t="e">
        <f t="shared" si="758"/>
        <v>#NAME?</v>
      </c>
      <c r="CS511" s="10" t="e">
        <f t="shared" si="758"/>
        <v>#NAME?</v>
      </c>
      <c r="CT511" s="10" t="e">
        <f t="shared" si="758"/>
        <v>#NAME?</v>
      </c>
      <c r="CU511" s="10" t="e">
        <f t="shared" si="758"/>
        <v>#NAME?</v>
      </c>
      <c r="CV511" s="10" t="e">
        <f t="shared" si="758"/>
        <v>#NAME?</v>
      </c>
      <c r="CW511" s="10" t="e">
        <f t="shared" si="758"/>
        <v>#NAME?</v>
      </c>
      <c r="CX511" s="10" t="e">
        <f t="shared" si="758"/>
        <v>#NAME?</v>
      </c>
    </row>
    <row r="512" spans="1:102" x14ac:dyDescent="0.25">
      <c r="B512" s="189" t="s">
        <v>334</v>
      </c>
      <c r="C512" s="189"/>
      <c r="D512" s="189"/>
      <c r="E512" s="189"/>
      <c r="F512" s="189"/>
      <c r="G512" s="189"/>
      <c r="H512" s="189"/>
      <c r="I512" s="189"/>
      <c r="J512" s="189"/>
      <c r="K512" s="189"/>
      <c r="L512" s="189"/>
      <c r="M512" s="189"/>
      <c r="N512" s="189"/>
      <c r="O512" s="189"/>
      <c r="P512" s="189"/>
      <c r="Q512" s="189"/>
      <c r="R512" s="189"/>
      <c r="S512" s="60"/>
      <c r="T512" s="60"/>
      <c r="U512" s="60"/>
      <c r="V512" s="60"/>
      <c r="W512" s="60"/>
      <c r="X512" s="60"/>
      <c r="Y512" s="60"/>
      <c r="Z512" s="60"/>
      <c r="AA512" s="60"/>
      <c r="AB512" s="60"/>
      <c r="AC512" s="60"/>
      <c r="AD512" s="60"/>
      <c r="AE512" s="60"/>
      <c r="AF512" s="60"/>
      <c r="AG512" s="60"/>
      <c r="AH512" s="60"/>
      <c r="CF512" s="60"/>
      <c r="CG512" s="60"/>
      <c r="CH512" s="60"/>
      <c r="CI512" s="60"/>
      <c r="CJ512" s="60"/>
      <c r="CK512" s="60"/>
      <c r="CL512" s="60"/>
    </row>
    <row r="513" spans="2:104" s="10" customFormat="1" x14ac:dyDescent="0.25">
      <c r="B513" s="65" t="s">
        <v>335</v>
      </c>
      <c r="C513" s="65"/>
      <c r="D513" s="65"/>
      <c r="E513" s="65"/>
      <c r="F513" s="65"/>
      <c r="G513" s="65"/>
      <c r="H513" s="65"/>
      <c r="I513" s="65"/>
      <c r="J513" s="65"/>
      <c r="K513" s="65"/>
      <c r="L513" s="65"/>
      <c r="M513" s="65"/>
      <c r="N513" s="65"/>
      <c r="O513" s="65"/>
      <c r="P513" s="65"/>
      <c r="Q513" s="65"/>
      <c r="R513" s="65"/>
      <c r="S513" s="57">
        <v>775</v>
      </c>
      <c r="T513" s="57">
        <v>1220</v>
      </c>
      <c r="U513" s="57">
        <v>1428</v>
      </c>
      <c r="V513" s="57">
        <v>896</v>
      </c>
      <c r="W513" s="57">
        <v>693</v>
      </c>
      <c r="X513" s="57">
        <v>1146</v>
      </c>
      <c r="Y513" s="57">
        <v>1803</v>
      </c>
      <c r="Z513" s="57">
        <v>924</v>
      </c>
      <c r="AA513" s="57">
        <v>682</v>
      </c>
      <c r="AB513" s="57">
        <v>1098</v>
      </c>
      <c r="AC513" s="57">
        <v>2070</v>
      </c>
      <c r="AD513" s="57">
        <v>1092</v>
      </c>
      <c r="AE513" s="57">
        <v>775</v>
      </c>
      <c r="AF513" s="57">
        <v>1179</v>
      </c>
      <c r="AG513" s="57">
        <v>1971</v>
      </c>
      <c r="AH513" s="57">
        <v>1255</v>
      </c>
      <c r="AI513" s="57">
        <v>798</v>
      </c>
      <c r="AJ513" s="57">
        <v>1266</v>
      </c>
      <c r="AK513" s="57">
        <v>1657</v>
      </c>
      <c r="AL513" s="57">
        <v>1411</v>
      </c>
      <c r="AM513" s="57">
        <v>782</v>
      </c>
      <c r="AN513" s="57">
        <v>1313</v>
      </c>
      <c r="AO513" s="57">
        <v>2021</v>
      </c>
      <c r="AP513" s="57">
        <v>1256</v>
      </c>
      <c r="AQ513" s="57">
        <v>1390</v>
      </c>
      <c r="AR513" s="57">
        <v>910</v>
      </c>
      <c r="AS513" s="57">
        <v>2400</v>
      </c>
      <c r="AT513" s="57">
        <v>1490</v>
      </c>
      <c r="AU513" s="57">
        <v>1336</v>
      </c>
      <c r="AV513" s="57">
        <v>1851</v>
      </c>
      <c r="AW513" s="57">
        <v>2577</v>
      </c>
      <c r="AX513" s="57">
        <v>1751</v>
      </c>
      <c r="AY513" s="57">
        <v>1299</v>
      </c>
      <c r="AZ513" s="57">
        <v>1754</v>
      </c>
      <c r="BA513" s="57">
        <v>2342</v>
      </c>
      <c r="BB513" s="57">
        <v>1946</v>
      </c>
      <c r="BC513" s="57">
        <v>1578</v>
      </c>
      <c r="BD513" s="57">
        <v>1820</v>
      </c>
      <c r="BE513" s="57">
        <v>2366</v>
      </c>
      <c r="BF513" s="57">
        <v>1666</v>
      </c>
      <c r="BG513" s="57">
        <v>1262</v>
      </c>
      <c r="BH513" s="142" t="e">
        <v>#NAME?</v>
      </c>
      <c r="BI513" s="142" t="e">
        <v>#NAME?</v>
      </c>
      <c r="BJ513" s="142" t="e">
        <v>#NAME?</v>
      </c>
      <c r="BK513" s="142" t="e">
        <v>#NAME?</v>
      </c>
      <c r="BL513" s="142" t="e">
        <v>#NAME?</v>
      </c>
      <c r="BM513" s="142" t="e">
        <v>#NAME?</v>
      </c>
      <c r="BN513" s="142" t="e">
        <v>#NAME?</v>
      </c>
      <c r="BO513" s="142" t="e">
        <v>#NAME?</v>
      </c>
      <c r="BP513" s="142" t="e">
        <v>#NAME?</v>
      </c>
      <c r="BQ513" s="142" t="e">
        <v>#NAME?</v>
      </c>
      <c r="BR513" s="142" t="e">
        <v>#NAME?</v>
      </c>
      <c r="BS513" s="142" t="e">
        <v>#NAME?</v>
      </c>
      <c r="BT513" s="142" t="e">
        <v>#NAME?</v>
      </c>
      <c r="BU513" s="142" t="e">
        <v>#NAME?</v>
      </c>
      <c r="BV513" s="142" t="e">
        <v>#NAME?</v>
      </c>
      <c r="BW513" s="142" t="e">
        <v>#NAME?</v>
      </c>
      <c r="BX513" s="142" t="e">
        <v>#NAME?</v>
      </c>
      <c r="BY513" s="142" t="e">
        <v>#NAME?</v>
      </c>
      <c r="BZ513" s="142" t="e">
        <v>#NAME?</v>
      </c>
      <c r="CA513" s="142" t="e">
        <v>#NAME?</v>
      </c>
      <c r="CB513" s="142" t="e">
        <v>#NAME?</v>
      </c>
      <c r="CC513" s="142" t="e">
        <v>#NAME?</v>
      </c>
      <c r="CD513" s="142" t="e">
        <v>#NAME?</v>
      </c>
      <c r="CE513"/>
      <c r="CF513" s="57" t="s">
        <v>336</v>
      </c>
      <c r="CG513" s="57" t="s">
        <v>336</v>
      </c>
      <c r="CH513" s="57">
        <v>3793</v>
      </c>
      <c r="CI513" s="57">
        <v>4021</v>
      </c>
      <c r="CJ513" s="57">
        <v>4319</v>
      </c>
      <c r="CK513" s="57">
        <v>4566</v>
      </c>
      <c r="CL513" s="57">
        <v>4942</v>
      </c>
      <c r="CM513" s="57">
        <v>5180</v>
      </c>
      <c r="CN513" s="57">
        <v>5132</v>
      </c>
      <c r="CO513" s="57">
        <v>5372</v>
      </c>
      <c r="CP513" s="57">
        <v>6190</v>
      </c>
      <c r="CQ513" s="57">
        <v>7515</v>
      </c>
      <c r="CR513" s="57">
        <v>7341</v>
      </c>
      <c r="CS513" s="57">
        <v>7430</v>
      </c>
      <c r="CT513" s="142" t="e">
        <v>#NAME?</v>
      </c>
      <c r="CU513" s="142" t="e">
        <v>#NAME?</v>
      </c>
      <c r="CV513" s="142" t="e">
        <v>#NAME?</v>
      </c>
      <c r="CW513" s="142" t="e">
        <v>#NAME?</v>
      </c>
      <c r="CX513" s="142" t="e">
        <v>#NAME?</v>
      </c>
      <c r="CZ513" s="207"/>
    </row>
    <row r="514" spans="2:104" x14ac:dyDescent="0.25">
      <c r="B514" s="37" t="s">
        <v>337</v>
      </c>
      <c r="C514" s="37"/>
      <c r="D514" s="37"/>
      <c r="E514" s="37"/>
      <c r="F514" s="37"/>
      <c r="G514" s="37"/>
      <c r="H514" s="37"/>
      <c r="I514" s="37"/>
      <c r="J514" s="37"/>
      <c r="K514" s="37"/>
      <c r="L514" s="37"/>
      <c r="M514" s="37"/>
      <c r="N514" s="37"/>
      <c r="O514" s="37"/>
      <c r="P514" s="37"/>
      <c r="Q514" s="37"/>
      <c r="R514" s="37"/>
      <c r="S514" s="24">
        <v>476</v>
      </c>
      <c r="T514" s="24">
        <v>810</v>
      </c>
      <c r="U514" s="24">
        <v>1014</v>
      </c>
      <c r="V514" s="24">
        <v>542</v>
      </c>
      <c r="W514" s="24">
        <v>325</v>
      </c>
      <c r="X514" s="24">
        <v>854</v>
      </c>
      <c r="Y514" s="24">
        <v>1372</v>
      </c>
      <c r="Z514" s="24">
        <v>560</v>
      </c>
      <c r="AA514" s="24">
        <v>377</v>
      </c>
      <c r="AB514" s="24">
        <v>798</v>
      </c>
      <c r="AC514" s="24">
        <v>1558</v>
      </c>
      <c r="AD514" s="24">
        <v>694</v>
      </c>
      <c r="AE514" s="24">
        <v>444</v>
      </c>
      <c r="AF514" s="24">
        <v>853</v>
      </c>
      <c r="AG514" s="24">
        <v>1520</v>
      </c>
      <c r="AH514" s="24">
        <v>883</v>
      </c>
      <c r="AI514" s="24">
        <v>417</v>
      </c>
      <c r="AJ514" s="24">
        <v>925</v>
      </c>
      <c r="AK514" s="24">
        <v>1208</v>
      </c>
      <c r="AL514" s="24">
        <v>913</v>
      </c>
      <c r="AM514" s="24">
        <v>416</v>
      </c>
      <c r="AN514" s="24">
        <v>931</v>
      </c>
      <c r="AO514" s="24">
        <v>1551</v>
      </c>
      <c r="AP514" s="24">
        <v>785</v>
      </c>
      <c r="AQ514" s="24">
        <v>824</v>
      </c>
      <c r="AR514" s="24">
        <v>513</v>
      </c>
      <c r="AS514" s="24">
        <v>1810</v>
      </c>
      <c r="AT514" s="24">
        <v>950</v>
      </c>
      <c r="AU514" s="24">
        <v>694</v>
      </c>
      <c r="AV514" s="24">
        <v>1169</v>
      </c>
      <c r="AW514" s="24">
        <v>1746</v>
      </c>
      <c r="AX514" s="24">
        <v>1006</v>
      </c>
      <c r="AY514" s="24">
        <v>637</v>
      </c>
      <c r="AZ514" s="24">
        <v>1027</v>
      </c>
      <c r="BA514" s="24">
        <v>1575</v>
      </c>
      <c r="BB514" s="24">
        <v>1099</v>
      </c>
      <c r="BC514" s="24">
        <v>901</v>
      </c>
      <c r="BD514" s="24">
        <v>1152</v>
      </c>
      <c r="BE514" s="24">
        <v>1606</v>
      </c>
      <c r="BF514" s="24">
        <v>955</v>
      </c>
      <c r="BG514" s="24">
        <v>677</v>
      </c>
      <c r="BH514" s="146" t="e">
        <v>#NAME?</v>
      </c>
      <c r="BI514" s="146" t="e">
        <v>#NAME?</v>
      </c>
      <c r="BJ514" s="146" t="e">
        <v>#NAME?</v>
      </c>
      <c r="BK514" s="146" t="e">
        <v>#NAME?</v>
      </c>
      <c r="BL514" s="146" t="e">
        <v>#NAME?</v>
      </c>
      <c r="BM514" s="146" t="e">
        <v>#NAME?</v>
      </c>
      <c r="BN514" s="146" t="e">
        <v>#NAME?</v>
      </c>
      <c r="BO514" s="146" t="e">
        <v>#NAME?</v>
      </c>
      <c r="BP514" s="146" t="e">
        <v>#NAME?</v>
      </c>
      <c r="BQ514" s="146" t="e">
        <v>#NAME?</v>
      </c>
      <c r="BR514" s="146" t="e">
        <v>#NAME?</v>
      </c>
      <c r="BS514" s="146" t="e">
        <v>#NAME?</v>
      </c>
      <c r="BT514" s="146" t="e">
        <v>#NAME?</v>
      </c>
      <c r="BU514" s="146" t="e">
        <v>#NAME?</v>
      </c>
      <c r="BV514" s="146" t="e">
        <v>#NAME?</v>
      </c>
      <c r="BW514" s="146" t="e">
        <v>#NAME?</v>
      </c>
      <c r="BX514" s="146" t="e">
        <v>#NAME?</v>
      </c>
      <c r="BY514" s="146" t="e">
        <v>#NAME?</v>
      </c>
      <c r="BZ514" s="146" t="e">
        <v>#NAME?</v>
      </c>
      <c r="CA514" s="146" t="e">
        <v>#NAME?</v>
      </c>
      <c r="CB514" s="146" t="e">
        <v>#NAME?</v>
      </c>
      <c r="CC514" s="146" t="e">
        <v>#NAME?</v>
      </c>
      <c r="CD514" s="146" t="e">
        <v>#NAME?</v>
      </c>
      <c r="CF514" s="24" t="s">
        <v>336</v>
      </c>
      <c r="CG514" s="24" t="s">
        <v>336</v>
      </c>
      <c r="CH514" s="24">
        <v>2208</v>
      </c>
      <c r="CI514" s="24">
        <v>2552</v>
      </c>
      <c r="CJ514" s="24">
        <v>2842</v>
      </c>
      <c r="CK514" s="24">
        <v>3111</v>
      </c>
      <c r="CL514" s="24">
        <v>3427</v>
      </c>
      <c r="CM514" s="24">
        <v>3700</v>
      </c>
      <c r="CN514" s="24">
        <v>3463</v>
      </c>
      <c r="CO514" s="24">
        <v>3683</v>
      </c>
      <c r="CP514" s="24">
        <v>4097</v>
      </c>
      <c r="CQ514" s="24">
        <v>4615</v>
      </c>
      <c r="CR514" s="24">
        <v>4338</v>
      </c>
      <c r="CS514" s="24">
        <v>4614</v>
      </c>
      <c r="CT514" s="146" t="e">
        <v>#NAME?</v>
      </c>
      <c r="CU514" s="146" t="e">
        <v>#NAME?</v>
      </c>
      <c r="CV514" s="146" t="e">
        <v>#NAME?</v>
      </c>
      <c r="CW514" s="146" t="e">
        <v>#NAME?</v>
      </c>
      <c r="CX514" s="146" t="e">
        <v>#NAME?</v>
      </c>
      <c r="CZ514" s="207"/>
    </row>
    <row r="515" spans="2:104" x14ac:dyDescent="0.25">
      <c r="B515" s="37" t="s">
        <v>338</v>
      </c>
      <c r="C515" s="37"/>
      <c r="D515" s="37"/>
      <c r="E515" s="37"/>
      <c r="F515" s="37"/>
      <c r="G515" s="37"/>
      <c r="H515" s="37"/>
      <c r="I515" s="37"/>
      <c r="J515" s="37"/>
      <c r="K515" s="37"/>
      <c r="L515" s="37"/>
      <c r="M515" s="37"/>
      <c r="N515" s="37"/>
      <c r="O515" s="37"/>
      <c r="P515" s="37"/>
      <c r="Q515" s="37"/>
      <c r="R515" s="37"/>
      <c r="S515" s="24">
        <v>164</v>
      </c>
      <c r="T515" s="24">
        <v>264</v>
      </c>
      <c r="U515" s="24">
        <v>231</v>
      </c>
      <c r="V515" s="24">
        <v>172</v>
      </c>
      <c r="W515" s="24">
        <v>220</v>
      </c>
      <c r="X515" s="24">
        <v>165</v>
      </c>
      <c r="Y515" s="24">
        <v>237</v>
      </c>
      <c r="Z515" s="24">
        <v>168</v>
      </c>
      <c r="AA515" s="24">
        <v>149</v>
      </c>
      <c r="AB515" s="24">
        <v>149</v>
      </c>
      <c r="AC515" s="24">
        <v>317</v>
      </c>
      <c r="AD515" s="24">
        <v>216</v>
      </c>
      <c r="AE515" s="24">
        <v>179</v>
      </c>
      <c r="AF515" s="24">
        <v>166</v>
      </c>
      <c r="AG515" s="24">
        <v>264</v>
      </c>
      <c r="AH515" s="24">
        <v>190</v>
      </c>
      <c r="AI515" s="24">
        <v>190</v>
      </c>
      <c r="AJ515" s="24">
        <v>145</v>
      </c>
      <c r="AK515" s="24">
        <v>257</v>
      </c>
      <c r="AL515" s="24">
        <v>310</v>
      </c>
      <c r="AM515" s="24">
        <v>195</v>
      </c>
      <c r="AN515" s="24">
        <v>216</v>
      </c>
      <c r="AO515" s="24">
        <v>285</v>
      </c>
      <c r="AP515" s="24">
        <v>276</v>
      </c>
      <c r="AQ515" s="24">
        <v>340</v>
      </c>
      <c r="AR515" s="24">
        <v>225</v>
      </c>
      <c r="AS515" s="24">
        <v>399</v>
      </c>
      <c r="AT515" s="24">
        <v>346</v>
      </c>
      <c r="AU515" s="24">
        <v>370</v>
      </c>
      <c r="AV515" s="24">
        <v>403</v>
      </c>
      <c r="AW515" s="24">
        <v>511</v>
      </c>
      <c r="AX515" s="24">
        <v>423</v>
      </c>
      <c r="AY515" s="24">
        <v>348</v>
      </c>
      <c r="AZ515" s="24">
        <v>431</v>
      </c>
      <c r="BA515" s="24">
        <v>464</v>
      </c>
      <c r="BB515" s="24">
        <v>516</v>
      </c>
      <c r="BC515" s="24">
        <v>374</v>
      </c>
      <c r="BD515" s="24">
        <v>389</v>
      </c>
      <c r="BE515" s="24">
        <v>453</v>
      </c>
      <c r="BF515" s="24">
        <v>413</v>
      </c>
      <c r="BG515" s="24">
        <v>295</v>
      </c>
      <c r="BH515" s="146" t="e">
        <v>#NAME?</v>
      </c>
      <c r="BI515" s="146" t="e">
        <v>#NAME?</v>
      </c>
      <c r="BJ515" s="146" t="e">
        <v>#NAME?</v>
      </c>
      <c r="BK515" s="146" t="e">
        <v>#NAME?</v>
      </c>
      <c r="BL515" s="146" t="e">
        <v>#NAME?</v>
      </c>
      <c r="BM515" s="146" t="e">
        <v>#NAME?</v>
      </c>
      <c r="BN515" s="146" t="e">
        <v>#NAME?</v>
      </c>
      <c r="BO515" s="146" t="e">
        <v>#NAME?</v>
      </c>
      <c r="BP515" s="146" t="e">
        <v>#NAME?</v>
      </c>
      <c r="BQ515" s="146" t="e">
        <v>#NAME?</v>
      </c>
      <c r="BR515" s="146" t="e">
        <v>#NAME?</v>
      </c>
      <c r="BS515" s="146" t="e">
        <v>#NAME?</v>
      </c>
      <c r="BT515" s="146" t="e">
        <v>#NAME?</v>
      </c>
      <c r="BU515" s="146" t="e">
        <v>#NAME?</v>
      </c>
      <c r="BV515" s="146" t="e">
        <v>#NAME?</v>
      </c>
      <c r="BW515" s="146" t="e">
        <v>#NAME?</v>
      </c>
      <c r="BX515" s="146" t="e">
        <v>#NAME?</v>
      </c>
      <c r="BY515" s="146" t="e">
        <v>#NAME?</v>
      </c>
      <c r="BZ515" s="146" t="e">
        <v>#NAME?</v>
      </c>
      <c r="CA515" s="146" t="e">
        <v>#NAME?</v>
      </c>
      <c r="CB515" s="146" t="e">
        <v>#NAME?</v>
      </c>
      <c r="CC515" s="146" t="e">
        <v>#NAME?</v>
      </c>
      <c r="CD515" s="146" t="e">
        <v>#NAME?</v>
      </c>
      <c r="CF515" s="24" t="s">
        <v>336</v>
      </c>
      <c r="CG515" s="24" t="s">
        <v>336</v>
      </c>
      <c r="CH515" s="24">
        <v>1075</v>
      </c>
      <c r="CI515" s="24">
        <v>876</v>
      </c>
      <c r="CJ515" s="24">
        <v>831</v>
      </c>
      <c r="CK515" s="24">
        <v>790</v>
      </c>
      <c r="CL515" s="24">
        <v>831</v>
      </c>
      <c r="CM515" s="24">
        <v>799</v>
      </c>
      <c r="CN515" s="24">
        <v>902</v>
      </c>
      <c r="CO515" s="24">
        <v>958</v>
      </c>
      <c r="CP515" s="24">
        <v>1310</v>
      </c>
      <c r="CQ515" s="24">
        <v>1707</v>
      </c>
      <c r="CR515" s="24">
        <v>1759</v>
      </c>
      <c r="CS515" s="24">
        <v>1629</v>
      </c>
      <c r="CT515" s="146" t="e">
        <v>#NAME?</v>
      </c>
      <c r="CU515" s="146" t="e">
        <v>#NAME?</v>
      </c>
      <c r="CV515" s="146" t="e">
        <v>#NAME?</v>
      </c>
      <c r="CW515" s="146" t="e">
        <v>#NAME?</v>
      </c>
      <c r="CX515" s="146" t="e">
        <v>#NAME?</v>
      </c>
      <c r="CZ515" s="207"/>
    </row>
    <row r="516" spans="2:104" x14ac:dyDescent="0.25">
      <c r="B516" s="37" t="s">
        <v>339</v>
      </c>
      <c r="C516" s="37"/>
      <c r="D516" s="37"/>
      <c r="E516" s="37"/>
      <c r="F516" s="37"/>
      <c r="G516" s="37"/>
      <c r="H516" s="37"/>
      <c r="I516" s="37"/>
      <c r="J516" s="37"/>
      <c r="K516" s="37"/>
      <c r="L516" s="37"/>
      <c r="M516" s="37"/>
      <c r="N516" s="37"/>
      <c r="O516" s="37"/>
      <c r="P516" s="37"/>
      <c r="Q516" s="37"/>
      <c r="R516" s="37"/>
      <c r="S516" s="24">
        <v>120</v>
      </c>
      <c r="T516" s="24">
        <v>117</v>
      </c>
      <c r="U516" s="24">
        <v>139</v>
      </c>
      <c r="V516" s="24">
        <v>152</v>
      </c>
      <c r="W516" s="24">
        <v>126</v>
      </c>
      <c r="X516" s="24">
        <v>112</v>
      </c>
      <c r="Y516" s="24">
        <v>163</v>
      </c>
      <c r="Z516" s="24">
        <v>174</v>
      </c>
      <c r="AA516" s="24">
        <v>141</v>
      </c>
      <c r="AB516" s="24">
        <v>138</v>
      </c>
      <c r="AC516" s="24">
        <v>175</v>
      </c>
      <c r="AD516" s="24">
        <v>174</v>
      </c>
      <c r="AE516" s="24">
        <v>151</v>
      </c>
      <c r="AF516" s="24">
        <v>155</v>
      </c>
      <c r="AG516" s="24">
        <v>187</v>
      </c>
      <c r="AH516" s="24">
        <v>178</v>
      </c>
      <c r="AI516" s="24">
        <v>191</v>
      </c>
      <c r="AJ516" s="24">
        <v>196</v>
      </c>
      <c r="AK516" s="24">
        <v>192</v>
      </c>
      <c r="AL516" s="24">
        <v>188</v>
      </c>
      <c r="AM516" s="24">
        <v>171</v>
      </c>
      <c r="AN516" s="24">
        <v>166</v>
      </c>
      <c r="AO516" s="24">
        <v>185</v>
      </c>
      <c r="AP516" s="24">
        <v>190</v>
      </c>
      <c r="AQ516" s="24">
        <v>226</v>
      </c>
      <c r="AR516" s="24">
        <v>172</v>
      </c>
      <c r="AS516" s="24">
        <v>191</v>
      </c>
      <c r="AT516" s="24">
        <v>194</v>
      </c>
      <c r="AU516" s="24">
        <v>272</v>
      </c>
      <c r="AV516" s="24">
        <v>279</v>
      </c>
      <c r="AW516" s="24">
        <v>320</v>
      </c>
      <c r="AX516" s="24">
        <v>322</v>
      </c>
      <c r="AY516" s="24">
        <v>314</v>
      </c>
      <c r="AZ516" s="24">
        <v>296</v>
      </c>
      <c r="BA516" s="24">
        <v>303</v>
      </c>
      <c r="BB516" s="24">
        <v>331</v>
      </c>
      <c r="BC516" s="24">
        <v>303</v>
      </c>
      <c r="BD516" s="24">
        <v>279</v>
      </c>
      <c r="BE516" s="24">
        <v>307</v>
      </c>
      <c r="BF516" s="24">
        <v>298</v>
      </c>
      <c r="BG516" s="24">
        <v>290</v>
      </c>
      <c r="BH516" s="146" t="e">
        <v>#NAME?</v>
      </c>
      <c r="BI516" s="146" t="e">
        <v>#NAME?</v>
      </c>
      <c r="BJ516" s="146" t="e">
        <v>#NAME?</v>
      </c>
      <c r="BK516" s="146" t="e">
        <v>#NAME?</v>
      </c>
      <c r="BL516" s="146" t="e">
        <v>#NAME?</v>
      </c>
      <c r="BM516" s="146" t="e">
        <v>#NAME?</v>
      </c>
      <c r="BN516" s="146" t="e">
        <v>#NAME?</v>
      </c>
      <c r="BO516" s="146" t="e">
        <v>#NAME?</v>
      </c>
      <c r="BP516" s="146" t="e">
        <v>#NAME?</v>
      </c>
      <c r="BQ516" s="146" t="e">
        <v>#NAME?</v>
      </c>
      <c r="BR516" s="146" t="e">
        <v>#NAME?</v>
      </c>
      <c r="BS516" s="146" t="e">
        <v>#NAME?</v>
      </c>
      <c r="BT516" s="146" t="e">
        <v>#NAME?</v>
      </c>
      <c r="BU516" s="146" t="e">
        <v>#NAME?</v>
      </c>
      <c r="BV516" s="146" t="e">
        <v>#NAME?</v>
      </c>
      <c r="BW516" s="146" t="e">
        <v>#NAME?</v>
      </c>
      <c r="BX516" s="146" t="e">
        <v>#NAME?</v>
      </c>
      <c r="BY516" s="146" t="e">
        <v>#NAME?</v>
      </c>
      <c r="BZ516" s="146" t="e">
        <v>#NAME?</v>
      </c>
      <c r="CA516" s="146" t="e">
        <v>#NAME?</v>
      </c>
      <c r="CB516" s="146" t="e">
        <v>#NAME?</v>
      </c>
      <c r="CC516" s="146" t="e">
        <v>#NAME?</v>
      </c>
      <c r="CD516" s="146" t="e">
        <v>#NAME?</v>
      </c>
      <c r="CF516" s="24" t="s">
        <v>336</v>
      </c>
      <c r="CG516" s="24" t="s">
        <v>336</v>
      </c>
      <c r="CH516" s="24">
        <v>370</v>
      </c>
      <c r="CI516" s="24">
        <v>453</v>
      </c>
      <c r="CJ516" s="24">
        <v>528</v>
      </c>
      <c r="CK516" s="24">
        <v>575</v>
      </c>
      <c r="CL516" s="24">
        <v>628</v>
      </c>
      <c r="CM516" s="24">
        <v>671</v>
      </c>
      <c r="CN516" s="24">
        <v>767</v>
      </c>
      <c r="CO516" s="24">
        <v>712</v>
      </c>
      <c r="CP516" s="24">
        <v>783</v>
      </c>
      <c r="CQ516" s="24">
        <v>1193</v>
      </c>
      <c r="CR516" s="24">
        <v>1244</v>
      </c>
      <c r="CS516" s="24">
        <v>1187</v>
      </c>
      <c r="CT516" s="146" t="e">
        <v>#NAME?</v>
      </c>
      <c r="CU516" s="146" t="e">
        <v>#NAME?</v>
      </c>
      <c r="CV516" s="146" t="e">
        <v>#NAME?</v>
      </c>
      <c r="CW516" s="146" t="e">
        <v>#NAME?</v>
      </c>
      <c r="CX516" s="146" t="e">
        <v>#NAME?</v>
      </c>
      <c r="CZ516" s="207"/>
    </row>
    <row r="517" spans="2:104" x14ac:dyDescent="0.25">
      <c r="B517" s="37"/>
      <c r="C517" s="37"/>
      <c r="D517" s="37"/>
      <c r="E517" s="37"/>
      <c r="F517" s="37"/>
      <c r="G517" s="37"/>
      <c r="H517" s="37"/>
      <c r="I517" s="37"/>
      <c r="J517" s="37"/>
      <c r="K517" s="37"/>
      <c r="L517" s="37"/>
      <c r="M517" s="37"/>
      <c r="N517" s="37"/>
      <c r="O517" s="37"/>
      <c r="P517" s="37"/>
      <c r="Q517" s="37"/>
      <c r="R517" s="37"/>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146"/>
      <c r="BI517" s="146"/>
      <c r="BJ517" s="146"/>
      <c r="BK517" s="146"/>
      <c r="BL517" s="146"/>
      <c r="BM517" s="146"/>
      <c r="BN517" s="146"/>
      <c r="BO517" s="146"/>
      <c r="BP517" s="146"/>
      <c r="BQ517" s="146"/>
      <c r="BR517" s="146"/>
      <c r="BS517" s="146"/>
      <c r="BT517" s="146"/>
      <c r="BU517" s="146"/>
      <c r="BV517" s="146"/>
      <c r="BW517" s="146"/>
      <c r="BX517" s="146"/>
      <c r="BY517" s="146"/>
      <c r="BZ517" s="146"/>
      <c r="CA517" s="146"/>
      <c r="CB517" s="146"/>
      <c r="CC517" s="146"/>
      <c r="CD517" s="146"/>
      <c r="CF517" s="24"/>
      <c r="CG517" s="24"/>
      <c r="CH517" s="24"/>
      <c r="CI517" s="24"/>
      <c r="CJ517" s="24"/>
      <c r="CK517" s="24"/>
      <c r="CL517" s="24"/>
      <c r="CM517" s="24"/>
      <c r="CN517" s="24"/>
      <c r="CO517" s="24"/>
      <c r="CP517" s="24"/>
      <c r="CQ517" s="24"/>
      <c r="CR517" s="24"/>
      <c r="CT517" s="146"/>
      <c r="CU517" s="146"/>
      <c r="CV517" s="146"/>
      <c r="CW517" s="146"/>
      <c r="CX517" s="146"/>
      <c r="CZ517" s="207"/>
    </row>
    <row r="518" spans="2:104" s="10" customFormat="1" x14ac:dyDescent="0.25">
      <c r="B518" s="65" t="s">
        <v>335</v>
      </c>
      <c r="C518" s="65"/>
      <c r="D518" s="65"/>
      <c r="E518" s="65"/>
      <c r="F518" s="65"/>
      <c r="G518" s="65"/>
      <c r="H518" s="65"/>
      <c r="I518" s="65"/>
      <c r="J518" s="65"/>
      <c r="K518" s="65"/>
      <c r="L518" s="65"/>
      <c r="M518" s="65"/>
      <c r="N518" s="65"/>
      <c r="O518" s="65"/>
      <c r="P518" s="65"/>
      <c r="Q518" s="65"/>
      <c r="R518" s="65"/>
      <c r="S518" s="57">
        <v>775</v>
      </c>
      <c r="T518" s="57">
        <v>1220</v>
      </c>
      <c r="U518" s="57">
        <v>1428</v>
      </c>
      <c r="V518" s="57">
        <v>896</v>
      </c>
      <c r="W518" s="57">
        <v>693</v>
      </c>
      <c r="X518" s="57">
        <v>1146</v>
      </c>
      <c r="Y518" s="57">
        <v>1803</v>
      </c>
      <c r="Z518" s="57">
        <v>924</v>
      </c>
      <c r="AA518" s="57">
        <v>682</v>
      </c>
      <c r="AB518" s="57">
        <v>1098</v>
      </c>
      <c r="AC518" s="57">
        <v>2070</v>
      </c>
      <c r="AD518" s="57">
        <v>1092</v>
      </c>
      <c r="AE518" s="57">
        <v>775</v>
      </c>
      <c r="AF518" s="57">
        <v>1179</v>
      </c>
      <c r="AG518" s="57">
        <v>1971</v>
      </c>
      <c r="AH518" s="57">
        <v>1255</v>
      </c>
      <c r="AI518" s="57">
        <v>798</v>
      </c>
      <c r="AJ518" s="57">
        <v>1266</v>
      </c>
      <c r="AK518" s="57">
        <v>1657</v>
      </c>
      <c r="AL518" s="57">
        <v>1411</v>
      </c>
      <c r="AM518" s="57">
        <v>782</v>
      </c>
      <c r="AN518" s="57">
        <v>1313</v>
      </c>
      <c r="AO518" s="57">
        <v>2021</v>
      </c>
      <c r="AP518" s="57">
        <v>1256</v>
      </c>
      <c r="AQ518" s="57">
        <v>1390</v>
      </c>
      <c r="AR518" s="57">
        <v>910</v>
      </c>
      <c r="AS518" s="57">
        <v>2400</v>
      </c>
      <c r="AT518" s="57">
        <v>1490</v>
      </c>
      <c r="AU518" s="57">
        <v>1336</v>
      </c>
      <c r="AV518" s="57">
        <v>1851</v>
      </c>
      <c r="AW518" s="57">
        <v>2577</v>
      </c>
      <c r="AX518" s="57">
        <v>1751</v>
      </c>
      <c r="AY518" s="57">
        <v>1299</v>
      </c>
      <c r="AZ518" s="57">
        <v>1754</v>
      </c>
      <c r="BA518" s="57">
        <v>2342</v>
      </c>
      <c r="BB518" s="57">
        <v>1946</v>
      </c>
      <c r="BC518" s="57">
        <v>1578</v>
      </c>
      <c r="BD518" s="57">
        <v>1820</v>
      </c>
      <c r="BE518" s="57">
        <v>2366</v>
      </c>
      <c r="BF518" s="57">
        <v>1666</v>
      </c>
      <c r="BG518" s="57">
        <v>1262</v>
      </c>
      <c r="BH518" s="142" t="e">
        <v>#NAME?</v>
      </c>
      <c r="BI518" s="142" t="e">
        <v>#NAME?</v>
      </c>
      <c r="BJ518" s="142" t="e">
        <v>#NAME?</v>
      </c>
      <c r="BK518" s="142" t="e">
        <v>#NAME?</v>
      </c>
      <c r="BL518" s="142" t="e">
        <v>#NAME?</v>
      </c>
      <c r="BM518" s="142" t="e">
        <v>#NAME?</v>
      </c>
      <c r="BN518" s="142" t="e">
        <v>#NAME?</v>
      </c>
      <c r="BO518" s="142" t="e">
        <v>#NAME?</v>
      </c>
      <c r="BP518" s="142" t="e">
        <v>#NAME?</v>
      </c>
      <c r="BQ518" s="142" t="e">
        <v>#NAME?</v>
      </c>
      <c r="BR518" s="142" t="e">
        <v>#NAME?</v>
      </c>
      <c r="BS518" s="142" t="e">
        <v>#NAME?</v>
      </c>
      <c r="BT518" s="142" t="e">
        <v>#NAME?</v>
      </c>
      <c r="BU518" s="142" t="e">
        <v>#NAME?</v>
      </c>
      <c r="BV518" s="142" t="e">
        <v>#NAME?</v>
      </c>
      <c r="BW518" s="142" t="e">
        <v>#NAME?</v>
      </c>
      <c r="BX518" s="142" t="e">
        <v>#NAME?</v>
      </c>
      <c r="BY518" s="142" t="e">
        <v>#NAME?</v>
      </c>
      <c r="BZ518" s="142" t="e">
        <v>#NAME?</v>
      </c>
      <c r="CA518" s="142" t="e">
        <v>#NAME?</v>
      </c>
      <c r="CB518" s="142" t="e">
        <v>#NAME?</v>
      </c>
      <c r="CC518" s="142" t="e">
        <v>#NAME?</v>
      </c>
      <c r="CD518" s="142" t="e">
        <v>#NAME?</v>
      </c>
      <c r="CE518"/>
      <c r="CF518" s="57" t="s">
        <v>336</v>
      </c>
      <c r="CG518" s="57" t="s">
        <v>336</v>
      </c>
      <c r="CH518" s="57">
        <v>3793</v>
      </c>
      <c r="CI518" s="57">
        <v>4021</v>
      </c>
      <c r="CJ518" s="57">
        <v>4319</v>
      </c>
      <c r="CK518" s="57">
        <v>4566</v>
      </c>
      <c r="CL518" s="57">
        <v>4942</v>
      </c>
      <c r="CM518" s="57">
        <v>5180</v>
      </c>
      <c r="CN518" s="57">
        <v>5132</v>
      </c>
      <c r="CO518" s="57">
        <v>5372</v>
      </c>
      <c r="CP518" s="57">
        <v>6190</v>
      </c>
      <c r="CQ518" s="57">
        <v>7515</v>
      </c>
      <c r="CR518" s="57">
        <v>7341</v>
      </c>
      <c r="CS518" s="57">
        <v>7430</v>
      </c>
      <c r="CT518" s="142" t="e">
        <v>#NAME?</v>
      </c>
      <c r="CU518" s="142" t="e">
        <v>#NAME?</v>
      </c>
      <c r="CV518" s="142" t="e">
        <v>#NAME?</v>
      </c>
      <c r="CW518" s="142" t="e">
        <v>#NAME?</v>
      </c>
      <c r="CX518" s="142" t="e">
        <v>#NAME?</v>
      </c>
      <c r="CZ518" s="207"/>
    </row>
    <row r="519" spans="2:104" x14ac:dyDescent="0.25">
      <c r="B519" s="37" t="s">
        <v>340</v>
      </c>
      <c r="C519" s="37"/>
      <c r="D519" s="37"/>
      <c r="E519" s="37"/>
      <c r="F519" s="37"/>
      <c r="G519" s="37"/>
      <c r="H519" s="37"/>
      <c r="I519" s="37"/>
      <c r="J519" s="37"/>
      <c r="K519" s="37"/>
      <c r="L519" s="37"/>
      <c r="M519" s="37"/>
      <c r="N519" s="37"/>
      <c r="O519" s="37"/>
      <c r="P519" s="37"/>
      <c r="Q519" s="37"/>
      <c r="R519" s="37"/>
      <c r="S519" s="24">
        <v>411</v>
      </c>
      <c r="T519" s="24">
        <v>359</v>
      </c>
      <c r="U519" s="24">
        <v>553</v>
      </c>
      <c r="V519" s="24">
        <v>488</v>
      </c>
      <c r="W519" s="24">
        <v>448</v>
      </c>
      <c r="X519" s="24">
        <v>391</v>
      </c>
      <c r="Y519" s="24">
        <v>612</v>
      </c>
      <c r="Z519" s="24">
        <v>578</v>
      </c>
      <c r="AA519" s="24">
        <v>484</v>
      </c>
      <c r="AB519" s="24">
        <v>393</v>
      </c>
      <c r="AC519" s="24">
        <v>740</v>
      </c>
      <c r="AD519" s="24">
        <v>693</v>
      </c>
      <c r="AE519" s="24">
        <v>570</v>
      </c>
      <c r="AF519" s="24">
        <v>460</v>
      </c>
      <c r="AG519" s="24">
        <v>970</v>
      </c>
      <c r="AH519" s="24">
        <v>855</v>
      </c>
      <c r="AI519" s="24">
        <v>657</v>
      </c>
      <c r="AJ519" s="24">
        <v>537</v>
      </c>
      <c r="AK519" s="24">
        <v>1033</v>
      </c>
      <c r="AL519" s="24">
        <v>1065</v>
      </c>
      <c r="AM519" s="24">
        <v>687</v>
      </c>
      <c r="AN519" s="24">
        <v>676</v>
      </c>
      <c r="AO519" s="24">
        <v>1241</v>
      </c>
      <c r="AP519" s="24">
        <v>988</v>
      </c>
      <c r="AQ519" s="24">
        <v>1103</v>
      </c>
      <c r="AR519" s="24">
        <v>644</v>
      </c>
      <c r="AS519" s="24">
        <v>1542</v>
      </c>
      <c r="AT519" s="24">
        <v>1303</v>
      </c>
      <c r="AU519" s="24">
        <v>1054</v>
      </c>
      <c r="AV519" s="24">
        <v>1155</v>
      </c>
      <c r="AW519" s="24">
        <v>1677</v>
      </c>
      <c r="AX519" s="24">
        <v>1484</v>
      </c>
      <c r="AY519" s="24">
        <v>1134</v>
      </c>
      <c r="AZ519" s="24">
        <v>1119</v>
      </c>
      <c r="BA519" s="24">
        <v>1655</v>
      </c>
      <c r="BB519" s="24">
        <v>1622</v>
      </c>
      <c r="BC519" s="24">
        <v>1177</v>
      </c>
      <c r="BD519" s="24">
        <v>1129</v>
      </c>
      <c r="BE519" s="24">
        <v>1712</v>
      </c>
      <c r="BF519" s="24">
        <v>1407</v>
      </c>
      <c r="BG519" s="24">
        <v>1094</v>
      </c>
      <c r="BH519" s="146" t="e">
        <v>#NAME?</v>
      </c>
      <c r="BI519" s="146" t="e">
        <v>#NAME?</v>
      </c>
      <c r="BJ519" s="146" t="e">
        <v>#NAME?</v>
      </c>
      <c r="BK519" s="146" t="e">
        <v>#NAME?</v>
      </c>
      <c r="BL519" s="146" t="e">
        <v>#NAME?</v>
      </c>
      <c r="BM519" s="146" t="e">
        <v>#NAME?</v>
      </c>
      <c r="BN519" s="146" t="e">
        <v>#NAME?</v>
      </c>
      <c r="BO519" s="146" t="e">
        <v>#NAME?</v>
      </c>
      <c r="BP519" s="146" t="e">
        <v>#NAME?</v>
      </c>
      <c r="BQ519" s="146" t="e">
        <v>#NAME?</v>
      </c>
      <c r="BR519" s="146" t="e">
        <v>#NAME?</v>
      </c>
      <c r="BS519" s="146" t="e">
        <v>#NAME?</v>
      </c>
      <c r="BT519" s="146" t="e">
        <v>#NAME?</v>
      </c>
      <c r="BU519" s="146" t="e">
        <v>#NAME?</v>
      </c>
      <c r="BV519" s="146" t="e">
        <v>#NAME?</v>
      </c>
      <c r="BW519" s="146" t="e">
        <v>#NAME?</v>
      </c>
      <c r="BX519" s="146" t="e">
        <v>#NAME?</v>
      </c>
      <c r="BY519" s="146" t="e">
        <v>#NAME?</v>
      </c>
      <c r="BZ519" s="146" t="e">
        <v>#NAME?</v>
      </c>
      <c r="CA519" s="146" t="e">
        <v>#NAME?</v>
      </c>
      <c r="CB519" s="146" t="e">
        <v>#NAME?</v>
      </c>
      <c r="CC519" s="146" t="e">
        <v>#NAME?</v>
      </c>
      <c r="CD519" s="146" t="e">
        <v>#NAME?</v>
      </c>
      <c r="CF519" s="24" t="s">
        <v>336</v>
      </c>
      <c r="CG519" s="24" t="s">
        <v>336</v>
      </c>
      <c r="CH519" s="24">
        <v>1391.9124999999999</v>
      </c>
      <c r="CI519" s="24">
        <v>1470</v>
      </c>
      <c r="CJ519" s="24">
        <v>1811</v>
      </c>
      <c r="CK519" s="24">
        <v>2029</v>
      </c>
      <c r="CL519" s="24">
        <v>2310</v>
      </c>
      <c r="CM519" s="24">
        <v>2855</v>
      </c>
      <c r="CN519" s="24">
        <v>3292</v>
      </c>
      <c r="CO519" s="24">
        <v>3592</v>
      </c>
      <c r="CP519" s="24">
        <v>4592</v>
      </c>
      <c r="CQ519" s="24">
        <v>5370</v>
      </c>
      <c r="CR519" s="24">
        <v>5530</v>
      </c>
      <c r="CS519" s="24">
        <v>5425</v>
      </c>
      <c r="CT519" s="146" t="e">
        <v>#NAME?</v>
      </c>
      <c r="CU519" s="146" t="e">
        <v>#NAME?</v>
      </c>
      <c r="CV519" s="146" t="e">
        <v>#NAME?</v>
      </c>
      <c r="CW519" s="146" t="e">
        <v>#NAME?</v>
      </c>
      <c r="CX519" s="146" t="e">
        <v>#NAME?</v>
      </c>
      <c r="CZ519" s="207"/>
    </row>
    <row r="520" spans="2:104" x14ac:dyDescent="0.25">
      <c r="B520" s="37" t="s">
        <v>341</v>
      </c>
      <c r="C520" s="37"/>
      <c r="D520" s="37"/>
      <c r="E520" s="37"/>
      <c r="F520" s="37"/>
      <c r="G520" s="37"/>
      <c r="H520" s="37"/>
      <c r="I520" s="37"/>
      <c r="J520" s="37"/>
      <c r="K520" s="37"/>
      <c r="L520" s="37"/>
      <c r="M520" s="37"/>
      <c r="N520" s="37"/>
      <c r="O520" s="37"/>
      <c r="P520" s="37"/>
      <c r="Q520" s="37"/>
      <c r="R520" s="37"/>
      <c r="S520" s="24">
        <v>364</v>
      </c>
      <c r="T520" s="24">
        <v>861</v>
      </c>
      <c r="U520" s="24">
        <v>875</v>
      </c>
      <c r="V520" s="24">
        <v>408</v>
      </c>
      <c r="W520" s="24">
        <v>245</v>
      </c>
      <c r="X520" s="24">
        <v>755</v>
      </c>
      <c r="Y520" s="24">
        <v>1191</v>
      </c>
      <c r="Z520" s="24">
        <v>346</v>
      </c>
      <c r="AA520" s="24">
        <v>198</v>
      </c>
      <c r="AB520" s="24">
        <v>705</v>
      </c>
      <c r="AC520" s="24">
        <v>1330</v>
      </c>
      <c r="AD520" s="24">
        <v>399</v>
      </c>
      <c r="AE520" s="24">
        <v>205</v>
      </c>
      <c r="AF520" s="24">
        <v>719</v>
      </c>
      <c r="AG520" s="24">
        <v>1001</v>
      </c>
      <c r="AH520" s="24">
        <v>400</v>
      </c>
      <c r="AI520" s="24">
        <v>141</v>
      </c>
      <c r="AJ520" s="24">
        <v>729</v>
      </c>
      <c r="AK520" s="24">
        <v>624</v>
      </c>
      <c r="AL520" s="24">
        <v>346</v>
      </c>
      <c r="AM520" s="24">
        <v>95</v>
      </c>
      <c r="AN520" s="24">
        <v>637</v>
      </c>
      <c r="AO520" s="24">
        <v>780</v>
      </c>
      <c r="AP520" s="24">
        <v>268</v>
      </c>
      <c r="AQ520" s="24">
        <v>287</v>
      </c>
      <c r="AR520" s="24">
        <v>266</v>
      </c>
      <c r="AS520" s="24">
        <v>858</v>
      </c>
      <c r="AT520" s="24">
        <v>187</v>
      </c>
      <c r="AU520" s="24">
        <v>282</v>
      </c>
      <c r="AV520" s="24">
        <v>696</v>
      </c>
      <c r="AW520" s="24">
        <v>900</v>
      </c>
      <c r="AX520" s="24">
        <v>267</v>
      </c>
      <c r="AY520" s="24">
        <v>165</v>
      </c>
      <c r="AZ520" s="24">
        <v>635</v>
      </c>
      <c r="BA520" s="24">
        <v>687</v>
      </c>
      <c r="BB520" s="24">
        <v>324</v>
      </c>
      <c r="BC520" s="24">
        <v>401</v>
      </c>
      <c r="BD520" s="24">
        <v>691</v>
      </c>
      <c r="BE520" s="24">
        <v>654</v>
      </c>
      <c r="BF520" s="24">
        <v>259</v>
      </c>
      <c r="BG520" s="24">
        <v>168</v>
      </c>
      <c r="BH520" s="146" t="e">
        <v>#NAME?</v>
      </c>
      <c r="BI520" s="146" t="e">
        <v>#NAME?</v>
      </c>
      <c r="BJ520" s="146" t="e">
        <v>#NAME?</v>
      </c>
      <c r="BK520" s="146" t="e">
        <v>#NAME?</v>
      </c>
      <c r="BL520" s="146" t="e">
        <v>#NAME?</v>
      </c>
      <c r="BM520" s="146" t="e">
        <v>#NAME?</v>
      </c>
      <c r="BN520" s="146" t="e">
        <v>#NAME?</v>
      </c>
      <c r="BO520" s="146" t="e">
        <v>#NAME?</v>
      </c>
      <c r="BP520" s="146" t="e">
        <v>#NAME?</v>
      </c>
      <c r="BQ520" s="146" t="e">
        <v>#NAME?</v>
      </c>
      <c r="BR520" s="146" t="e">
        <v>#NAME?</v>
      </c>
      <c r="BS520" s="146" t="e">
        <v>#NAME?</v>
      </c>
      <c r="BT520" s="146" t="e">
        <v>#NAME?</v>
      </c>
      <c r="BU520" s="146" t="e">
        <v>#NAME?</v>
      </c>
      <c r="BV520" s="146" t="e">
        <v>#NAME?</v>
      </c>
      <c r="BW520" s="146" t="e">
        <v>#NAME?</v>
      </c>
      <c r="BX520" s="146" t="e">
        <v>#NAME?</v>
      </c>
      <c r="BY520" s="146" t="e">
        <v>#NAME?</v>
      </c>
      <c r="BZ520" s="146" t="e">
        <v>#NAME?</v>
      </c>
      <c r="CA520" s="146" t="e">
        <v>#NAME?</v>
      </c>
      <c r="CB520" s="146" t="e">
        <v>#NAME?</v>
      </c>
      <c r="CC520" s="146" t="e">
        <v>#NAME?</v>
      </c>
      <c r="CD520" s="146" t="e">
        <v>#NAME?</v>
      </c>
      <c r="CF520" s="24" t="s">
        <v>336</v>
      </c>
      <c r="CG520" s="24" t="s">
        <v>336</v>
      </c>
      <c r="CH520" s="24">
        <v>2351</v>
      </c>
      <c r="CI520" s="24">
        <v>2551</v>
      </c>
      <c r="CJ520" s="24">
        <v>2508</v>
      </c>
      <c r="CK520" s="24">
        <v>2537</v>
      </c>
      <c r="CL520" s="24">
        <v>2632</v>
      </c>
      <c r="CM520" s="24">
        <v>2325</v>
      </c>
      <c r="CN520" s="24">
        <v>1840</v>
      </c>
      <c r="CO520" s="24">
        <v>1780</v>
      </c>
      <c r="CP520" s="24">
        <v>1598</v>
      </c>
      <c r="CQ520" s="24">
        <v>2145</v>
      </c>
      <c r="CR520" s="24">
        <v>1811</v>
      </c>
      <c r="CS520" s="24">
        <v>2005</v>
      </c>
      <c r="CT520" s="146" t="e">
        <v>#NAME?</v>
      </c>
      <c r="CU520" s="146" t="e">
        <v>#NAME?</v>
      </c>
      <c r="CV520" s="146" t="e">
        <v>#NAME?</v>
      </c>
      <c r="CW520" s="146" t="e">
        <v>#NAME?</v>
      </c>
      <c r="CX520" s="146" t="e">
        <v>#NAME?</v>
      </c>
      <c r="CZ520" s="207"/>
    </row>
    <row r="521" spans="2:104" x14ac:dyDescent="0.25">
      <c r="B521" s="167" t="s">
        <v>342</v>
      </c>
      <c r="C521" s="167"/>
      <c r="D521" s="167"/>
      <c r="E521" s="167"/>
      <c r="F521" s="167"/>
      <c r="G521" s="167"/>
      <c r="H521" s="167"/>
      <c r="I521" s="167"/>
      <c r="J521" s="167"/>
      <c r="K521" s="167"/>
      <c r="L521" s="167"/>
      <c r="M521" s="167"/>
      <c r="N521" s="167"/>
      <c r="O521" s="167"/>
      <c r="P521" s="167"/>
      <c r="Q521" s="167"/>
      <c r="R521" s="167"/>
      <c r="S521" s="24">
        <v>71</v>
      </c>
      <c r="T521" s="24">
        <v>94</v>
      </c>
      <c r="U521" s="24">
        <v>140</v>
      </c>
      <c r="V521" s="24">
        <v>114</v>
      </c>
      <c r="W521" s="24">
        <v>84</v>
      </c>
      <c r="X521" s="24">
        <v>89</v>
      </c>
      <c r="Y521" s="24">
        <v>195</v>
      </c>
      <c r="Z521" s="24">
        <v>134</v>
      </c>
      <c r="AA521" s="24">
        <v>84</v>
      </c>
      <c r="AB521" s="24">
        <v>93</v>
      </c>
      <c r="AC521" s="24">
        <v>355</v>
      </c>
      <c r="AD521" s="24">
        <v>192</v>
      </c>
      <c r="AE521" s="24">
        <v>111</v>
      </c>
      <c r="AF521" s="24">
        <v>119</v>
      </c>
      <c r="AG521" s="24">
        <v>260</v>
      </c>
      <c r="AH521" s="24">
        <v>193</v>
      </c>
      <c r="AI521" s="24">
        <v>96</v>
      </c>
      <c r="AJ521" s="24">
        <v>157</v>
      </c>
      <c r="AK521" s="24">
        <v>273</v>
      </c>
      <c r="AL521" s="24">
        <v>214</v>
      </c>
      <c r="AM521" s="24">
        <v>76</v>
      </c>
      <c r="AN521" s="24">
        <v>176</v>
      </c>
      <c r="AO521" s="24">
        <v>317</v>
      </c>
      <c r="AP521" s="24">
        <v>190</v>
      </c>
      <c r="AQ521" s="24">
        <v>218</v>
      </c>
      <c r="AR521" s="24">
        <v>161</v>
      </c>
      <c r="AS521" s="24">
        <v>400</v>
      </c>
      <c r="AT521" s="24">
        <v>166</v>
      </c>
      <c r="AU521" s="24">
        <v>227.99999999999997</v>
      </c>
      <c r="AV521" s="24">
        <v>372</v>
      </c>
      <c r="AW521" s="24">
        <v>579</v>
      </c>
      <c r="AX521" s="24">
        <v>209</v>
      </c>
      <c r="AY521" s="24">
        <v>126</v>
      </c>
      <c r="AZ521" s="24">
        <v>345</v>
      </c>
      <c r="BA521" s="24">
        <v>468</v>
      </c>
      <c r="BB521" s="24">
        <v>250</v>
      </c>
      <c r="BC521" s="24">
        <v>280</v>
      </c>
      <c r="BD521" s="24">
        <v>370</v>
      </c>
      <c r="BE521" s="24">
        <v>463</v>
      </c>
      <c r="BF521" s="24">
        <v>228</v>
      </c>
      <c r="BG521" s="24">
        <v>143</v>
      </c>
      <c r="BH521" s="146" t="e">
        <v>#NAME?</v>
      </c>
      <c r="BI521" s="146" t="e">
        <v>#NAME?</v>
      </c>
      <c r="BJ521" s="146" t="e">
        <v>#NAME?</v>
      </c>
      <c r="BK521" s="146" t="e">
        <v>#NAME?</v>
      </c>
      <c r="BL521" s="146" t="e">
        <v>#NAME?</v>
      </c>
      <c r="BM521" s="146" t="e">
        <v>#NAME?</v>
      </c>
      <c r="BN521" s="146" t="e">
        <v>#NAME?</v>
      </c>
      <c r="BO521" s="146" t="e">
        <v>#NAME?</v>
      </c>
      <c r="BP521" s="146" t="e">
        <v>#NAME?</v>
      </c>
      <c r="BQ521" s="146" t="e">
        <v>#NAME?</v>
      </c>
      <c r="BR521" s="146" t="e">
        <v>#NAME?</v>
      </c>
      <c r="BS521" s="146" t="e">
        <v>#NAME?</v>
      </c>
      <c r="BT521" s="146" t="e">
        <v>#NAME?</v>
      </c>
      <c r="BU521" s="146" t="e">
        <v>#NAME?</v>
      </c>
      <c r="BV521" s="146" t="e">
        <v>#NAME?</v>
      </c>
      <c r="BW521" s="146" t="e">
        <v>#NAME?</v>
      </c>
      <c r="BX521" s="146" t="e">
        <v>#NAME?</v>
      </c>
      <c r="BY521" s="146" t="e">
        <v>#NAME?</v>
      </c>
      <c r="BZ521" s="146" t="e">
        <v>#NAME?</v>
      </c>
      <c r="CA521" s="146" t="e">
        <v>#NAME?</v>
      </c>
      <c r="CB521" s="146" t="e">
        <v>#NAME?</v>
      </c>
      <c r="CC521" s="146" t="e">
        <v>#NAME?</v>
      </c>
      <c r="CD521" s="146" t="e">
        <v>#NAME?</v>
      </c>
      <c r="CF521" s="24" t="s">
        <v>336</v>
      </c>
      <c r="CG521" s="24" t="s">
        <v>336</v>
      </c>
      <c r="CH521" s="24">
        <v>217.72499999999999</v>
      </c>
      <c r="CI521" s="24">
        <v>323</v>
      </c>
      <c r="CJ521" s="24">
        <v>419</v>
      </c>
      <c r="CK521" s="24">
        <v>502</v>
      </c>
      <c r="CL521" s="24">
        <v>724</v>
      </c>
      <c r="CM521" s="24">
        <v>683</v>
      </c>
      <c r="CN521" s="24">
        <v>740</v>
      </c>
      <c r="CO521" s="24">
        <v>759</v>
      </c>
      <c r="CP521" s="24">
        <v>945</v>
      </c>
      <c r="CQ521" s="24">
        <v>1388</v>
      </c>
      <c r="CR521" s="24">
        <v>1189</v>
      </c>
      <c r="CS521" s="24">
        <v>1341</v>
      </c>
      <c r="CT521" s="146" t="e">
        <v>#NAME?</v>
      </c>
      <c r="CU521" s="146" t="e">
        <v>#NAME?</v>
      </c>
      <c r="CV521" s="146" t="e">
        <v>#NAME?</v>
      </c>
      <c r="CW521" s="146" t="e">
        <v>#NAME?</v>
      </c>
      <c r="CX521" s="146" t="e">
        <v>#NAME?</v>
      </c>
      <c r="CZ521" s="207"/>
    </row>
    <row r="522" spans="2:104" x14ac:dyDescent="0.25">
      <c r="B522" s="167" t="s">
        <v>343</v>
      </c>
      <c r="C522" s="167"/>
      <c r="D522" s="167"/>
      <c r="E522" s="167"/>
      <c r="F522" s="167"/>
      <c r="G522" s="167"/>
      <c r="H522" s="167"/>
      <c r="I522" s="167"/>
      <c r="J522" s="167"/>
      <c r="K522" s="167"/>
      <c r="L522" s="167"/>
      <c r="M522" s="167"/>
      <c r="N522" s="167"/>
      <c r="O522" s="167"/>
      <c r="P522" s="167"/>
      <c r="Q522" s="167"/>
      <c r="R522" s="167"/>
      <c r="S522" s="24">
        <v>293</v>
      </c>
      <c r="T522" s="24">
        <v>767</v>
      </c>
      <c r="U522" s="24">
        <v>735</v>
      </c>
      <c r="V522" s="24">
        <v>294</v>
      </c>
      <c r="W522" s="24">
        <v>161</v>
      </c>
      <c r="X522" s="24">
        <v>666</v>
      </c>
      <c r="Y522" s="24">
        <v>996</v>
      </c>
      <c r="Z522" s="24">
        <v>212</v>
      </c>
      <c r="AA522" s="24">
        <v>114</v>
      </c>
      <c r="AB522" s="24">
        <v>612</v>
      </c>
      <c r="AC522" s="24">
        <v>975</v>
      </c>
      <c r="AD522" s="24">
        <v>207</v>
      </c>
      <c r="AE522" s="24">
        <v>94</v>
      </c>
      <c r="AF522" s="24">
        <v>600</v>
      </c>
      <c r="AG522" s="24">
        <v>741</v>
      </c>
      <c r="AH522" s="24">
        <v>207</v>
      </c>
      <c r="AI522" s="24">
        <v>45</v>
      </c>
      <c r="AJ522" s="24">
        <v>572</v>
      </c>
      <c r="AK522" s="24">
        <v>351</v>
      </c>
      <c r="AL522" s="24">
        <v>132</v>
      </c>
      <c r="AM522" s="24">
        <v>19</v>
      </c>
      <c r="AN522" s="24">
        <v>461</v>
      </c>
      <c r="AO522" s="24">
        <v>463</v>
      </c>
      <c r="AP522" s="24">
        <v>78</v>
      </c>
      <c r="AQ522" s="24">
        <v>69</v>
      </c>
      <c r="AR522" s="24">
        <v>105</v>
      </c>
      <c r="AS522" s="24">
        <v>458</v>
      </c>
      <c r="AT522" s="24">
        <v>21</v>
      </c>
      <c r="AU522" s="24">
        <v>54</v>
      </c>
      <c r="AV522" s="24">
        <v>324</v>
      </c>
      <c r="AW522" s="24">
        <v>321</v>
      </c>
      <c r="AX522" s="24">
        <v>58</v>
      </c>
      <c r="AY522" s="24">
        <v>39</v>
      </c>
      <c r="AZ522" s="24">
        <v>290</v>
      </c>
      <c r="BA522" s="24">
        <v>219</v>
      </c>
      <c r="BB522" s="24">
        <v>74</v>
      </c>
      <c r="BC522" s="24">
        <v>121</v>
      </c>
      <c r="BD522" s="24">
        <v>321</v>
      </c>
      <c r="BE522" s="24">
        <v>191</v>
      </c>
      <c r="BF522" s="24">
        <v>31</v>
      </c>
      <c r="BG522" s="24">
        <v>25</v>
      </c>
      <c r="BH522" s="146" t="e">
        <v>#NAME?</v>
      </c>
      <c r="BI522" s="146" t="e">
        <v>#NAME?</v>
      </c>
      <c r="BJ522" s="146" t="e">
        <v>#NAME?</v>
      </c>
      <c r="BK522" s="146" t="e">
        <v>#NAME?</v>
      </c>
      <c r="BL522" s="146" t="e">
        <v>#NAME?</v>
      </c>
      <c r="BM522" s="146" t="e">
        <v>#NAME?</v>
      </c>
      <c r="BN522" s="146" t="e">
        <v>#NAME?</v>
      </c>
      <c r="BO522" s="146" t="e">
        <v>#NAME?</v>
      </c>
      <c r="BP522" s="146" t="e">
        <v>#NAME?</v>
      </c>
      <c r="BQ522" s="146" t="e">
        <v>#NAME?</v>
      </c>
      <c r="BR522" s="146" t="e">
        <v>#NAME?</v>
      </c>
      <c r="BS522" s="146" t="e">
        <v>#NAME?</v>
      </c>
      <c r="BT522" s="146" t="e">
        <v>#NAME?</v>
      </c>
      <c r="BU522" s="146" t="e">
        <v>#NAME?</v>
      </c>
      <c r="BV522" s="146" t="e">
        <v>#NAME?</v>
      </c>
      <c r="BW522" s="146" t="e">
        <v>#NAME?</v>
      </c>
      <c r="BX522" s="146" t="e">
        <v>#NAME?</v>
      </c>
      <c r="BY522" s="146" t="e">
        <v>#NAME?</v>
      </c>
      <c r="BZ522" s="146" t="e">
        <v>#NAME?</v>
      </c>
      <c r="CA522" s="146" t="e">
        <v>#NAME?</v>
      </c>
      <c r="CB522" s="146" t="e">
        <v>#NAME?</v>
      </c>
      <c r="CC522" s="146" t="e">
        <v>#NAME?</v>
      </c>
      <c r="CD522" s="146" t="e">
        <v>#NAME?</v>
      </c>
      <c r="CF522" s="24" t="s">
        <v>336</v>
      </c>
      <c r="CG522" s="24" t="s">
        <v>336</v>
      </c>
      <c r="CH522" s="24">
        <v>2130</v>
      </c>
      <c r="CI522" s="24">
        <v>2228</v>
      </c>
      <c r="CJ522" s="24">
        <v>2089</v>
      </c>
      <c r="CK522" s="24">
        <v>2035</v>
      </c>
      <c r="CL522" s="24">
        <v>1908</v>
      </c>
      <c r="CM522" s="24">
        <v>1642</v>
      </c>
      <c r="CN522" s="24">
        <v>1100</v>
      </c>
      <c r="CO522" s="24">
        <v>1021</v>
      </c>
      <c r="CP522" s="24">
        <v>653</v>
      </c>
      <c r="CQ522" s="24">
        <v>757</v>
      </c>
      <c r="CR522" s="24">
        <v>622</v>
      </c>
      <c r="CS522" s="24">
        <v>664</v>
      </c>
      <c r="CT522" s="146" t="e">
        <v>#NAME?</v>
      </c>
      <c r="CU522" s="146" t="e">
        <v>#NAME?</v>
      </c>
      <c r="CV522" s="146" t="e">
        <v>#NAME?</v>
      </c>
      <c r="CW522" s="146" t="e">
        <v>#NAME?</v>
      </c>
      <c r="CX522" s="146" t="e">
        <v>#NAME?</v>
      </c>
      <c r="CZ522" s="207"/>
    </row>
    <row r="523" spans="2:104" x14ac:dyDescent="0.25">
      <c r="B523" s="167"/>
      <c r="C523" s="167"/>
      <c r="D523" s="167"/>
      <c r="E523" s="167"/>
      <c r="F523" s="167"/>
      <c r="G523" s="167"/>
      <c r="H523" s="167"/>
      <c r="I523" s="167"/>
      <c r="J523" s="167"/>
      <c r="K523" s="167"/>
      <c r="L523" s="167"/>
      <c r="M523" s="167"/>
      <c r="N523" s="167"/>
      <c r="O523" s="167"/>
      <c r="P523" s="167"/>
      <c r="Q523" s="167"/>
      <c r="R523" s="167"/>
      <c r="BG523" s="60"/>
      <c r="CF523" s="60"/>
      <c r="CG523" s="60"/>
      <c r="CH523" s="60"/>
      <c r="CI523" s="156"/>
      <c r="CJ523" s="156"/>
      <c r="CK523" s="156"/>
      <c r="CL523" s="156"/>
      <c r="CM523" s="156"/>
      <c r="CN523" s="156"/>
      <c r="CO523" s="156"/>
      <c r="CP523" s="156"/>
      <c r="CQ523" s="156"/>
      <c r="CR523" s="156"/>
      <c r="CS523" s="156"/>
      <c r="CV523" s="208" t="e">
        <f>+RATE(3,,-CS518,CV518)</f>
        <v>#NAME?</v>
      </c>
      <c r="CZ523" s="207"/>
    </row>
    <row r="524" spans="2:104" x14ac:dyDescent="0.25">
      <c r="B524" s="22" t="s">
        <v>213</v>
      </c>
      <c r="C524" s="22"/>
      <c r="D524" s="22"/>
      <c r="E524" s="22"/>
      <c r="F524" s="22"/>
      <c r="G524" s="22"/>
      <c r="H524" s="22"/>
      <c r="I524" s="22"/>
      <c r="J524" s="22"/>
      <c r="K524" s="22"/>
      <c r="L524" s="22"/>
      <c r="M524" s="22"/>
      <c r="N524" s="22"/>
      <c r="O524" s="22"/>
      <c r="P524" s="22"/>
      <c r="Q524" s="22"/>
      <c r="R524" s="22"/>
      <c r="BG524" s="60"/>
      <c r="CF524" s="60"/>
      <c r="CG524" s="60"/>
      <c r="CH524" s="60"/>
      <c r="CI524" s="60"/>
      <c r="CJ524" s="60"/>
      <c r="CK524" s="60"/>
      <c r="CL524" s="60"/>
      <c r="CM524" s="60"/>
      <c r="CN524" s="60"/>
      <c r="CO524" s="60"/>
      <c r="CP524" s="60"/>
      <c r="CQ524" s="60"/>
      <c r="CR524" s="60"/>
      <c r="CS524" s="60"/>
    </row>
    <row r="525" spans="2:104" s="210" customFormat="1" x14ac:dyDescent="0.25">
      <c r="B525" s="209" t="s">
        <v>335</v>
      </c>
      <c r="C525" s="209"/>
      <c r="D525" s="209"/>
      <c r="E525" s="209"/>
      <c r="F525" s="209"/>
      <c r="G525" s="209"/>
      <c r="H525" s="209"/>
      <c r="I525" s="209"/>
      <c r="J525" s="209"/>
      <c r="K525" s="209"/>
      <c r="L525" s="209"/>
      <c r="M525" s="209"/>
      <c r="N525" s="209"/>
      <c r="O525" s="209"/>
      <c r="P525" s="209"/>
      <c r="Q525" s="209"/>
      <c r="R525" s="209"/>
      <c r="AU525" s="210">
        <f t="shared" ref="AU525:BR529" si="759">+AU518/AQ518-1</f>
        <v>-3.8848920863309377E-2</v>
      </c>
      <c r="AV525" s="210">
        <f t="shared" si="759"/>
        <v>1.0340659340659339</v>
      </c>
      <c r="AW525" s="210">
        <f t="shared" si="759"/>
        <v>7.3749999999999982E-2</v>
      </c>
      <c r="AX525" s="210">
        <f t="shared" si="759"/>
        <v>0.1751677852348994</v>
      </c>
      <c r="AY525" s="210">
        <f t="shared" si="759"/>
        <v>-2.7694610778443152E-2</v>
      </c>
      <c r="AZ525" s="210">
        <f t="shared" si="759"/>
        <v>-5.2404105888708807E-2</v>
      </c>
      <c r="BA525" s="210">
        <f t="shared" si="759"/>
        <v>-9.1191307722157555E-2</v>
      </c>
      <c r="BB525" s="210">
        <f t="shared" si="759"/>
        <v>0.1113649343232439</v>
      </c>
      <c r="BC525" s="210">
        <f t="shared" si="759"/>
        <v>0.21478060046189373</v>
      </c>
      <c r="BD525" s="210">
        <f t="shared" si="759"/>
        <v>3.7628278221208733E-2</v>
      </c>
      <c r="BE525" s="210">
        <f t="shared" si="759"/>
        <v>1.0247651579846195E-2</v>
      </c>
      <c r="BF525" s="210">
        <f t="shared" si="759"/>
        <v>-0.14388489208633093</v>
      </c>
      <c r="BG525" s="210">
        <f t="shared" si="759"/>
        <v>-0.2002534854245881</v>
      </c>
      <c r="BH525" s="210" t="e">
        <f t="shared" si="759"/>
        <v>#NAME?</v>
      </c>
      <c r="BI525" s="210" t="e">
        <f>+BI518/BE518-1</f>
        <v>#NAME?</v>
      </c>
      <c r="BJ525" s="210" t="e">
        <f t="shared" si="759"/>
        <v>#NAME?</v>
      </c>
      <c r="BK525" s="210" t="e">
        <f t="shared" si="759"/>
        <v>#NAME?</v>
      </c>
      <c r="BL525" s="210" t="e">
        <f t="shared" si="759"/>
        <v>#NAME?</v>
      </c>
      <c r="BM525" s="210" t="e">
        <f>+BM518/BI518-1</f>
        <v>#NAME?</v>
      </c>
      <c r="BN525" s="210" t="e">
        <f t="shared" si="759"/>
        <v>#NAME?</v>
      </c>
      <c r="BO525" s="210" t="e">
        <f t="shared" si="759"/>
        <v>#NAME?</v>
      </c>
      <c r="BP525" s="210" t="e">
        <f t="shared" si="759"/>
        <v>#NAME?</v>
      </c>
      <c r="BQ525" s="210" t="e">
        <f t="shared" si="759"/>
        <v>#NAME?</v>
      </c>
      <c r="BR525" s="210" t="e">
        <f t="shared" si="759"/>
        <v>#NAME?</v>
      </c>
      <c r="CE525"/>
      <c r="CN525" s="210">
        <f t="shared" ref="CN525:CX529" si="760">+CN518/CM518-1</f>
        <v>-9.2664092664093145E-3</v>
      </c>
      <c r="CO525" s="210">
        <f t="shared" si="760"/>
        <v>4.6765393608729555E-2</v>
      </c>
      <c r="CP525" s="210">
        <f t="shared" si="760"/>
        <v>0.15227103499627703</v>
      </c>
      <c r="CQ525" s="210">
        <f t="shared" si="760"/>
        <v>0.21405492730210018</v>
      </c>
      <c r="CR525" s="210">
        <f t="shared" si="760"/>
        <v>-2.3153692614770405E-2</v>
      </c>
      <c r="CS525" s="210">
        <f t="shared" si="760"/>
        <v>1.2123688870726124E-2</v>
      </c>
      <c r="CT525" s="210" t="e">
        <f t="shared" si="760"/>
        <v>#NAME?</v>
      </c>
      <c r="CU525" s="210" t="e">
        <f t="shared" si="760"/>
        <v>#NAME?</v>
      </c>
      <c r="CV525" s="210" t="e">
        <f t="shared" si="760"/>
        <v>#NAME?</v>
      </c>
      <c r="CW525" s="210" t="e">
        <f t="shared" si="760"/>
        <v>#NAME?</v>
      </c>
      <c r="CX525" s="210" t="e">
        <f t="shared" si="760"/>
        <v>#NAME?</v>
      </c>
    </row>
    <row r="526" spans="2:104" s="49" customFormat="1" x14ac:dyDescent="0.25">
      <c r="B526" s="211" t="s">
        <v>340</v>
      </c>
      <c r="C526" s="211"/>
      <c r="D526" s="211"/>
      <c r="E526" s="211"/>
      <c r="F526" s="211"/>
      <c r="G526" s="211"/>
      <c r="H526" s="211"/>
      <c r="I526" s="211"/>
      <c r="J526" s="211"/>
      <c r="K526" s="211"/>
      <c r="L526" s="211"/>
      <c r="M526" s="211"/>
      <c r="N526" s="211"/>
      <c r="O526" s="211"/>
      <c r="P526" s="211"/>
      <c r="Q526" s="211"/>
      <c r="R526" s="211"/>
      <c r="AU526" s="49">
        <f t="shared" si="759"/>
        <v>-4.4424297370806887E-2</v>
      </c>
      <c r="AV526" s="49">
        <f t="shared" si="759"/>
        <v>0.79347826086956519</v>
      </c>
      <c r="AW526" s="49">
        <f t="shared" si="759"/>
        <v>8.7548638132295631E-2</v>
      </c>
      <c r="AX526" s="49">
        <f t="shared" si="759"/>
        <v>0.13891020721412128</v>
      </c>
      <c r="AY526" s="49">
        <f t="shared" si="759"/>
        <v>7.5901328273244806E-2</v>
      </c>
      <c r="AZ526" s="49">
        <f t="shared" si="759"/>
        <v>-3.1168831168831179E-2</v>
      </c>
      <c r="BA526" s="49">
        <f t="shared" si="759"/>
        <v>-1.3118664281455028E-2</v>
      </c>
      <c r="BB526" s="49">
        <f t="shared" si="759"/>
        <v>9.2991913746630628E-2</v>
      </c>
      <c r="BC526" s="49">
        <f t="shared" si="759"/>
        <v>3.79188712522045E-2</v>
      </c>
      <c r="BD526" s="49">
        <f t="shared" si="759"/>
        <v>8.936550491510209E-3</v>
      </c>
      <c r="BE526" s="49">
        <f t="shared" si="759"/>
        <v>3.4441087613293009E-2</v>
      </c>
      <c r="BF526" s="49">
        <f t="shared" si="759"/>
        <v>-0.13255240443896421</v>
      </c>
      <c r="BG526" s="49">
        <v>-7.051826677994899E-2</v>
      </c>
      <c r="BH526" s="49" t="e">
        <f t="shared" si="759"/>
        <v>#NAME?</v>
      </c>
      <c r="BI526" s="49" t="e">
        <f>+BI519/BE519-1</f>
        <v>#NAME?</v>
      </c>
      <c r="BJ526" s="49" t="e">
        <f t="shared" si="759"/>
        <v>#NAME?</v>
      </c>
      <c r="BK526" s="49" t="e">
        <f t="shared" si="759"/>
        <v>#NAME?</v>
      </c>
      <c r="BL526" s="49" t="e">
        <f t="shared" si="759"/>
        <v>#NAME?</v>
      </c>
      <c r="BM526" s="49" t="e">
        <f>+BM519/BI519-1</f>
        <v>#NAME?</v>
      </c>
      <c r="BN526" s="49" t="e">
        <f t="shared" si="759"/>
        <v>#NAME?</v>
      </c>
      <c r="BO526" s="49" t="e">
        <f t="shared" si="759"/>
        <v>#NAME?</v>
      </c>
      <c r="BP526" s="49" t="e">
        <f t="shared" si="759"/>
        <v>#NAME?</v>
      </c>
      <c r="BQ526" s="49" t="e">
        <f t="shared" si="759"/>
        <v>#NAME?</v>
      </c>
      <c r="BR526" s="49" t="e">
        <f t="shared" si="759"/>
        <v>#NAME?</v>
      </c>
      <c r="CE526"/>
      <c r="CN526" s="49">
        <f t="shared" si="760"/>
        <v>0.15306479859894928</v>
      </c>
      <c r="CO526" s="49">
        <f t="shared" si="760"/>
        <v>9.1130012150668183E-2</v>
      </c>
      <c r="CP526" s="49">
        <f t="shared" si="760"/>
        <v>0.27839643652561241</v>
      </c>
      <c r="CQ526" s="49">
        <f t="shared" si="760"/>
        <v>0.16942508710801385</v>
      </c>
      <c r="CR526" s="49">
        <f t="shared" si="760"/>
        <v>2.9795158286778367E-2</v>
      </c>
      <c r="CS526" s="49">
        <f t="shared" si="760"/>
        <v>-1.8987341772151889E-2</v>
      </c>
      <c r="CT526" s="49" t="e">
        <f t="shared" si="760"/>
        <v>#NAME?</v>
      </c>
      <c r="CU526" s="49" t="e">
        <f t="shared" si="760"/>
        <v>#NAME?</v>
      </c>
      <c r="CV526" s="49" t="e">
        <f t="shared" si="760"/>
        <v>#NAME?</v>
      </c>
      <c r="CW526" s="49" t="e">
        <f t="shared" si="760"/>
        <v>#NAME?</v>
      </c>
      <c r="CX526" s="49" t="e">
        <f t="shared" si="760"/>
        <v>#NAME?</v>
      </c>
    </row>
    <row r="527" spans="2:104" s="49" customFormat="1" x14ac:dyDescent="0.25">
      <c r="B527" s="211" t="s">
        <v>341</v>
      </c>
      <c r="C527" s="211"/>
      <c r="D527" s="211"/>
      <c r="E527" s="211"/>
      <c r="F527" s="211"/>
      <c r="G527" s="211"/>
      <c r="H527" s="211"/>
      <c r="I527" s="211"/>
      <c r="J527" s="211"/>
      <c r="K527" s="211"/>
      <c r="L527" s="211"/>
      <c r="M527" s="211"/>
      <c r="N527" s="211"/>
      <c r="O527" s="211"/>
      <c r="P527" s="211"/>
      <c r="Q527" s="211"/>
      <c r="R527" s="211"/>
      <c r="AU527" s="49">
        <f t="shared" si="759"/>
        <v>-1.7421602787456414E-2</v>
      </c>
      <c r="AV527" s="49">
        <f t="shared" si="759"/>
        <v>1.6165413533834587</v>
      </c>
      <c r="AW527" s="49">
        <f t="shared" si="759"/>
        <v>4.8951048951048959E-2</v>
      </c>
      <c r="AX527" s="49">
        <f t="shared" si="759"/>
        <v>0.42780748663101598</v>
      </c>
      <c r="AY527" s="49">
        <f t="shared" si="759"/>
        <v>-0.41489361702127658</v>
      </c>
      <c r="AZ527" s="49">
        <f t="shared" si="759"/>
        <v>-8.7643678160919558E-2</v>
      </c>
      <c r="BA527" s="49">
        <f t="shared" si="759"/>
        <v>-0.23666666666666669</v>
      </c>
      <c r="BB527" s="49">
        <f t="shared" si="759"/>
        <v>0.21348314606741581</v>
      </c>
      <c r="BC527" s="49">
        <f t="shared" si="759"/>
        <v>1.4303030303030302</v>
      </c>
      <c r="BD527" s="49">
        <f t="shared" si="759"/>
        <v>8.8188976377952866E-2</v>
      </c>
      <c r="BE527" s="49">
        <f t="shared" si="759"/>
        <v>-4.8034934497816595E-2</v>
      </c>
      <c r="BF527" s="49">
        <f t="shared" si="759"/>
        <v>-0.20061728395061729</v>
      </c>
      <c r="BG527" s="49">
        <v>-0.58104738154613467</v>
      </c>
      <c r="BH527" s="49" t="e">
        <f t="shared" si="759"/>
        <v>#NAME?</v>
      </c>
      <c r="BI527" s="49" t="e">
        <f>+BI520/BE520-1</f>
        <v>#NAME?</v>
      </c>
      <c r="BJ527" s="49" t="e">
        <f t="shared" si="759"/>
        <v>#NAME?</v>
      </c>
      <c r="BK527" s="49" t="e">
        <f t="shared" si="759"/>
        <v>#NAME?</v>
      </c>
      <c r="BL527" s="49" t="e">
        <f t="shared" si="759"/>
        <v>#NAME?</v>
      </c>
      <c r="BM527" s="49" t="e">
        <f>+BM520/BI520-1</f>
        <v>#NAME?</v>
      </c>
      <c r="BN527" s="49" t="e">
        <f t="shared" si="759"/>
        <v>#NAME?</v>
      </c>
      <c r="BO527" s="49" t="e">
        <f t="shared" si="759"/>
        <v>#NAME?</v>
      </c>
      <c r="BP527" s="49" t="e">
        <f t="shared" si="759"/>
        <v>#NAME?</v>
      </c>
      <c r="BQ527" s="49" t="e">
        <f t="shared" si="759"/>
        <v>#NAME?</v>
      </c>
      <c r="BR527" s="49" t="e">
        <f t="shared" si="759"/>
        <v>#NAME?</v>
      </c>
      <c r="CE527"/>
      <c r="CN527" s="49">
        <f t="shared" si="760"/>
        <v>-0.20860215053763442</v>
      </c>
      <c r="CO527" s="49">
        <f t="shared" si="760"/>
        <v>-3.2608695652173947E-2</v>
      </c>
      <c r="CP527" s="49">
        <f t="shared" si="760"/>
        <v>-0.10224719101123592</v>
      </c>
      <c r="CQ527" s="49">
        <f t="shared" si="760"/>
        <v>0.34230287859824782</v>
      </c>
      <c r="CR527" s="49">
        <f t="shared" si="760"/>
        <v>-0.15571095571095572</v>
      </c>
      <c r="CS527" s="49">
        <f t="shared" si="760"/>
        <v>0.1071231363887355</v>
      </c>
      <c r="CT527" s="49" t="e">
        <f t="shared" si="760"/>
        <v>#NAME?</v>
      </c>
      <c r="CU527" s="49" t="e">
        <f t="shared" si="760"/>
        <v>#NAME?</v>
      </c>
      <c r="CV527" s="49" t="e">
        <f t="shared" si="760"/>
        <v>#NAME?</v>
      </c>
      <c r="CW527" s="49" t="e">
        <f t="shared" si="760"/>
        <v>#NAME?</v>
      </c>
      <c r="CX527" s="49" t="e">
        <f t="shared" si="760"/>
        <v>#NAME?</v>
      </c>
    </row>
    <row r="528" spans="2:104" s="49" customFormat="1" x14ac:dyDescent="0.25">
      <c r="B528" s="211" t="s">
        <v>342</v>
      </c>
      <c r="C528" s="211"/>
      <c r="D528" s="211"/>
      <c r="E528" s="211"/>
      <c r="F528" s="211"/>
      <c r="G528" s="211"/>
      <c r="H528" s="211"/>
      <c r="I528" s="211"/>
      <c r="J528" s="211"/>
      <c r="K528" s="211"/>
      <c r="L528" s="211"/>
      <c r="M528" s="211"/>
      <c r="N528" s="211"/>
      <c r="O528" s="211"/>
      <c r="P528" s="211"/>
      <c r="Q528" s="211"/>
      <c r="R528" s="211"/>
      <c r="AU528" s="49">
        <f t="shared" si="759"/>
        <v>4.587155963302747E-2</v>
      </c>
      <c r="AV528" s="49">
        <f t="shared" si="759"/>
        <v>1.31055900621118</v>
      </c>
      <c r="AW528" s="49">
        <f t="shared" si="759"/>
        <v>0.44750000000000001</v>
      </c>
      <c r="AX528" s="49">
        <f t="shared" si="759"/>
        <v>0.25903614457831314</v>
      </c>
      <c r="AY528" s="49">
        <f t="shared" si="759"/>
        <v>-0.44736842105263153</v>
      </c>
      <c r="AZ528" s="49">
        <f t="shared" si="759"/>
        <v>-7.2580645161290369E-2</v>
      </c>
      <c r="BA528" s="49">
        <f t="shared" si="759"/>
        <v>-0.19170984455958551</v>
      </c>
      <c r="BB528" s="49">
        <f t="shared" si="759"/>
        <v>0.19617224880382778</v>
      </c>
      <c r="BC528" s="49">
        <f t="shared" si="759"/>
        <v>1.2222222222222223</v>
      </c>
      <c r="BD528" s="49">
        <f t="shared" si="759"/>
        <v>7.2463768115942129E-2</v>
      </c>
      <c r="BE528" s="49">
        <f t="shared" si="759"/>
        <v>-1.0683760683760646E-2</v>
      </c>
      <c r="BF528" s="49">
        <f t="shared" si="759"/>
        <v>-8.7999999999999967E-2</v>
      </c>
      <c r="BG528" s="49">
        <v>-0.48928571428571432</v>
      </c>
      <c r="BH528" s="49" t="e">
        <f t="shared" si="759"/>
        <v>#NAME?</v>
      </c>
      <c r="BI528" s="49" t="e">
        <f>+BI521/BE521-1</f>
        <v>#NAME?</v>
      </c>
      <c r="BJ528" s="49" t="e">
        <f t="shared" si="759"/>
        <v>#NAME?</v>
      </c>
      <c r="BK528" s="49" t="e">
        <f t="shared" si="759"/>
        <v>#NAME?</v>
      </c>
      <c r="BL528" s="49" t="e">
        <f t="shared" si="759"/>
        <v>#NAME?</v>
      </c>
      <c r="BM528" s="49" t="e">
        <f>+BM521/BI521-1</f>
        <v>#NAME?</v>
      </c>
      <c r="BN528" s="49" t="e">
        <f t="shared" si="759"/>
        <v>#NAME?</v>
      </c>
      <c r="BO528" s="49" t="e">
        <f t="shared" si="759"/>
        <v>#NAME?</v>
      </c>
      <c r="BP528" s="49" t="e">
        <f t="shared" si="759"/>
        <v>#NAME?</v>
      </c>
      <c r="BQ528" s="49" t="e">
        <f t="shared" si="759"/>
        <v>#NAME?</v>
      </c>
      <c r="BR528" s="49" t="e">
        <f t="shared" si="759"/>
        <v>#NAME?</v>
      </c>
      <c r="CE528"/>
      <c r="CN528" s="49">
        <f t="shared" si="760"/>
        <v>8.3455344070278104E-2</v>
      </c>
      <c r="CO528" s="49">
        <f t="shared" si="760"/>
        <v>2.5675675675675746E-2</v>
      </c>
      <c r="CP528" s="49">
        <f t="shared" si="760"/>
        <v>0.24505928853754932</v>
      </c>
      <c r="CQ528" s="49">
        <f t="shared" si="760"/>
        <v>0.46878306878306875</v>
      </c>
      <c r="CR528" s="49">
        <f t="shared" si="760"/>
        <v>-0.14337175792507206</v>
      </c>
      <c r="CS528" s="49">
        <f t="shared" si="760"/>
        <v>0.127838519764508</v>
      </c>
      <c r="CT528" s="49" t="e">
        <f t="shared" si="760"/>
        <v>#NAME?</v>
      </c>
      <c r="CU528" s="49" t="e">
        <f t="shared" si="760"/>
        <v>#NAME?</v>
      </c>
      <c r="CV528" s="49" t="e">
        <f t="shared" si="760"/>
        <v>#NAME?</v>
      </c>
      <c r="CW528" s="49" t="e">
        <f t="shared" si="760"/>
        <v>#NAME?</v>
      </c>
      <c r="CX528" s="49" t="e">
        <f t="shared" si="760"/>
        <v>#NAME?</v>
      </c>
    </row>
    <row r="529" spans="2:103" s="49" customFormat="1" x14ac:dyDescent="0.25">
      <c r="B529" s="211" t="s">
        <v>343</v>
      </c>
      <c r="C529" s="211"/>
      <c r="D529" s="211"/>
      <c r="E529" s="211"/>
      <c r="F529" s="211"/>
      <c r="G529" s="211"/>
      <c r="H529" s="211"/>
      <c r="I529" s="211"/>
      <c r="J529" s="211"/>
      <c r="K529" s="211"/>
      <c r="L529" s="211"/>
      <c r="M529" s="211"/>
      <c r="N529" s="211"/>
      <c r="O529" s="211"/>
      <c r="P529" s="211"/>
      <c r="Q529" s="211"/>
      <c r="R529" s="211"/>
      <c r="AU529" s="49">
        <f t="shared" si="759"/>
        <v>-0.21739130434782605</v>
      </c>
      <c r="AV529" s="49">
        <f t="shared" si="759"/>
        <v>2.0857142857142859</v>
      </c>
      <c r="AW529" s="49">
        <f t="shared" si="759"/>
        <v>-0.29912663755458513</v>
      </c>
      <c r="AX529" s="49">
        <f t="shared" si="759"/>
        <v>1.7619047619047619</v>
      </c>
      <c r="AY529" s="49">
        <f t="shared" si="759"/>
        <v>-0.27777777777777779</v>
      </c>
      <c r="AZ529" s="49">
        <f t="shared" si="759"/>
        <v>-0.10493827160493829</v>
      </c>
      <c r="BA529" s="49">
        <f t="shared" si="759"/>
        <v>-0.31775700934579443</v>
      </c>
      <c r="BB529" s="49">
        <f t="shared" si="759"/>
        <v>0.27586206896551735</v>
      </c>
      <c r="BC529" s="49">
        <f t="shared" si="759"/>
        <v>2.1025641025641026</v>
      </c>
      <c r="BD529" s="49">
        <f t="shared" si="759"/>
        <v>0.10689655172413803</v>
      </c>
      <c r="BE529" s="49">
        <f t="shared" si="759"/>
        <v>-0.12785388127853881</v>
      </c>
      <c r="BF529" s="49">
        <f t="shared" si="759"/>
        <v>-0.58108108108108114</v>
      </c>
      <c r="BG529" s="49">
        <v>-0.79338842975206614</v>
      </c>
      <c r="BH529" s="49" t="e">
        <f t="shared" si="759"/>
        <v>#NAME?</v>
      </c>
      <c r="BI529" s="49" t="e">
        <f>+BI522/BE522-1</f>
        <v>#NAME?</v>
      </c>
      <c r="BJ529" s="49" t="e">
        <f t="shared" si="759"/>
        <v>#NAME?</v>
      </c>
      <c r="BK529" s="49" t="e">
        <f t="shared" si="759"/>
        <v>#NAME?</v>
      </c>
      <c r="BL529" s="49" t="e">
        <f t="shared" si="759"/>
        <v>#NAME?</v>
      </c>
      <c r="BM529" s="49" t="e">
        <f>+BM522/BI522-1</f>
        <v>#NAME?</v>
      </c>
      <c r="BN529" s="49" t="e">
        <f t="shared" si="759"/>
        <v>#NAME?</v>
      </c>
      <c r="BO529" s="49" t="e">
        <f t="shared" si="759"/>
        <v>#NAME?</v>
      </c>
      <c r="BP529" s="49" t="e">
        <f t="shared" si="759"/>
        <v>#NAME?</v>
      </c>
      <c r="BQ529" s="49" t="e">
        <f t="shared" si="759"/>
        <v>#NAME?</v>
      </c>
      <c r="BR529" s="49" t="e">
        <f t="shared" si="759"/>
        <v>#NAME?</v>
      </c>
      <c r="CE529"/>
      <c r="CN529" s="49">
        <f t="shared" si="760"/>
        <v>-0.33008526187576126</v>
      </c>
      <c r="CO529" s="49">
        <f t="shared" si="760"/>
        <v>-7.1818181818181781E-2</v>
      </c>
      <c r="CP529" s="49">
        <f t="shared" si="760"/>
        <v>-0.36043095004897163</v>
      </c>
      <c r="CQ529" s="49">
        <f t="shared" si="760"/>
        <v>0.15926493108728934</v>
      </c>
      <c r="CR529" s="49">
        <f t="shared" si="760"/>
        <v>-0.17833553500660504</v>
      </c>
      <c r="CS529" s="49">
        <f t="shared" si="760"/>
        <v>6.7524115755627001E-2</v>
      </c>
      <c r="CT529" s="49" t="e">
        <f t="shared" si="760"/>
        <v>#NAME?</v>
      </c>
      <c r="CU529" s="49" t="e">
        <f t="shared" si="760"/>
        <v>#NAME?</v>
      </c>
      <c r="CV529" s="49" t="e">
        <f t="shared" si="760"/>
        <v>#NAME?</v>
      </c>
      <c r="CW529" s="49" t="e">
        <f t="shared" si="760"/>
        <v>#NAME?</v>
      </c>
      <c r="CX529" s="49" t="e">
        <f t="shared" si="760"/>
        <v>#NAME?</v>
      </c>
    </row>
    <row r="530" spans="2:103" x14ac:dyDescent="0.25">
      <c r="B530" s="167"/>
      <c r="C530" s="167"/>
      <c r="D530" s="167"/>
      <c r="E530" s="167"/>
      <c r="F530" s="167"/>
      <c r="G530" s="167"/>
      <c r="H530" s="167"/>
      <c r="I530" s="167"/>
      <c r="J530" s="167"/>
      <c r="K530" s="167"/>
      <c r="L530" s="167"/>
      <c r="M530" s="167"/>
      <c r="N530" s="167"/>
      <c r="O530" s="167"/>
      <c r="P530" s="167"/>
      <c r="Q530" s="167"/>
      <c r="R530" s="167"/>
      <c r="BG530" s="60"/>
      <c r="CF530" s="60"/>
      <c r="CG530" s="60"/>
      <c r="CH530" s="60"/>
      <c r="CI530" s="60"/>
      <c r="CJ530" s="60"/>
      <c r="CK530" s="60"/>
      <c r="CL530" s="60"/>
      <c r="CM530" s="60"/>
      <c r="CN530" s="60"/>
      <c r="CO530" s="60"/>
      <c r="CP530" s="60"/>
      <c r="CQ530" s="60"/>
      <c r="CR530" s="60"/>
      <c r="CS530" s="60"/>
    </row>
    <row r="531" spans="2:103" x14ac:dyDescent="0.25">
      <c r="B531" s="189" t="s">
        <v>344</v>
      </c>
      <c r="C531" s="189"/>
      <c r="D531" s="189"/>
      <c r="E531" s="189"/>
      <c r="F531" s="189"/>
      <c r="G531" s="189"/>
      <c r="H531" s="189"/>
      <c r="I531" s="189"/>
      <c r="J531" s="189"/>
      <c r="K531" s="189"/>
      <c r="L531" s="189"/>
      <c r="M531" s="189"/>
      <c r="N531" s="189"/>
      <c r="O531" s="189"/>
      <c r="P531" s="189"/>
      <c r="Q531" s="189"/>
      <c r="R531" s="189"/>
      <c r="BG531" s="60"/>
      <c r="CF531" s="60"/>
      <c r="CG531" s="60"/>
      <c r="CH531" s="60"/>
      <c r="CI531" s="60"/>
      <c r="CJ531" s="60"/>
      <c r="CK531" s="60"/>
      <c r="CL531" s="60"/>
      <c r="CM531" s="60"/>
      <c r="CN531" s="60"/>
      <c r="CO531" s="60"/>
      <c r="CP531" s="60"/>
      <c r="CQ531" s="60"/>
      <c r="CR531" s="60"/>
      <c r="CS531" s="60"/>
    </row>
    <row r="532" spans="2:103" x14ac:dyDescent="0.25">
      <c r="B532" t="s">
        <v>345</v>
      </c>
      <c r="S532" s="24">
        <v>1214</v>
      </c>
      <c r="T532" s="24">
        <v>990</v>
      </c>
      <c r="U532" s="24">
        <v>1126</v>
      </c>
      <c r="V532" s="24">
        <v>1185</v>
      </c>
      <c r="W532" s="24">
        <v>1203</v>
      </c>
      <c r="X532" s="24">
        <v>815</v>
      </c>
      <c r="Y532" s="24">
        <v>1070</v>
      </c>
      <c r="Z532" s="24">
        <v>1308</v>
      </c>
      <c r="AA532" s="24">
        <v>1271</v>
      </c>
      <c r="AB532" s="24">
        <v>898</v>
      </c>
      <c r="AC532" s="24">
        <v>1149</v>
      </c>
      <c r="AD532" s="24">
        <v>1527</v>
      </c>
      <c r="AE532" s="24">
        <v>1449</v>
      </c>
      <c r="AF532" s="24">
        <v>959</v>
      </c>
      <c r="AG532" s="24">
        <v>1160</v>
      </c>
      <c r="AH532" s="24">
        <v>1582</v>
      </c>
      <c r="AI532" s="24">
        <v>1137</v>
      </c>
      <c r="AJ532" s="24">
        <v>1286</v>
      </c>
      <c r="AK532" s="24">
        <v>1289</v>
      </c>
      <c r="AL532" s="24">
        <v>1238</v>
      </c>
      <c r="AM532" s="24">
        <v>1209</v>
      </c>
      <c r="AN532" s="24">
        <v>1348</v>
      </c>
      <c r="AO532" s="24">
        <v>1593</v>
      </c>
      <c r="AP532" s="24">
        <v>1387</v>
      </c>
      <c r="AQ532" s="24">
        <v>1459</v>
      </c>
      <c r="AR532" s="24">
        <v>1151</v>
      </c>
      <c r="AS532" s="24">
        <v>1673</v>
      </c>
      <c r="AT532" s="24">
        <v>1346</v>
      </c>
      <c r="AU532" s="24">
        <v>1551</v>
      </c>
      <c r="AV532" s="24">
        <v>1826</v>
      </c>
      <c r="AW532" s="24">
        <v>1789</v>
      </c>
      <c r="AX532" s="24">
        <v>1825</v>
      </c>
      <c r="AY532" s="24">
        <v>1767</v>
      </c>
      <c r="AZ532" s="24">
        <v>1904</v>
      </c>
      <c r="BA532" s="24">
        <v>1881</v>
      </c>
      <c r="BB532" s="24">
        <v>1874</v>
      </c>
      <c r="BC532" s="24">
        <v>1924</v>
      </c>
      <c r="BD532" s="24">
        <v>1914</v>
      </c>
      <c r="BE532" s="24">
        <v>1945</v>
      </c>
      <c r="BF532" s="24">
        <v>1779</v>
      </c>
      <c r="BG532" s="24">
        <v>1660</v>
      </c>
      <c r="BH532" s="146" t="e">
        <v>#NAME?</v>
      </c>
      <c r="BI532" s="146" t="e">
        <v>#NAME?</v>
      </c>
      <c r="BJ532" s="146" t="e">
        <v>#NAME?</v>
      </c>
      <c r="BK532" s="146" t="e">
        <v>#NAME?</v>
      </c>
      <c r="BL532" s="146" t="e">
        <v>#NAME?</v>
      </c>
      <c r="BM532" s="146" t="e">
        <v>#NAME?</v>
      </c>
      <c r="BN532" s="146" t="e">
        <v>#NAME?</v>
      </c>
      <c r="BO532" s="146" t="e">
        <v>#NAME?</v>
      </c>
      <c r="BP532" s="146" t="e">
        <v>#NAME?</v>
      </c>
      <c r="BQ532" s="146" t="e">
        <v>#NAME?</v>
      </c>
      <c r="BR532" s="146" t="e">
        <v>#NAME?</v>
      </c>
      <c r="BS532" s="146" t="e">
        <v>#NAME?</v>
      </c>
      <c r="BT532" s="146" t="e">
        <v>#NAME?</v>
      </c>
      <c r="BU532" s="146" t="e">
        <v>#NAME?</v>
      </c>
      <c r="BV532" s="146" t="e">
        <v>#NAME?</v>
      </c>
      <c r="BW532" s="146" t="e">
        <v>#NAME?</v>
      </c>
      <c r="BX532" s="146" t="e">
        <v>#NAME?</v>
      </c>
      <c r="BY532" s="146" t="e">
        <v>#NAME?</v>
      </c>
      <c r="BZ532" s="146" t="e">
        <v>#NAME?</v>
      </c>
      <c r="CA532" s="146" t="e">
        <v>#NAME?</v>
      </c>
      <c r="CB532" s="146" t="e">
        <v>#NAME?</v>
      </c>
      <c r="CC532" s="146" t="e">
        <v>#NAME?</v>
      </c>
      <c r="CD532" s="146" t="e">
        <v>#NAME?</v>
      </c>
      <c r="CF532" s="24" t="s">
        <v>336</v>
      </c>
      <c r="CG532" s="24" t="s">
        <v>336</v>
      </c>
      <c r="CH532" s="24">
        <v>3797</v>
      </c>
      <c r="CI532" s="24">
        <v>3575</v>
      </c>
      <c r="CJ532" s="24">
        <v>4515</v>
      </c>
      <c r="CK532" s="24">
        <v>4396</v>
      </c>
      <c r="CL532" s="24">
        <v>4845</v>
      </c>
      <c r="CM532" s="24">
        <v>5150</v>
      </c>
      <c r="CN532" s="24">
        <v>4950</v>
      </c>
      <c r="CO532" s="24">
        <v>5537</v>
      </c>
      <c r="CP532" s="24">
        <v>5629</v>
      </c>
      <c r="CQ532" s="24">
        <v>6991</v>
      </c>
      <c r="CR532" s="24">
        <v>7426</v>
      </c>
      <c r="CS532" s="24">
        <v>7562</v>
      </c>
      <c r="CT532" s="146" t="e">
        <v>#NAME?</v>
      </c>
      <c r="CU532" s="146" t="e">
        <v>#NAME?</v>
      </c>
      <c r="CV532" s="146" t="e">
        <v>#NAME?</v>
      </c>
      <c r="CW532" s="146" t="e">
        <v>#NAME?</v>
      </c>
      <c r="CX532" s="146" t="e">
        <v>#NAME?</v>
      </c>
    </row>
    <row r="533" spans="2:103" x14ac:dyDescent="0.25">
      <c r="B533" s="37" t="s">
        <v>346</v>
      </c>
      <c r="C533" s="37"/>
      <c r="D533" s="37"/>
      <c r="E533" s="37"/>
      <c r="F533" s="37"/>
      <c r="G533" s="37"/>
      <c r="H533" s="37"/>
      <c r="I533" s="37"/>
      <c r="J533" s="37"/>
      <c r="K533" s="37"/>
      <c r="L533" s="37"/>
      <c r="M533" s="37"/>
      <c r="N533" s="37"/>
      <c r="O533" s="37"/>
      <c r="P533" s="37"/>
      <c r="Q533" s="37"/>
      <c r="R533" s="37"/>
      <c r="S533" s="24">
        <v>-439</v>
      </c>
      <c r="T533" s="24">
        <v>230</v>
      </c>
      <c r="U533" s="24">
        <v>302</v>
      </c>
      <c r="V533" s="24">
        <v>-289</v>
      </c>
      <c r="W533" s="24">
        <v>-510</v>
      </c>
      <c r="X533" s="24">
        <v>331</v>
      </c>
      <c r="Y533" s="24">
        <v>733</v>
      </c>
      <c r="Z533" s="24">
        <v>-384</v>
      </c>
      <c r="AA533" s="24">
        <v>-589</v>
      </c>
      <c r="AB533" s="24">
        <v>200</v>
      </c>
      <c r="AC533" s="24">
        <v>921</v>
      </c>
      <c r="AD533" s="24">
        <v>-435</v>
      </c>
      <c r="AE533" s="24">
        <v>-674</v>
      </c>
      <c r="AF533" s="24">
        <v>220</v>
      </c>
      <c r="AG533" s="24">
        <v>811</v>
      </c>
      <c r="AH533" s="24">
        <v>-327</v>
      </c>
      <c r="AI533" s="24">
        <v>-339</v>
      </c>
      <c r="AJ533" s="24">
        <v>-20</v>
      </c>
      <c r="AK533" s="24">
        <v>368</v>
      </c>
      <c r="AL533" s="24">
        <v>173</v>
      </c>
      <c r="AM533" s="24">
        <v>-427</v>
      </c>
      <c r="AN533" s="24">
        <v>-35</v>
      </c>
      <c r="AO533" s="24">
        <v>428</v>
      </c>
      <c r="AP533" s="24">
        <v>-131</v>
      </c>
      <c r="AQ533" s="24">
        <v>-69</v>
      </c>
      <c r="AR533" s="24">
        <v>-241</v>
      </c>
      <c r="AS533" s="24">
        <v>727</v>
      </c>
      <c r="AT533" s="24">
        <v>144</v>
      </c>
      <c r="AU533" s="24">
        <v>-215</v>
      </c>
      <c r="AV533" s="24">
        <v>25</v>
      </c>
      <c r="AW533" s="24">
        <v>788</v>
      </c>
      <c r="AX533" s="24">
        <v>-74</v>
      </c>
      <c r="AY533" s="24">
        <v>-468</v>
      </c>
      <c r="AZ533" s="24">
        <v>-150</v>
      </c>
      <c r="BA533" s="24">
        <v>461</v>
      </c>
      <c r="BB533" s="24">
        <v>72</v>
      </c>
      <c r="BC533" s="24">
        <v>-346</v>
      </c>
      <c r="BD533" s="24">
        <v>-94</v>
      </c>
      <c r="BE533" s="24">
        <v>421</v>
      </c>
      <c r="BF533" s="24">
        <v>-113</v>
      </c>
      <c r="BG533" s="24">
        <v>-398</v>
      </c>
      <c r="BH533" s="146" t="e">
        <v>#NAME?</v>
      </c>
      <c r="BI533" s="146" t="e">
        <v>#NAME?</v>
      </c>
      <c r="BJ533" s="146" t="e">
        <v>#NAME?</v>
      </c>
      <c r="BK533" s="146" t="e">
        <v>#NAME?</v>
      </c>
      <c r="BL533" s="146" t="e">
        <v>#NAME?</v>
      </c>
      <c r="BM533" s="146" t="e">
        <v>#NAME?</v>
      </c>
      <c r="BN533" s="146" t="e">
        <v>#NAME?</v>
      </c>
      <c r="BO533" s="146" t="e">
        <v>#NAME?</v>
      </c>
      <c r="BP533" s="146" t="e">
        <v>#NAME?</v>
      </c>
      <c r="BQ533" s="146" t="e">
        <v>#NAME?</v>
      </c>
      <c r="BR533" s="146" t="e">
        <v>#NAME?</v>
      </c>
      <c r="BS533" s="146" t="e">
        <v>#NAME?</v>
      </c>
      <c r="BT533" s="146" t="e">
        <v>#NAME?</v>
      </c>
      <c r="BU533" s="146" t="e">
        <v>#NAME?</v>
      </c>
      <c r="BV533" s="146" t="e">
        <v>#NAME?</v>
      </c>
      <c r="BW533" s="146" t="e">
        <v>#NAME?</v>
      </c>
      <c r="BX533" s="146" t="e">
        <v>#NAME?</v>
      </c>
      <c r="BY533" s="146" t="e">
        <v>#NAME?</v>
      </c>
      <c r="BZ533" s="146" t="e">
        <v>#NAME?</v>
      </c>
      <c r="CA533" s="146" t="e">
        <v>#NAME?</v>
      </c>
      <c r="CB533" s="146" t="e">
        <v>#NAME?</v>
      </c>
      <c r="CC533" s="146" t="e">
        <v>#NAME?</v>
      </c>
      <c r="CD533" s="146" t="e">
        <v>#NAME?</v>
      </c>
      <c r="CF533" s="24" t="s">
        <v>336</v>
      </c>
      <c r="CG533" s="24" t="s">
        <v>336</v>
      </c>
      <c r="CH533" s="24">
        <v>-4</v>
      </c>
      <c r="CI533" s="24">
        <v>446</v>
      </c>
      <c r="CJ533" s="24">
        <v>-196</v>
      </c>
      <c r="CK533" s="24">
        <v>170</v>
      </c>
      <c r="CL533" s="24">
        <v>97</v>
      </c>
      <c r="CM533" s="24">
        <v>30</v>
      </c>
      <c r="CN533" s="24">
        <v>182</v>
      </c>
      <c r="CO533" s="24">
        <v>-165</v>
      </c>
      <c r="CP533" s="24">
        <v>561</v>
      </c>
      <c r="CQ533" s="24">
        <v>524</v>
      </c>
      <c r="CR533" s="24">
        <v>-85</v>
      </c>
      <c r="CS533" s="24">
        <v>-132</v>
      </c>
      <c r="CT533" s="146" t="e">
        <v>#NAME?</v>
      </c>
      <c r="CU533" s="146" t="e">
        <v>#NAME?</v>
      </c>
      <c r="CV533" s="146" t="e">
        <v>#NAME?</v>
      </c>
      <c r="CW533" s="146" t="e">
        <v>#NAME?</v>
      </c>
      <c r="CX533" s="146" t="e">
        <v>#NAME?</v>
      </c>
    </row>
    <row r="534" spans="2:103" x14ac:dyDescent="0.25">
      <c r="B534" t="s">
        <v>335</v>
      </c>
      <c r="S534" s="24">
        <v>775</v>
      </c>
      <c r="T534" s="24">
        <v>1220</v>
      </c>
      <c r="U534" s="24">
        <v>1428</v>
      </c>
      <c r="V534" s="24">
        <v>896</v>
      </c>
      <c r="W534" s="24">
        <v>693</v>
      </c>
      <c r="X534" s="24">
        <v>1146</v>
      </c>
      <c r="Y534" s="24">
        <v>1803</v>
      </c>
      <c r="Z534" s="24">
        <v>924</v>
      </c>
      <c r="AA534" s="24">
        <v>682</v>
      </c>
      <c r="AB534" s="24">
        <v>1098</v>
      </c>
      <c r="AC534" s="24">
        <v>2070</v>
      </c>
      <c r="AD534" s="24">
        <v>1092</v>
      </c>
      <c r="AE534" s="24">
        <v>775</v>
      </c>
      <c r="AF534" s="24">
        <v>1179</v>
      </c>
      <c r="AG534" s="24">
        <v>1971</v>
      </c>
      <c r="AH534" s="24">
        <v>1255</v>
      </c>
      <c r="AI534" s="24">
        <v>798</v>
      </c>
      <c r="AJ534" s="24">
        <v>1266</v>
      </c>
      <c r="AK534" s="24">
        <v>1657</v>
      </c>
      <c r="AL534" s="24">
        <v>1411</v>
      </c>
      <c r="AM534" s="24">
        <v>782</v>
      </c>
      <c r="AN534" s="24">
        <v>1313</v>
      </c>
      <c r="AO534" s="24">
        <v>2021</v>
      </c>
      <c r="AP534" s="24">
        <v>1256</v>
      </c>
      <c r="AQ534" s="24">
        <v>1390</v>
      </c>
      <c r="AR534" s="24">
        <v>910</v>
      </c>
      <c r="AS534" s="24">
        <v>2400</v>
      </c>
      <c r="AT534" s="24">
        <v>1490</v>
      </c>
      <c r="AU534" s="24">
        <v>1336</v>
      </c>
      <c r="AV534" s="24">
        <v>1851</v>
      </c>
      <c r="AW534" s="24">
        <v>2577</v>
      </c>
      <c r="AX534" s="24">
        <v>1751</v>
      </c>
      <c r="AY534" s="24">
        <v>1299</v>
      </c>
      <c r="AZ534" s="24">
        <v>1754</v>
      </c>
      <c r="BA534" s="24">
        <v>2342</v>
      </c>
      <c r="BB534" s="24">
        <v>1946</v>
      </c>
      <c r="BC534" s="24">
        <v>1578</v>
      </c>
      <c r="BD534" s="24">
        <v>1820</v>
      </c>
      <c r="BE534" s="24">
        <v>2366</v>
      </c>
      <c r="BF534" s="24">
        <v>1666</v>
      </c>
      <c r="BG534" s="24">
        <v>1262</v>
      </c>
      <c r="BH534" s="146" t="e">
        <v>#NAME?</v>
      </c>
      <c r="BI534" s="146" t="e">
        <v>#NAME?</v>
      </c>
      <c r="BJ534" s="146" t="e">
        <v>#NAME?</v>
      </c>
      <c r="BK534" s="146" t="e">
        <v>#NAME?</v>
      </c>
      <c r="BL534" s="146" t="e">
        <v>#NAME?</v>
      </c>
      <c r="BM534" s="146" t="e">
        <v>#NAME?</v>
      </c>
      <c r="BN534" s="146" t="e">
        <v>#NAME?</v>
      </c>
      <c r="BO534" s="146" t="e">
        <v>#NAME?</v>
      </c>
      <c r="BP534" s="146" t="e">
        <v>#NAME?</v>
      </c>
      <c r="BQ534" s="146" t="e">
        <v>#NAME?</v>
      </c>
      <c r="BR534" s="146" t="e">
        <v>#NAME?</v>
      </c>
      <c r="BS534" s="146" t="e">
        <v>#NAME?</v>
      </c>
      <c r="BT534" s="146" t="e">
        <v>#NAME?</v>
      </c>
      <c r="BU534" s="146" t="e">
        <v>#NAME?</v>
      </c>
      <c r="BV534" s="146" t="e">
        <v>#NAME?</v>
      </c>
      <c r="BW534" s="146" t="e">
        <v>#NAME?</v>
      </c>
      <c r="BX534" s="146" t="e">
        <v>#NAME?</v>
      </c>
      <c r="BY534" s="146" t="e">
        <v>#NAME?</v>
      </c>
      <c r="BZ534" s="146" t="e">
        <v>#NAME?</v>
      </c>
      <c r="CA534" s="146" t="e">
        <v>#NAME?</v>
      </c>
      <c r="CB534" s="146" t="e">
        <v>#NAME?</v>
      </c>
      <c r="CC534" s="146" t="e">
        <v>#NAME?</v>
      </c>
      <c r="CD534" s="146" t="e">
        <v>#NAME?</v>
      </c>
      <c r="CF534" s="24" t="s">
        <v>336</v>
      </c>
      <c r="CG534" s="24" t="s">
        <v>336</v>
      </c>
      <c r="CH534" s="24">
        <v>3793</v>
      </c>
      <c r="CI534" s="24">
        <v>4021</v>
      </c>
      <c r="CJ534" s="24">
        <v>4319</v>
      </c>
      <c r="CK534" s="24">
        <v>4566</v>
      </c>
      <c r="CL534" s="24">
        <v>4942</v>
      </c>
      <c r="CM534" s="24">
        <v>5180</v>
      </c>
      <c r="CN534" s="24">
        <v>5132</v>
      </c>
      <c r="CO534" s="24">
        <v>5372</v>
      </c>
      <c r="CP534" s="24">
        <v>6190</v>
      </c>
      <c r="CQ534" s="24">
        <v>7515</v>
      </c>
      <c r="CR534" s="24">
        <v>7341</v>
      </c>
      <c r="CS534" s="24">
        <v>7430</v>
      </c>
      <c r="CT534" s="146" t="e">
        <v>#NAME?</v>
      </c>
      <c r="CU534" s="146" t="e">
        <v>#NAME?</v>
      </c>
      <c r="CV534" s="146" t="e">
        <v>#NAME?</v>
      </c>
      <c r="CW534" s="146" t="e">
        <v>#NAME?</v>
      </c>
      <c r="CX534" s="146" t="e">
        <v>#NAME?</v>
      </c>
    </row>
    <row r="535" spans="2:103" x14ac:dyDescent="0.25">
      <c r="B535" s="37" t="s">
        <v>347</v>
      </c>
      <c r="C535" s="37"/>
      <c r="D535" s="37"/>
      <c r="E535" s="37"/>
      <c r="F535" s="37"/>
      <c r="G535" s="37"/>
      <c r="H535" s="37"/>
      <c r="I535" s="37"/>
      <c r="J535" s="37"/>
      <c r="K535" s="37"/>
      <c r="L535" s="37"/>
      <c r="M535" s="37"/>
      <c r="N535" s="37"/>
      <c r="O535" s="37"/>
      <c r="P535" s="37"/>
      <c r="Q535" s="37"/>
      <c r="R535" s="37"/>
      <c r="S535" s="24">
        <v>231</v>
      </c>
      <c r="T535" s="24">
        <v>414</v>
      </c>
      <c r="U535" s="24">
        <v>388</v>
      </c>
      <c r="V535" s="24">
        <v>220</v>
      </c>
      <c r="W535" s="24">
        <v>161</v>
      </c>
      <c r="X535" s="24">
        <v>397</v>
      </c>
      <c r="Y535" s="24">
        <v>534</v>
      </c>
      <c r="Z535" s="24">
        <v>213</v>
      </c>
      <c r="AA535" s="24">
        <v>165</v>
      </c>
      <c r="AB535" s="24">
        <v>388</v>
      </c>
      <c r="AC535" s="24">
        <v>498</v>
      </c>
      <c r="AD535" s="24">
        <v>201</v>
      </c>
      <c r="AE535" s="24">
        <v>153</v>
      </c>
      <c r="AF535" s="24">
        <v>388</v>
      </c>
      <c r="AG535" s="24">
        <v>500</v>
      </c>
      <c r="AH535" s="24">
        <v>231</v>
      </c>
      <c r="AI535" s="24">
        <v>213</v>
      </c>
      <c r="AJ535" s="24">
        <v>416</v>
      </c>
      <c r="AK535" s="24">
        <v>411</v>
      </c>
      <c r="AL535" s="24">
        <v>274</v>
      </c>
      <c r="AM535" s="24">
        <v>184</v>
      </c>
      <c r="AN535" s="24">
        <v>402</v>
      </c>
      <c r="AO535" s="24">
        <v>502</v>
      </c>
      <c r="AP535" s="24">
        <v>265</v>
      </c>
      <c r="AQ535" s="24">
        <v>287</v>
      </c>
      <c r="AR535" s="24">
        <v>284</v>
      </c>
      <c r="AS535" s="24">
        <v>600</v>
      </c>
      <c r="AT535" s="24">
        <v>314</v>
      </c>
      <c r="AU535" s="24">
        <v>292</v>
      </c>
      <c r="AV535" s="24">
        <v>470</v>
      </c>
      <c r="AW535" s="24">
        <v>586</v>
      </c>
      <c r="AX535" s="24">
        <v>372</v>
      </c>
      <c r="AY535" s="24">
        <v>282</v>
      </c>
      <c r="AZ535" s="24">
        <v>422</v>
      </c>
      <c r="BA535" s="24">
        <v>540</v>
      </c>
      <c r="BB535" s="24">
        <v>421</v>
      </c>
      <c r="BC535" s="24">
        <v>350</v>
      </c>
      <c r="BD535" s="24">
        <v>439</v>
      </c>
      <c r="BE535" s="24">
        <v>511</v>
      </c>
      <c r="BF535" s="24">
        <v>326</v>
      </c>
      <c r="BG535" s="24">
        <v>249</v>
      </c>
      <c r="BH535" s="146" t="e">
        <v>#NAME?</v>
      </c>
      <c r="BI535" s="146" t="e">
        <v>#NAME?</v>
      </c>
      <c r="BJ535" s="146" t="e">
        <v>#NAME?</v>
      </c>
      <c r="BK535" s="146" t="e">
        <v>#NAME?</v>
      </c>
      <c r="BL535" s="146" t="e">
        <v>#NAME?</v>
      </c>
      <c r="BM535" s="146" t="e">
        <v>#NAME?</v>
      </c>
      <c r="BN535" s="146" t="e">
        <v>#NAME?</v>
      </c>
      <c r="BO535" s="146" t="e">
        <v>#NAME?</v>
      </c>
      <c r="BP535" s="146" t="e">
        <v>#NAME?</v>
      </c>
      <c r="BQ535" s="146" t="e">
        <v>#NAME?</v>
      </c>
      <c r="BR535" s="146" t="e">
        <v>#NAME?</v>
      </c>
      <c r="BS535" s="146" t="e">
        <v>#NAME?</v>
      </c>
      <c r="BT535" s="146" t="e">
        <v>#NAME?</v>
      </c>
      <c r="BU535" s="146" t="e">
        <v>#NAME?</v>
      </c>
      <c r="BV535" s="146" t="e">
        <v>#NAME?</v>
      </c>
      <c r="BW535" s="146" t="e">
        <v>#NAME?</v>
      </c>
      <c r="BX535" s="146" t="e">
        <v>#NAME?</v>
      </c>
      <c r="BY535" s="146" t="e">
        <v>#NAME?</v>
      </c>
      <c r="BZ535" s="146" t="e">
        <v>#NAME?</v>
      </c>
      <c r="CA535" s="146" t="e">
        <v>#NAME?</v>
      </c>
      <c r="CB535" s="146" t="e">
        <v>#NAME?</v>
      </c>
      <c r="CC535" s="146" t="e">
        <v>#NAME?</v>
      </c>
      <c r="CD535" s="146" t="e">
        <v>#NAME?</v>
      </c>
      <c r="CF535" s="24" t="s">
        <v>336</v>
      </c>
      <c r="CG535" s="24" t="s">
        <v>336</v>
      </c>
      <c r="CH535" s="24">
        <v>1293</v>
      </c>
      <c r="CI535" s="24">
        <v>1285</v>
      </c>
      <c r="CJ535" s="24">
        <v>1253</v>
      </c>
      <c r="CK535" s="24">
        <v>1305</v>
      </c>
      <c r="CL535" s="24">
        <v>1252</v>
      </c>
      <c r="CM535" s="24">
        <v>1271</v>
      </c>
      <c r="CN535" s="24">
        <v>1314</v>
      </c>
      <c r="CO535" s="24">
        <v>1353</v>
      </c>
      <c r="CP535" s="24">
        <v>1485</v>
      </c>
      <c r="CQ535" s="24">
        <v>1720</v>
      </c>
      <c r="CR535" s="24">
        <v>1665</v>
      </c>
      <c r="CS535" s="24">
        <v>1626</v>
      </c>
      <c r="CT535" s="146" t="e">
        <v>#NAME?</v>
      </c>
      <c r="CU535" s="146" t="e">
        <v>#NAME?</v>
      </c>
      <c r="CV535" s="146" t="e">
        <v>#NAME?</v>
      </c>
      <c r="CW535" s="146" t="e">
        <v>#NAME?</v>
      </c>
      <c r="CX535" s="146" t="e">
        <v>#NAME?</v>
      </c>
    </row>
    <row r="536" spans="2:103" x14ac:dyDescent="0.25">
      <c r="B536" t="s">
        <v>348</v>
      </c>
      <c r="S536" s="24">
        <v>544</v>
      </c>
      <c r="T536" s="24">
        <v>806</v>
      </c>
      <c r="U536" s="24">
        <v>1040</v>
      </c>
      <c r="V536" s="24">
        <v>676</v>
      </c>
      <c r="W536" s="24">
        <v>532</v>
      </c>
      <c r="X536" s="24">
        <v>749</v>
      </c>
      <c r="Y536" s="24">
        <v>1269</v>
      </c>
      <c r="Z536" s="24">
        <v>711</v>
      </c>
      <c r="AA536" s="24">
        <v>517</v>
      </c>
      <c r="AB536" s="24">
        <v>710</v>
      </c>
      <c r="AC536" s="24">
        <v>1572</v>
      </c>
      <c r="AD536" s="24">
        <v>891</v>
      </c>
      <c r="AE536" s="24">
        <v>622</v>
      </c>
      <c r="AF536" s="24">
        <v>791</v>
      </c>
      <c r="AG536" s="24">
        <v>1471</v>
      </c>
      <c r="AH536" s="24">
        <v>1024</v>
      </c>
      <c r="AI536" s="24">
        <v>585</v>
      </c>
      <c r="AJ536" s="24">
        <v>850</v>
      </c>
      <c r="AK536" s="24">
        <v>1246</v>
      </c>
      <c r="AL536" s="24">
        <v>1137</v>
      </c>
      <c r="AM536" s="24">
        <v>598</v>
      </c>
      <c r="AN536" s="24">
        <v>911</v>
      </c>
      <c r="AO536" s="24">
        <v>1519</v>
      </c>
      <c r="AP536" s="24">
        <v>991</v>
      </c>
      <c r="AQ536" s="24">
        <v>1103</v>
      </c>
      <c r="AR536" s="24">
        <v>626</v>
      </c>
      <c r="AS536" s="24">
        <v>1800</v>
      </c>
      <c r="AT536" s="24">
        <v>1176</v>
      </c>
      <c r="AU536" s="24">
        <v>1044</v>
      </c>
      <c r="AV536" s="24">
        <v>1381</v>
      </c>
      <c r="AW536" s="24">
        <v>1991</v>
      </c>
      <c r="AX536" s="24">
        <v>1379</v>
      </c>
      <c r="AY536" s="24">
        <v>1017</v>
      </c>
      <c r="AZ536" s="24">
        <v>1332</v>
      </c>
      <c r="BA536" s="24">
        <v>1802</v>
      </c>
      <c r="BB536" s="24">
        <v>1525</v>
      </c>
      <c r="BC536" s="24">
        <v>1228</v>
      </c>
      <c r="BD536" s="24">
        <v>1381</v>
      </c>
      <c r="BE536" s="24">
        <v>1855</v>
      </c>
      <c r="BF536" s="24">
        <v>1340</v>
      </c>
      <c r="BG536" s="24">
        <v>1013</v>
      </c>
      <c r="BH536" s="146" t="e">
        <v>#NAME?</v>
      </c>
      <c r="BI536" s="146" t="e">
        <v>#NAME?</v>
      </c>
      <c r="BJ536" s="146" t="e">
        <v>#NAME?</v>
      </c>
      <c r="BK536" s="146" t="e">
        <v>#NAME?</v>
      </c>
      <c r="BL536" s="146" t="e">
        <v>#NAME?</v>
      </c>
      <c r="BM536" s="146" t="e">
        <v>#NAME?</v>
      </c>
      <c r="BN536" s="146" t="e">
        <v>#NAME?</v>
      </c>
      <c r="BO536" s="146" t="e">
        <v>#NAME?</v>
      </c>
      <c r="BP536" s="146" t="e">
        <v>#NAME?</v>
      </c>
      <c r="BQ536" s="146" t="e">
        <v>#NAME?</v>
      </c>
      <c r="BR536" s="146" t="e">
        <v>#NAME?</v>
      </c>
      <c r="BS536" s="146" t="e">
        <v>#NAME?</v>
      </c>
      <c r="BT536" s="146" t="e">
        <v>#NAME?</v>
      </c>
      <c r="BU536" s="146" t="e">
        <v>#NAME?</v>
      </c>
      <c r="BV536" s="146" t="e">
        <v>#NAME?</v>
      </c>
      <c r="BW536" s="146" t="e">
        <v>#NAME?</v>
      </c>
      <c r="BX536" s="146" t="e">
        <v>#NAME?</v>
      </c>
      <c r="BY536" s="146" t="e">
        <v>#NAME?</v>
      </c>
      <c r="BZ536" s="146" t="e">
        <v>#NAME?</v>
      </c>
      <c r="CA536" s="146" t="e">
        <v>#NAME?</v>
      </c>
      <c r="CB536" s="146" t="e">
        <v>#NAME?</v>
      </c>
      <c r="CC536" s="146" t="e">
        <v>#NAME?</v>
      </c>
      <c r="CD536" s="146" t="e">
        <v>#NAME?</v>
      </c>
      <c r="CF536" s="24" t="s">
        <v>336</v>
      </c>
      <c r="CG536" s="24" t="s">
        <v>336</v>
      </c>
      <c r="CH536" s="24">
        <v>2500</v>
      </c>
      <c r="CI536" s="24">
        <v>2736</v>
      </c>
      <c r="CJ536" s="24">
        <v>3066</v>
      </c>
      <c r="CK536" s="24">
        <v>3261</v>
      </c>
      <c r="CL536" s="24">
        <v>3690</v>
      </c>
      <c r="CM536" s="24">
        <v>3909</v>
      </c>
      <c r="CN536" s="24">
        <v>3818</v>
      </c>
      <c r="CO536" s="24">
        <v>4019</v>
      </c>
      <c r="CP536" s="24">
        <v>4705</v>
      </c>
      <c r="CQ536" s="24">
        <v>5795</v>
      </c>
      <c r="CR536" s="24">
        <v>5676</v>
      </c>
      <c r="CS536" s="24">
        <v>5804</v>
      </c>
      <c r="CT536" s="146" t="e">
        <v>#NAME?</v>
      </c>
      <c r="CU536" s="146" t="e">
        <v>#NAME?</v>
      </c>
      <c r="CV536" s="146" t="e">
        <v>#NAME?</v>
      </c>
      <c r="CW536" s="146" t="e">
        <v>#NAME?</v>
      </c>
      <c r="CX536" s="146" t="e">
        <v>#NAME?</v>
      </c>
    </row>
    <row r="537" spans="2:103" s="208" customFormat="1" x14ac:dyDescent="0.25">
      <c r="B537" s="212" t="s">
        <v>349</v>
      </c>
      <c r="C537" s="212"/>
      <c r="D537" s="212"/>
      <c r="E537" s="212"/>
      <c r="F537" s="212"/>
      <c r="G537" s="212"/>
      <c r="H537" s="212"/>
      <c r="I537" s="212"/>
      <c r="J537" s="212"/>
      <c r="K537" s="212"/>
      <c r="L537" s="212"/>
      <c r="M537" s="212"/>
      <c r="N537" s="212"/>
      <c r="O537" s="212"/>
      <c r="P537" s="212"/>
      <c r="Q537" s="212"/>
      <c r="R537" s="212"/>
      <c r="S537" s="156">
        <f>+S536/S534</f>
        <v>0.70193548387096771</v>
      </c>
      <c r="T537" s="156">
        <f t="shared" ref="T537:CD537" si="761">+T536/T534</f>
        <v>0.66065573770491803</v>
      </c>
      <c r="U537" s="156">
        <f t="shared" si="761"/>
        <v>0.72829131652661061</v>
      </c>
      <c r="V537" s="156">
        <f t="shared" si="761"/>
        <v>0.7544642857142857</v>
      </c>
      <c r="W537" s="156">
        <f t="shared" si="761"/>
        <v>0.76767676767676762</v>
      </c>
      <c r="X537" s="156">
        <f t="shared" si="761"/>
        <v>0.65357766143106455</v>
      </c>
      <c r="Y537" s="156">
        <f t="shared" si="761"/>
        <v>0.70382695507487525</v>
      </c>
      <c r="Z537" s="156">
        <f t="shared" si="761"/>
        <v>0.76948051948051943</v>
      </c>
      <c r="AA537" s="156">
        <f t="shared" si="761"/>
        <v>0.75806451612903225</v>
      </c>
      <c r="AB537" s="156">
        <f t="shared" si="761"/>
        <v>0.6466302367941712</v>
      </c>
      <c r="AC537" s="156">
        <f t="shared" si="761"/>
        <v>0.75942028985507248</v>
      </c>
      <c r="AD537" s="156">
        <f t="shared" si="761"/>
        <v>0.81593406593406592</v>
      </c>
      <c r="AE537" s="156">
        <f t="shared" si="761"/>
        <v>0.80258064516129035</v>
      </c>
      <c r="AF537" s="156">
        <f t="shared" si="761"/>
        <v>0.67090754877014414</v>
      </c>
      <c r="AG537" s="156">
        <f t="shared" si="761"/>
        <v>0.74632166412988332</v>
      </c>
      <c r="AH537" s="156">
        <f t="shared" si="761"/>
        <v>0.81593625498007971</v>
      </c>
      <c r="AI537" s="156">
        <f t="shared" si="761"/>
        <v>0.73308270676691734</v>
      </c>
      <c r="AJ537" s="156">
        <f t="shared" si="761"/>
        <v>0.67140600315955767</v>
      </c>
      <c r="AK537" s="156">
        <f t="shared" si="761"/>
        <v>0.75196137598068802</v>
      </c>
      <c r="AL537" s="156">
        <f t="shared" si="761"/>
        <v>0.8058114812189936</v>
      </c>
      <c r="AM537" s="156">
        <f t="shared" si="761"/>
        <v>0.76470588235294112</v>
      </c>
      <c r="AN537" s="156">
        <f t="shared" si="761"/>
        <v>0.69383092155369386</v>
      </c>
      <c r="AO537" s="156">
        <f t="shared" si="761"/>
        <v>0.75160811479465606</v>
      </c>
      <c r="AP537" s="156">
        <f t="shared" si="761"/>
        <v>0.7890127388535032</v>
      </c>
      <c r="AQ537" s="156">
        <f t="shared" si="761"/>
        <v>0.79352517985611515</v>
      </c>
      <c r="AR537" s="156">
        <f t="shared" si="761"/>
        <v>0.68791208791208791</v>
      </c>
      <c r="AS537" s="156">
        <f t="shared" si="761"/>
        <v>0.75</v>
      </c>
      <c r="AT537" s="156">
        <f t="shared" si="761"/>
        <v>0.78926174496644297</v>
      </c>
      <c r="AU537" s="156">
        <f t="shared" si="761"/>
        <v>0.78143712574850299</v>
      </c>
      <c r="AV537" s="156">
        <f t="shared" si="761"/>
        <v>0.74608319827120473</v>
      </c>
      <c r="AW537" s="156">
        <f t="shared" si="761"/>
        <v>0.77260380287155606</v>
      </c>
      <c r="AX537" s="156">
        <f t="shared" si="761"/>
        <v>0.78754997144488859</v>
      </c>
      <c r="AY537" s="156">
        <f t="shared" si="761"/>
        <v>0.78290993071593529</v>
      </c>
      <c r="AZ537" s="156">
        <f t="shared" si="761"/>
        <v>0.75940706955530213</v>
      </c>
      <c r="BA537" s="156">
        <f t="shared" si="761"/>
        <v>0.76942783945345861</v>
      </c>
      <c r="BB537" s="156">
        <f t="shared" si="761"/>
        <v>0.78365878725590954</v>
      </c>
      <c r="BC537" s="156">
        <f t="shared" si="761"/>
        <v>0.77820025348542454</v>
      </c>
      <c r="BD537" s="156">
        <f t="shared" si="761"/>
        <v>0.75879120879120876</v>
      </c>
      <c r="BE537" s="156">
        <f t="shared" si="761"/>
        <v>0.78402366863905326</v>
      </c>
      <c r="BF537" s="156">
        <f t="shared" si="761"/>
        <v>0.80432172869147656</v>
      </c>
      <c r="BG537" s="156">
        <v>0.80269413629160058</v>
      </c>
      <c r="BH537" s="156" t="e">
        <f t="shared" si="761"/>
        <v>#NAME?</v>
      </c>
      <c r="BI537" s="156" t="e">
        <f t="shared" si="761"/>
        <v>#NAME?</v>
      </c>
      <c r="BJ537" s="156" t="e">
        <f t="shared" si="761"/>
        <v>#NAME?</v>
      </c>
      <c r="BK537" s="156" t="e">
        <f t="shared" si="761"/>
        <v>#NAME?</v>
      </c>
      <c r="BL537" s="156" t="e">
        <f t="shared" si="761"/>
        <v>#NAME?</v>
      </c>
      <c r="BM537" s="156" t="e">
        <f t="shared" si="761"/>
        <v>#NAME?</v>
      </c>
      <c r="BN537" s="156" t="e">
        <f t="shared" si="761"/>
        <v>#NAME?</v>
      </c>
      <c r="BO537" s="156" t="e">
        <f t="shared" si="761"/>
        <v>#NAME?</v>
      </c>
      <c r="BP537" s="156" t="e">
        <f t="shared" si="761"/>
        <v>#NAME?</v>
      </c>
      <c r="BQ537" s="156" t="e">
        <f t="shared" si="761"/>
        <v>#NAME?</v>
      </c>
      <c r="BR537" s="156" t="e">
        <f t="shared" si="761"/>
        <v>#NAME?</v>
      </c>
      <c r="BS537" s="156" t="e">
        <f t="shared" si="761"/>
        <v>#NAME?</v>
      </c>
      <c r="BT537" s="156" t="e">
        <f t="shared" si="761"/>
        <v>#NAME?</v>
      </c>
      <c r="BU537" s="156" t="e">
        <f t="shared" si="761"/>
        <v>#NAME?</v>
      </c>
      <c r="BV537" s="156" t="e">
        <f t="shared" si="761"/>
        <v>#NAME?</v>
      </c>
      <c r="BW537" s="156" t="e">
        <f t="shared" si="761"/>
        <v>#NAME?</v>
      </c>
      <c r="BX537" s="156" t="e">
        <f t="shared" si="761"/>
        <v>#NAME?</v>
      </c>
      <c r="BY537" s="156" t="e">
        <f t="shared" si="761"/>
        <v>#NAME?</v>
      </c>
      <c r="BZ537" s="156" t="e">
        <f t="shared" si="761"/>
        <v>#NAME?</v>
      </c>
      <c r="CA537" s="156" t="e">
        <f t="shared" si="761"/>
        <v>#NAME?</v>
      </c>
      <c r="CB537" s="156" t="e">
        <f t="shared" si="761"/>
        <v>#NAME?</v>
      </c>
      <c r="CC537" s="156" t="e">
        <f t="shared" si="761"/>
        <v>#NAME?</v>
      </c>
      <c r="CD537" s="156" t="e">
        <f t="shared" si="761"/>
        <v>#NAME?</v>
      </c>
      <c r="CE537"/>
      <c r="CF537" s="156" t="e">
        <f t="shared" ref="CF537:CX537" si="762">+CF536/CF534</f>
        <v>#VALUE!</v>
      </c>
      <c r="CG537" s="156" t="e">
        <f t="shared" si="762"/>
        <v>#VALUE!</v>
      </c>
      <c r="CH537" s="156">
        <f t="shared" si="762"/>
        <v>0.65910888478776697</v>
      </c>
      <c r="CI537" s="156">
        <f t="shared" si="762"/>
        <v>0.68042775428997759</v>
      </c>
      <c r="CJ537" s="156">
        <f t="shared" si="762"/>
        <v>0.70988654781199356</v>
      </c>
      <c r="CK537" s="156">
        <f t="shared" si="762"/>
        <v>0.71419185282523001</v>
      </c>
      <c r="CL537" s="156">
        <f t="shared" si="762"/>
        <v>0.74666127074059085</v>
      </c>
      <c r="CM537" s="156">
        <f t="shared" si="762"/>
        <v>0.7546332046332046</v>
      </c>
      <c r="CN537" s="156">
        <f t="shared" si="762"/>
        <v>0.74395946999220575</v>
      </c>
      <c r="CO537" s="156">
        <f t="shared" si="762"/>
        <v>0.74813849590469095</v>
      </c>
      <c r="CP537" s="156">
        <f t="shared" si="762"/>
        <v>0.76009693053311789</v>
      </c>
      <c r="CQ537" s="156">
        <f t="shared" si="762"/>
        <v>0.7711244178310046</v>
      </c>
      <c r="CR537" s="156">
        <f t="shared" si="762"/>
        <v>0.77319166326113609</v>
      </c>
      <c r="CS537" s="156">
        <f t="shared" si="762"/>
        <v>0.781157469717362</v>
      </c>
      <c r="CT537" s="156" t="e">
        <f t="shared" si="762"/>
        <v>#NAME?</v>
      </c>
      <c r="CU537" s="156" t="e">
        <f t="shared" si="762"/>
        <v>#NAME?</v>
      </c>
      <c r="CV537" s="156" t="e">
        <f t="shared" si="762"/>
        <v>#NAME?</v>
      </c>
      <c r="CW537" s="156" t="e">
        <f t="shared" si="762"/>
        <v>#NAME?</v>
      </c>
      <c r="CX537" s="156" t="e">
        <f t="shared" si="762"/>
        <v>#NAME?</v>
      </c>
    </row>
    <row r="538" spans="2:103" x14ac:dyDescent="0.25">
      <c r="BG538" s="60"/>
      <c r="CF538" s="60"/>
      <c r="CG538" s="60"/>
      <c r="CH538" s="60"/>
      <c r="CI538" s="60"/>
      <c r="CJ538" s="60"/>
      <c r="CK538" s="60"/>
      <c r="CL538" s="60"/>
      <c r="CM538" s="60"/>
      <c r="CN538" s="60"/>
      <c r="CO538" s="60"/>
      <c r="CP538" s="60"/>
      <c r="CQ538" s="60"/>
      <c r="CR538" s="60"/>
      <c r="CS538" s="60"/>
    </row>
    <row r="539" spans="2:103" x14ac:dyDescent="0.25">
      <c r="B539" s="37" t="s">
        <v>350</v>
      </c>
      <c r="C539" s="37"/>
      <c r="D539" s="37"/>
      <c r="E539" s="37"/>
      <c r="F539" s="37"/>
      <c r="G539" s="37"/>
      <c r="H539" s="37"/>
      <c r="I539" s="37"/>
      <c r="J539" s="37"/>
      <c r="K539" s="37"/>
      <c r="L539" s="37"/>
      <c r="M539" s="37"/>
      <c r="N539" s="37"/>
      <c r="O539" s="37"/>
      <c r="P539" s="37"/>
      <c r="Q539" s="37"/>
      <c r="R539" s="37"/>
      <c r="S539" s="24">
        <v>249</v>
      </c>
      <c r="T539" s="24">
        <v>238</v>
      </c>
      <c r="U539" s="24">
        <v>261</v>
      </c>
      <c r="V539" s="24">
        <v>264</v>
      </c>
      <c r="W539" s="24">
        <v>270</v>
      </c>
      <c r="X539" s="24">
        <v>240</v>
      </c>
      <c r="Y539" s="24">
        <v>240</v>
      </c>
      <c r="Z539" s="24">
        <v>256</v>
      </c>
      <c r="AA539" s="24">
        <v>267</v>
      </c>
      <c r="AB539" s="24">
        <v>264</v>
      </c>
      <c r="AC539" s="24">
        <v>258</v>
      </c>
      <c r="AD539" s="24">
        <v>307</v>
      </c>
      <c r="AE539" s="24">
        <v>297</v>
      </c>
      <c r="AF539" s="24">
        <v>295</v>
      </c>
      <c r="AG539" s="24">
        <v>291</v>
      </c>
      <c r="AH539" s="24">
        <v>291</v>
      </c>
      <c r="AI539" s="24">
        <v>315</v>
      </c>
      <c r="AJ539" s="24">
        <v>300</v>
      </c>
      <c r="AK539" s="24">
        <v>285</v>
      </c>
      <c r="AL539" s="24">
        <v>349</v>
      </c>
      <c r="AM539" s="24">
        <v>332</v>
      </c>
      <c r="AN539" s="24">
        <v>326</v>
      </c>
      <c r="AO539" s="24">
        <v>329</v>
      </c>
      <c r="AP539" s="24">
        <v>343</v>
      </c>
      <c r="AQ539" s="24">
        <v>372</v>
      </c>
      <c r="AR539" s="24">
        <v>347</v>
      </c>
      <c r="AS539" s="24">
        <v>377</v>
      </c>
      <c r="AT539" s="24">
        <v>397</v>
      </c>
      <c r="AU539" s="24">
        <v>430</v>
      </c>
      <c r="AV539" s="24">
        <v>452</v>
      </c>
      <c r="AW539" s="24">
        <v>453</v>
      </c>
      <c r="AX539" s="24">
        <v>495</v>
      </c>
      <c r="AY539" s="24">
        <v>491</v>
      </c>
      <c r="AZ539" s="24">
        <v>470</v>
      </c>
      <c r="BA539" s="24">
        <v>461</v>
      </c>
      <c r="BB539" s="24">
        <v>539</v>
      </c>
      <c r="BC539" s="24">
        <v>503</v>
      </c>
      <c r="BD539" s="24">
        <v>489</v>
      </c>
      <c r="BE539" s="24">
        <v>476</v>
      </c>
      <c r="BF539" s="24">
        <v>534</v>
      </c>
      <c r="BG539" s="24">
        <v>528</v>
      </c>
      <c r="BH539" s="146" t="e">
        <v>#NAME?</v>
      </c>
      <c r="BI539" s="146" t="e">
        <v>#NAME?</v>
      </c>
      <c r="BJ539" s="146" t="e">
        <v>#NAME?</v>
      </c>
      <c r="BK539" s="146" t="e">
        <v>#NAME?</v>
      </c>
      <c r="BL539" s="146" t="e">
        <v>#NAME?</v>
      </c>
      <c r="BM539" s="146" t="e">
        <v>#NAME?</v>
      </c>
      <c r="BN539" s="146" t="e">
        <v>#NAME?</v>
      </c>
      <c r="BO539" s="146" t="e">
        <v>#NAME?</v>
      </c>
      <c r="BP539" s="146" t="e">
        <v>#NAME?</v>
      </c>
      <c r="BQ539" s="146" t="e">
        <v>#NAME?</v>
      </c>
      <c r="BR539" s="146" t="e">
        <v>#NAME?</v>
      </c>
      <c r="BS539" s="146" t="e">
        <v>#NAME?</v>
      </c>
      <c r="BT539" s="146" t="e">
        <v>#NAME?</v>
      </c>
      <c r="BU539" s="146" t="e">
        <v>#NAME?</v>
      </c>
      <c r="BV539" s="146" t="e">
        <v>#NAME?</v>
      </c>
      <c r="BW539" s="146" t="e">
        <v>#NAME?</v>
      </c>
      <c r="BX539" s="146" t="e">
        <v>#NAME?</v>
      </c>
      <c r="BY539" s="146" t="e">
        <v>#NAME?</v>
      </c>
      <c r="BZ539" s="146" t="e">
        <v>#NAME?</v>
      </c>
      <c r="CA539" s="146" t="e">
        <v>#NAME?</v>
      </c>
      <c r="CB539" s="146" t="e">
        <v>#NAME?</v>
      </c>
      <c r="CC539" s="146" t="e">
        <v>#NAME?</v>
      </c>
      <c r="CD539" s="146" t="e">
        <v>#NAME?</v>
      </c>
      <c r="CF539" s="24" t="s">
        <v>336</v>
      </c>
      <c r="CG539" s="24" t="s">
        <v>336</v>
      </c>
      <c r="CH539" s="24">
        <v>1059</v>
      </c>
      <c r="CI539" s="24">
        <v>1035</v>
      </c>
      <c r="CJ539" s="24">
        <v>1012</v>
      </c>
      <c r="CK539" s="24">
        <v>1006</v>
      </c>
      <c r="CL539" s="24">
        <v>1096</v>
      </c>
      <c r="CM539" s="24">
        <v>1174</v>
      </c>
      <c r="CN539" s="24">
        <v>1249</v>
      </c>
      <c r="CO539" s="24">
        <v>1330</v>
      </c>
      <c r="CP539" s="24">
        <v>1493</v>
      </c>
      <c r="CQ539" s="24">
        <v>1830</v>
      </c>
      <c r="CR539" s="24">
        <v>1961</v>
      </c>
      <c r="CS539" s="24">
        <v>2002</v>
      </c>
      <c r="CT539" s="146" t="e">
        <v>#NAME?</v>
      </c>
      <c r="CU539" s="146" t="e">
        <v>#NAME?</v>
      </c>
      <c r="CV539" s="146" t="e">
        <v>#NAME?</v>
      </c>
      <c r="CW539" s="146" t="e">
        <v>#NAME?</v>
      </c>
      <c r="CX539" s="146" t="e">
        <v>#NAME?</v>
      </c>
    </row>
    <row r="540" spans="2:103" x14ac:dyDescent="0.25">
      <c r="B540" s="37" t="s">
        <v>351</v>
      </c>
      <c r="C540" s="37"/>
      <c r="D540" s="37"/>
      <c r="E540" s="37"/>
      <c r="F540" s="37"/>
      <c r="G540" s="37"/>
      <c r="H540" s="37"/>
      <c r="I540" s="37"/>
      <c r="J540" s="37"/>
      <c r="K540" s="37"/>
      <c r="L540" s="37"/>
      <c r="M540" s="37"/>
      <c r="N540" s="37"/>
      <c r="O540" s="37"/>
      <c r="P540" s="37"/>
      <c r="Q540" s="37"/>
      <c r="R540" s="37"/>
      <c r="S540" s="24">
        <v>126</v>
      </c>
      <c r="T540" s="24">
        <v>177</v>
      </c>
      <c r="U540" s="24">
        <v>163</v>
      </c>
      <c r="V540" s="24">
        <v>160</v>
      </c>
      <c r="W540" s="24">
        <v>118</v>
      </c>
      <c r="X540" s="24">
        <v>149</v>
      </c>
      <c r="Y540" s="24">
        <v>185</v>
      </c>
      <c r="Z540" s="24">
        <v>146</v>
      </c>
      <c r="AA540" s="24">
        <v>121</v>
      </c>
      <c r="AB540" s="24">
        <v>135</v>
      </c>
      <c r="AC540" s="24">
        <v>232</v>
      </c>
      <c r="AD540" s="24">
        <v>154</v>
      </c>
      <c r="AE540" s="24">
        <v>114</v>
      </c>
      <c r="AF540" s="24">
        <v>151</v>
      </c>
      <c r="AG540" s="24">
        <v>222</v>
      </c>
      <c r="AH540" s="24">
        <v>122</v>
      </c>
      <c r="AI540" s="24">
        <v>133</v>
      </c>
      <c r="AJ540" s="24">
        <v>137</v>
      </c>
      <c r="AK540" s="24">
        <v>179</v>
      </c>
      <c r="AL540" s="24">
        <v>220</v>
      </c>
      <c r="AM540" s="24">
        <v>103</v>
      </c>
      <c r="AN540" s="24">
        <v>142</v>
      </c>
      <c r="AO540" s="24">
        <v>192</v>
      </c>
      <c r="AP540" s="24">
        <v>157</v>
      </c>
      <c r="AQ540" s="24">
        <v>110</v>
      </c>
      <c r="AR540" s="24">
        <v>144</v>
      </c>
      <c r="AS540" s="24">
        <v>205</v>
      </c>
      <c r="AT540" s="24">
        <v>184</v>
      </c>
      <c r="AU540" s="24">
        <v>178</v>
      </c>
      <c r="AV540" s="24">
        <v>218</v>
      </c>
      <c r="AW540" s="24">
        <v>279</v>
      </c>
      <c r="AX540" s="24">
        <v>232</v>
      </c>
      <c r="AY540" s="24">
        <v>221</v>
      </c>
      <c r="AZ540" s="24">
        <v>217</v>
      </c>
      <c r="BA540" s="24">
        <v>241</v>
      </c>
      <c r="BB540" s="24">
        <v>240</v>
      </c>
      <c r="BC540" s="24">
        <v>218</v>
      </c>
      <c r="BD540" s="24">
        <v>267</v>
      </c>
      <c r="BE540" s="24">
        <v>262</v>
      </c>
      <c r="BF540" s="24">
        <v>220</v>
      </c>
      <c r="BG540" s="24">
        <v>193</v>
      </c>
      <c r="BH540" s="146" t="e">
        <v>#NAME?</v>
      </c>
      <c r="BI540" s="146" t="e">
        <v>#NAME?</v>
      </c>
      <c r="BJ540" s="146" t="e">
        <v>#NAME?</v>
      </c>
      <c r="BK540" s="146" t="e">
        <v>#NAME?</v>
      </c>
      <c r="BL540" s="146" t="e">
        <v>#NAME?</v>
      </c>
      <c r="BM540" s="146" t="e">
        <v>#NAME?</v>
      </c>
      <c r="BN540" s="146" t="e">
        <v>#NAME?</v>
      </c>
      <c r="BO540" s="146" t="e">
        <v>#NAME?</v>
      </c>
      <c r="BP540" s="146" t="e">
        <v>#NAME?</v>
      </c>
      <c r="BQ540" s="146" t="e">
        <v>#NAME?</v>
      </c>
      <c r="BR540" s="146" t="e">
        <v>#NAME?</v>
      </c>
      <c r="BS540" s="146" t="e">
        <v>#NAME?</v>
      </c>
      <c r="BT540" s="146" t="e">
        <v>#NAME?</v>
      </c>
      <c r="BU540" s="146" t="e">
        <v>#NAME?</v>
      </c>
      <c r="BV540" s="146" t="e">
        <v>#NAME?</v>
      </c>
      <c r="BW540" s="146" t="e">
        <v>#NAME?</v>
      </c>
      <c r="BX540" s="146" t="e">
        <v>#NAME?</v>
      </c>
      <c r="BY540" s="146" t="e">
        <v>#NAME?</v>
      </c>
      <c r="BZ540" s="146" t="e">
        <v>#NAME?</v>
      </c>
      <c r="CA540" s="146" t="e">
        <v>#NAME?</v>
      </c>
      <c r="CB540" s="146" t="e">
        <v>#NAME?</v>
      </c>
      <c r="CC540" s="146" t="e">
        <v>#NAME?</v>
      </c>
      <c r="CD540" s="146" t="e">
        <v>#NAME?</v>
      </c>
      <c r="CF540" s="24" t="s">
        <v>336</v>
      </c>
      <c r="CG540" s="24" t="s">
        <v>336</v>
      </c>
      <c r="CH540" s="24">
        <v>758</v>
      </c>
      <c r="CI540" s="24">
        <v>654</v>
      </c>
      <c r="CJ540" s="24">
        <v>626</v>
      </c>
      <c r="CK540" s="24">
        <v>598</v>
      </c>
      <c r="CL540" s="24">
        <v>642</v>
      </c>
      <c r="CM540" s="24">
        <v>609</v>
      </c>
      <c r="CN540" s="24">
        <v>669</v>
      </c>
      <c r="CO540" s="24">
        <v>594</v>
      </c>
      <c r="CP540" s="24">
        <v>643</v>
      </c>
      <c r="CQ540" s="24">
        <v>907</v>
      </c>
      <c r="CR540" s="24">
        <v>919</v>
      </c>
      <c r="CS540" s="24">
        <v>967</v>
      </c>
      <c r="CT540" s="146" t="e">
        <v>#NAME?</v>
      </c>
      <c r="CU540" s="146" t="e">
        <v>#NAME?</v>
      </c>
      <c r="CV540" s="146" t="e">
        <v>#NAME?</v>
      </c>
      <c r="CW540" s="146" t="e">
        <v>#NAME?</v>
      </c>
      <c r="CX540" s="146" t="e">
        <v>#NAME?</v>
      </c>
    </row>
    <row r="541" spans="2:103" x14ac:dyDescent="0.25">
      <c r="B541" s="37" t="s">
        <v>352</v>
      </c>
      <c r="C541" s="37"/>
      <c r="D541" s="37"/>
      <c r="E541" s="37"/>
      <c r="F541" s="37"/>
      <c r="G541" s="37"/>
      <c r="H541" s="37"/>
      <c r="I541" s="37"/>
      <c r="J541" s="37"/>
      <c r="K541" s="37"/>
      <c r="L541" s="37"/>
      <c r="M541" s="37"/>
      <c r="N541" s="37"/>
      <c r="O541" s="37"/>
      <c r="P541" s="37"/>
      <c r="Q541" s="37"/>
      <c r="R541" s="37"/>
      <c r="S541" s="24">
        <v>84</v>
      </c>
      <c r="T541" s="24">
        <v>82</v>
      </c>
      <c r="U541" s="24">
        <v>97</v>
      </c>
      <c r="V541" s="24">
        <v>89</v>
      </c>
      <c r="W541" s="24">
        <v>84</v>
      </c>
      <c r="X541" s="24">
        <v>90</v>
      </c>
      <c r="Y541" s="24">
        <v>86</v>
      </c>
      <c r="Z541" s="24">
        <v>97</v>
      </c>
      <c r="AA541" s="24">
        <v>95</v>
      </c>
      <c r="AB541" s="24">
        <v>99</v>
      </c>
      <c r="AC541" s="24">
        <v>97</v>
      </c>
      <c r="AD541" s="24">
        <v>95</v>
      </c>
      <c r="AE541" s="24">
        <v>93</v>
      </c>
      <c r="AF541" s="24">
        <v>102</v>
      </c>
      <c r="AG541" s="24">
        <v>103</v>
      </c>
      <c r="AH541" s="24">
        <v>110</v>
      </c>
      <c r="AI541" s="24">
        <v>99</v>
      </c>
      <c r="AJ541" s="24">
        <v>100</v>
      </c>
      <c r="AK541" s="24">
        <v>89</v>
      </c>
      <c r="AL541" s="24">
        <v>109</v>
      </c>
      <c r="AM541" s="24">
        <v>94</v>
      </c>
      <c r="AN541" s="24">
        <v>108</v>
      </c>
      <c r="AO541" s="24">
        <v>106</v>
      </c>
      <c r="AP541" s="24">
        <v>121</v>
      </c>
      <c r="AQ541" s="24">
        <v>112</v>
      </c>
      <c r="AR541" s="24">
        <v>108</v>
      </c>
      <c r="AS541" s="24">
        <v>124</v>
      </c>
      <c r="AT541" s="24">
        <v>149</v>
      </c>
      <c r="AU541" s="24">
        <v>142</v>
      </c>
      <c r="AV541" s="24">
        <v>145</v>
      </c>
      <c r="AW541" s="24">
        <v>135</v>
      </c>
      <c r="AX541" s="24">
        <v>139</v>
      </c>
      <c r="AY541" s="24">
        <v>138</v>
      </c>
      <c r="AZ541" s="24">
        <v>146</v>
      </c>
      <c r="BA541" s="24">
        <v>133</v>
      </c>
      <c r="BB541" s="24">
        <v>151</v>
      </c>
      <c r="BC541" s="24">
        <v>137</v>
      </c>
      <c r="BD541" s="24">
        <v>148</v>
      </c>
      <c r="BE541" s="24">
        <v>143</v>
      </c>
      <c r="BF541" s="24">
        <v>155</v>
      </c>
      <c r="BG541" s="24">
        <v>150</v>
      </c>
      <c r="BH541" s="146" t="e">
        <v>#NAME?</v>
      </c>
      <c r="BI541" s="146" t="e">
        <v>#NAME?</v>
      </c>
      <c r="BJ541" s="146" t="e">
        <v>#NAME?</v>
      </c>
      <c r="BK541" s="146" t="e">
        <v>#NAME?</v>
      </c>
      <c r="BL541" s="146" t="e">
        <v>#NAME?</v>
      </c>
      <c r="BM541" s="146" t="e">
        <v>#NAME?</v>
      </c>
      <c r="BN541" s="146" t="e">
        <v>#NAME?</v>
      </c>
      <c r="BO541" s="146" t="e">
        <v>#NAME?</v>
      </c>
      <c r="BP541" s="146" t="e">
        <v>#NAME?</v>
      </c>
      <c r="BQ541" s="146" t="e">
        <v>#NAME?</v>
      </c>
      <c r="BR541" s="146" t="e">
        <v>#NAME?</v>
      </c>
      <c r="BS541" s="146" t="e">
        <v>#NAME?</v>
      </c>
      <c r="BT541" s="146" t="e">
        <v>#NAME?</v>
      </c>
      <c r="BU541" s="146" t="e">
        <v>#NAME?</v>
      </c>
      <c r="BV541" s="146" t="e">
        <v>#NAME?</v>
      </c>
      <c r="BW541" s="146" t="e">
        <v>#NAME?</v>
      </c>
      <c r="BX541" s="146" t="e">
        <v>#NAME?</v>
      </c>
      <c r="BY541" s="146" t="e">
        <v>#NAME?</v>
      </c>
      <c r="BZ541" s="146" t="e">
        <v>#NAME?</v>
      </c>
      <c r="CA541" s="146" t="e">
        <v>#NAME?</v>
      </c>
      <c r="CB541" s="146" t="e">
        <v>#NAME?</v>
      </c>
      <c r="CC541" s="146" t="e">
        <v>#NAME?</v>
      </c>
      <c r="CD541" s="146" t="e">
        <v>#NAME?</v>
      </c>
      <c r="CF541" s="24" t="s">
        <v>336</v>
      </c>
      <c r="CG541" s="24" t="s">
        <v>336</v>
      </c>
      <c r="CH541" s="24">
        <v>316</v>
      </c>
      <c r="CI541" s="24">
        <v>330</v>
      </c>
      <c r="CJ541" s="24">
        <v>352</v>
      </c>
      <c r="CK541" s="24">
        <v>357</v>
      </c>
      <c r="CL541" s="24">
        <v>386</v>
      </c>
      <c r="CM541" s="24">
        <v>408</v>
      </c>
      <c r="CN541" s="24">
        <v>397</v>
      </c>
      <c r="CO541" s="24">
        <v>429</v>
      </c>
      <c r="CP541" s="24">
        <v>493</v>
      </c>
      <c r="CQ541" s="24">
        <v>561</v>
      </c>
      <c r="CR541" s="24">
        <v>568</v>
      </c>
      <c r="CS541" s="24">
        <v>583</v>
      </c>
      <c r="CT541" s="146" t="e">
        <v>#NAME?</v>
      </c>
      <c r="CU541" s="146" t="e">
        <v>#NAME?</v>
      </c>
      <c r="CV541" s="146" t="e">
        <v>#NAME?</v>
      </c>
      <c r="CW541" s="146" t="e">
        <v>#NAME?</v>
      </c>
      <c r="CX541" s="146" t="e">
        <v>#NAME?</v>
      </c>
    </row>
    <row r="542" spans="2:103" x14ac:dyDescent="0.25">
      <c r="B542" s="42" t="s">
        <v>353</v>
      </c>
      <c r="C542" s="42"/>
      <c r="D542" s="42"/>
      <c r="E542" s="42"/>
      <c r="F542" s="42"/>
      <c r="G542" s="42"/>
      <c r="H542" s="42"/>
      <c r="I542" s="42"/>
      <c r="J542" s="42"/>
      <c r="K542" s="42"/>
      <c r="L542" s="42"/>
      <c r="M542" s="42"/>
      <c r="N542" s="42"/>
      <c r="O542" s="42"/>
      <c r="P542" s="42"/>
      <c r="Q542" s="42"/>
      <c r="R542" s="42"/>
      <c r="S542" s="24">
        <v>459</v>
      </c>
      <c r="T542" s="24">
        <v>497</v>
      </c>
      <c r="U542" s="24">
        <v>521</v>
      </c>
      <c r="V542" s="24">
        <v>513</v>
      </c>
      <c r="W542" s="24">
        <v>472</v>
      </c>
      <c r="X542" s="24">
        <v>479</v>
      </c>
      <c r="Y542" s="24">
        <v>511</v>
      </c>
      <c r="Z542" s="24">
        <v>499</v>
      </c>
      <c r="AA542" s="24">
        <v>483</v>
      </c>
      <c r="AB542" s="24">
        <v>498</v>
      </c>
      <c r="AC542" s="24">
        <v>587</v>
      </c>
      <c r="AD542" s="24">
        <v>556</v>
      </c>
      <c r="AE542" s="24">
        <v>504</v>
      </c>
      <c r="AF542" s="24">
        <v>548</v>
      </c>
      <c r="AG542" s="24">
        <v>616</v>
      </c>
      <c r="AH542" s="24">
        <v>523</v>
      </c>
      <c r="AI542" s="24">
        <v>547</v>
      </c>
      <c r="AJ542" s="24">
        <v>537</v>
      </c>
      <c r="AK542" s="24">
        <v>553</v>
      </c>
      <c r="AL542" s="24">
        <v>678</v>
      </c>
      <c r="AM542" s="24">
        <v>529</v>
      </c>
      <c r="AN542" s="24">
        <v>576</v>
      </c>
      <c r="AO542" s="24">
        <v>627</v>
      </c>
      <c r="AP542" s="24">
        <v>621</v>
      </c>
      <c r="AQ542" s="24">
        <v>594</v>
      </c>
      <c r="AR542" s="24">
        <v>599</v>
      </c>
      <c r="AS542" s="24">
        <v>706</v>
      </c>
      <c r="AT542" s="24">
        <v>730</v>
      </c>
      <c r="AU542" s="24">
        <v>750</v>
      </c>
      <c r="AV542" s="24">
        <v>815</v>
      </c>
      <c r="AW542" s="24">
        <v>867</v>
      </c>
      <c r="AX542" s="24">
        <v>866</v>
      </c>
      <c r="AY542" s="24">
        <v>850</v>
      </c>
      <c r="AZ542" s="24">
        <v>833</v>
      </c>
      <c r="BA542" s="24">
        <v>835</v>
      </c>
      <c r="BB542" s="24">
        <v>930</v>
      </c>
      <c r="BC542" s="24">
        <v>858</v>
      </c>
      <c r="BD542" s="24">
        <v>904</v>
      </c>
      <c r="BE542" s="24">
        <v>881</v>
      </c>
      <c r="BF542" s="24">
        <v>909</v>
      </c>
      <c r="BG542" s="24">
        <v>871</v>
      </c>
      <c r="BH542" s="146" t="e">
        <v>#NAME?</v>
      </c>
      <c r="BI542" s="146" t="e">
        <v>#NAME?</v>
      </c>
      <c r="BJ542" s="146" t="e">
        <v>#NAME?</v>
      </c>
      <c r="BK542" s="146" t="e">
        <v>#NAME?</v>
      </c>
      <c r="BL542" s="146" t="e">
        <v>#NAME?</v>
      </c>
      <c r="BM542" s="146" t="e">
        <v>#NAME?</v>
      </c>
      <c r="BN542" s="146" t="e">
        <v>#NAME?</v>
      </c>
      <c r="BO542" s="146" t="e">
        <v>#NAME?</v>
      </c>
      <c r="BP542" s="146" t="e">
        <v>#NAME?</v>
      </c>
      <c r="BQ542" s="146" t="e">
        <v>#NAME?</v>
      </c>
      <c r="BR542" s="146" t="e">
        <v>#NAME?</v>
      </c>
      <c r="BS542" s="146" t="e">
        <v>#NAME?</v>
      </c>
      <c r="BT542" s="146" t="e">
        <v>#NAME?</v>
      </c>
      <c r="BU542" s="146" t="e">
        <v>#NAME?</v>
      </c>
      <c r="BV542" s="146" t="e">
        <v>#NAME?</v>
      </c>
      <c r="BW542" s="146" t="e">
        <v>#NAME?</v>
      </c>
      <c r="BX542" s="146" t="e">
        <v>#NAME?</v>
      </c>
      <c r="BY542" s="146" t="e">
        <v>#NAME?</v>
      </c>
      <c r="BZ542" s="146" t="e">
        <v>#NAME?</v>
      </c>
      <c r="CA542" s="146" t="e">
        <v>#NAME?</v>
      </c>
      <c r="CB542" s="146" t="e">
        <v>#NAME?</v>
      </c>
      <c r="CC542" s="146" t="e">
        <v>#NAME?</v>
      </c>
      <c r="CD542" s="146" t="e">
        <v>#NAME?</v>
      </c>
      <c r="CF542" s="24" t="s">
        <v>336</v>
      </c>
      <c r="CG542" s="24" t="s">
        <v>336</v>
      </c>
      <c r="CH542" s="24">
        <v>2133</v>
      </c>
      <c r="CI542" s="24">
        <v>2019</v>
      </c>
      <c r="CJ542" s="24">
        <v>1990</v>
      </c>
      <c r="CK542" s="24">
        <v>1961</v>
      </c>
      <c r="CL542" s="24">
        <v>2124</v>
      </c>
      <c r="CM542" s="24">
        <v>2191</v>
      </c>
      <c r="CN542" s="24">
        <v>2315</v>
      </c>
      <c r="CO542" s="24">
        <v>2353</v>
      </c>
      <c r="CP542" s="24">
        <v>2629</v>
      </c>
      <c r="CQ542" s="24">
        <v>3298</v>
      </c>
      <c r="CR542" s="24">
        <v>3448</v>
      </c>
      <c r="CS542" s="24">
        <v>3552</v>
      </c>
      <c r="CT542" s="146" t="e">
        <v>#NAME?</v>
      </c>
      <c r="CU542" s="146" t="e">
        <v>#NAME?</v>
      </c>
      <c r="CV542" s="146" t="e">
        <v>#NAME?</v>
      </c>
      <c r="CW542" s="146" t="e">
        <v>#NAME?</v>
      </c>
      <c r="CX542" s="146" t="e">
        <v>#NAME?</v>
      </c>
    </row>
    <row r="543" spans="2:103" x14ac:dyDescent="0.25">
      <c r="BG543" s="60"/>
      <c r="CF543" s="60"/>
      <c r="CG543" s="60"/>
      <c r="CH543" s="60"/>
      <c r="CI543" s="60"/>
      <c r="CJ543" s="60"/>
      <c r="CK543" s="60"/>
      <c r="CL543" s="60"/>
      <c r="CM543" s="60"/>
      <c r="CN543" s="60"/>
      <c r="CO543" s="60"/>
      <c r="CP543" s="60"/>
      <c r="CQ543" s="60"/>
      <c r="CR543" s="60"/>
      <c r="CS543" s="60"/>
    </row>
    <row r="544" spans="2:103" s="10" customFormat="1" x14ac:dyDescent="0.25">
      <c r="B544" s="10" t="s">
        <v>354</v>
      </c>
      <c r="S544" s="57">
        <v>85</v>
      </c>
      <c r="T544" s="57">
        <v>309</v>
      </c>
      <c r="U544" s="57">
        <v>519</v>
      </c>
      <c r="V544" s="57">
        <v>163</v>
      </c>
      <c r="W544" s="57">
        <v>60</v>
      </c>
      <c r="X544" s="57">
        <v>270</v>
      </c>
      <c r="Y544" s="57">
        <v>758</v>
      </c>
      <c r="Z544" s="57">
        <v>212</v>
      </c>
      <c r="AA544" s="57">
        <v>34</v>
      </c>
      <c r="AB544" s="57">
        <v>212</v>
      </c>
      <c r="AC544" s="57">
        <v>985</v>
      </c>
      <c r="AD544" s="57">
        <v>335</v>
      </c>
      <c r="AE544" s="57">
        <v>118</v>
      </c>
      <c r="AF544" s="57">
        <v>243</v>
      </c>
      <c r="AG544" s="57">
        <v>855</v>
      </c>
      <c r="AH544" s="57">
        <v>501</v>
      </c>
      <c r="AI544" s="57">
        <v>38</v>
      </c>
      <c r="AJ544" s="57">
        <v>313</v>
      </c>
      <c r="AK544" s="57">
        <v>693</v>
      </c>
      <c r="AL544" s="57">
        <v>459</v>
      </c>
      <c r="AM544" s="57">
        <v>69</v>
      </c>
      <c r="AN544" s="57">
        <v>335</v>
      </c>
      <c r="AO544" s="57">
        <v>892</v>
      </c>
      <c r="AP544" s="57">
        <v>370</v>
      </c>
      <c r="AQ544" s="57">
        <v>509</v>
      </c>
      <c r="AR544" s="57">
        <v>27</v>
      </c>
      <c r="AS544" s="57">
        <v>1094</v>
      </c>
      <c r="AT544" s="57">
        <v>446</v>
      </c>
      <c r="AU544" s="57">
        <v>294</v>
      </c>
      <c r="AV544" s="57">
        <v>566</v>
      </c>
      <c r="AW544" s="57">
        <v>1124</v>
      </c>
      <c r="AX544" s="57">
        <v>513</v>
      </c>
      <c r="AY544" s="57">
        <v>167</v>
      </c>
      <c r="AZ544" s="57">
        <v>499</v>
      </c>
      <c r="BA544" s="57">
        <v>967</v>
      </c>
      <c r="BB544" s="57">
        <v>595</v>
      </c>
      <c r="BC544" s="57">
        <v>370</v>
      </c>
      <c r="BD544" s="57">
        <v>477</v>
      </c>
      <c r="BE544" s="57">
        <v>974</v>
      </c>
      <c r="BF544" s="57">
        <v>431</v>
      </c>
      <c r="BG544" s="57">
        <v>142</v>
      </c>
      <c r="BH544" s="142" t="e">
        <v>#NAME?</v>
      </c>
      <c r="BI544" s="142" t="e">
        <v>#NAME?</v>
      </c>
      <c r="BJ544" s="142" t="e">
        <v>#NAME?</v>
      </c>
      <c r="BK544" s="142" t="e">
        <v>#NAME?</v>
      </c>
      <c r="BL544" s="142" t="e">
        <v>#NAME?</v>
      </c>
      <c r="BM544" s="142" t="e">
        <v>#NAME?</v>
      </c>
      <c r="BN544" s="142" t="e">
        <v>#NAME?</v>
      </c>
      <c r="BO544" s="142" t="e">
        <v>#NAME?</v>
      </c>
      <c r="BP544" s="142" t="e">
        <v>#NAME?</v>
      </c>
      <c r="BQ544" s="142" t="e">
        <v>#NAME?</v>
      </c>
      <c r="BR544" s="142" t="e">
        <v>#NAME?</v>
      </c>
      <c r="BS544" s="142" t="e">
        <v>#NAME?</v>
      </c>
      <c r="BT544" s="142" t="e">
        <v>#NAME?</v>
      </c>
      <c r="BU544" s="142" t="e">
        <v>#NAME?</v>
      </c>
      <c r="BV544" s="142" t="e">
        <v>#NAME?</v>
      </c>
      <c r="BW544" s="142" t="e">
        <v>#NAME?</v>
      </c>
      <c r="BX544" s="142" t="e">
        <v>#NAME?</v>
      </c>
      <c r="BY544" s="142" t="e">
        <v>#NAME?</v>
      </c>
      <c r="BZ544" s="142" t="e">
        <v>#NAME?</v>
      </c>
      <c r="CA544" s="142" t="e">
        <v>#NAME?</v>
      </c>
      <c r="CB544" s="142" t="e">
        <v>#NAME?</v>
      </c>
      <c r="CC544" s="142" t="e">
        <v>#NAME?</v>
      </c>
      <c r="CD544" s="142" t="e">
        <v>#NAME?</v>
      </c>
      <c r="CE544"/>
      <c r="CF544" s="57" t="s">
        <v>336</v>
      </c>
      <c r="CG544" s="57" t="s">
        <v>336</v>
      </c>
      <c r="CH544" s="57">
        <v>367</v>
      </c>
      <c r="CI544" s="57">
        <v>717</v>
      </c>
      <c r="CJ544" s="57">
        <v>1076</v>
      </c>
      <c r="CK544" s="57">
        <v>1300</v>
      </c>
      <c r="CL544" s="57">
        <v>1566</v>
      </c>
      <c r="CM544" s="57">
        <v>1718</v>
      </c>
      <c r="CN544" s="57">
        <v>1503</v>
      </c>
      <c r="CO544" s="57">
        <v>1666</v>
      </c>
      <c r="CP544" s="57">
        <v>2076</v>
      </c>
      <c r="CQ544" s="57">
        <v>2497</v>
      </c>
      <c r="CR544" s="57">
        <v>2228</v>
      </c>
      <c r="CS544" s="57">
        <v>2252</v>
      </c>
      <c r="CT544" s="142" t="e">
        <v>#NAME?</v>
      </c>
      <c r="CU544" s="142" t="e">
        <v>#NAME?</v>
      </c>
      <c r="CV544" s="142" t="e">
        <v>#NAME?</v>
      </c>
      <c r="CW544" s="142" t="e">
        <v>#NAME?</v>
      </c>
      <c r="CX544" s="142" t="e">
        <v>#NAME?</v>
      </c>
      <c r="CY544"/>
    </row>
    <row r="545" spans="2:103" s="10" customFormat="1" x14ac:dyDescent="0.25">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c r="BG545" s="57"/>
      <c r="BH545" s="142"/>
      <c r="BI545" s="142"/>
      <c r="BJ545" s="142"/>
      <c r="BK545" s="142"/>
      <c r="BL545" s="142"/>
      <c r="BM545" s="142"/>
      <c r="BN545" s="142"/>
      <c r="BO545" s="142"/>
      <c r="BP545" s="142"/>
      <c r="BQ545" s="142"/>
      <c r="BR545" s="142"/>
      <c r="BS545" s="142"/>
      <c r="BT545" s="142"/>
      <c r="BU545" s="142"/>
      <c r="BV545" s="142"/>
      <c r="BW545" s="142"/>
      <c r="BX545" s="142"/>
      <c r="BY545" s="142"/>
      <c r="BZ545" s="142"/>
      <c r="CA545" s="142"/>
      <c r="CB545" s="142"/>
      <c r="CC545" s="142"/>
      <c r="CD545" s="142"/>
      <c r="CE545"/>
      <c r="CF545" s="57"/>
      <c r="CG545" s="57"/>
      <c r="CH545" s="57"/>
      <c r="CI545" s="57"/>
      <c r="CJ545" s="57"/>
      <c r="CK545" s="57"/>
      <c r="CL545" s="57"/>
      <c r="CM545" s="57"/>
      <c r="CN545" s="57"/>
      <c r="CO545" s="57"/>
      <c r="CP545" s="57"/>
      <c r="CQ545" s="57"/>
      <c r="CR545" s="57"/>
      <c r="CS545" s="57"/>
      <c r="CT545" s="142"/>
      <c r="CU545" s="142"/>
      <c r="CV545" s="142"/>
      <c r="CW545" s="142"/>
      <c r="CX545" s="142"/>
      <c r="CY545"/>
    </row>
    <row r="546" spans="2:103" x14ac:dyDescent="0.25">
      <c r="B546" t="s">
        <v>355</v>
      </c>
      <c r="S546" s="24">
        <v>-3</v>
      </c>
      <c r="T546" s="24">
        <v>-4.75</v>
      </c>
      <c r="U546" s="24">
        <v>-1</v>
      </c>
      <c r="V546" s="24">
        <v>3</v>
      </c>
      <c r="W546" s="24">
        <v>3</v>
      </c>
      <c r="X546" s="24">
        <v>2</v>
      </c>
      <c r="Y546" s="24">
        <v>6</v>
      </c>
      <c r="Z546" s="24">
        <v>-5</v>
      </c>
      <c r="AA546" s="24">
        <v>-6</v>
      </c>
      <c r="AB546" s="24">
        <v>-3</v>
      </c>
      <c r="AC546" s="24">
        <v>-2</v>
      </c>
      <c r="AD546" s="24">
        <v>-1</v>
      </c>
      <c r="AE546" s="24">
        <v>6</v>
      </c>
      <c r="AF546" s="24">
        <v>3</v>
      </c>
      <c r="AG546" s="24">
        <v>5</v>
      </c>
      <c r="AH546" s="24">
        <v>1</v>
      </c>
      <c r="AI546" s="24">
        <v>19</v>
      </c>
      <c r="AJ546" s="24">
        <v>18</v>
      </c>
      <c r="AK546" s="24">
        <v>23</v>
      </c>
      <c r="AL546" s="24">
        <v>23</v>
      </c>
      <c r="AM546" s="24">
        <v>21</v>
      </c>
      <c r="AN546" s="24">
        <v>16</v>
      </c>
      <c r="AO546" s="24">
        <v>13</v>
      </c>
      <c r="AP546" s="24">
        <v>13</v>
      </c>
      <c r="AQ546" s="24">
        <v>-3</v>
      </c>
      <c r="AR546" s="24">
        <v>-10</v>
      </c>
      <c r="AS546" s="24">
        <v>-6</v>
      </c>
      <c r="AT546" s="24">
        <v>-10</v>
      </c>
      <c r="AU546" s="24">
        <v>-14</v>
      </c>
      <c r="AV546" s="24">
        <v>-14</v>
      </c>
      <c r="AW546" s="24">
        <v>-11</v>
      </c>
      <c r="AX546" s="24">
        <v>-9</v>
      </c>
      <c r="AY546" s="24">
        <v>-5</v>
      </c>
      <c r="AZ546" s="24">
        <v>0</v>
      </c>
      <c r="BA546" s="24">
        <v>-7</v>
      </c>
      <c r="BB546" s="24">
        <v>6</v>
      </c>
      <c r="BC546" s="24">
        <v>14</v>
      </c>
      <c r="BD546" s="24">
        <v>14</v>
      </c>
      <c r="BE546" s="24">
        <v>17</v>
      </c>
      <c r="BF546" s="24">
        <v>26</v>
      </c>
      <c r="BG546" s="24">
        <v>30</v>
      </c>
      <c r="BH546" s="146" t="e">
        <v>#NAME?</v>
      </c>
      <c r="BI546" s="146" t="e">
        <v>#NAME?</v>
      </c>
      <c r="BJ546" s="146" t="e">
        <v>#NAME?</v>
      </c>
      <c r="BK546" s="146" t="e">
        <v>#NAME?</v>
      </c>
      <c r="BL546" s="146" t="e">
        <v>#NAME?</v>
      </c>
      <c r="BM546" s="146" t="e">
        <v>#NAME?</v>
      </c>
      <c r="BN546" s="146" t="e">
        <v>#NAME?</v>
      </c>
      <c r="BO546" s="146" t="e">
        <v>#NAME?</v>
      </c>
      <c r="BP546" s="146" t="e">
        <v>#NAME?</v>
      </c>
      <c r="BQ546" s="146" t="e">
        <v>#NAME?</v>
      </c>
      <c r="BR546" s="146" t="e">
        <v>#NAME?</v>
      </c>
      <c r="BS546" s="146" t="e">
        <v>#NAME?</v>
      </c>
      <c r="BT546" s="146" t="e">
        <v>#NAME?</v>
      </c>
      <c r="BU546" s="146" t="e">
        <v>#NAME?</v>
      </c>
      <c r="BV546" s="146" t="e">
        <v>#NAME?</v>
      </c>
      <c r="BW546" s="146" t="e">
        <v>#NAME?</v>
      </c>
      <c r="BX546" s="146" t="e">
        <v>#NAME?</v>
      </c>
      <c r="BY546" s="146" t="e">
        <v>#NAME?</v>
      </c>
      <c r="BZ546" s="146" t="e">
        <v>#NAME?</v>
      </c>
      <c r="CA546" s="146" t="e">
        <v>#NAME?</v>
      </c>
      <c r="CB546" s="146" t="e">
        <v>#NAME?</v>
      </c>
      <c r="CC546" s="146" t="e">
        <v>#NAME?</v>
      </c>
      <c r="CD546" s="146" t="e">
        <v>#NAME?</v>
      </c>
      <c r="CF546" s="24" t="s">
        <v>336</v>
      </c>
      <c r="CG546" s="24" t="s">
        <v>336</v>
      </c>
      <c r="CH546" s="24">
        <v>-1</v>
      </c>
      <c r="CI546" s="24">
        <v>-5</v>
      </c>
      <c r="CJ546" s="24">
        <v>-1</v>
      </c>
      <c r="CK546" s="24">
        <v>6</v>
      </c>
      <c r="CL546" s="24">
        <v>-12</v>
      </c>
      <c r="CM546" s="24">
        <v>15</v>
      </c>
      <c r="CN546" s="24">
        <v>83</v>
      </c>
      <c r="CO546" s="24">
        <v>63</v>
      </c>
      <c r="CP546" s="24">
        <v>-29</v>
      </c>
      <c r="CQ546" s="24">
        <v>-48</v>
      </c>
      <c r="CR546" s="24">
        <v>-6</v>
      </c>
      <c r="CS546" s="24">
        <v>71</v>
      </c>
      <c r="CT546" s="146" t="e">
        <v>#NAME?</v>
      </c>
      <c r="CU546" s="146" t="e">
        <v>#NAME?</v>
      </c>
      <c r="CV546" s="146" t="e">
        <v>#NAME?</v>
      </c>
      <c r="CW546" s="146" t="e">
        <v>#NAME?</v>
      </c>
      <c r="CX546" s="146" t="e">
        <v>#NAME?</v>
      </c>
    </row>
    <row r="547" spans="2:103" s="10" customFormat="1" x14ac:dyDescent="0.25">
      <c r="B547" s="10" t="s">
        <v>356</v>
      </c>
      <c r="S547" s="57">
        <v>82</v>
      </c>
      <c r="T547" s="57">
        <v>309</v>
      </c>
      <c r="U547" s="57">
        <v>518</v>
      </c>
      <c r="V547" s="57">
        <v>166</v>
      </c>
      <c r="W547" s="57">
        <v>63</v>
      </c>
      <c r="X547" s="57">
        <v>272</v>
      </c>
      <c r="Y547" s="57">
        <v>764</v>
      </c>
      <c r="Z547" s="57">
        <v>207</v>
      </c>
      <c r="AA547" s="57">
        <v>28</v>
      </c>
      <c r="AB547" s="57">
        <v>209</v>
      </c>
      <c r="AC547" s="57">
        <v>983</v>
      </c>
      <c r="AD547" s="57">
        <v>334</v>
      </c>
      <c r="AE547" s="57">
        <v>124</v>
      </c>
      <c r="AF547" s="57">
        <v>246</v>
      </c>
      <c r="AG547" s="57">
        <v>860</v>
      </c>
      <c r="AH547" s="57">
        <v>502</v>
      </c>
      <c r="AI547" s="57">
        <v>57</v>
      </c>
      <c r="AJ547" s="57">
        <v>331</v>
      </c>
      <c r="AK547" s="57">
        <v>716</v>
      </c>
      <c r="AL547" s="57">
        <v>482</v>
      </c>
      <c r="AM547" s="57">
        <v>90</v>
      </c>
      <c r="AN547" s="57">
        <v>351</v>
      </c>
      <c r="AO547" s="57">
        <v>905</v>
      </c>
      <c r="AP547" s="57">
        <v>383</v>
      </c>
      <c r="AQ547" s="57">
        <v>506</v>
      </c>
      <c r="AR547" s="57">
        <v>17</v>
      </c>
      <c r="AS547" s="57">
        <v>1088</v>
      </c>
      <c r="AT547" s="57">
        <v>436</v>
      </c>
      <c r="AU547" s="57">
        <v>280</v>
      </c>
      <c r="AV547" s="57">
        <v>552</v>
      </c>
      <c r="AW547" s="57">
        <v>1113</v>
      </c>
      <c r="AX547" s="57">
        <v>504</v>
      </c>
      <c r="AY547" s="57">
        <v>162</v>
      </c>
      <c r="AZ547" s="57">
        <v>499</v>
      </c>
      <c r="BA547" s="57">
        <v>960</v>
      </c>
      <c r="BB547" s="57">
        <v>601</v>
      </c>
      <c r="BC547" s="57">
        <v>384</v>
      </c>
      <c r="BD547" s="57">
        <v>491</v>
      </c>
      <c r="BE547" s="57">
        <v>991</v>
      </c>
      <c r="BF547" s="57">
        <v>457</v>
      </c>
      <c r="BG547" s="57">
        <v>172</v>
      </c>
      <c r="BH547" s="142" t="e">
        <v>#NAME?</v>
      </c>
      <c r="BI547" s="142" t="e">
        <v>#NAME?</v>
      </c>
      <c r="BJ547" s="142" t="e">
        <v>#NAME?</v>
      </c>
      <c r="BK547" s="142" t="e">
        <v>#NAME?</v>
      </c>
      <c r="BL547" s="142" t="e">
        <v>#NAME?</v>
      </c>
      <c r="BM547" s="142" t="e">
        <v>#NAME?</v>
      </c>
      <c r="BN547" s="142" t="e">
        <v>#NAME?</v>
      </c>
      <c r="BO547" s="142" t="e">
        <v>#NAME?</v>
      </c>
      <c r="BP547" s="142" t="e">
        <v>#NAME?</v>
      </c>
      <c r="BQ547" s="142" t="e">
        <v>#NAME?</v>
      </c>
      <c r="BR547" s="142" t="e">
        <v>#NAME?</v>
      </c>
      <c r="BS547" s="142" t="e">
        <v>#NAME?</v>
      </c>
      <c r="BT547" s="142" t="e">
        <v>#NAME?</v>
      </c>
      <c r="BU547" s="142" t="e">
        <v>#NAME?</v>
      </c>
      <c r="BV547" s="142" t="e">
        <v>#NAME?</v>
      </c>
      <c r="BW547" s="142" t="e">
        <v>#NAME?</v>
      </c>
      <c r="BX547" s="142" t="e">
        <v>#NAME?</v>
      </c>
      <c r="BY547" s="142" t="e">
        <v>#NAME?</v>
      </c>
      <c r="BZ547" s="142" t="e">
        <v>#NAME?</v>
      </c>
      <c r="CA547" s="142" t="e">
        <v>#NAME?</v>
      </c>
      <c r="CB547" s="142" t="e">
        <v>#NAME?</v>
      </c>
      <c r="CC547" s="142" t="e">
        <v>#NAME?</v>
      </c>
      <c r="CD547" s="142" t="e">
        <v>#NAME?</v>
      </c>
      <c r="CE547"/>
      <c r="CF547" s="57" t="s">
        <v>336</v>
      </c>
      <c r="CG547" s="57" t="s">
        <v>336</v>
      </c>
      <c r="CH547" s="57">
        <v>366</v>
      </c>
      <c r="CI547" s="57">
        <v>712</v>
      </c>
      <c r="CJ547" s="57">
        <v>1075</v>
      </c>
      <c r="CK547" s="57">
        <v>1306</v>
      </c>
      <c r="CL547" s="57">
        <v>1554</v>
      </c>
      <c r="CM547" s="57">
        <v>1733</v>
      </c>
      <c r="CN547" s="57">
        <v>1586</v>
      </c>
      <c r="CO547" s="57">
        <v>1729</v>
      </c>
      <c r="CP547" s="57">
        <v>2047</v>
      </c>
      <c r="CQ547" s="57">
        <v>2449</v>
      </c>
      <c r="CR547" s="57">
        <v>2222</v>
      </c>
      <c r="CS547" s="57">
        <v>2323</v>
      </c>
      <c r="CT547" s="142" t="e">
        <v>#NAME?</v>
      </c>
      <c r="CU547" s="142" t="e">
        <v>#NAME?</v>
      </c>
      <c r="CV547" s="142" t="e">
        <v>#NAME?</v>
      </c>
      <c r="CW547" s="142" t="e">
        <v>#NAME?</v>
      </c>
      <c r="CX547" s="142" t="e">
        <v>#NAME?</v>
      </c>
      <c r="CY547"/>
    </row>
    <row r="548" spans="2:103" x14ac:dyDescent="0.25">
      <c r="BG548" s="60"/>
      <c r="CF548" s="60"/>
      <c r="CG548" s="60"/>
      <c r="CH548" s="60"/>
      <c r="CI548" s="60"/>
      <c r="CJ548" s="60"/>
      <c r="CK548" s="60"/>
      <c r="CL548" s="60"/>
      <c r="CM548" s="60"/>
      <c r="CN548" s="60"/>
      <c r="CO548" s="60"/>
      <c r="CP548" s="60"/>
      <c r="CQ548" s="60"/>
      <c r="CR548" s="60"/>
      <c r="CS548" s="60"/>
    </row>
    <row r="549" spans="2:103" x14ac:dyDescent="0.25">
      <c r="B549" t="s">
        <v>357</v>
      </c>
      <c r="S549" s="24">
        <v>21</v>
      </c>
      <c r="T549" s="24">
        <v>77</v>
      </c>
      <c r="U549" s="24">
        <v>130</v>
      </c>
      <c r="V549" s="24">
        <v>41</v>
      </c>
      <c r="W549" s="24">
        <v>14</v>
      </c>
      <c r="X549" s="24">
        <v>60</v>
      </c>
      <c r="Y549" s="24">
        <v>168</v>
      </c>
      <c r="Z549" s="24">
        <v>46</v>
      </c>
      <c r="AA549" s="24">
        <v>5.46</v>
      </c>
      <c r="AB549" s="24">
        <v>43.89</v>
      </c>
      <c r="AC549" s="24">
        <v>206.43</v>
      </c>
      <c r="AD549" s="24">
        <v>70.14</v>
      </c>
      <c r="AE549" s="24">
        <v>26.04</v>
      </c>
      <c r="AF549" s="24">
        <v>51.66</v>
      </c>
      <c r="AG549" s="24">
        <v>180.6</v>
      </c>
      <c r="AH549" s="24">
        <v>105.42</v>
      </c>
      <c r="AI549" s="24">
        <v>10.26</v>
      </c>
      <c r="AJ549" s="24">
        <v>59.58</v>
      </c>
      <c r="AK549" s="24">
        <v>128.88</v>
      </c>
      <c r="AL549" s="24">
        <v>86.76</v>
      </c>
      <c r="AM549" s="24">
        <v>16.2</v>
      </c>
      <c r="AN549" s="24">
        <v>63.18</v>
      </c>
      <c r="AO549" s="24">
        <v>162.9</v>
      </c>
      <c r="AP549" s="24">
        <v>68.94</v>
      </c>
      <c r="AQ549" s="24">
        <v>91.08</v>
      </c>
      <c r="AR549" s="24">
        <v>3.06</v>
      </c>
      <c r="AS549" s="24">
        <v>195.84</v>
      </c>
      <c r="AT549" s="24">
        <v>78.48</v>
      </c>
      <c r="AU549" s="24">
        <v>50.4</v>
      </c>
      <c r="AV549" s="24">
        <v>99.36</v>
      </c>
      <c r="AW549" s="24">
        <v>200.34</v>
      </c>
      <c r="AX549" s="24">
        <v>90.72</v>
      </c>
      <c r="AY549" s="24">
        <v>30.78</v>
      </c>
      <c r="AZ549" s="24">
        <v>94.81</v>
      </c>
      <c r="BA549" s="24">
        <v>182.4</v>
      </c>
      <c r="BB549" s="24">
        <v>114.19</v>
      </c>
      <c r="BC549" s="24">
        <v>72.959999999999994</v>
      </c>
      <c r="BD549" s="24">
        <v>93.29</v>
      </c>
      <c r="BE549" s="24">
        <v>188.29</v>
      </c>
      <c r="BF549" s="24">
        <v>86.83</v>
      </c>
      <c r="BG549" s="24">
        <v>32.68</v>
      </c>
      <c r="BH549" s="146" t="e">
        <v>#NAME?</v>
      </c>
      <c r="BI549" s="146" t="e">
        <v>#NAME?</v>
      </c>
      <c r="BJ549" s="146" t="e">
        <v>#NAME?</v>
      </c>
      <c r="BK549" s="146" t="e">
        <v>#NAME?</v>
      </c>
      <c r="BL549" s="146" t="e">
        <v>#NAME?</v>
      </c>
      <c r="BM549" s="146" t="e">
        <v>#NAME?</v>
      </c>
      <c r="BN549" s="146" t="e">
        <v>#NAME?</v>
      </c>
      <c r="BO549" s="146" t="e">
        <v>#NAME?</v>
      </c>
      <c r="BP549" s="146" t="e">
        <v>#NAME?</v>
      </c>
      <c r="BQ549" s="146" t="e">
        <v>#NAME?</v>
      </c>
      <c r="BR549" s="146" t="e">
        <v>#NAME?</v>
      </c>
      <c r="BS549" s="146" t="e">
        <v>#NAME?</v>
      </c>
      <c r="BT549" s="146" t="e">
        <v>#NAME?</v>
      </c>
      <c r="BU549" s="146" t="e">
        <v>#NAME?</v>
      </c>
      <c r="BV549" s="146" t="e">
        <v>#NAME?</v>
      </c>
      <c r="BW549" s="146" t="e">
        <v>#NAME?</v>
      </c>
      <c r="BX549" s="146" t="e">
        <v>#NAME?</v>
      </c>
      <c r="BY549" s="146" t="e">
        <v>#NAME?</v>
      </c>
      <c r="BZ549" s="146" t="e">
        <v>#NAME?</v>
      </c>
      <c r="CA549" s="146" t="e">
        <v>#NAME?</v>
      </c>
      <c r="CB549" s="146" t="e">
        <v>#NAME?</v>
      </c>
      <c r="CC549" s="146" t="e">
        <v>#NAME?</v>
      </c>
      <c r="CD549" s="146" t="e">
        <v>#NAME?</v>
      </c>
      <c r="CF549" s="24" t="s">
        <v>336</v>
      </c>
      <c r="CG549" s="24" t="s">
        <v>336</v>
      </c>
      <c r="CH549" s="24">
        <v>102</v>
      </c>
      <c r="CI549" s="24">
        <v>178</v>
      </c>
      <c r="CJ549" s="24">
        <v>269</v>
      </c>
      <c r="CK549" s="24">
        <v>288</v>
      </c>
      <c r="CL549" s="24">
        <v>325.92</v>
      </c>
      <c r="CM549" s="24">
        <v>363.72</v>
      </c>
      <c r="CN549" s="24">
        <v>285.48</v>
      </c>
      <c r="CO549" s="24">
        <v>311.22000000000003</v>
      </c>
      <c r="CP549" s="24">
        <v>368.46</v>
      </c>
      <c r="CQ549" s="24">
        <v>440.82</v>
      </c>
      <c r="CR549" s="24">
        <v>422.18</v>
      </c>
      <c r="CS549" s="24">
        <v>441.37</v>
      </c>
      <c r="CT549" s="146" t="e">
        <v>#NAME?</v>
      </c>
      <c r="CU549" s="146" t="e">
        <v>#NAME?</v>
      </c>
      <c r="CV549" s="146" t="e">
        <v>#NAME?</v>
      </c>
      <c r="CW549" s="146" t="e">
        <v>#NAME?</v>
      </c>
      <c r="CX549" s="146" t="e">
        <v>#NAME?</v>
      </c>
    </row>
    <row r="550" spans="2:103" s="208" customFormat="1" x14ac:dyDescent="0.25">
      <c r="B550" s="213" t="s">
        <v>358</v>
      </c>
      <c r="C550" s="213"/>
      <c r="D550" s="213"/>
      <c r="E550" s="213"/>
      <c r="F550" s="213"/>
      <c r="G550" s="213"/>
      <c r="H550" s="213"/>
      <c r="I550" s="213"/>
      <c r="J550" s="213"/>
      <c r="K550" s="213"/>
      <c r="L550" s="213"/>
      <c r="M550" s="213"/>
      <c r="N550" s="213"/>
      <c r="O550" s="213"/>
      <c r="P550" s="213"/>
      <c r="Q550" s="213"/>
      <c r="R550" s="213"/>
      <c r="S550" s="166">
        <v>0.25609756097560976</v>
      </c>
      <c r="T550" s="166">
        <v>0.24919093851132687</v>
      </c>
      <c r="U550" s="166">
        <v>0.25096525096525096</v>
      </c>
      <c r="V550" s="166">
        <v>0.24698795180722891</v>
      </c>
      <c r="W550" s="166">
        <v>0.22222222222222221</v>
      </c>
      <c r="X550" s="166">
        <v>0.22058823529411764</v>
      </c>
      <c r="Y550" s="166">
        <v>0.21989528795811519</v>
      </c>
      <c r="Z550" s="166">
        <v>0.22222222222222221</v>
      </c>
      <c r="AA550" s="166">
        <v>0.19500000000000001</v>
      </c>
      <c r="AB550" s="166">
        <v>0.21</v>
      </c>
      <c r="AC550" s="166">
        <v>0.21000000000000002</v>
      </c>
      <c r="AD550" s="166">
        <v>0.21</v>
      </c>
      <c r="AE550" s="166">
        <v>0.21</v>
      </c>
      <c r="AF550" s="166">
        <v>0.21</v>
      </c>
      <c r="AG550" s="166">
        <v>0.21</v>
      </c>
      <c r="AH550" s="166">
        <v>0.21</v>
      </c>
      <c r="AI550" s="166">
        <v>0.18</v>
      </c>
      <c r="AJ550" s="166">
        <v>0.18</v>
      </c>
      <c r="AK550" s="166">
        <v>0.18</v>
      </c>
      <c r="AL550" s="166">
        <v>0.18000000000000002</v>
      </c>
      <c r="AM550" s="166">
        <v>0.18</v>
      </c>
      <c r="AN550" s="166">
        <v>0.18</v>
      </c>
      <c r="AO550" s="166">
        <v>0.18</v>
      </c>
      <c r="AP550" s="166">
        <v>0.18</v>
      </c>
      <c r="AQ550" s="166">
        <v>0.18</v>
      </c>
      <c r="AR550" s="166">
        <v>0.18</v>
      </c>
      <c r="AS550" s="166">
        <v>0.18</v>
      </c>
      <c r="AT550" s="166">
        <v>0.18000000000000002</v>
      </c>
      <c r="AU550" s="166">
        <v>0.18</v>
      </c>
      <c r="AV550" s="166">
        <v>0.18</v>
      </c>
      <c r="AW550" s="166">
        <v>0.18</v>
      </c>
      <c r="AX550" s="166">
        <v>0.18</v>
      </c>
      <c r="AY550" s="166">
        <v>0.19</v>
      </c>
      <c r="AZ550" s="166">
        <v>0.19</v>
      </c>
      <c r="BA550" s="166">
        <v>0.19</v>
      </c>
      <c r="BB550" s="166">
        <v>0.19</v>
      </c>
      <c r="BC550" s="166">
        <v>0.18999999999999997</v>
      </c>
      <c r="BD550" s="166">
        <v>0.19</v>
      </c>
      <c r="BE550" s="166">
        <v>0.19</v>
      </c>
      <c r="BF550" s="166">
        <v>0.19</v>
      </c>
      <c r="BG550" s="156">
        <v>0.19</v>
      </c>
      <c r="BH550" s="166" t="e">
        <f t="shared" ref="BH550:CX550" si="763">+BH549/BH547</f>
        <v>#NAME?</v>
      </c>
      <c r="BI550" s="166" t="e">
        <f t="shared" si="763"/>
        <v>#NAME?</v>
      </c>
      <c r="BJ550" s="166" t="e">
        <f t="shared" si="763"/>
        <v>#NAME?</v>
      </c>
      <c r="BK550" s="166" t="e">
        <f t="shared" si="763"/>
        <v>#NAME?</v>
      </c>
      <c r="BL550" s="166" t="e">
        <f t="shared" si="763"/>
        <v>#NAME?</v>
      </c>
      <c r="BM550" s="166" t="e">
        <f t="shared" si="763"/>
        <v>#NAME?</v>
      </c>
      <c r="BN550" s="166" t="e">
        <f t="shared" si="763"/>
        <v>#NAME?</v>
      </c>
      <c r="BO550" s="166" t="e">
        <f t="shared" si="763"/>
        <v>#NAME?</v>
      </c>
      <c r="BP550" s="166" t="e">
        <f t="shared" si="763"/>
        <v>#NAME?</v>
      </c>
      <c r="BQ550" s="166" t="e">
        <f t="shared" si="763"/>
        <v>#NAME?</v>
      </c>
      <c r="BR550" s="166" t="e">
        <f t="shared" si="763"/>
        <v>#NAME?</v>
      </c>
      <c r="BS550" s="166" t="e">
        <f t="shared" si="763"/>
        <v>#NAME?</v>
      </c>
      <c r="BT550" s="166" t="e">
        <f t="shared" si="763"/>
        <v>#NAME?</v>
      </c>
      <c r="BU550" s="166" t="e">
        <f t="shared" si="763"/>
        <v>#NAME?</v>
      </c>
      <c r="BV550" s="166" t="e">
        <f t="shared" si="763"/>
        <v>#NAME?</v>
      </c>
      <c r="BW550" s="166" t="e">
        <f t="shared" si="763"/>
        <v>#NAME?</v>
      </c>
      <c r="BX550" s="166" t="e">
        <f t="shared" si="763"/>
        <v>#NAME?</v>
      </c>
      <c r="BY550" s="166" t="e">
        <f t="shared" si="763"/>
        <v>#NAME?</v>
      </c>
      <c r="BZ550" s="166" t="e">
        <f t="shared" si="763"/>
        <v>#NAME?</v>
      </c>
      <c r="CA550" s="166" t="e">
        <f t="shared" si="763"/>
        <v>#NAME?</v>
      </c>
      <c r="CB550" s="166" t="e">
        <f t="shared" si="763"/>
        <v>#NAME?</v>
      </c>
      <c r="CC550" s="166" t="e">
        <f t="shared" si="763"/>
        <v>#NAME?</v>
      </c>
      <c r="CD550" s="166" t="e">
        <f t="shared" si="763"/>
        <v>#NAME?</v>
      </c>
      <c r="CE550"/>
      <c r="CF550" s="166" t="e">
        <v>#VALUE!</v>
      </c>
      <c r="CG550" s="166" t="e">
        <v>#VALUE!</v>
      </c>
      <c r="CH550" s="166">
        <v>0.27868852459016391</v>
      </c>
      <c r="CI550" s="166">
        <v>0.25</v>
      </c>
      <c r="CJ550" s="166">
        <v>0.25023255813953488</v>
      </c>
      <c r="CK550" s="166">
        <v>0.22052067381316998</v>
      </c>
      <c r="CL550" s="166">
        <v>0.20972972972972975</v>
      </c>
      <c r="CM550" s="166">
        <v>0.20987882285054821</v>
      </c>
      <c r="CN550" s="166">
        <v>0.18000000000000002</v>
      </c>
      <c r="CO550" s="166">
        <v>0.18000000000000002</v>
      </c>
      <c r="CP550" s="166">
        <v>0.18</v>
      </c>
      <c r="CQ550" s="166">
        <v>0.18</v>
      </c>
      <c r="CR550" s="166">
        <v>0.19</v>
      </c>
      <c r="CS550" s="156">
        <v>0.19</v>
      </c>
      <c r="CT550" s="166" t="e">
        <f t="shared" si="763"/>
        <v>#NAME?</v>
      </c>
      <c r="CU550" s="166" t="e">
        <f t="shared" si="763"/>
        <v>#NAME?</v>
      </c>
      <c r="CV550" s="166" t="e">
        <f t="shared" si="763"/>
        <v>#NAME?</v>
      </c>
      <c r="CW550" s="166" t="e">
        <f t="shared" si="763"/>
        <v>#NAME?</v>
      </c>
      <c r="CX550" s="166" t="e">
        <f t="shared" si="763"/>
        <v>#NAME?</v>
      </c>
    </row>
    <row r="551" spans="2:103" x14ac:dyDescent="0.25">
      <c r="BG551" s="60"/>
      <c r="CF551" s="60"/>
      <c r="CG551" s="60"/>
      <c r="CH551" s="60"/>
      <c r="CI551" s="60"/>
      <c r="CJ551" s="60"/>
      <c r="CK551" s="60"/>
      <c r="CL551" s="60"/>
      <c r="CM551" s="60"/>
      <c r="CN551" s="60"/>
      <c r="CO551" s="60"/>
      <c r="CP551" s="60"/>
      <c r="CQ551" s="60"/>
      <c r="CR551" s="60"/>
      <c r="CS551" s="60"/>
    </row>
    <row r="552" spans="2:103" x14ac:dyDescent="0.25">
      <c r="B552" t="s">
        <v>359</v>
      </c>
      <c r="S552" s="24">
        <v>61</v>
      </c>
      <c r="T552" s="24">
        <v>232</v>
      </c>
      <c r="U552" s="24">
        <v>388</v>
      </c>
      <c r="V552" s="24">
        <v>125</v>
      </c>
      <c r="W552" s="24">
        <v>49</v>
      </c>
      <c r="X552" s="24">
        <v>212</v>
      </c>
      <c r="Y552" s="24">
        <v>596</v>
      </c>
      <c r="Z552" s="24">
        <v>161</v>
      </c>
      <c r="AA552" s="24">
        <v>22</v>
      </c>
      <c r="AB552" s="24">
        <v>165.11</v>
      </c>
      <c r="AC552" s="24">
        <v>776.57</v>
      </c>
      <c r="AD552" s="24">
        <v>263.86</v>
      </c>
      <c r="AE552" s="24">
        <v>97.96</v>
      </c>
      <c r="AF552" s="24">
        <v>194.34</v>
      </c>
      <c r="AG552" s="24">
        <v>679.4</v>
      </c>
      <c r="AH552" s="24">
        <v>396.58</v>
      </c>
      <c r="AI552" s="24">
        <v>46.74</v>
      </c>
      <c r="AJ552" s="24">
        <v>271.42</v>
      </c>
      <c r="AK552" s="24">
        <v>587.12</v>
      </c>
      <c r="AL552" s="24">
        <v>395.24</v>
      </c>
      <c r="AM552" s="24">
        <v>73.8</v>
      </c>
      <c r="AN552" s="24">
        <v>287.82</v>
      </c>
      <c r="AO552" s="24">
        <v>742.1</v>
      </c>
      <c r="AP552" s="24">
        <v>314.06</v>
      </c>
      <c r="AQ552" s="24">
        <v>414.92</v>
      </c>
      <c r="AR552" s="24">
        <v>13.94</v>
      </c>
      <c r="AS552" s="24">
        <v>892.16</v>
      </c>
      <c r="AT552" s="24">
        <v>357.52</v>
      </c>
      <c r="AU552" s="24">
        <v>229.6</v>
      </c>
      <c r="AV552" s="24">
        <v>452.64</v>
      </c>
      <c r="AW552" s="24">
        <v>912.66</v>
      </c>
      <c r="AX552" s="24">
        <v>413.28</v>
      </c>
      <c r="AY552" s="24">
        <v>131.22</v>
      </c>
      <c r="AZ552" s="24">
        <v>404.19</v>
      </c>
      <c r="BA552" s="24">
        <v>777.6</v>
      </c>
      <c r="BB552" s="24">
        <v>486.81</v>
      </c>
      <c r="BC552" s="24">
        <v>311.04000000000002</v>
      </c>
      <c r="BD552" s="24">
        <v>397.71</v>
      </c>
      <c r="BE552" s="24">
        <v>802.71</v>
      </c>
      <c r="BF552" s="24">
        <v>370.17</v>
      </c>
      <c r="BG552" s="24">
        <v>139.32</v>
      </c>
      <c r="BH552" s="146" t="e">
        <v>#NAME?</v>
      </c>
      <c r="BI552" s="146" t="e">
        <v>#NAME?</v>
      </c>
      <c r="BJ552" s="146" t="e">
        <v>#NAME?</v>
      </c>
      <c r="BK552" s="146" t="e">
        <v>#NAME?</v>
      </c>
      <c r="BL552" s="146" t="e">
        <v>#NAME?</v>
      </c>
      <c r="BM552" s="146" t="e">
        <v>#NAME?</v>
      </c>
      <c r="BN552" s="146" t="e">
        <v>#NAME?</v>
      </c>
      <c r="BO552" s="146" t="e">
        <v>#NAME?</v>
      </c>
      <c r="BP552" s="146" t="e">
        <v>#NAME?</v>
      </c>
      <c r="BQ552" s="146" t="e">
        <v>#NAME?</v>
      </c>
      <c r="BR552" s="146" t="e">
        <v>#NAME?</v>
      </c>
      <c r="BS552" s="146" t="e">
        <v>#NAME?</v>
      </c>
      <c r="BT552" s="146" t="e">
        <v>#NAME?</v>
      </c>
      <c r="BU552" s="146" t="e">
        <v>#NAME?</v>
      </c>
      <c r="BV552" s="146" t="e">
        <v>#NAME?</v>
      </c>
      <c r="BW552" s="146" t="e">
        <v>#NAME?</v>
      </c>
      <c r="BX552" s="146" t="e">
        <v>#NAME?</v>
      </c>
      <c r="BY552" s="146" t="e">
        <v>#NAME?</v>
      </c>
      <c r="BZ552" s="146" t="e">
        <v>#NAME?</v>
      </c>
      <c r="CA552" s="146" t="e">
        <v>#NAME?</v>
      </c>
      <c r="CB552" s="146" t="e">
        <v>#NAME?</v>
      </c>
      <c r="CC552" s="146" t="e">
        <v>#NAME?</v>
      </c>
      <c r="CD552" s="146" t="e">
        <v>#NAME?</v>
      </c>
      <c r="CF552" s="24" t="s">
        <v>336</v>
      </c>
      <c r="CG552" s="24" t="s">
        <v>336</v>
      </c>
      <c r="CH552" s="24">
        <v>264</v>
      </c>
      <c r="CI552" s="24">
        <v>534</v>
      </c>
      <c r="CJ552" s="24">
        <v>806</v>
      </c>
      <c r="CK552" s="24">
        <v>1018</v>
      </c>
      <c r="CL552" s="24">
        <v>1227.54</v>
      </c>
      <c r="CM552" s="24">
        <v>1368.28</v>
      </c>
      <c r="CN552" s="24">
        <v>1300.52</v>
      </c>
      <c r="CO552" s="24">
        <v>1417.78</v>
      </c>
      <c r="CP552" s="24">
        <v>1678.54</v>
      </c>
      <c r="CQ552" s="24">
        <v>2157</v>
      </c>
      <c r="CR552" s="24">
        <v>1799.82</v>
      </c>
      <c r="CS552" s="24">
        <v>1881.63</v>
      </c>
      <c r="CT552" s="146" t="e">
        <v>#NAME?</v>
      </c>
      <c r="CU552" s="146" t="e">
        <v>#NAME?</v>
      </c>
      <c r="CV552" s="146" t="e">
        <v>#NAME?</v>
      </c>
      <c r="CW552" s="146" t="e">
        <v>#NAME?</v>
      </c>
      <c r="CX552" s="146" t="e">
        <v>#NAME?</v>
      </c>
    </row>
    <row r="553" spans="2:103" x14ac:dyDescent="0.25">
      <c r="B553" s="189"/>
      <c r="C553" s="189"/>
      <c r="D553" s="189"/>
      <c r="E553" s="189"/>
      <c r="F553" s="189"/>
      <c r="G553" s="189"/>
      <c r="H553" s="189"/>
      <c r="I553" s="189"/>
      <c r="J553" s="189"/>
      <c r="K553" s="189"/>
      <c r="L553" s="189"/>
      <c r="M553" s="189"/>
      <c r="N553" s="189"/>
      <c r="O553" s="189"/>
      <c r="P553" s="189"/>
      <c r="Q553" s="189"/>
      <c r="R553" s="189"/>
      <c r="BG553" s="60"/>
      <c r="CF553" s="60"/>
      <c r="CG553" s="60"/>
      <c r="CH553" s="60"/>
      <c r="CI553" s="60"/>
      <c r="CJ553" s="60"/>
      <c r="CK553" s="60"/>
      <c r="CL553" s="60"/>
      <c r="CM553" s="60"/>
      <c r="CN553" s="60"/>
      <c r="CO553" s="60"/>
      <c r="CP553" s="60"/>
      <c r="CQ553" s="60"/>
      <c r="CR553" s="60"/>
      <c r="CS553" s="60"/>
    </row>
    <row r="554" spans="2:103" s="80" customFormat="1" x14ac:dyDescent="0.25">
      <c r="B554" s="80" t="s">
        <v>360</v>
      </c>
      <c r="S554" s="194">
        <v>0.19</v>
      </c>
      <c r="T554" s="194">
        <v>0.73</v>
      </c>
      <c r="U554" s="194">
        <v>1.22</v>
      </c>
      <c r="V554" s="194">
        <v>0.39</v>
      </c>
      <c r="W554" s="194">
        <v>0.15</v>
      </c>
      <c r="X554" s="194">
        <v>0.65030674846625802</v>
      </c>
      <c r="Y554" s="194">
        <v>1.8335999999999999</v>
      </c>
      <c r="Z554" s="194">
        <v>0.501428571428571</v>
      </c>
      <c r="AA554" s="194">
        <v>7.0287539900000001E-2</v>
      </c>
      <c r="AB554" s="194">
        <v>0.54853820598006697</v>
      </c>
      <c r="AC554" s="194">
        <v>2.56293729372937</v>
      </c>
      <c r="AD554" s="194">
        <v>0.845705128205128</v>
      </c>
      <c r="AE554" s="194">
        <v>0.31297124600638998</v>
      </c>
      <c r="AF554" s="194">
        <v>0.62893203883495097</v>
      </c>
      <c r="AG554" s="194">
        <v>2.2084090909090901</v>
      </c>
      <c r="AH554" s="194">
        <v>1.27558392053574</v>
      </c>
      <c r="AI554" s="194">
        <v>0.1</v>
      </c>
      <c r="AJ554" s="194">
        <v>1.00977198697068</v>
      </c>
      <c r="AK554" s="194">
        <v>2.3453947368421102</v>
      </c>
      <c r="AL554" s="194">
        <v>1.56810631229236</v>
      </c>
      <c r="AM554" s="194">
        <v>3.5953177257525102</v>
      </c>
      <c r="AN554" s="194">
        <v>3.11148648648649</v>
      </c>
      <c r="AO554" s="194">
        <v>2.9829931972789101</v>
      </c>
      <c r="AP554" s="194">
        <v>1.3253424657534201</v>
      </c>
      <c r="AQ554" s="194">
        <v>1.3801369863013699</v>
      </c>
      <c r="AR554" s="194">
        <v>4.7576791799999997E-2</v>
      </c>
      <c r="AS554" s="194">
        <v>3.0553424657534198</v>
      </c>
      <c r="AT554" s="194">
        <v>1.19655172413793</v>
      </c>
      <c r="AU554" s="194">
        <v>0.79446366782006905</v>
      </c>
      <c r="AV554" s="194">
        <v>1.5771428571428601</v>
      </c>
      <c r="AW554" s="194">
        <v>3.2023157894736798</v>
      </c>
      <c r="AX554" s="194">
        <v>1.4603533568904601</v>
      </c>
      <c r="AY554" s="194">
        <v>0.46697508896797202</v>
      </c>
      <c r="AZ554" s="194">
        <v>1.44870967741935</v>
      </c>
      <c r="BA554" s="194">
        <v>2.7971223021582698</v>
      </c>
      <c r="BB554" s="194">
        <v>1.7766788321167899</v>
      </c>
      <c r="BC554" s="194">
        <v>1.1351824817518199</v>
      </c>
      <c r="BD554" s="194">
        <v>1.4621691176470599</v>
      </c>
      <c r="BE554" s="194">
        <v>2.9620295202952001</v>
      </c>
      <c r="BF554" s="194">
        <v>1.371</v>
      </c>
      <c r="BG554" s="194">
        <v>0.51985074626865602</v>
      </c>
      <c r="BH554" s="174" t="e">
        <v>#NAME?</v>
      </c>
      <c r="BI554" s="174" t="e">
        <v>#NAME?</v>
      </c>
      <c r="BJ554" s="174" t="e">
        <v>#NAME?</v>
      </c>
      <c r="BK554" s="174" t="e">
        <v>#NAME?</v>
      </c>
      <c r="BL554" s="174" t="e">
        <v>#NAME?</v>
      </c>
      <c r="BM554" s="174" t="e">
        <v>#NAME?</v>
      </c>
      <c r="BN554" s="174" t="e">
        <v>#NAME?</v>
      </c>
      <c r="BO554" s="174" t="e">
        <v>#NAME?</v>
      </c>
      <c r="BP554" s="174" t="e">
        <v>#NAME?</v>
      </c>
      <c r="BQ554" s="174" t="e">
        <v>#NAME?</v>
      </c>
      <c r="BR554" s="174" t="e">
        <v>#NAME?</v>
      </c>
      <c r="BS554" s="174" t="e">
        <v>#NAME?</v>
      </c>
      <c r="BT554" s="174" t="e">
        <v>#NAME?</v>
      </c>
      <c r="BU554" s="174" t="e">
        <v>#NAME?</v>
      </c>
      <c r="BV554" s="174" t="e">
        <v>#NAME?</v>
      </c>
      <c r="BW554" s="174" t="e">
        <v>#NAME?</v>
      </c>
      <c r="BX554" s="174" t="e">
        <v>#NAME?</v>
      </c>
      <c r="BY554" s="174" t="e">
        <v>#NAME?</v>
      </c>
      <c r="BZ554" s="174" t="e">
        <v>#NAME?</v>
      </c>
      <c r="CA554" s="174" t="e">
        <v>#NAME?</v>
      </c>
      <c r="CB554" s="174" t="e">
        <v>#NAME?</v>
      </c>
      <c r="CC554" s="174" t="e">
        <v>#NAME?</v>
      </c>
      <c r="CD554" s="174" t="e">
        <v>#NAME?</v>
      </c>
      <c r="CE554"/>
      <c r="CF554" s="194" t="s">
        <v>336</v>
      </c>
      <c r="CG554" s="194" t="s">
        <v>336</v>
      </c>
      <c r="CH554" s="194">
        <v>0.8448</v>
      </c>
      <c r="CI554" s="194">
        <v>1.69</v>
      </c>
      <c r="CJ554" s="194">
        <v>2.5115468823070901</v>
      </c>
      <c r="CK554" s="194">
        <v>3.1812499999999999</v>
      </c>
      <c r="CL554" s="194">
        <v>3.9147770700636899</v>
      </c>
      <c r="CM554" s="194">
        <v>4.3869016817533799</v>
      </c>
      <c r="CN554" s="194">
        <v>4.2525018729575494</v>
      </c>
      <c r="CO554" s="194">
        <v>4.8</v>
      </c>
      <c r="CP554" s="194">
        <v>5.76</v>
      </c>
      <c r="CQ554" s="194">
        <v>7.541958041958039</v>
      </c>
      <c r="CR554" s="194">
        <v>6.4683557951482502</v>
      </c>
      <c r="CS554" s="194">
        <v>6.9241214351425899</v>
      </c>
      <c r="CT554" s="174" t="e">
        <v>#NAME?</v>
      </c>
      <c r="CU554" s="174" t="e">
        <v>#NAME?</v>
      </c>
      <c r="CV554" s="174" t="e">
        <v>#NAME?</v>
      </c>
      <c r="CW554" s="174" t="e">
        <v>#NAME?</v>
      </c>
      <c r="CX554" s="174" t="e">
        <v>#NAME?</v>
      </c>
      <c r="CY554"/>
    </row>
    <row r="555" spans="2:103" x14ac:dyDescent="0.25">
      <c r="BG555" s="60"/>
      <c r="CF555" s="60"/>
      <c r="CG555" s="60"/>
      <c r="CH555" s="60"/>
      <c r="CI555" s="60"/>
      <c r="CJ555" s="60"/>
      <c r="CK555" s="60"/>
      <c r="CL555" s="60"/>
      <c r="CM555" s="60"/>
      <c r="CN555" s="60"/>
      <c r="CO555" s="60"/>
      <c r="CP555" s="60"/>
      <c r="CQ555" s="60"/>
      <c r="CR555" s="60"/>
      <c r="CS555" s="60"/>
    </row>
    <row r="556" spans="2:103" x14ac:dyDescent="0.25">
      <c r="B556" t="s">
        <v>361</v>
      </c>
      <c r="S556" s="24">
        <v>313</v>
      </c>
      <c r="T556" s="24">
        <v>313</v>
      </c>
      <c r="U556" s="24">
        <v>311</v>
      </c>
      <c r="V556" s="24">
        <v>310</v>
      </c>
      <c r="W556" s="24">
        <v>311</v>
      </c>
      <c r="X556" s="24">
        <v>312</v>
      </c>
      <c r="Y556" s="24">
        <v>311</v>
      </c>
      <c r="Z556" s="24">
        <v>307</v>
      </c>
      <c r="AA556" s="24">
        <v>301</v>
      </c>
      <c r="AB556" s="24">
        <v>301</v>
      </c>
      <c r="AC556" s="24">
        <v>303</v>
      </c>
      <c r="AD556" s="24">
        <v>308</v>
      </c>
      <c r="AE556" s="24">
        <v>309</v>
      </c>
      <c r="AF556" s="24">
        <v>309</v>
      </c>
      <c r="AG556" s="24">
        <v>308</v>
      </c>
      <c r="AH556" s="24">
        <v>307</v>
      </c>
      <c r="AI556" s="24">
        <v>306</v>
      </c>
      <c r="AJ556" s="24">
        <v>305</v>
      </c>
      <c r="AK556" s="24">
        <v>302</v>
      </c>
      <c r="AL556" s="24">
        <v>299</v>
      </c>
      <c r="AM556" s="24">
        <v>297</v>
      </c>
      <c r="AN556" s="24">
        <v>295</v>
      </c>
      <c r="AO556" s="24">
        <v>292</v>
      </c>
      <c r="AP556" s="24">
        <v>290</v>
      </c>
      <c r="AQ556" s="24">
        <v>288</v>
      </c>
      <c r="AR556" s="24">
        <v>289</v>
      </c>
      <c r="AS556" s="24">
        <v>290</v>
      </c>
      <c r="AT556" s="24">
        <v>288</v>
      </c>
      <c r="AU556" s="24">
        <v>286</v>
      </c>
      <c r="AV556" s="24">
        <v>285</v>
      </c>
      <c r="AW556" s="24">
        <v>283</v>
      </c>
      <c r="AX556" s="24">
        <v>281</v>
      </c>
      <c r="AY556" s="24">
        <v>279</v>
      </c>
      <c r="AZ556" s="24">
        <v>278</v>
      </c>
      <c r="BA556" s="24">
        <v>276</v>
      </c>
      <c r="BB556" s="24">
        <v>274</v>
      </c>
      <c r="BC556" s="24">
        <v>272</v>
      </c>
      <c r="BD556" s="24">
        <v>271</v>
      </c>
      <c r="BE556" s="24">
        <v>269</v>
      </c>
      <c r="BF556" s="24">
        <v>267</v>
      </c>
      <c r="BG556" s="24">
        <v>266</v>
      </c>
      <c r="BH556" s="146" t="e">
        <v>#NAME?</v>
      </c>
      <c r="BI556" s="146" t="e">
        <v>#NAME?</v>
      </c>
      <c r="BJ556" s="146" t="e">
        <v>#NAME?</v>
      </c>
      <c r="BK556" s="146" t="e">
        <v>#NAME?</v>
      </c>
      <c r="BL556" s="146" t="e">
        <v>#NAME?</v>
      </c>
      <c r="BM556" s="146" t="e">
        <v>#NAME?</v>
      </c>
      <c r="BN556" s="146" t="e">
        <v>#NAME?</v>
      </c>
      <c r="BO556" s="146" t="e">
        <v>#NAME?</v>
      </c>
      <c r="BP556" s="146" t="e">
        <v>#NAME?</v>
      </c>
      <c r="BQ556" s="146" t="e">
        <v>#NAME?</v>
      </c>
      <c r="BR556" s="146" t="e">
        <v>#NAME?</v>
      </c>
      <c r="BS556" s="146" t="e">
        <v>#NAME?</v>
      </c>
      <c r="BT556" s="146" t="e">
        <v>#NAME?</v>
      </c>
      <c r="BU556" s="146" t="e">
        <v>#NAME?</v>
      </c>
      <c r="BV556" s="146" t="e">
        <v>#NAME?</v>
      </c>
      <c r="BW556" s="146" t="e">
        <v>#NAME?</v>
      </c>
      <c r="BX556" s="146" t="e">
        <v>#NAME?</v>
      </c>
      <c r="BY556" s="146" t="e">
        <v>#NAME?</v>
      </c>
      <c r="BZ556" s="146" t="e">
        <v>#NAME?</v>
      </c>
      <c r="CA556" s="146" t="e">
        <v>#NAME?</v>
      </c>
      <c r="CB556" s="146" t="e">
        <v>#NAME?</v>
      </c>
      <c r="CC556" s="146" t="e">
        <v>#NAME?</v>
      </c>
      <c r="CD556" s="146" t="e">
        <v>#NAME?</v>
      </c>
      <c r="CF556" s="24" t="s">
        <v>336</v>
      </c>
      <c r="CG556" s="24" t="s">
        <v>336</v>
      </c>
      <c r="CH556" s="24">
        <v>310</v>
      </c>
      <c r="CI556" s="24">
        <v>308</v>
      </c>
      <c r="CJ556" s="24">
        <v>311</v>
      </c>
      <c r="CK556" s="24">
        <v>310.25</v>
      </c>
      <c r="CL556" s="24">
        <v>303</v>
      </c>
      <c r="CM556" s="24">
        <v>308</v>
      </c>
      <c r="CN556" s="24">
        <v>303</v>
      </c>
      <c r="CO556" s="24">
        <v>293.5</v>
      </c>
      <c r="CP556" s="24">
        <v>288.75</v>
      </c>
      <c r="CQ556" s="24">
        <v>283.75</v>
      </c>
      <c r="CR556" s="24">
        <v>276.75</v>
      </c>
      <c r="CS556" s="24">
        <v>270</v>
      </c>
      <c r="CT556" s="146" t="e">
        <v>#NAME?</v>
      </c>
      <c r="CU556" s="146" t="e">
        <v>#NAME?</v>
      </c>
      <c r="CV556" s="146" t="e">
        <v>#NAME?</v>
      </c>
      <c r="CW556" s="146" t="e">
        <v>#NAME?</v>
      </c>
      <c r="CX556" s="146" t="e">
        <v>#NAME?</v>
      </c>
    </row>
    <row r="557" spans="2:103" x14ac:dyDescent="0.25">
      <c r="B557" t="s">
        <v>362</v>
      </c>
      <c r="S557" s="24">
        <v>321</v>
      </c>
      <c r="T557" s="24">
        <v>319</v>
      </c>
      <c r="U557" s="24">
        <v>319</v>
      </c>
      <c r="V557" s="24">
        <v>324</v>
      </c>
      <c r="W557" s="24">
        <v>325</v>
      </c>
      <c r="X557" s="24">
        <v>326</v>
      </c>
      <c r="Y557" s="24">
        <v>325</v>
      </c>
      <c r="Z557" s="24">
        <v>319</v>
      </c>
      <c r="AA557" s="24">
        <v>313</v>
      </c>
      <c r="AB557" s="24">
        <v>314</v>
      </c>
      <c r="AC557" s="24">
        <v>313</v>
      </c>
      <c r="AD557" s="24">
        <v>312</v>
      </c>
      <c r="AE557" s="24">
        <v>313</v>
      </c>
      <c r="AF557" s="24">
        <v>312</v>
      </c>
      <c r="AG557" s="24">
        <v>311</v>
      </c>
      <c r="AH557" s="24">
        <v>311</v>
      </c>
      <c r="AI557" s="24">
        <v>310</v>
      </c>
      <c r="AJ557" s="24">
        <v>307</v>
      </c>
      <c r="AK557" s="24">
        <v>304</v>
      </c>
      <c r="AL557" s="24">
        <v>301</v>
      </c>
      <c r="AM557" s="24">
        <v>299</v>
      </c>
      <c r="AN557" s="24">
        <v>296</v>
      </c>
      <c r="AO557" s="24">
        <v>294</v>
      </c>
      <c r="AP557" s="24">
        <v>292</v>
      </c>
      <c r="AQ557" s="24">
        <v>292</v>
      </c>
      <c r="AR557" s="24">
        <v>293</v>
      </c>
      <c r="AS557" s="24">
        <v>292</v>
      </c>
      <c r="AT557" s="24">
        <v>290</v>
      </c>
      <c r="AU557" s="24">
        <v>289</v>
      </c>
      <c r="AV557" s="24">
        <v>287</v>
      </c>
      <c r="AW557" s="24">
        <v>285</v>
      </c>
      <c r="AX557" s="24">
        <v>283</v>
      </c>
      <c r="AY557" s="24">
        <v>281</v>
      </c>
      <c r="AZ557" s="24">
        <v>279</v>
      </c>
      <c r="BA557" s="24">
        <v>278</v>
      </c>
      <c r="BB557" s="24">
        <v>275</v>
      </c>
      <c r="BC557" s="24">
        <v>274</v>
      </c>
      <c r="BD557" s="24">
        <v>272</v>
      </c>
      <c r="BE557" s="24">
        <v>271</v>
      </c>
      <c r="BF557" s="24">
        <v>270</v>
      </c>
      <c r="BG557" s="24">
        <v>268</v>
      </c>
      <c r="BH557" s="146" t="e">
        <v>#NAME?</v>
      </c>
      <c r="BI557" s="146" t="e">
        <v>#NAME?</v>
      </c>
      <c r="BJ557" s="146" t="e">
        <v>#NAME?</v>
      </c>
      <c r="BK557" s="146" t="e">
        <v>#NAME?</v>
      </c>
      <c r="BL557" s="146" t="e">
        <v>#NAME?</v>
      </c>
      <c r="BM557" s="146" t="e">
        <v>#NAME?</v>
      </c>
      <c r="BN557" s="146" t="e">
        <v>#NAME?</v>
      </c>
      <c r="BO557" s="146" t="e">
        <v>#NAME?</v>
      </c>
      <c r="BP557" s="146" t="e">
        <v>#NAME?</v>
      </c>
      <c r="BQ557" s="146" t="e">
        <v>#NAME?</v>
      </c>
      <c r="BR557" s="146" t="e">
        <v>#NAME?</v>
      </c>
      <c r="BS557" s="146" t="e">
        <v>#NAME?</v>
      </c>
      <c r="BT557" s="146" t="e">
        <v>#NAME?</v>
      </c>
      <c r="BU557" s="146" t="e">
        <v>#NAME?</v>
      </c>
      <c r="BV557" s="146" t="e">
        <v>#NAME?</v>
      </c>
      <c r="BW557" s="146" t="e">
        <v>#NAME?</v>
      </c>
      <c r="BX557" s="146" t="e">
        <v>#NAME?</v>
      </c>
      <c r="BY557" s="146" t="e">
        <v>#NAME?</v>
      </c>
      <c r="BZ557" s="146" t="e">
        <v>#NAME?</v>
      </c>
      <c r="CA557" s="146" t="e">
        <v>#NAME?</v>
      </c>
      <c r="CB557" s="146" t="e">
        <v>#NAME?</v>
      </c>
      <c r="CC557" s="146" t="e">
        <v>#NAME?</v>
      </c>
      <c r="CD557" s="146" t="e">
        <v>#NAME?</v>
      </c>
      <c r="CF557" s="24" t="s">
        <v>336</v>
      </c>
      <c r="CG557" s="24" t="s">
        <v>336</v>
      </c>
      <c r="CH557" s="24">
        <v>312.8</v>
      </c>
      <c r="CI557" s="24">
        <v>316</v>
      </c>
      <c r="CJ557" s="24">
        <v>320.75</v>
      </c>
      <c r="CK557" s="24">
        <v>323.75</v>
      </c>
      <c r="CL557" s="24">
        <v>313</v>
      </c>
      <c r="CM557" s="24">
        <v>312</v>
      </c>
      <c r="CN557" s="24">
        <v>306</v>
      </c>
      <c r="CO557" s="24">
        <v>295.25</v>
      </c>
      <c r="CP557" s="24">
        <v>291.75</v>
      </c>
      <c r="CQ557" s="24">
        <v>286</v>
      </c>
      <c r="CR557" s="24">
        <v>278</v>
      </c>
      <c r="CS557" s="24">
        <v>271.75</v>
      </c>
      <c r="CT557" s="146" t="e">
        <v>#NAME?</v>
      </c>
      <c r="CU557" s="146" t="e">
        <v>#NAME?</v>
      </c>
      <c r="CV557" s="146" t="e">
        <v>#NAME?</v>
      </c>
      <c r="CW557" s="146" t="e">
        <v>#NAME?</v>
      </c>
      <c r="CX557" s="146" t="e">
        <v>#NAME?</v>
      </c>
    </row>
    <row r="558" spans="2:103" x14ac:dyDescent="0.25">
      <c r="B558" t="s">
        <v>363</v>
      </c>
      <c r="S558" s="24" t="s">
        <v>336</v>
      </c>
      <c r="T558" s="24" t="s">
        <v>336</v>
      </c>
      <c r="U558" s="24" t="s">
        <v>336</v>
      </c>
      <c r="V558" s="24" t="s">
        <v>336</v>
      </c>
      <c r="W558" s="24" t="s">
        <v>336</v>
      </c>
      <c r="X558" s="24" t="s">
        <v>336</v>
      </c>
      <c r="Y558" s="24" t="s">
        <v>336</v>
      </c>
      <c r="Z558" s="24" t="s">
        <v>336</v>
      </c>
      <c r="AA558" s="24" t="s">
        <v>336</v>
      </c>
      <c r="AB558" s="24" t="s">
        <v>336</v>
      </c>
      <c r="AC558" s="24" t="s">
        <v>336</v>
      </c>
      <c r="AD558" s="24" t="s">
        <v>336</v>
      </c>
      <c r="AE558" s="24" t="s">
        <v>336</v>
      </c>
      <c r="AF558" s="24" t="s">
        <v>336</v>
      </c>
      <c r="AG558" s="24" t="s">
        <v>336</v>
      </c>
      <c r="AH558" s="24" t="s">
        <v>336</v>
      </c>
      <c r="AI558" s="24">
        <v>0.28709677419354801</v>
      </c>
      <c r="AJ558" s="24">
        <v>2.2801302931596001E-2</v>
      </c>
      <c r="AK558" s="24">
        <v>6.5789473684210995E-2</v>
      </c>
      <c r="AL558" s="24">
        <v>1.9933554817276E-2</v>
      </c>
      <c r="AM558" s="24">
        <v>0.17056856187291</v>
      </c>
      <c r="AN558" s="24">
        <v>1.3513513513514E-2</v>
      </c>
      <c r="AO558" s="24">
        <v>0.105442176870748</v>
      </c>
      <c r="AP558" s="24">
        <v>1.7123287671233001E-2</v>
      </c>
      <c r="AQ558" s="24" t="s">
        <v>336</v>
      </c>
      <c r="AR558" s="24" t="s">
        <v>336</v>
      </c>
      <c r="AS558" s="24">
        <v>0.167808219178082</v>
      </c>
      <c r="AT558" s="24">
        <v>0.16896551724137901</v>
      </c>
      <c r="AU558" s="24">
        <v>0.169550173010381</v>
      </c>
      <c r="AV558" s="24">
        <v>0.16724738675958201</v>
      </c>
      <c r="AW558" s="24">
        <v>0.168421052631579</v>
      </c>
      <c r="AX558" s="24">
        <v>0.16961130742049499</v>
      </c>
      <c r="AY558" s="24">
        <v>0.18861209964412801</v>
      </c>
      <c r="AZ558" s="24">
        <v>0.18996415770609301</v>
      </c>
      <c r="BA558" s="24">
        <v>0.18705035971223</v>
      </c>
      <c r="BB558" s="24">
        <v>0.18978102189780999</v>
      </c>
      <c r="BC558" s="24">
        <v>0.18978102189780999</v>
      </c>
      <c r="BD558" s="24">
        <v>0.1875</v>
      </c>
      <c r="BE558" s="24">
        <v>0.188191881918819</v>
      </c>
      <c r="BF558" s="24">
        <v>0.18888888888888899</v>
      </c>
      <c r="BG558" s="24">
        <v>0.18656716417910399</v>
      </c>
      <c r="BH558" s="146" t="e">
        <v>#NAME?</v>
      </c>
      <c r="BI558" s="146" t="e">
        <v>#NAME?</v>
      </c>
      <c r="BJ558" s="146" t="e">
        <v>#NAME?</v>
      </c>
      <c r="BK558" s="146" t="e">
        <v>#NAME?</v>
      </c>
      <c r="BL558" s="146" t="e">
        <v>#NAME?</v>
      </c>
      <c r="BM558" s="146" t="e">
        <v>#NAME?</v>
      </c>
      <c r="BN558" s="146" t="e">
        <v>#NAME?</v>
      </c>
      <c r="BO558" s="146" t="e">
        <v>#NAME?</v>
      </c>
      <c r="BP558" s="146" t="e">
        <v>#NAME?</v>
      </c>
      <c r="BQ558" s="146" t="e">
        <v>#NAME?</v>
      </c>
      <c r="BR558" s="146" t="e">
        <v>#NAME?</v>
      </c>
      <c r="BS558" s="146" t="e">
        <v>#NAME?</v>
      </c>
      <c r="BT558" s="146" t="e">
        <v>#NAME?</v>
      </c>
      <c r="BU558" s="146" t="e">
        <v>#NAME?</v>
      </c>
      <c r="BV558" s="146" t="e">
        <v>#NAME?</v>
      </c>
      <c r="BW558" s="146" t="e">
        <v>#NAME?</v>
      </c>
      <c r="BX558" s="146" t="e">
        <v>#NAME?</v>
      </c>
      <c r="BY558" s="146" t="e">
        <v>#NAME?</v>
      </c>
      <c r="BZ558" s="146" t="e">
        <v>#NAME?</v>
      </c>
      <c r="CA558" s="146" t="e">
        <v>#NAME?</v>
      </c>
      <c r="CB558" s="146" t="e">
        <v>#NAME?</v>
      </c>
      <c r="CC558" s="146" t="e">
        <v>#NAME?</v>
      </c>
      <c r="CD558" s="146" t="e">
        <v>#NAME?</v>
      </c>
      <c r="CF558" s="24" t="s">
        <v>336</v>
      </c>
      <c r="CG558" s="24" t="s">
        <v>336</v>
      </c>
      <c r="CH558" s="24" t="s">
        <v>336</v>
      </c>
      <c r="CI558" s="24" t="s">
        <v>336</v>
      </c>
      <c r="CJ558" s="24" t="s">
        <v>336</v>
      </c>
      <c r="CK558" s="24" t="s">
        <v>336</v>
      </c>
      <c r="CL558" s="24" t="s">
        <v>336</v>
      </c>
      <c r="CM558" s="24" t="s">
        <v>336</v>
      </c>
      <c r="CN558" s="24">
        <v>0.39934533551554802</v>
      </c>
      <c r="CO558" s="24">
        <v>0.308213378492803</v>
      </c>
      <c r="CP558" s="24">
        <v>0.335616438356164</v>
      </c>
      <c r="CQ558" s="24">
        <v>0.68</v>
      </c>
      <c r="CR558" s="24">
        <v>0.75539568345323704</v>
      </c>
      <c r="CS558" s="24">
        <v>0.75367647058823495</v>
      </c>
      <c r="CT558" s="146" t="e">
        <v>#NAME?</v>
      </c>
      <c r="CU558" s="146" t="e">
        <v>#NAME?</v>
      </c>
      <c r="CV558" s="146" t="e">
        <v>#NAME?</v>
      </c>
      <c r="CW558" s="146" t="e">
        <v>#NAME?</v>
      </c>
      <c r="CX558" s="146" t="e">
        <v>#NAME?</v>
      </c>
    </row>
    <row r="559" spans="2:103" x14ac:dyDescent="0.25">
      <c r="BG559" s="60"/>
      <c r="CF559" s="60"/>
      <c r="CG559" s="60"/>
      <c r="CH559" s="60"/>
      <c r="CI559" s="60"/>
      <c r="CJ559" s="60"/>
      <c r="CK559" s="60"/>
      <c r="CL559" s="60"/>
      <c r="CM559" s="60"/>
      <c r="CN559" s="60"/>
      <c r="CO559" s="60"/>
      <c r="CP559" s="60"/>
      <c r="CQ559" s="60"/>
      <c r="CR559" s="60"/>
      <c r="CS559" s="60"/>
    </row>
    <row r="560" spans="2:103" x14ac:dyDescent="0.25">
      <c r="B560" s="42" t="s">
        <v>308</v>
      </c>
      <c r="C560" s="42"/>
      <c r="D560" s="42"/>
      <c r="E560" s="42"/>
      <c r="F560" s="42"/>
      <c r="G560" s="42"/>
      <c r="H560" s="42"/>
      <c r="I560" s="42"/>
      <c r="J560" s="42"/>
      <c r="K560" s="42"/>
      <c r="L560" s="42"/>
      <c r="M560" s="42"/>
      <c r="N560" s="42"/>
      <c r="O560" s="42"/>
      <c r="P560" s="42"/>
      <c r="Q560" s="42"/>
      <c r="R560" s="42"/>
      <c r="S560" s="24">
        <v>418</v>
      </c>
      <c r="T560" s="24">
        <v>80</v>
      </c>
      <c r="U560" s="24">
        <v>215</v>
      </c>
      <c r="V560" s="24">
        <v>455</v>
      </c>
      <c r="W560" s="24">
        <v>561</v>
      </c>
      <c r="X560" s="24">
        <v>-69</v>
      </c>
      <c r="Y560" s="24">
        <v>19</v>
      </c>
      <c r="Z560" s="24">
        <v>584</v>
      </c>
      <c r="AA560" s="24">
        <v>606</v>
      </c>
      <c r="AB560" s="24">
        <v>-4</v>
      </c>
      <c r="AC560" s="24">
        <v>45</v>
      </c>
      <c r="AD560" s="24">
        <v>749</v>
      </c>
      <c r="AE560" s="24">
        <v>774</v>
      </c>
      <c r="AF560" s="24">
        <v>-9</v>
      </c>
      <c r="AG560" s="24">
        <v>13</v>
      </c>
      <c r="AH560" s="24">
        <v>792</v>
      </c>
      <c r="AI560" s="24">
        <v>338</v>
      </c>
      <c r="AJ560" s="24">
        <v>294</v>
      </c>
      <c r="AK560" s="24">
        <v>276</v>
      </c>
      <c r="AL560" s="24">
        <v>233</v>
      </c>
      <c r="AM560" s="24">
        <v>452</v>
      </c>
      <c r="AN560" s="24">
        <v>303</v>
      </c>
      <c r="AO560" s="24">
        <v>400</v>
      </c>
      <c r="AP560" s="24">
        <v>440</v>
      </c>
      <c r="AQ560" s="24">
        <v>508</v>
      </c>
      <c r="AR560" s="24">
        <v>189</v>
      </c>
      <c r="AS560" s="24">
        <v>297</v>
      </c>
      <c r="AT560" s="24">
        <v>233</v>
      </c>
      <c r="AU560" s="24">
        <v>427</v>
      </c>
      <c r="AV560" s="24">
        <v>434</v>
      </c>
      <c r="AW560" s="24">
        <v>248</v>
      </c>
      <c r="AX560" s="24">
        <v>506</v>
      </c>
      <c r="AY560" s="24">
        <v>555</v>
      </c>
      <c r="AZ560" s="24">
        <v>554</v>
      </c>
      <c r="BA560" s="24">
        <v>411</v>
      </c>
      <c r="BB560" s="24">
        <v>348</v>
      </c>
      <c r="BC560" s="24">
        <v>630</v>
      </c>
      <c r="BD560" s="24">
        <v>462</v>
      </c>
      <c r="BE560" s="24">
        <v>447</v>
      </c>
      <c r="BF560" s="24">
        <v>383</v>
      </c>
      <c r="BG560" s="24">
        <v>444</v>
      </c>
      <c r="BH560" s="146" t="e">
        <v>#NAME?</v>
      </c>
      <c r="BI560" s="146" t="e">
        <v>#NAME?</v>
      </c>
      <c r="BJ560" s="146" t="e">
        <v>#NAME?</v>
      </c>
      <c r="BK560" s="146" t="e">
        <v>#NAME?</v>
      </c>
      <c r="BL560" s="146" t="e">
        <v>#NAME?</v>
      </c>
      <c r="BM560" s="146" t="e">
        <v>#NAME?</v>
      </c>
      <c r="BN560" s="146" t="e">
        <v>#NAME?</v>
      </c>
      <c r="BO560" s="146" t="e">
        <v>#NAME?</v>
      </c>
      <c r="BP560" s="146" t="e">
        <v>#NAME?</v>
      </c>
      <c r="BQ560" s="146" t="e">
        <v>#NAME?</v>
      </c>
      <c r="BR560" s="146" t="e">
        <v>#NAME?</v>
      </c>
      <c r="BS560" s="146" t="e">
        <v>#NAME?</v>
      </c>
      <c r="BT560" s="146" t="e">
        <v>#NAME?</v>
      </c>
      <c r="BU560" s="146" t="e">
        <v>#NAME?</v>
      </c>
      <c r="BV560" s="146" t="e">
        <v>#NAME?</v>
      </c>
      <c r="BW560" s="146" t="e">
        <v>#NAME?</v>
      </c>
      <c r="BX560" s="146" t="e">
        <v>#NAME?</v>
      </c>
      <c r="BY560" s="146" t="e">
        <v>#NAME?</v>
      </c>
      <c r="BZ560" s="146" t="e">
        <v>#NAME?</v>
      </c>
      <c r="CA560" s="146" t="e">
        <v>#NAME?</v>
      </c>
      <c r="CB560" s="146" t="e">
        <v>#NAME?</v>
      </c>
      <c r="CC560" s="146" t="e">
        <v>#NAME?</v>
      </c>
      <c r="CD560" s="146" t="e">
        <v>#NAME?</v>
      </c>
      <c r="CF560" s="24" t="s">
        <v>336</v>
      </c>
      <c r="CG560" s="24" t="s">
        <v>336</v>
      </c>
      <c r="CH560" s="24">
        <v>385</v>
      </c>
      <c r="CI560" s="24">
        <v>260</v>
      </c>
      <c r="CJ560" s="24">
        <v>1168</v>
      </c>
      <c r="CK560" s="24">
        <v>1095</v>
      </c>
      <c r="CL560" s="24">
        <v>1396</v>
      </c>
      <c r="CM560" s="24">
        <v>1570</v>
      </c>
      <c r="CN560" s="24">
        <v>1141</v>
      </c>
      <c r="CO560" s="24">
        <v>1595</v>
      </c>
      <c r="CP560" s="24">
        <v>1227</v>
      </c>
      <c r="CQ560" s="24">
        <v>1615</v>
      </c>
      <c r="CR560" s="24">
        <v>1868</v>
      </c>
      <c r="CS560" s="24">
        <v>1922</v>
      </c>
      <c r="CT560" s="146" t="e">
        <v>#NAME?</v>
      </c>
      <c r="CU560" s="146" t="e">
        <v>#NAME?</v>
      </c>
      <c r="CV560" s="146" t="e">
        <v>#NAME?</v>
      </c>
      <c r="CW560" s="146" t="e">
        <v>#NAME?</v>
      </c>
      <c r="CX560" s="146" t="e">
        <v>#NAME?</v>
      </c>
    </row>
    <row r="561" spans="2:174" x14ac:dyDescent="0.25">
      <c r="B561" s="42" t="s">
        <v>364</v>
      </c>
      <c r="C561" s="42"/>
      <c r="D561" s="42"/>
      <c r="E561" s="42"/>
      <c r="F561" s="42"/>
      <c r="G561" s="42"/>
      <c r="H561" s="42"/>
      <c r="I561" s="42"/>
      <c r="J561" s="42"/>
      <c r="K561" s="42"/>
      <c r="L561" s="42"/>
      <c r="M561" s="42"/>
      <c r="N561" s="42"/>
      <c r="O561" s="42"/>
      <c r="P561" s="42"/>
      <c r="Q561" s="42"/>
      <c r="R561" s="42"/>
      <c r="S561" s="24">
        <v>141</v>
      </c>
      <c r="T561" s="24">
        <v>365</v>
      </c>
      <c r="U561" s="24">
        <v>572</v>
      </c>
      <c r="V561" s="24">
        <v>218</v>
      </c>
      <c r="W561" s="24">
        <v>109</v>
      </c>
      <c r="X561" s="24">
        <v>320</v>
      </c>
      <c r="Y561" s="24">
        <v>808</v>
      </c>
      <c r="Z561" s="24">
        <v>260</v>
      </c>
      <c r="AA561" s="24">
        <v>80</v>
      </c>
      <c r="AB561" s="24">
        <v>257</v>
      </c>
      <c r="AC561" s="24">
        <v>1034</v>
      </c>
      <c r="AD561" s="24">
        <v>367</v>
      </c>
      <c r="AE561" s="24">
        <v>149</v>
      </c>
      <c r="AF561" s="24">
        <v>275</v>
      </c>
      <c r="AG561" s="24">
        <v>889</v>
      </c>
      <c r="AH561" s="24">
        <v>540</v>
      </c>
      <c r="AI561" s="24">
        <v>76</v>
      </c>
      <c r="AJ561" s="24">
        <v>349</v>
      </c>
      <c r="AK561" s="24">
        <v>727</v>
      </c>
      <c r="AL561" s="24">
        <v>496</v>
      </c>
      <c r="AM561" s="24">
        <v>106</v>
      </c>
      <c r="AN561" s="24">
        <v>370</v>
      </c>
      <c r="AO561" s="24">
        <v>931</v>
      </c>
      <c r="AP561" s="24">
        <v>409</v>
      </c>
      <c r="AQ561" s="24">
        <v>546</v>
      </c>
      <c r="AR561" s="24">
        <v>67</v>
      </c>
      <c r="AS561" s="24">
        <v>1140</v>
      </c>
      <c r="AT561" s="24">
        <v>504</v>
      </c>
      <c r="AU561" s="24">
        <v>399</v>
      </c>
      <c r="AV561" s="24">
        <v>660</v>
      </c>
      <c r="AW561" s="24">
        <v>1270</v>
      </c>
      <c r="AX561" s="24">
        <v>654</v>
      </c>
      <c r="AY561" s="24">
        <v>281</v>
      </c>
      <c r="AZ561" s="24">
        <v>626</v>
      </c>
      <c r="BA561" s="24">
        <v>1089</v>
      </c>
      <c r="BB561" s="24">
        <v>768</v>
      </c>
      <c r="BC561" s="24">
        <v>458</v>
      </c>
      <c r="BD561" s="24">
        <v>562</v>
      </c>
      <c r="BE561" s="24">
        <v>1056</v>
      </c>
      <c r="BF561" s="24">
        <v>580</v>
      </c>
      <c r="BG561" s="24">
        <v>222</v>
      </c>
      <c r="BH561" s="146" t="e">
        <v>#NAME?</v>
      </c>
      <c r="BI561" s="146" t="e">
        <v>#NAME?</v>
      </c>
      <c r="BJ561" s="146" t="e">
        <v>#NAME?</v>
      </c>
      <c r="BK561" s="146" t="e">
        <v>#NAME?</v>
      </c>
      <c r="BL561" s="146" t="e">
        <v>#NAME?</v>
      </c>
      <c r="BM561" s="146" t="e">
        <v>#NAME?</v>
      </c>
      <c r="BN561" s="146" t="e">
        <v>#NAME?</v>
      </c>
      <c r="BO561" s="146" t="e">
        <v>#NAME?</v>
      </c>
      <c r="BP561" s="146" t="e">
        <v>#NAME?</v>
      </c>
      <c r="BQ561" s="146" t="e">
        <v>#NAME?</v>
      </c>
      <c r="BR561" s="146" t="e">
        <v>#NAME?</v>
      </c>
      <c r="BS561" s="146" t="e">
        <v>#NAME?</v>
      </c>
      <c r="BT561" s="146" t="e">
        <v>#NAME?</v>
      </c>
      <c r="BU561" s="146" t="e">
        <v>#NAME?</v>
      </c>
      <c r="BV561" s="146" t="e">
        <v>#NAME?</v>
      </c>
      <c r="BW561" s="146" t="e">
        <v>#NAME?</v>
      </c>
      <c r="BX561" s="146" t="e">
        <v>#NAME?</v>
      </c>
      <c r="BY561" s="146" t="e">
        <v>#NAME?</v>
      </c>
      <c r="BZ561" s="146" t="e">
        <v>#NAME?</v>
      </c>
      <c r="CA561" s="146" t="e">
        <v>#NAME?</v>
      </c>
      <c r="CB561" s="146" t="e">
        <v>#NAME?</v>
      </c>
      <c r="CC561" s="146" t="e">
        <v>#NAME?</v>
      </c>
      <c r="CD561" s="146" t="e">
        <v>#NAME?</v>
      </c>
      <c r="CF561" s="24" t="s">
        <v>336</v>
      </c>
      <c r="CG561" s="24" t="s">
        <v>336</v>
      </c>
      <c r="CH561" s="24">
        <v>631</v>
      </c>
      <c r="CI561" s="24">
        <v>944</v>
      </c>
      <c r="CJ561" s="24">
        <v>1296</v>
      </c>
      <c r="CK561" s="24">
        <v>1497</v>
      </c>
      <c r="CL561" s="24">
        <v>1738</v>
      </c>
      <c r="CM561" s="24">
        <v>1853</v>
      </c>
      <c r="CN561" s="24">
        <v>1648</v>
      </c>
      <c r="CO561" s="24">
        <v>1816</v>
      </c>
      <c r="CP561" s="24">
        <v>2257</v>
      </c>
      <c r="CQ561" s="24">
        <v>2983</v>
      </c>
      <c r="CR561" s="24">
        <v>2764</v>
      </c>
      <c r="CS561" s="24">
        <v>2656</v>
      </c>
      <c r="CT561" s="146" t="e">
        <v>#NAME?</v>
      </c>
      <c r="CU561" s="146" t="e">
        <v>#NAME?</v>
      </c>
      <c r="CV561" s="146" t="e">
        <v>#NAME?</v>
      </c>
      <c r="CW561" s="146" t="e">
        <v>#NAME?</v>
      </c>
      <c r="CX561" s="146" t="e">
        <v>#NAME?</v>
      </c>
    </row>
    <row r="562" spans="2:174" x14ac:dyDescent="0.25">
      <c r="B562" s="37"/>
      <c r="C562" s="37"/>
      <c r="D562" s="37"/>
      <c r="E562" s="37"/>
      <c r="F562" s="37"/>
      <c r="G562" s="37"/>
      <c r="H562" s="37"/>
      <c r="I562" s="37"/>
      <c r="J562" s="37"/>
      <c r="K562" s="37"/>
      <c r="L562" s="37"/>
      <c r="M562" s="37"/>
      <c r="N562" s="37"/>
      <c r="O562" s="37"/>
      <c r="P562" s="37"/>
      <c r="Q562" s="37"/>
      <c r="R562" s="37"/>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146"/>
      <c r="BI562" s="146"/>
      <c r="BJ562" s="146"/>
      <c r="BK562" s="146"/>
      <c r="BL562" s="146"/>
      <c r="BM562" s="146"/>
      <c r="BN562" s="146"/>
      <c r="BO562" s="146"/>
      <c r="BP562" s="146"/>
      <c r="BQ562" s="146"/>
      <c r="BR562" s="146"/>
      <c r="BS562" s="146"/>
      <c r="BT562" s="146"/>
      <c r="BU562" s="146"/>
      <c r="BV562" s="146"/>
      <c r="BW562" s="146"/>
      <c r="BX562" s="146"/>
      <c r="BY562" s="146"/>
      <c r="BZ562" s="146"/>
      <c r="CA562" s="146"/>
      <c r="CB562" s="146"/>
      <c r="CC562" s="146"/>
      <c r="CD562" s="146"/>
      <c r="CF562" s="24"/>
      <c r="CG562" s="24"/>
      <c r="CH562" s="24"/>
      <c r="CI562" s="24"/>
      <c r="CJ562" s="24"/>
      <c r="CK562" s="24"/>
      <c r="CL562" s="24"/>
      <c r="CM562" s="24"/>
      <c r="CN562" s="24"/>
      <c r="CO562" s="24"/>
      <c r="CP562" s="24"/>
      <c r="CQ562" s="24"/>
      <c r="CR562" s="24"/>
      <c r="CS562" s="24"/>
      <c r="CT562" s="146"/>
      <c r="CU562" s="146"/>
      <c r="CV562" s="146"/>
      <c r="CW562" s="146"/>
      <c r="CX562" s="146"/>
    </row>
    <row r="563" spans="2:174" x14ac:dyDescent="0.25">
      <c r="B563" s="189" t="s">
        <v>365</v>
      </c>
      <c r="C563" s="189"/>
      <c r="D563" s="189"/>
      <c r="E563" s="189"/>
      <c r="F563" s="189"/>
      <c r="G563" s="189"/>
      <c r="H563" s="189"/>
      <c r="I563" s="189"/>
      <c r="J563" s="189"/>
      <c r="K563" s="189"/>
      <c r="L563" s="189"/>
      <c r="M563" s="189"/>
      <c r="N563" s="189"/>
      <c r="O563" s="189"/>
      <c r="P563" s="189"/>
      <c r="Q563" s="189"/>
      <c r="R563" s="189"/>
      <c r="BG563" s="60"/>
      <c r="CF563" s="60"/>
      <c r="CG563" s="60"/>
      <c r="CH563" s="60"/>
      <c r="CI563" s="60"/>
      <c r="CJ563" s="60"/>
      <c r="CK563" s="60"/>
      <c r="CL563" s="60"/>
      <c r="CM563" s="60"/>
      <c r="CN563" s="60"/>
      <c r="CO563" s="60"/>
      <c r="CP563" s="60"/>
      <c r="CQ563" s="60"/>
      <c r="CR563" s="60"/>
      <c r="CS563" s="60"/>
    </row>
    <row r="564" spans="2:174" x14ac:dyDescent="0.25">
      <c r="B564" t="s">
        <v>366</v>
      </c>
      <c r="S564" s="24">
        <v>61</v>
      </c>
      <c r="T564" s="24">
        <v>232</v>
      </c>
      <c r="U564" s="24">
        <v>388</v>
      </c>
      <c r="V564" s="24">
        <v>125</v>
      </c>
      <c r="W564" s="24">
        <v>49</v>
      </c>
      <c r="X564" s="24">
        <v>212</v>
      </c>
      <c r="Y564" s="24">
        <v>596</v>
      </c>
      <c r="Z564" s="24">
        <v>161</v>
      </c>
      <c r="AA564" s="24">
        <v>22</v>
      </c>
      <c r="AB564" s="24">
        <v>165.11</v>
      </c>
      <c r="AC564" s="24">
        <v>776.57</v>
      </c>
      <c r="AD564" s="24">
        <v>263.86</v>
      </c>
      <c r="AE564" s="24">
        <v>97.96</v>
      </c>
      <c r="AF564" s="24">
        <v>194.34</v>
      </c>
      <c r="AG564" s="24">
        <v>679.4</v>
      </c>
      <c r="AH564" s="24">
        <v>396.58</v>
      </c>
      <c r="AI564" s="24">
        <v>46.74</v>
      </c>
      <c r="AJ564" s="24">
        <v>271.42</v>
      </c>
      <c r="AK564" s="24">
        <v>587.12</v>
      </c>
      <c r="AL564" s="24">
        <v>395.24</v>
      </c>
      <c r="AM564" s="24">
        <v>73.8</v>
      </c>
      <c r="AN564" s="24">
        <v>287.82</v>
      </c>
      <c r="AO564" s="24">
        <v>742.1</v>
      </c>
      <c r="AP564" s="24">
        <v>314.06</v>
      </c>
      <c r="AQ564" s="24">
        <v>414.92</v>
      </c>
      <c r="AR564" s="24">
        <v>13.94</v>
      </c>
      <c r="AS564" s="24">
        <v>892.16</v>
      </c>
      <c r="AT564" s="24">
        <v>357.52</v>
      </c>
      <c r="AU564" s="24">
        <v>229.6</v>
      </c>
      <c r="AV564" s="24">
        <v>452.64</v>
      </c>
      <c r="AW564" s="24">
        <v>912.66</v>
      </c>
      <c r="AX564" s="24">
        <v>413.28</v>
      </c>
      <c r="AY564" s="24">
        <v>131.22</v>
      </c>
      <c r="AZ564" s="24">
        <v>404.19</v>
      </c>
      <c r="BA564" s="24">
        <v>777.6</v>
      </c>
      <c r="BB564" s="24">
        <v>486.81</v>
      </c>
      <c r="BC564" s="24">
        <v>311.04000000000002</v>
      </c>
      <c r="BD564" s="24">
        <v>397.71</v>
      </c>
      <c r="BE564" s="24">
        <v>802.71</v>
      </c>
      <c r="BF564" s="24">
        <v>370.17</v>
      </c>
      <c r="BG564" s="24">
        <v>139.32</v>
      </c>
      <c r="BH564" s="24" t="e">
        <f t="shared" ref="BH564:CD564" si="764">+BH552</f>
        <v>#NAME?</v>
      </c>
      <c r="BI564" s="24" t="e">
        <f t="shared" si="764"/>
        <v>#NAME?</v>
      </c>
      <c r="BJ564" s="24" t="e">
        <f t="shared" si="764"/>
        <v>#NAME?</v>
      </c>
      <c r="BK564" s="24" t="e">
        <f t="shared" si="764"/>
        <v>#NAME?</v>
      </c>
      <c r="BL564" s="24" t="e">
        <f t="shared" si="764"/>
        <v>#NAME?</v>
      </c>
      <c r="BM564" s="24" t="e">
        <f t="shared" si="764"/>
        <v>#NAME?</v>
      </c>
      <c r="BN564" s="24" t="e">
        <f t="shared" si="764"/>
        <v>#NAME?</v>
      </c>
      <c r="BO564" s="24" t="e">
        <f t="shared" si="764"/>
        <v>#NAME?</v>
      </c>
      <c r="BP564" s="24" t="e">
        <f t="shared" si="764"/>
        <v>#NAME?</v>
      </c>
      <c r="BQ564" s="24" t="e">
        <f t="shared" si="764"/>
        <v>#NAME?</v>
      </c>
      <c r="BR564" s="24" t="e">
        <f t="shared" si="764"/>
        <v>#NAME?</v>
      </c>
      <c r="BS564" s="24" t="e">
        <f t="shared" si="764"/>
        <v>#NAME?</v>
      </c>
      <c r="BT564" s="24" t="e">
        <f t="shared" si="764"/>
        <v>#NAME?</v>
      </c>
      <c r="BU564" s="24" t="e">
        <f t="shared" si="764"/>
        <v>#NAME?</v>
      </c>
      <c r="BV564" s="24" t="e">
        <f t="shared" si="764"/>
        <v>#NAME?</v>
      </c>
      <c r="BW564" s="24" t="e">
        <f t="shared" si="764"/>
        <v>#NAME?</v>
      </c>
      <c r="BX564" s="24" t="e">
        <f t="shared" si="764"/>
        <v>#NAME?</v>
      </c>
      <c r="BY564" s="24" t="e">
        <f t="shared" si="764"/>
        <v>#NAME?</v>
      </c>
      <c r="BZ564" s="24" t="e">
        <f t="shared" si="764"/>
        <v>#NAME?</v>
      </c>
      <c r="CA564" s="24" t="e">
        <f t="shared" si="764"/>
        <v>#NAME?</v>
      </c>
      <c r="CB564" s="24" t="e">
        <f t="shared" si="764"/>
        <v>#NAME?</v>
      </c>
      <c r="CC564" s="24" t="e">
        <f t="shared" si="764"/>
        <v>#NAME?</v>
      </c>
      <c r="CD564" s="24" t="e">
        <f t="shared" si="764"/>
        <v>#NAME?</v>
      </c>
      <c r="CF564" s="24" t="s">
        <v>336</v>
      </c>
      <c r="CG564" s="24" t="s">
        <v>336</v>
      </c>
      <c r="CH564" s="24">
        <v>264</v>
      </c>
      <c r="CI564" s="24">
        <v>534</v>
      </c>
      <c r="CJ564" s="24">
        <v>806</v>
      </c>
      <c r="CK564" s="24">
        <v>1018</v>
      </c>
      <c r="CL564" s="24">
        <v>1227.54</v>
      </c>
      <c r="CM564" s="24">
        <v>1368.28</v>
      </c>
      <c r="CN564" s="24">
        <v>1300.52</v>
      </c>
      <c r="CO564" s="24">
        <v>1417.78</v>
      </c>
      <c r="CP564" s="24">
        <v>1678.54</v>
      </c>
      <c r="CQ564" s="24">
        <v>2157</v>
      </c>
      <c r="CR564" s="24">
        <v>1799.82</v>
      </c>
      <c r="CS564" s="24">
        <v>1881.63</v>
      </c>
      <c r="CT564" s="24" t="e">
        <f t="shared" ref="CT564:CX564" si="765">+CT552</f>
        <v>#NAME?</v>
      </c>
      <c r="CU564" s="24" t="e">
        <f t="shared" si="765"/>
        <v>#NAME?</v>
      </c>
      <c r="CV564" s="24" t="e">
        <f t="shared" si="765"/>
        <v>#NAME?</v>
      </c>
      <c r="CW564" s="24" t="e">
        <f t="shared" si="765"/>
        <v>#NAME?</v>
      </c>
      <c r="CX564" s="24" t="e">
        <f t="shared" si="765"/>
        <v>#NAME?</v>
      </c>
    </row>
    <row r="565" spans="2:174" x14ac:dyDescent="0.25">
      <c r="B565" s="214" t="s">
        <v>367</v>
      </c>
      <c r="C565" s="214"/>
      <c r="D565" s="214"/>
      <c r="E565" s="214"/>
      <c r="F565" s="214"/>
      <c r="G565" s="214"/>
      <c r="H565" s="214"/>
      <c r="I565" s="214"/>
      <c r="J565" s="214"/>
      <c r="K565" s="214"/>
      <c r="L565" s="214"/>
      <c r="M565" s="214"/>
      <c r="N565" s="214"/>
      <c r="O565" s="214"/>
      <c r="P565" s="214"/>
      <c r="Q565" s="214"/>
      <c r="R565" s="21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146"/>
      <c r="BI565" s="146"/>
      <c r="BJ565" s="146"/>
      <c r="BK565" s="146"/>
      <c r="BL565" s="146"/>
      <c r="BM565" s="146"/>
      <c r="BN565" s="146"/>
      <c r="BO565" s="146"/>
      <c r="BP565" s="146"/>
      <c r="BQ565" s="146"/>
      <c r="BR565" s="146"/>
      <c r="BS565" s="146"/>
      <c r="BT565" s="146"/>
      <c r="BU565" s="146"/>
      <c r="BV565" s="146"/>
      <c r="BW565" s="146"/>
      <c r="BX565" s="146"/>
      <c r="BY565" s="146"/>
      <c r="BZ565" s="146"/>
      <c r="CA565" s="146"/>
      <c r="CB565" s="146"/>
      <c r="CC565" s="146"/>
      <c r="CD565" s="146"/>
      <c r="CF565" s="24"/>
      <c r="CG565" s="24"/>
      <c r="CH565" s="24"/>
      <c r="CI565" s="24"/>
      <c r="CJ565" s="24"/>
      <c r="CK565" s="24"/>
      <c r="CL565" s="24"/>
      <c r="CM565" s="24"/>
      <c r="CN565" s="24"/>
      <c r="CO565" s="24"/>
      <c r="CP565" s="24"/>
      <c r="CQ565" s="24"/>
      <c r="CR565" s="24"/>
      <c r="CS565" s="24"/>
      <c r="CT565" s="146"/>
      <c r="CU565" s="146"/>
      <c r="CV565" s="146"/>
      <c r="CW565" s="146"/>
      <c r="CX565" s="146"/>
    </row>
    <row r="566" spans="2:174" x14ac:dyDescent="0.25">
      <c r="B566" s="37" t="s">
        <v>368</v>
      </c>
      <c r="C566" s="37"/>
      <c r="D566" s="37"/>
      <c r="E566" s="37"/>
      <c r="F566" s="37"/>
      <c r="G566" s="37"/>
      <c r="H566" s="37"/>
      <c r="I566" s="37"/>
      <c r="J566" s="37"/>
      <c r="K566" s="37"/>
      <c r="L566" s="37"/>
      <c r="M566" s="37"/>
      <c r="N566" s="37"/>
      <c r="O566" s="37"/>
      <c r="P566" s="37"/>
      <c r="Q566" s="37"/>
      <c r="R566" s="37"/>
      <c r="S566" s="24">
        <v>56</v>
      </c>
      <c r="T566" s="24">
        <v>56</v>
      </c>
      <c r="U566" s="24">
        <v>53</v>
      </c>
      <c r="V566" s="24">
        <v>55</v>
      </c>
      <c r="W566" s="24">
        <v>49</v>
      </c>
      <c r="X566" s="24">
        <v>50</v>
      </c>
      <c r="Y566" s="24">
        <v>50</v>
      </c>
      <c r="Z566" s="24">
        <v>48</v>
      </c>
      <c r="AA566" s="24">
        <v>46</v>
      </c>
      <c r="AB566" s="24">
        <v>45</v>
      </c>
      <c r="AC566" s="24">
        <v>49</v>
      </c>
      <c r="AD566" s="24">
        <v>32</v>
      </c>
      <c r="AE566" s="24">
        <v>31</v>
      </c>
      <c r="AF566" s="24">
        <v>32</v>
      </c>
      <c r="AG566" s="24">
        <v>34</v>
      </c>
      <c r="AH566" s="24">
        <v>39</v>
      </c>
      <c r="AI566" s="24">
        <v>38</v>
      </c>
      <c r="AJ566" s="24">
        <v>36</v>
      </c>
      <c r="AK566" s="24">
        <v>34</v>
      </c>
      <c r="AL566" s="24">
        <v>37</v>
      </c>
      <c r="AM566" s="24">
        <v>37</v>
      </c>
      <c r="AN566" s="24">
        <v>35</v>
      </c>
      <c r="AO566" s="24">
        <v>39</v>
      </c>
      <c r="AP566" s="24">
        <v>39</v>
      </c>
      <c r="AQ566" s="24">
        <v>37</v>
      </c>
      <c r="AR566" s="24">
        <v>40</v>
      </c>
      <c r="AS566" s="24">
        <v>46</v>
      </c>
      <c r="AT566" s="24">
        <v>58</v>
      </c>
      <c r="AU566" s="24">
        <v>105</v>
      </c>
      <c r="AV566" s="24">
        <v>94</v>
      </c>
      <c r="AW566" s="24">
        <v>146</v>
      </c>
      <c r="AX566" s="24">
        <v>141</v>
      </c>
      <c r="AY566" s="24">
        <v>114</v>
      </c>
      <c r="AZ566" s="24">
        <v>127</v>
      </c>
      <c r="BA566" s="24">
        <v>122</v>
      </c>
      <c r="BB566" s="24">
        <v>173</v>
      </c>
      <c r="BC566" s="24">
        <v>88</v>
      </c>
      <c r="BD566" s="24">
        <v>85</v>
      </c>
      <c r="BE566" s="24">
        <v>82</v>
      </c>
      <c r="BF566" s="24">
        <v>149</v>
      </c>
      <c r="BG566" s="24">
        <v>80</v>
      </c>
      <c r="BH566" s="146">
        <v>80</v>
      </c>
      <c r="BI566" s="146" t="e">
        <v>#NAME?</v>
      </c>
      <c r="BJ566" s="146" t="e">
        <v>#NAME?</v>
      </c>
      <c r="BK566" s="146" t="e">
        <v>#NAME?</v>
      </c>
      <c r="BL566" s="146" t="e">
        <v>#NAME?</v>
      </c>
      <c r="BM566" s="146" t="e">
        <v>#NAME?</v>
      </c>
      <c r="BN566" s="146" t="e">
        <v>#NAME?</v>
      </c>
      <c r="BO566" s="146" t="e">
        <v>#NAME?</v>
      </c>
      <c r="BP566" s="146" t="e">
        <v>#NAME?</v>
      </c>
      <c r="BQ566" s="146" t="e">
        <v>#NAME?</v>
      </c>
      <c r="BR566" s="146" t="e">
        <v>#NAME?</v>
      </c>
      <c r="BS566" s="146" t="e">
        <v>#NAME?</v>
      </c>
      <c r="BT566" s="146" t="e">
        <v>#NAME?</v>
      </c>
      <c r="BU566" s="146" t="e">
        <v>#NAME?</v>
      </c>
      <c r="BV566" s="146" t="e">
        <v>#NAME?</v>
      </c>
      <c r="BW566" s="146" t="e">
        <v>#NAME?</v>
      </c>
      <c r="BX566" s="146" t="e">
        <v>#NAME?</v>
      </c>
      <c r="BY566" s="146" t="e">
        <v>#NAME?</v>
      </c>
      <c r="BZ566" s="146" t="e">
        <v>#NAME?</v>
      </c>
      <c r="CA566" s="146" t="e">
        <v>#NAME?</v>
      </c>
      <c r="CB566" s="146" t="e">
        <v>#NAME?</v>
      </c>
      <c r="CC566" s="146" t="e">
        <v>#NAME?</v>
      </c>
      <c r="CD566" s="146" t="e">
        <v>#NAME?</v>
      </c>
      <c r="CF566" s="24" t="s">
        <v>336</v>
      </c>
      <c r="CG566" s="24" t="s">
        <v>336</v>
      </c>
      <c r="CH566" s="24">
        <v>264</v>
      </c>
      <c r="CI566" s="24">
        <v>227</v>
      </c>
      <c r="CJ566" s="24">
        <v>220</v>
      </c>
      <c r="CK566" s="24">
        <v>197</v>
      </c>
      <c r="CL566" s="24">
        <v>172</v>
      </c>
      <c r="CM566" s="24">
        <v>136</v>
      </c>
      <c r="CN566" s="24">
        <v>145</v>
      </c>
      <c r="CO566" s="24">
        <v>150</v>
      </c>
      <c r="CP566" s="24">
        <v>181</v>
      </c>
      <c r="CQ566" s="24">
        <v>486</v>
      </c>
      <c r="CR566" s="24">
        <v>536</v>
      </c>
      <c r="CS566" s="24">
        <v>404</v>
      </c>
      <c r="CT566" s="146" t="e">
        <v>#NAME?</v>
      </c>
      <c r="CU566" s="146" t="e">
        <v>#NAME?</v>
      </c>
      <c r="CV566" s="146" t="e">
        <v>#NAME?</v>
      </c>
      <c r="CW566" s="146" t="e">
        <v>#NAME?</v>
      </c>
      <c r="CX566" s="146" t="e">
        <v>#NAME?</v>
      </c>
    </row>
    <row r="567" spans="2:174" x14ac:dyDescent="0.25">
      <c r="B567" s="37" t="s">
        <v>369</v>
      </c>
      <c r="C567" s="37"/>
      <c r="D567" s="37"/>
      <c r="E567" s="37"/>
      <c r="F567" s="37"/>
      <c r="G567" s="37"/>
      <c r="H567" s="37"/>
      <c r="I567" s="37"/>
      <c r="J567" s="37"/>
      <c r="K567" s="37"/>
      <c r="L567" s="37"/>
      <c r="M567" s="37"/>
      <c r="N567" s="37"/>
      <c r="O567" s="37"/>
      <c r="P567" s="37"/>
      <c r="Q567" s="37"/>
      <c r="R567" s="37"/>
      <c r="S567" s="24">
        <v>29</v>
      </c>
      <c r="T567" s="24">
        <v>40</v>
      </c>
      <c r="U567" s="24">
        <v>39</v>
      </c>
      <c r="V567" s="24">
        <v>36</v>
      </c>
      <c r="W567" s="24">
        <v>45</v>
      </c>
      <c r="X567" s="24">
        <v>44</v>
      </c>
      <c r="Y567" s="24">
        <v>42</v>
      </c>
      <c r="Z567" s="24">
        <v>47</v>
      </c>
      <c r="AA567" s="24">
        <v>48</v>
      </c>
      <c r="AB567" s="24">
        <v>48</v>
      </c>
      <c r="AC567" s="24">
        <v>48</v>
      </c>
      <c r="AD567" s="24">
        <v>52</v>
      </c>
      <c r="AE567" s="24">
        <v>48</v>
      </c>
      <c r="AF567" s="24">
        <v>62</v>
      </c>
      <c r="AG567" s="24">
        <v>63</v>
      </c>
      <c r="AH567" s="24">
        <v>69</v>
      </c>
      <c r="AI567" s="24">
        <v>70</v>
      </c>
      <c r="AJ567" s="24">
        <v>66</v>
      </c>
      <c r="AK567" s="24">
        <v>75</v>
      </c>
      <c r="AL567" s="24">
        <v>73</v>
      </c>
      <c r="AM567" s="24">
        <v>73</v>
      </c>
      <c r="AN567" s="24">
        <v>92</v>
      </c>
      <c r="AO567" s="24">
        <v>91</v>
      </c>
      <c r="AP567" s="24">
        <v>91</v>
      </c>
      <c r="AQ567" s="24">
        <v>102</v>
      </c>
      <c r="AR567" s="24">
        <v>113</v>
      </c>
      <c r="AS567" s="24">
        <v>111</v>
      </c>
      <c r="AT567" s="24">
        <v>109</v>
      </c>
      <c r="AU567" s="24">
        <v>125</v>
      </c>
      <c r="AV567" s="24">
        <v>149</v>
      </c>
      <c r="AW567" s="24">
        <v>129</v>
      </c>
      <c r="AX567" s="24">
        <v>125</v>
      </c>
      <c r="AY567" s="24">
        <v>125</v>
      </c>
      <c r="AZ567" s="24">
        <v>140</v>
      </c>
      <c r="BA567" s="24">
        <v>141</v>
      </c>
      <c r="BB567" s="24">
        <v>142</v>
      </c>
      <c r="BC567" s="24">
        <v>130</v>
      </c>
      <c r="BD567" s="24">
        <v>155</v>
      </c>
      <c r="BE567" s="24">
        <v>151</v>
      </c>
      <c r="BF567" s="24">
        <v>148</v>
      </c>
      <c r="BG567" s="24">
        <v>143</v>
      </c>
      <c r="BH567" s="146" t="e">
        <v>#NAME?</v>
      </c>
      <c r="BI567" s="146" t="e">
        <v>#NAME?</v>
      </c>
      <c r="BJ567" s="146" t="e">
        <v>#NAME?</v>
      </c>
      <c r="BK567" s="146" t="e">
        <v>#NAME?</v>
      </c>
      <c r="BL567" s="146" t="e">
        <v>#NAME?</v>
      </c>
      <c r="BM567" s="146" t="e">
        <v>#NAME?</v>
      </c>
      <c r="BN567" s="146" t="e">
        <v>#NAME?</v>
      </c>
      <c r="BO567" s="146" t="e">
        <v>#NAME?</v>
      </c>
      <c r="BP567" s="146" t="e">
        <v>#NAME?</v>
      </c>
      <c r="BQ567" s="146" t="e">
        <v>#NAME?</v>
      </c>
      <c r="BR567" s="146" t="e">
        <v>#NAME?</v>
      </c>
      <c r="BS567" s="146" t="e">
        <v>#NAME?</v>
      </c>
      <c r="BT567" s="146" t="e">
        <v>#NAME?</v>
      </c>
      <c r="BU567" s="146" t="e">
        <v>#NAME?</v>
      </c>
      <c r="BV567" s="146" t="e">
        <v>#NAME?</v>
      </c>
      <c r="BW567" s="146" t="e">
        <v>#NAME?</v>
      </c>
      <c r="BX567" s="146" t="e">
        <v>#NAME?</v>
      </c>
      <c r="BY567" s="146" t="e">
        <v>#NAME?</v>
      </c>
      <c r="BZ567" s="146" t="e">
        <v>#NAME?</v>
      </c>
      <c r="CA567" s="146" t="e">
        <v>#NAME?</v>
      </c>
      <c r="CB567" s="146" t="e">
        <v>#NAME?</v>
      </c>
      <c r="CC567" s="146" t="e">
        <v>#NAME?</v>
      </c>
      <c r="CD567" s="146" t="e">
        <v>#NAME?</v>
      </c>
      <c r="CF567" s="24" t="s">
        <v>336</v>
      </c>
      <c r="CG567" s="24" t="s">
        <v>336</v>
      </c>
      <c r="CH567" s="24">
        <v>164</v>
      </c>
      <c r="CI567" s="24">
        <v>150</v>
      </c>
      <c r="CJ567" s="24">
        <v>144</v>
      </c>
      <c r="CK567" s="24">
        <v>178</v>
      </c>
      <c r="CL567" s="24">
        <v>196</v>
      </c>
      <c r="CM567" s="24">
        <v>242</v>
      </c>
      <c r="CN567" s="24">
        <v>284</v>
      </c>
      <c r="CO567" s="24">
        <v>347</v>
      </c>
      <c r="CP567" s="24">
        <v>435</v>
      </c>
      <c r="CQ567" s="24">
        <v>528</v>
      </c>
      <c r="CR567" s="24">
        <v>548</v>
      </c>
      <c r="CS567" s="24">
        <v>584</v>
      </c>
      <c r="CT567" s="146" t="e">
        <v>#NAME?</v>
      </c>
      <c r="CU567" s="146" t="e">
        <v>#NAME?</v>
      </c>
      <c r="CV567" s="146" t="e">
        <v>#NAME?</v>
      </c>
      <c r="CW567" s="146" t="e">
        <v>#NAME?</v>
      </c>
      <c r="CX567" s="146" t="e">
        <v>#NAME?</v>
      </c>
    </row>
    <row r="568" spans="2:174" x14ac:dyDescent="0.25">
      <c r="B568" s="37" t="s">
        <v>370</v>
      </c>
      <c r="C568" s="37"/>
      <c r="D568" s="37"/>
      <c r="E568" s="37"/>
      <c r="F568" s="37"/>
      <c r="G568" s="37"/>
      <c r="H568" s="37"/>
      <c r="I568" s="37"/>
      <c r="J568" s="37"/>
      <c r="K568" s="37"/>
      <c r="L568" s="37"/>
      <c r="M568" s="37"/>
      <c r="N568" s="37"/>
      <c r="O568" s="37"/>
      <c r="P568" s="37"/>
      <c r="Q568" s="37"/>
      <c r="R568" s="37"/>
      <c r="S568" s="24">
        <v>-1</v>
      </c>
      <c r="T568" s="24">
        <v>-1</v>
      </c>
      <c r="U568" s="24">
        <v>66</v>
      </c>
      <c r="V568" s="24">
        <v>-1</v>
      </c>
      <c r="W568" s="24">
        <v>3</v>
      </c>
      <c r="X568" s="24">
        <v>6</v>
      </c>
      <c r="Y568" s="24">
        <v>2</v>
      </c>
      <c r="Z568" s="24">
        <v>2</v>
      </c>
      <c r="AA568" s="24">
        <v>7</v>
      </c>
      <c r="AB568" s="24">
        <v>-24</v>
      </c>
      <c r="AC568" s="24">
        <v>15</v>
      </c>
      <c r="AD568" s="24" t="s">
        <v>336</v>
      </c>
      <c r="AE568" s="24" t="s">
        <v>336</v>
      </c>
      <c r="AF568" s="24" t="s">
        <v>336</v>
      </c>
      <c r="AG568" s="24" t="s">
        <v>336</v>
      </c>
      <c r="AH568" s="24" t="s">
        <v>336</v>
      </c>
      <c r="AI568" s="24" t="s">
        <v>336</v>
      </c>
      <c r="AJ568" s="24" t="s">
        <v>336</v>
      </c>
      <c r="AK568" s="24" t="s">
        <v>336</v>
      </c>
      <c r="AL568" s="24">
        <v>14</v>
      </c>
      <c r="AM568" s="24" t="s">
        <v>336</v>
      </c>
      <c r="AN568" s="24" t="s">
        <v>336</v>
      </c>
      <c r="AO568" s="24" t="s">
        <v>336</v>
      </c>
      <c r="AP568" s="24">
        <v>5</v>
      </c>
      <c r="AQ568" s="24" t="s">
        <v>336</v>
      </c>
      <c r="AR568" s="24" t="s">
        <v>336</v>
      </c>
      <c r="AS568" s="24" t="s">
        <v>336</v>
      </c>
      <c r="AT568" s="24" t="s">
        <v>336</v>
      </c>
      <c r="AU568" s="24" t="s">
        <v>336</v>
      </c>
      <c r="AV568" s="24" t="s">
        <v>336</v>
      </c>
      <c r="AW568" s="24" t="s">
        <v>336</v>
      </c>
      <c r="AX568" s="24" t="s">
        <v>336</v>
      </c>
      <c r="AY568" s="24" t="s">
        <v>336</v>
      </c>
      <c r="AZ568" s="24" t="s">
        <v>336</v>
      </c>
      <c r="BA568" s="24" t="s">
        <v>336</v>
      </c>
      <c r="BB568" s="24" t="s">
        <v>336</v>
      </c>
      <c r="BC568" s="24" t="s">
        <v>336</v>
      </c>
      <c r="BD568" s="24" t="s">
        <v>336</v>
      </c>
      <c r="BE568" s="24" t="s">
        <v>336</v>
      </c>
      <c r="BF568" s="24" t="s">
        <v>336</v>
      </c>
      <c r="BG568" s="24" t="s">
        <v>336</v>
      </c>
      <c r="BH568" s="146" t="e">
        <v>#NAME?</v>
      </c>
      <c r="BI568" s="146" t="e">
        <v>#NAME?</v>
      </c>
      <c r="BJ568" s="146" t="e">
        <v>#NAME?</v>
      </c>
      <c r="BK568" s="146" t="e">
        <v>#NAME?</v>
      </c>
      <c r="BL568" s="146" t="e">
        <v>#NAME?</v>
      </c>
      <c r="BM568" s="146" t="e">
        <v>#NAME?</v>
      </c>
      <c r="BN568" s="146" t="e">
        <v>#NAME?</v>
      </c>
      <c r="BO568" s="146" t="e">
        <v>#NAME?</v>
      </c>
      <c r="BP568" s="146" t="e">
        <v>#NAME?</v>
      </c>
      <c r="BQ568" s="146" t="e">
        <v>#NAME?</v>
      </c>
      <c r="BR568" s="146" t="e">
        <v>#NAME?</v>
      </c>
      <c r="BS568" s="146" t="e">
        <v>#NAME?</v>
      </c>
      <c r="BT568" s="146" t="e">
        <v>#NAME?</v>
      </c>
      <c r="BU568" s="146" t="e">
        <v>#NAME?</v>
      </c>
      <c r="BV568" s="146" t="e">
        <v>#NAME?</v>
      </c>
      <c r="BW568" s="146" t="e">
        <v>#NAME?</v>
      </c>
      <c r="BX568" s="146" t="e">
        <v>#NAME?</v>
      </c>
      <c r="BY568" s="146" t="e">
        <v>#NAME?</v>
      </c>
      <c r="BZ568" s="146" t="e">
        <v>#NAME?</v>
      </c>
      <c r="CA568" s="146" t="e">
        <v>#NAME?</v>
      </c>
      <c r="CB568" s="146" t="e">
        <v>#NAME?</v>
      </c>
      <c r="CC568" s="146" t="e">
        <v>#NAME?</v>
      </c>
      <c r="CD568" s="146" t="e">
        <v>#NAME?</v>
      </c>
      <c r="CF568" s="24" t="s">
        <v>336</v>
      </c>
      <c r="CG568" s="24" t="s">
        <v>336</v>
      </c>
      <c r="CH568" s="24">
        <v>-94</v>
      </c>
      <c r="CI568" s="24">
        <v>-33</v>
      </c>
      <c r="CJ568" s="24">
        <v>-3</v>
      </c>
      <c r="CK568" s="24">
        <v>10</v>
      </c>
      <c r="CL568" s="24">
        <v>-2</v>
      </c>
      <c r="CM568" s="24" t="s">
        <v>336</v>
      </c>
      <c r="CN568" s="24">
        <v>14</v>
      </c>
      <c r="CO568" s="24">
        <v>5</v>
      </c>
      <c r="CP568" s="24" t="s">
        <v>336</v>
      </c>
      <c r="CQ568" s="24" t="s">
        <v>336</v>
      </c>
      <c r="CR568" s="24" t="s">
        <v>336</v>
      </c>
      <c r="CS568" s="24" t="s">
        <v>336</v>
      </c>
      <c r="CT568" s="146" t="e">
        <v>#NAME?</v>
      </c>
      <c r="CU568" s="146" t="e">
        <v>#NAME?</v>
      </c>
      <c r="CV568" s="146" t="e">
        <v>#NAME?</v>
      </c>
      <c r="CW568" s="146" t="e">
        <v>#NAME?</v>
      </c>
      <c r="CX568" s="146" t="e">
        <v>#NAME?</v>
      </c>
    </row>
    <row r="569" spans="2:174" x14ac:dyDescent="0.25">
      <c r="B569" t="s">
        <v>371</v>
      </c>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146"/>
      <c r="BI569" s="146"/>
      <c r="BJ569" s="146"/>
      <c r="BK569" s="146"/>
      <c r="BL569" s="146"/>
      <c r="BM569" s="146"/>
      <c r="BN569" s="146"/>
      <c r="BO569" s="146"/>
      <c r="BP569" s="146"/>
      <c r="BQ569" s="146"/>
      <c r="BR569" s="146"/>
      <c r="BS569" s="146"/>
      <c r="BT569" s="146"/>
      <c r="BU569" s="146"/>
      <c r="BV569" s="146"/>
      <c r="BW569" s="146"/>
      <c r="BX569" s="146"/>
      <c r="BY569" s="146"/>
      <c r="BZ569" s="146"/>
      <c r="CA569" s="146"/>
      <c r="CB569" s="146"/>
      <c r="CC569" s="146"/>
      <c r="CD569" s="146"/>
      <c r="CF569" s="24"/>
      <c r="CG569" s="24"/>
      <c r="CH569" s="24"/>
      <c r="CI569" s="24"/>
      <c r="CJ569" s="24"/>
      <c r="CK569" s="24"/>
      <c r="CL569" s="24"/>
      <c r="CM569" s="24"/>
      <c r="CN569" s="24"/>
      <c r="CO569" s="24"/>
      <c r="CP569" s="24"/>
      <c r="CQ569" s="24"/>
      <c r="CR569" s="24"/>
      <c r="CS569" s="24"/>
      <c r="CT569" s="146"/>
      <c r="CU569" s="146"/>
      <c r="CV569" s="146"/>
      <c r="CW569" s="146"/>
      <c r="CX569" s="146"/>
    </row>
    <row r="570" spans="2:174" x14ac:dyDescent="0.25">
      <c r="B570" s="189" t="s">
        <v>372</v>
      </c>
      <c r="C570" s="189"/>
      <c r="D570" s="189"/>
      <c r="E570" s="189"/>
      <c r="F570" s="189"/>
      <c r="G570" s="189"/>
      <c r="H570" s="189"/>
      <c r="I570" s="189"/>
      <c r="J570" s="189"/>
      <c r="K570" s="189"/>
      <c r="L570" s="189"/>
      <c r="M570" s="189"/>
      <c r="N570" s="189"/>
      <c r="O570" s="189"/>
      <c r="P570" s="189"/>
      <c r="Q570" s="189"/>
      <c r="R570" s="189"/>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146"/>
      <c r="BI570" s="146"/>
      <c r="BJ570" s="146"/>
      <c r="BK570" s="146"/>
      <c r="BL570" s="146"/>
      <c r="BM570" s="146"/>
      <c r="BN570" s="146"/>
      <c r="BO570" s="146"/>
      <c r="BP570" s="146"/>
      <c r="BQ570" s="146"/>
      <c r="BR570" s="146"/>
      <c r="BS570" s="146"/>
      <c r="BT570" s="146"/>
      <c r="BU570" s="146"/>
      <c r="BV570" s="146"/>
      <c r="BW570" s="146"/>
      <c r="BX570" s="146"/>
      <c r="BY570" s="146"/>
      <c r="BZ570" s="146"/>
      <c r="CA570" s="146"/>
      <c r="CB570" s="146"/>
      <c r="CC570" s="146"/>
      <c r="CD570" s="146"/>
      <c r="CF570" s="24"/>
      <c r="CG570" s="24"/>
      <c r="CH570" s="24"/>
      <c r="CI570" s="24"/>
      <c r="CJ570" s="24"/>
      <c r="CK570" s="24"/>
      <c r="CL570" s="24"/>
      <c r="CM570" s="24"/>
      <c r="CN570" s="24"/>
      <c r="CO570" s="24"/>
      <c r="CP570" s="24"/>
      <c r="CQ570" s="24"/>
      <c r="CR570" s="24"/>
      <c r="CS570" s="24"/>
      <c r="CT570" s="146"/>
      <c r="CU570" s="146"/>
      <c r="CV570" s="146"/>
      <c r="CW570" s="146"/>
      <c r="CX570" s="146"/>
    </row>
    <row r="571" spans="2:174" x14ac:dyDescent="0.25">
      <c r="B571" s="37" t="s">
        <v>373</v>
      </c>
      <c r="C571" s="37"/>
      <c r="D571" s="37"/>
      <c r="E571" s="37"/>
      <c r="F571" s="37"/>
      <c r="G571" s="37"/>
      <c r="H571" s="37"/>
      <c r="I571" s="37"/>
      <c r="J571" s="37"/>
      <c r="K571" s="37"/>
      <c r="L571" s="37"/>
      <c r="M571" s="37"/>
      <c r="N571" s="37"/>
      <c r="O571" s="37"/>
      <c r="P571" s="37"/>
      <c r="Q571" s="37"/>
      <c r="R571" s="37"/>
      <c r="S571" s="24">
        <v>110</v>
      </c>
      <c r="T571" s="24">
        <v>-618</v>
      </c>
      <c r="U571" s="24">
        <v>332</v>
      </c>
      <c r="V571" s="24">
        <v>122</v>
      </c>
      <c r="W571" s="24">
        <v>219</v>
      </c>
      <c r="X571" s="24">
        <v>-598</v>
      </c>
      <c r="Y571" s="24">
        <v>111</v>
      </c>
      <c r="Z571" s="24">
        <v>395</v>
      </c>
      <c r="AA571" s="24">
        <v>-12</v>
      </c>
      <c r="AB571" s="24">
        <v>-481</v>
      </c>
      <c r="AC571" s="24">
        <v>126</v>
      </c>
      <c r="AD571" s="24">
        <v>231</v>
      </c>
      <c r="AE571" s="24">
        <v>135</v>
      </c>
      <c r="AF571" s="24">
        <v>-589</v>
      </c>
      <c r="AG571" s="24">
        <v>-73</v>
      </c>
      <c r="AH571" s="24">
        <v>502</v>
      </c>
      <c r="AI571" s="24">
        <v>169</v>
      </c>
      <c r="AJ571" s="24">
        <v>-591</v>
      </c>
      <c r="AK571" s="24">
        <v>151</v>
      </c>
      <c r="AL571" s="24">
        <v>183</v>
      </c>
      <c r="AM571" s="24">
        <v>294</v>
      </c>
      <c r="AN571" s="24">
        <v>-529</v>
      </c>
      <c r="AO571" s="24">
        <v>59</v>
      </c>
      <c r="AP571" s="24">
        <v>340</v>
      </c>
      <c r="AQ571" s="24">
        <v>-44</v>
      </c>
      <c r="AR571" s="24">
        <v>83</v>
      </c>
      <c r="AS571" s="24">
        <v>-348</v>
      </c>
      <c r="AT571" s="24">
        <v>268</v>
      </c>
      <c r="AU571" s="24">
        <v>12</v>
      </c>
      <c r="AV571" s="24">
        <v>-458</v>
      </c>
      <c r="AW571" s="24">
        <v>56</v>
      </c>
      <c r="AX571" s="24">
        <v>313</v>
      </c>
      <c r="AY571" s="24">
        <v>70</v>
      </c>
      <c r="AZ571" s="24">
        <v>-346</v>
      </c>
      <c r="BA571" s="24">
        <v>90</v>
      </c>
      <c r="BB571" s="24">
        <v>152</v>
      </c>
      <c r="BC571" s="24">
        <v>167</v>
      </c>
      <c r="BD571" s="24">
        <v>-534</v>
      </c>
      <c r="BE571" s="24">
        <v>183</v>
      </c>
      <c r="BF571" s="24">
        <v>303</v>
      </c>
      <c r="BG571" s="24">
        <v>132</v>
      </c>
      <c r="BH571" s="146" t="e">
        <v>#NAME?</v>
      </c>
      <c r="BI571" s="146" t="e">
        <v>#NAME?</v>
      </c>
      <c r="BJ571" s="146" t="e">
        <v>#NAME?</v>
      </c>
      <c r="BK571" s="146" t="e">
        <v>#NAME?</v>
      </c>
      <c r="BL571" s="146" t="e">
        <v>#NAME?</v>
      </c>
      <c r="BM571" s="146" t="e">
        <v>#NAME?</v>
      </c>
      <c r="BN571" s="146" t="e">
        <v>#NAME?</v>
      </c>
      <c r="BO571" s="146" t="e">
        <v>#NAME?</v>
      </c>
      <c r="BP571" s="146" t="e">
        <v>#NAME?</v>
      </c>
      <c r="BQ571" s="146" t="e">
        <v>#NAME?</v>
      </c>
      <c r="BR571" s="146" t="e">
        <v>#NAME?</v>
      </c>
      <c r="BS571" s="146" t="e">
        <v>#NAME?</v>
      </c>
      <c r="BT571" s="146" t="e">
        <v>#NAME?</v>
      </c>
      <c r="BU571" s="146" t="e">
        <v>#NAME?</v>
      </c>
      <c r="BV571" s="146" t="e">
        <v>#NAME?</v>
      </c>
      <c r="BW571" s="146" t="e">
        <v>#NAME?</v>
      </c>
      <c r="BX571" s="146" t="e">
        <v>#NAME?</v>
      </c>
      <c r="BY571" s="146" t="e">
        <v>#NAME?</v>
      </c>
      <c r="BZ571" s="146" t="e">
        <v>#NAME?</v>
      </c>
      <c r="CA571" s="146" t="e">
        <v>#NAME?</v>
      </c>
      <c r="CB571" s="146" t="e">
        <v>#NAME?</v>
      </c>
      <c r="CC571" s="146" t="e">
        <v>#NAME?</v>
      </c>
      <c r="CD571" s="146" t="e">
        <v>#NAME?</v>
      </c>
      <c r="CF571" s="24" t="s">
        <v>336</v>
      </c>
      <c r="CG571" s="24" t="s">
        <v>336</v>
      </c>
      <c r="CH571" s="24">
        <v>56</v>
      </c>
      <c r="CI571" s="24">
        <v>-12</v>
      </c>
      <c r="CJ571" s="24">
        <v>-54</v>
      </c>
      <c r="CK571" s="24">
        <v>127</v>
      </c>
      <c r="CL571" s="24">
        <v>-136</v>
      </c>
      <c r="CM571" s="24">
        <v>-25</v>
      </c>
      <c r="CN571" s="24">
        <v>-88</v>
      </c>
      <c r="CO571" s="24">
        <v>164</v>
      </c>
      <c r="CP571" s="24">
        <v>-41</v>
      </c>
      <c r="CQ571" s="24">
        <v>-77</v>
      </c>
      <c r="CR571" s="24">
        <v>-34</v>
      </c>
      <c r="CS571" s="24">
        <v>119</v>
      </c>
      <c r="CT571" s="146" t="e">
        <v>#NAME?</v>
      </c>
      <c r="CU571" s="146" t="e">
        <v>#NAME?</v>
      </c>
      <c r="CV571" s="146" t="e">
        <v>#NAME?</v>
      </c>
      <c r="CW571" s="146" t="e">
        <v>#NAME?</v>
      </c>
      <c r="CX571" s="146" t="e">
        <v>#NAME?</v>
      </c>
    </row>
    <row r="572" spans="2:174" x14ac:dyDescent="0.25">
      <c r="B572" s="37" t="s">
        <v>374</v>
      </c>
      <c r="C572" s="37"/>
      <c r="D572" s="37"/>
      <c r="E572" s="37"/>
      <c r="F572" s="37"/>
      <c r="G572" s="37"/>
      <c r="H572" s="37"/>
      <c r="I572" s="37"/>
      <c r="J572" s="37"/>
      <c r="K572" s="37"/>
      <c r="L572" s="37"/>
      <c r="M572" s="37"/>
      <c r="N572" s="37"/>
      <c r="O572" s="37"/>
      <c r="P572" s="37"/>
      <c r="Q572" s="37"/>
      <c r="R572" s="37"/>
      <c r="S572" s="24">
        <v>21</v>
      </c>
      <c r="T572" s="24">
        <v>117</v>
      </c>
      <c r="U572" s="24">
        <v>-1</v>
      </c>
      <c r="V572" s="24">
        <v>-50</v>
      </c>
      <c r="W572" s="24">
        <v>26</v>
      </c>
      <c r="X572" s="24">
        <v>13</v>
      </c>
      <c r="Y572" s="24">
        <v>3</v>
      </c>
      <c r="Z572" s="24">
        <v>-23</v>
      </c>
      <c r="AA572" s="24">
        <v>-1</v>
      </c>
      <c r="AB572" s="24">
        <v>55</v>
      </c>
      <c r="AC572" s="24">
        <v>-12</v>
      </c>
      <c r="AD572" s="24">
        <v>-37</v>
      </c>
      <c r="AE572" s="24">
        <v>80</v>
      </c>
      <c r="AF572" s="24">
        <v>-14</v>
      </c>
      <c r="AG572" s="24">
        <v>13</v>
      </c>
      <c r="AH572" s="24">
        <v>-69</v>
      </c>
      <c r="AI572" s="24">
        <v>48</v>
      </c>
      <c r="AJ572" s="24">
        <v>-28</v>
      </c>
      <c r="AK572" s="24">
        <v>21</v>
      </c>
      <c r="AL572" s="24">
        <v>-65</v>
      </c>
      <c r="AM572" s="24">
        <v>24</v>
      </c>
      <c r="AN572" s="24">
        <v>9</v>
      </c>
      <c r="AO572" s="24">
        <v>43</v>
      </c>
      <c r="AP572" s="24">
        <v>-41</v>
      </c>
      <c r="AQ572" s="24">
        <v>44</v>
      </c>
      <c r="AR572" s="24">
        <v>-157</v>
      </c>
      <c r="AS572" s="24">
        <v>85</v>
      </c>
      <c r="AT572" s="24">
        <v>-42</v>
      </c>
      <c r="AU572" s="24">
        <v>-74</v>
      </c>
      <c r="AV572" s="24">
        <v>23</v>
      </c>
      <c r="AW572" s="24">
        <v>-24</v>
      </c>
      <c r="AX572" s="24">
        <v>-82</v>
      </c>
      <c r="AY572" s="24">
        <v>-15</v>
      </c>
      <c r="AZ572" s="24">
        <v>-10</v>
      </c>
      <c r="BA572" s="24">
        <v>-28</v>
      </c>
      <c r="BB572" s="24">
        <v>-50</v>
      </c>
      <c r="BC572" s="24">
        <v>96</v>
      </c>
      <c r="BD572" s="24">
        <v>-22</v>
      </c>
      <c r="BE572" s="24">
        <v>112</v>
      </c>
      <c r="BF572" s="24">
        <v>-38</v>
      </c>
      <c r="BG572" s="24">
        <v>58</v>
      </c>
      <c r="BH572" s="146" t="e">
        <v>#NAME?</v>
      </c>
      <c r="BI572" s="146" t="e">
        <v>#NAME?</v>
      </c>
      <c r="BJ572" s="146" t="e">
        <v>#NAME?</v>
      </c>
      <c r="BK572" s="146" t="e">
        <v>#NAME?</v>
      </c>
      <c r="BL572" s="146" t="e">
        <v>#NAME?</v>
      </c>
      <c r="BM572" s="146" t="e">
        <v>#NAME?</v>
      </c>
      <c r="BN572" s="146" t="e">
        <v>#NAME?</v>
      </c>
      <c r="BO572" s="146" t="e">
        <v>#NAME?</v>
      </c>
      <c r="BP572" s="146" t="e">
        <v>#NAME?</v>
      </c>
      <c r="BQ572" s="146" t="e">
        <v>#NAME?</v>
      </c>
      <c r="BR572" s="146" t="e">
        <v>#NAME?</v>
      </c>
      <c r="BS572" s="146" t="e">
        <v>#NAME?</v>
      </c>
      <c r="BT572" s="146" t="e">
        <v>#NAME?</v>
      </c>
      <c r="BU572" s="146" t="e">
        <v>#NAME?</v>
      </c>
      <c r="BV572" s="146" t="e">
        <v>#NAME?</v>
      </c>
      <c r="BW572" s="146" t="e">
        <v>#NAME?</v>
      </c>
      <c r="BX572" s="146" t="e">
        <v>#NAME?</v>
      </c>
      <c r="BY572" s="146" t="e">
        <v>#NAME?</v>
      </c>
      <c r="BZ572" s="146" t="e">
        <v>#NAME?</v>
      </c>
      <c r="CA572" s="146" t="e">
        <v>#NAME?</v>
      </c>
      <c r="CB572" s="146" t="e">
        <v>#NAME?</v>
      </c>
      <c r="CC572" s="146" t="e">
        <v>#NAME?</v>
      </c>
      <c r="CD572" s="146" t="e">
        <v>#NAME?</v>
      </c>
      <c r="CF572" s="24" t="s">
        <v>336</v>
      </c>
      <c r="CG572" s="24" t="s">
        <v>336</v>
      </c>
      <c r="CH572" s="24">
        <v>15</v>
      </c>
      <c r="CI572" s="24">
        <v>-56</v>
      </c>
      <c r="CJ572" s="24">
        <v>87</v>
      </c>
      <c r="CK572" s="24">
        <v>19</v>
      </c>
      <c r="CL572" s="24">
        <v>5</v>
      </c>
      <c r="CM572" s="24">
        <v>10</v>
      </c>
      <c r="CN572" s="24">
        <v>-24</v>
      </c>
      <c r="CO572" s="24">
        <v>35</v>
      </c>
      <c r="CP572" s="24">
        <v>-70</v>
      </c>
      <c r="CQ572" s="24">
        <v>-157</v>
      </c>
      <c r="CR572" s="24">
        <v>-103</v>
      </c>
      <c r="CS572" s="24">
        <v>148</v>
      </c>
      <c r="CT572" s="146" t="e">
        <v>#NAME?</v>
      </c>
      <c r="CU572" s="146" t="e">
        <v>#NAME?</v>
      </c>
      <c r="CV572" s="146" t="e">
        <v>#NAME?</v>
      </c>
      <c r="CW572" s="146" t="e">
        <v>#NAME?</v>
      </c>
      <c r="CX572" s="146" t="e">
        <v>#NAME?</v>
      </c>
    </row>
    <row r="573" spans="2:174" x14ac:dyDescent="0.25">
      <c r="B573" s="37" t="s">
        <v>375</v>
      </c>
      <c r="C573" s="37"/>
      <c r="D573" s="37"/>
      <c r="E573" s="37"/>
      <c r="F573" s="37"/>
      <c r="G573" s="37"/>
      <c r="H573" s="37"/>
      <c r="I573" s="37"/>
      <c r="J573" s="37"/>
      <c r="K573" s="37"/>
      <c r="L573" s="37"/>
      <c r="M573" s="37"/>
      <c r="N573" s="37"/>
      <c r="O573" s="37"/>
      <c r="P573" s="37"/>
      <c r="Q573" s="37"/>
      <c r="R573" s="37"/>
      <c r="S573" s="24">
        <v>-43</v>
      </c>
      <c r="T573" s="24">
        <v>126</v>
      </c>
      <c r="U573" s="24">
        <v>-112</v>
      </c>
      <c r="V573" s="24">
        <v>-17</v>
      </c>
      <c r="W573" s="24">
        <v>-16</v>
      </c>
      <c r="X573" s="24">
        <v>142</v>
      </c>
      <c r="Y573" s="24">
        <v>-56</v>
      </c>
      <c r="Z573" s="24">
        <v>-57</v>
      </c>
      <c r="AA573" s="24">
        <v>-32</v>
      </c>
      <c r="AB573" s="24">
        <v>165</v>
      </c>
      <c r="AC573" s="24">
        <v>-139</v>
      </c>
      <c r="AD573" s="24">
        <v>11</v>
      </c>
      <c r="AE573" s="24">
        <v>-44</v>
      </c>
      <c r="AF573" s="24">
        <v>148</v>
      </c>
      <c r="AG573" s="24">
        <v>-88</v>
      </c>
      <c r="AH573" s="24">
        <v>-60</v>
      </c>
      <c r="AI573" s="24">
        <v>8</v>
      </c>
      <c r="AJ573" s="24">
        <v>124</v>
      </c>
      <c r="AK573" s="24">
        <v>-97</v>
      </c>
      <c r="AL573" s="24">
        <v>24</v>
      </c>
      <c r="AM573" s="24">
        <v>-40</v>
      </c>
      <c r="AN573" s="24">
        <v>91</v>
      </c>
      <c r="AO573" s="24">
        <v>-84</v>
      </c>
      <c r="AP573" s="24">
        <v>-3</v>
      </c>
      <c r="AQ573" s="24">
        <v>-3</v>
      </c>
      <c r="AR573" s="24">
        <v>109</v>
      </c>
      <c r="AS573" s="24">
        <v>-77</v>
      </c>
      <c r="AT573" s="24">
        <v>-11</v>
      </c>
      <c r="AU573" s="24">
        <v>-19</v>
      </c>
      <c r="AV573" s="24">
        <v>61</v>
      </c>
      <c r="AW573" s="24">
        <v>-51</v>
      </c>
      <c r="AX573" s="24">
        <v>2</v>
      </c>
      <c r="AY573" s="24">
        <v>-16</v>
      </c>
      <c r="AZ573" s="24">
        <v>69</v>
      </c>
      <c r="BA573" s="24">
        <v>-74</v>
      </c>
      <c r="BB573" s="24">
        <v>31</v>
      </c>
      <c r="BC573" s="24">
        <v>-18</v>
      </c>
      <c r="BD573" s="24">
        <v>75</v>
      </c>
      <c r="BE573" s="24">
        <v>-93</v>
      </c>
      <c r="BF573" s="24">
        <v>30</v>
      </c>
      <c r="BG573" s="24">
        <v>-11</v>
      </c>
      <c r="BH573" s="146" t="e">
        <v>#NAME?</v>
      </c>
      <c r="BI573" s="146" t="e">
        <v>#NAME?</v>
      </c>
      <c r="BJ573" s="146" t="e">
        <v>#NAME?</v>
      </c>
      <c r="BK573" s="146" t="e">
        <v>#NAME?</v>
      </c>
      <c r="BL573" s="146" t="e">
        <v>#NAME?</v>
      </c>
      <c r="BM573" s="146" t="e">
        <v>#NAME?</v>
      </c>
      <c r="BN573" s="146" t="e">
        <v>#NAME?</v>
      </c>
      <c r="BO573" s="146" t="e">
        <v>#NAME?</v>
      </c>
      <c r="BP573" s="146" t="e">
        <v>#NAME?</v>
      </c>
      <c r="BQ573" s="146" t="e">
        <v>#NAME?</v>
      </c>
      <c r="BR573" s="146" t="e">
        <v>#NAME?</v>
      </c>
      <c r="BS573" s="146" t="e">
        <v>#NAME?</v>
      </c>
      <c r="BT573" s="146" t="e">
        <v>#NAME?</v>
      </c>
      <c r="BU573" s="146" t="e">
        <v>#NAME?</v>
      </c>
      <c r="BV573" s="146" t="e">
        <v>#NAME?</v>
      </c>
      <c r="BW573" s="146" t="e">
        <v>#NAME?</v>
      </c>
      <c r="BX573" s="146" t="e">
        <v>#NAME?</v>
      </c>
      <c r="BY573" s="146" t="e">
        <v>#NAME?</v>
      </c>
      <c r="BZ573" s="146" t="e">
        <v>#NAME?</v>
      </c>
      <c r="CA573" s="146" t="e">
        <v>#NAME?</v>
      </c>
      <c r="CB573" s="146" t="e">
        <v>#NAME?</v>
      </c>
      <c r="CC573" s="146" t="e">
        <v>#NAME?</v>
      </c>
      <c r="CD573" s="146" t="e">
        <v>#NAME?</v>
      </c>
      <c r="CF573" s="24" t="s">
        <v>336</v>
      </c>
      <c r="CG573" s="24" t="s">
        <v>336</v>
      </c>
      <c r="CH573" s="24">
        <v>-78</v>
      </c>
      <c r="CI573" s="24">
        <v>-18</v>
      </c>
      <c r="CJ573" s="24">
        <v>-46</v>
      </c>
      <c r="CK573" s="24">
        <v>13</v>
      </c>
      <c r="CL573" s="24">
        <v>5</v>
      </c>
      <c r="CM573" s="24">
        <v>-44</v>
      </c>
      <c r="CN573" s="24">
        <v>59</v>
      </c>
      <c r="CO573" s="24">
        <v>-36</v>
      </c>
      <c r="CP573" s="24">
        <v>18</v>
      </c>
      <c r="CQ573" s="24">
        <v>-7</v>
      </c>
      <c r="CR573" s="24">
        <v>10</v>
      </c>
      <c r="CS573" s="24">
        <v>-6</v>
      </c>
      <c r="CT573" s="146" t="e">
        <v>#NAME?</v>
      </c>
      <c r="CU573" s="146" t="e">
        <v>#NAME?</v>
      </c>
      <c r="CV573" s="146" t="e">
        <v>#NAME?</v>
      </c>
      <c r="CW573" s="146" t="e">
        <v>#NAME?</v>
      </c>
      <c r="CX573" s="146" t="e">
        <v>#NAME?</v>
      </c>
    </row>
    <row r="574" spans="2:174" x14ac:dyDescent="0.25">
      <c r="B574" s="37" t="s">
        <v>376</v>
      </c>
      <c r="C574" s="37"/>
      <c r="D574" s="37"/>
      <c r="E574" s="37"/>
      <c r="F574" s="37"/>
      <c r="G574" s="37"/>
      <c r="H574" s="37"/>
      <c r="I574" s="37"/>
      <c r="J574" s="37"/>
      <c r="K574" s="37"/>
      <c r="L574" s="37"/>
      <c r="M574" s="37"/>
      <c r="N574" s="37"/>
      <c r="O574" s="37"/>
      <c r="P574" s="37"/>
      <c r="Q574" s="37"/>
      <c r="R574" s="37"/>
      <c r="S574" s="24">
        <v>-439</v>
      </c>
      <c r="T574" s="24">
        <v>230</v>
      </c>
      <c r="U574" s="24">
        <v>302</v>
      </c>
      <c r="V574" s="24">
        <v>-300</v>
      </c>
      <c r="W574" s="24">
        <v>-508</v>
      </c>
      <c r="X574" s="24">
        <v>338</v>
      </c>
      <c r="Y574" s="24">
        <v>732</v>
      </c>
      <c r="Z574" s="24">
        <v>-387</v>
      </c>
      <c r="AA574" s="24">
        <v>-585</v>
      </c>
      <c r="AB574" s="24">
        <v>194</v>
      </c>
      <c r="AC574" s="24">
        <v>904</v>
      </c>
      <c r="AD574" s="24">
        <v>-432</v>
      </c>
      <c r="AE574" s="24">
        <v>-657</v>
      </c>
      <c r="AF574" s="24">
        <v>234</v>
      </c>
      <c r="AG574" s="24">
        <v>831</v>
      </c>
      <c r="AH574" s="24">
        <v>-325</v>
      </c>
      <c r="AI574" s="24">
        <v>-347</v>
      </c>
      <c r="AJ574" s="24">
        <v>-28</v>
      </c>
      <c r="AK574" s="24">
        <v>355</v>
      </c>
      <c r="AL574" s="24">
        <v>171</v>
      </c>
      <c r="AM574" s="24">
        <v>-421</v>
      </c>
      <c r="AN574" s="24">
        <v>-33</v>
      </c>
      <c r="AO574" s="24">
        <v>427</v>
      </c>
      <c r="AP574" s="24">
        <v>-128</v>
      </c>
      <c r="AQ574" s="24">
        <v>-67</v>
      </c>
      <c r="AR574" s="24">
        <v>-240</v>
      </c>
      <c r="AS574" s="24">
        <v>741</v>
      </c>
      <c r="AT574" s="24">
        <v>147</v>
      </c>
      <c r="AU574" s="24">
        <v>-222</v>
      </c>
      <c r="AV574" s="24">
        <v>17</v>
      </c>
      <c r="AW574" s="24">
        <v>779</v>
      </c>
      <c r="AX574" s="24">
        <v>-77</v>
      </c>
      <c r="AY574" s="24">
        <v>-476</v>
      </c>
      <c r="AZ574" s="24">
        <v>-157</v>
      </c>
      <c r="BA574" s="24">
        <v>418</v>
      </c>
      <c r="BB574" s="24">
        <v>93</v>
      </c>
      <c r="BC574" s="24">
        <v>-321</v>
      </c>
      <c r="BD574" s="24">
        <v>-82</v>
      </c>
      <c r="BE574" s="24">
        <v>421</v>
      </c>
      <c r="BF574" s="24">
        <v>-105</v>
      </c>
      <c r="BG574" s="24">
        <v>-402</v>
      </c>
      <c r="BH574" s="146" t="e">
        <v>#NAME?</v>
      </c>
      <c r="BI574" s="146" t="e">
        <v>#NAME?</v>
      </c>
      <c r="BJ574" s="146" t="e">
        <v>#NAME?</v>
      </c>
      <c r="BK574" s="146" t="e">
        <v>#NAME?</v>
      </c>
      <c r="BL574" s="146" t="e">
        <v>#NAME?</v>
      </c>
      <c r="BM574" s="146" t="e">
        <v>#NAME?</v>
      </c>
      <c r="BN574" s="146" t="e">
        <v>#NAME?</v>
      </c>
      <c r="BO574" s="146" t="e">
        <v>#NAME?</v>
      </c>
      <c r="BP574" s="146" t="e">
        <v>#NAME?</v>
      </c>
      <c r="BQ574" s="146" t="e">
        <v>#NAME?</v>
      </c>
      <c r="BR574" s="146" t="e">
        <v>#NAME?</v>
      </c>
      <c r="BS574" s="146" t="e">
        <v>#NAME?</v>
      </c>
      <c r="BT574" s="146" t="e">
        <v>#NAME?</v>
      </c>
      <c r="BU574" s="146" t="e">
        <v>#NAME?</v>
      </c>
      <c r="BV574" s="146" t="e">
        <v>#NAME?</v>
      </c>
      <c r="BW574" s="146" t="e">
        <v>#NAME?</v>
      </c>
      <c r="BX574" s="146" t="e">
        <v>#NAME?</v>
      </c>
      <c r="BY574" s="146" t="e">
        <v>#NAME?</v>
      </c>
      <c r="BZ574" s="146" t="e">
        <v>#NAME?</v>
      </c>
      <c r="CA574" s="146" t="e">
        <v>#NAME?</v>
      </c>
      <c r="CB574" s="146" t="e">
        <v>#NAME?</v>
      </c>
      <c r="CC574" s="146" t="e">
        <v>#NAME?</v>
      </c>
      <c r="CD574" s="146" t="e">
        <v>#NAME?</v>
      </c>
      <c r="CF574" s="24" t="s">
        <v>336</v>
      </c>
      <c r="CG574" s="24" t="s">
        <v>336</v>
      </c>
      <c r="CH574" s="24">
        <v>-4</v>
      </c>
      <c r="CI574" s="24">
        <v>446</v>
      </c>
      <c r="CJ574" s="24">
        <v>-207</v>
      </c>
      <c r="CK574" s="24">
        <v>175</v>
      </c>
      <c r="CL574" s="24">
        <v>81</v>
      </c>
      <c r="CM574" s="24">
        <v>83</v>
      </c>
      <c r="CN574" s="24">
        <v>125</v>
      </c>
      <c r="CO574" s="24">
        <v>-155</v>
      </c>
      <c r="CP574" s="24">
        <v>581</v>
      </c>
      <c r="CQ574" s="24">
        <v>497</v>
      </c>
      <c r="CR574" s="24">
        <v>-122</v>
      </c>
      <c r="CS574" s="24">
        <v>-87</v>
      </c>
      <c r="CT574" s="146" t="e">
        <v>#NAME?</v>
      </c>
      <c r="CU574" s="146" t="e">
        <v>#NAME?</v>
      </c>
      <c r="CV574" s="146" t="e">
        <v>#NAME?</v>
      </c>
      <c r="CW574" s="146" t="e">
        <v>#NAME?</v>
      </c>
      <c r="CX574" s="146" t="e">
        <v>#NAME?</v>
      </c>
    </row>
    <row r="575" spans="2:174" x14ac:dyDescent="0.25">
      <c r="B575" s="37" t="s">
        <v>377</v>
      </c>
      <c r="C575" s="37"/>
      <c r="D575" s="37"/>
      <c r="E575" s="37"/>
      <c r="F575" s="37"/>
      <c r="G575" s="37"/>
      <c r="H575" s="37"/>
      <c r="I575" s="37"/>
      <c r="J575" s="37"/>
      <c r="K575" s="37"/>
      <c r="L575" s="37"/>
      <c r="M575" s="37"/>
      <c r="N575" s="37"/>
      <c r="O575" s="37"/>
      <c r="P575" s="37"/>
      <c r="Q575" s="37"/>
      <c r="R575" s="37"/>
      <c r="S575" s="24">
        <v>-64</v>
      </c>
      <c r="T575" s="24">
        <v>230</v>
      </c>
      <c r="U575" s="24">
        <v>-73</v>
      </c>
      <c r="V575" s="24">
        <v>-42</v>
      </c>
      <c r="W575" s="24">
        <v>-328</v>
      </c>
      <c r="X575" s="24">
        <v>154</v>
      </c>
      <c r="Y575" s="24">
        <v>50</v>
      </c>
      <c r="Z575" s="24">
        <v>-528</v>
      </c>
      <c r="AA575" s="24">
        <v>-152</v>
      </c>
      <c r="AB575" s="24">
        <v>121</v>
      </c>
      <c r="AC575" s="24">
        <v>140</v>
      </c>
      <c r="AD575" s="24">
        <v>-16</v>
      </c>
      <c r="AE575" s="24">
        <v>-61</v>
      </c>
      <c r="AF575" s="24">
        <v>201</v>
      </c>
      <c r="AG575" s="24">
        <v>255</v>
      </c>
      <c r="AH575" s="24">
        <v>-148</v>
      </c>
      <c r="AI575" s="24">
        <v>-159</v>
      </c>
      <c r="AJ575" s="24">
        <v>40</v>
      </c>
      <c r="AK575" s="24">
        <v>153</v>
      </c>
      <c r="AL575" s="24">
        <v>-47</v>
      </c>
      <c r="AM575" s="24">
        <v>-1230</v>
      </c>
      <c r="AN575" s="24">
        <v>-482</v>
      </c>
      <c r="AO575" s="24">
        <v>183</v>
      </c>
      <c r="AP575" s="24">
        <v>-223</v>
      </c>
      <c r="AQ575" s="24">
        <v>-56</v>
      </c>
      <c r="AR575" s="24">
        <v>-72</v>
      </c>
      <c r="AS575" s="24">
        <v>355</v>
      </c>
      <c r="AT575" s="24">
        <v>-234</v>
      </c>
      <c r="AU575" s="24">
        <v>-274</v>
      </c>
      <c r="AV575" s="24">
        <v>-116</v>
      </c>
      <c r="AW575" s="24">
        <v>433</v>
      </c>
      <c r="AX575" s="24">
        <v>-203</v>
      </c>
      <c r="AY575" s="24">
        <v>-191</v>
      </c>
      <c r="AZ575" s="24">
        <v>-234</v>
      </c>
      <c r="BA575" s="24">
        <v>250</v>
      </c>
      <c r="BB575" s="24">
        <v>88</v>
      </c>
      <c r="BC575" s="24">
        <v>-185</v>
      </c>
      <c r="BD575" s="24">
        <v>36</v>
      </c>
      <c r="BE575" s="24">
        <v>118</v>
      </c>
      <c r="BF575" s="24">
        <v>-89</v>
      </c>
      <c r="BG575" s="24">
        <v>-160</v>
      </c>
      <c r="BH575" s="146" t="e">
        <v>#NAME?</v>
      </c>
      <c r="BI575" s="146" t="e">
        <v>#NAME?</v>
      </c>
      <c r="BJ575" s="146" t="e">
        <v>#NAME?</v>
      </c>
      <c r="BK575" s="146" t="e">
        <v>#NAME?</v>
      </c>
      <c r="BL575" s="146" t="e">
        <v>#NAME?</v>
      </c>
      <c r="BM575" s="146" t="e">
        <v>#NAME?</v>
      </c>
      <c r="BN575" s="146" t="e">
        <v>#NAME?</v>
      </c>
      <c r="BO575" s="146" t="e">
        <v>#NAME?</v>
      </c>
      <c r="BP575" s="146" t="e">
        <v>#NAME?</v>
      </c>
      <c r="BQ575" s="146" t="e">
        <v>#NAME?</v>
      </c>
      <c r="BR575" s="146" t="e">
        <v>#NAME?</v>
      </c>
      <c r="BS575" s="146" t="e">
        <v>#NAME?</v>
      </c>
      <c r="BT575" s="146" t="e">
        <v>#NAME?</v>
      </c>
      <c r="BU575" s="146" t="e">
        <v>#NAME?</v>
      </c>
      <c r="BV575" s="146" t="e">
        <v>#NAME?</v>
      </c>
      <c r="BW575" s="146" t="e">
        <v>#NAME?</v>
      </c>
      <c r="BX575" s="146" t="e">
        <v>#NAME?</v>
      </c>
      <c r="BY575" s="146" t="e">
        <v>#NAME?</v>
      </c>
      <c r="BZ575" s="146" t="e">
        <v>#NAME?</v>
      </c>
      <c r="CA575" s="146" t="e">
        <v>#NAME?</v>
      </c>
      <c r="CB575" s="146" t="e">
        <v>#NAME?</v>
      </c>
      <c r="CC575" s="146" t="e">
        <v>#NAME?</v>
      </c>
      <c r="CD575" s="146" t="e">
        <v>#NAME?</v>
      </c>
      <c r="CF575" s="24" t="s">
        <v>336</v>
      </c>
      <c r="CG575" s="24" t="s">
        <v>336</v>
      </c>
      <c r="CH575" s="24">
        <v>-97</v>
      </c>
      <c r="CI575" s="24">
        <v>92.75</v>
      </c>
      <c r="CJ575" s="24">
        <v>51</v>
      </c>
      <c r="CK575" s="24">
        <v>-652</v>
      </c>
      <c r="CL575" s="24">
        <v>223</v>
      </c>
      <c r="CM575" s="24">
        <v>247</v>
      </c>
      <c r="CN575" s="24">
        <v>13</v>
      </c>
      <c r="CO575" s="24">
        <v>-1752</v>
      </c>
      <c r="CP575" s="24">
        <v>-7</v>
      </c>
      <c r="CQ575" s="24">
        <v>-160</v>
      </c>
      <c r="CR575" s="24">
        <v>-87</v>
      </c>
      <c r="CS575" s="24">
        <v>-120</v>
      </c>
      <c r="CT575" s="146" t="e">
        <v>#NAME?</v>
      </c>
      <c r="CU575" s="146" t="e">
        <v>#NAME?</v>
      </c>
      <c r="CV575" s="146" t="e">
        <v>#NAME?</v>
      </c>
      <c r="CW575" s="146" t="e">
        <v>#NAME?</v>
      </c>
      <c r="CX575" s="146" t="e">
        <v>#NAME?</v>
      </c>
    </row>
    <row r="576" spans="2:174" x14ac:dyDescent="0.25">
      <c r="B576" s="37" t="s">
        <v>378</v>
      </c>
      <c r="C576" s="37"/>
      <c r="D576" s="37"/>
      <c r="E576" s="37"/>
      <c r="F576" s="37"/>
      <c r="G576" s="37"/>
      <c r="H576" s="37"/>
      <c r="I576" s="37"/>
      <c r="J576" s="37"/>
      <c r="K576" s="37"/>
      <c r="L576" s="37"/>
      <c r="M576" s="37"/>
      <c r="N576" s="37"/>
      <c r="O576" s="37"/>
      <c r="P576" s="37"/>
      <c r="Q576" s="37"/>
      <c r="R576" s="37"/>
      <c r="S576" s="24">
        <v>0</v>
      </c>
      <c r="T576" s="24">
        <v>0</v>
      </c>
      <c r="U576" s="24">
        <v>0</v>
      </c>
      <c r="V576" s="24">
        <v>0</v>
      </c>
      <c r="W576" s="24">
        <v>0</v>
      </c>
      <c r="X576" s="24">
        <v>0</v>
      </c>
      <c r="Y576" s="24">
        <v>0</v>
      </c>
      <c r="Z576" s="24">
        <v>0</v>
      </c>
      <c r="AA576" s="24">
        <v>130</v>
      </c>
      <c r="AB576" s="24">
        <v>0</v>
      </c>
      <c r="AC576" s="24">
        <v>0</v>
      </c>
      <c r="AD576" s="24">
        <v>0</v>
      </c>
      <c r="AE576" s="24">
        <v>0</v>
      </c>
      <c r="AF576" s="24">
        <v>0</v>
      </c>
      <c r="AG576" s="24">
        <v>0</v>
      </c>
      <c r="AH576" s="24">
        <v>0</v>
      </c>
      <c r="AI576" s="24">
        <v>0</v>
      </c>
      <c r="AJ576" s="24">
        <v>0</v>
      </c>
      <c r="AK576" s="24">
        <v>0</v>
      </c>
      <c r="AL576" s="24">
        <v>0</v>
      </c>
      <c r="AM576" s="24">
        <v>0</v>
      </c>
      <c r="AN576" s="24">
        <v>0</v>
      </c>
      <c r="AO576" s="24">
        <v>0</v>
      </c>
      <c r="AP576" s="24">
        <v>0</v>
      </c>
      <c r="AQ576" s="24">
        <v>0</v>
      </c>
      <c r="AR576" s="24">
        <v>0</v>
      </c>
      <c r="AS576" s="24">
        <v>0</v>
      </c>
      <c r="AT576" s="24">
        <v>0</v>
      </c>
      <c r="AU576" s="24">
        <v>0</v>
      </c>
      <c r="AV576" s="24">
        <v>0</v>
      </c>
      <c r="AW576" s="24">
        <v>0</v>
      </c>
      <c r="AX576" s="24">
        <v>0</v>
      </c>
      <c r="AY576" s="24">
        <v>0</v>
      </c>
      <c r="AZ576" s="24">
        <v>0</v>
      </c>
      <c r="BA576" s="24">
        <v>0</v>
      </c>
      <c r="BB576" s="24">
        <v>0</v>
      </c>
      <c r="BC576" s="24">
        <v>0</v>
      </c>
      <c r="BD576" s="24">
        <v>0</v>
      </c>
      <c r="BE576" s="24">
        <v>0</v>
      </c>
      <c r="BF576" s="24">
        <v>0</v>
      </c>
      <c r="BG576" s="24">
        <v>0</v>
      </c>
      <c r="BH576" s="24" t="e">
        <f t="shared" ref="BH576:BV576" si="766">+BH577-SUM(BH571:BH575)</f>
        <v>#NAME?</v>
      </c>
      <c r="BI576" s="24" t="e">
        <f t="shared" si="766"/>
        <v>#NAME?</v>
      </c>
      <c r="BJ576" s="24" t="e">
        <f t="shared" si="766"/>
        <v>#NAME?</v>
      </c>
      <c r="BK576" s="24" t="e">
        <f t="shared" si="766"/>
        <v>#NAME?</v>
      </c>
      <c r="BL576" s="24" t="e">
        <f t="shared" si="766"/>
        <v>#NAME?</v>
      </c>
      <c r="BM576" s="24" t="e">
        <f t="shared" si="766"/>
        <v>#NAME?</v>
      </c>
      <c r="BN576" s="24" t="e">
        <f t="shared" si="766"/>
        <v>#NAME?</v>
      </c>
      <c r="BO576" s="24" t="e">
        <f t="shared" si="766"/>
        <v>#NAME?</v>
      </c>
      <c r="BP576" s="24" t="e">
        <f t="shared" si="766"/>
        <v>#NAME?</v>
      </c>
      <c r="BQ576" s="24" t="e">
        <f t="shared" si="766"/>
        <v>#NAME?</v>
      </c>
      <c r="BR576" s="24" t="e">
        <f t="shared" si="766"/>
        <v>#NAME?</v>
      </c>
      <c r="BS576" s="24" t="e">
        <f t="shared" si="766"/>
        <v>#NAME?</v>
      </c>
      <c r="BT576" s="24" t="e">
        <f t="shared" si="766"/>
        <v>#NAME?</v>
      </c>
      <c r="BU576" s="24" t="e">
        <f t="shared" si="766"/>
        <v>#NAME?</v>
      </c>
      <c r="BV576" s="24" t="e">
        <f t="shared" si="766"/>
        <v>#NAME?</v>
      </c>
      <c r="BW576" s="24" t="e">
        <f t="shared" ref="BW576:BZ576" si="767">+BW577-SUM(BW571:BW575)</f>
        <v>#NAME?</v>
      </c>
      <c r="BX576" s="24" t="e">
        <f t="shared" si="767"/>
        <v>#NAME?</v>
      </c>
      <c r="BY576" s="24" t="e">
        <f t="shared" si="767"/>
        <v>#NAME?</v>
      </c>
      <c r="BZ576" s="24" t="e">
        <f t="shared" si="767"/>
        <v>#NAME?</v>
      </c>
      <c r="CA576" s="24" t="e">
        <f t="shared" ref="CA576:CD576" si="768">+CA577-SUM(CA571:CA575)</f>
        <v>#NAME?</v>
      </c>
      <c r="CB576" s="24" t="e">
        <f t="shared" si="768"/>
        <v>#NAME?</v>
      </c>
      <c r="CC576" s="24" t="e">
        <f t="shared" si="768"/>
        <v>#NAME?</v>
      </c>
      <c r="CD576" s="24" t="e">
        <f t="shared" si="768"/>
        <v>#NAME?</v>
      </c>
      <c r="CF576" s="24" t="e">
        <v>#VALUE!</v>
      </c>
      <c r="CG576" s="24" t="e">
        <v>#VALUE!</v>
      </c>
      <c r="CH576" s="24">
        <v>0</v>
      </c>
      <c r="CI576" s="24">
        <v>-92.75</v>
      </c>
      <c r="CJ576" s="24">
        <v>0</v>
      </c>
      <c r="CK576" s="24">
        <v>0</v>
      </c>
      <c r="CL576" s="24">
        <v>0</v>
      </c>
      <c r="CM576" s="24">
        <v>0</v>
      </c>
      <c r="CN576" s="24">
        <v>0</v>
      </c>
      <c r="CO576" s="24">
        <v>0</v>
      </c>
      <c r="CP576" s="24">
        <v>0</v>
      </c>
      <c r="CQ576" s="24">
        <v>0</v>
      </c>
      <c r="CR576" s="24">
        <v>0</v>
      </c>
      <c r="CS576" s="24">
        <v>0</v>
      </c>
      <c r="CT576" s="24" t="e">
        <f>+CT577-SUM(CT571:CT575)</f>
        <v>#NAME?</v>
      </c>
      <c r="CU576" s="24" t="e">
        <f>+CU577-SUM(CU571:CU575)</f>
        <v>#NAME?</v>
      </c>
      <c r="CV576" s="24" t="e">
        <f>+CV577-SUM(CV571:CV575)</f>
        <v>#NAME?</v>
      </c>
      <c r="CW576" s="24" t="e">
        <f>+CW577-SUM(CW571:CW575)</f>
        <v>#NAME?</v>
      </c>
      <c r="CX576" s="24" t="e">
        <f>+CX577-SUM(CX571:CX575)</f>
        <v>#NAME?</v>
      </c>
      <c r="FR576">
        <v>0</v>
      </c>
    </row>
    <row r="577" spans="2:103" x14ac:dyDescent="0.25">
      <c r="B577" t="s">
        <v>379</v>
      </c>
      <c r="S577" s="24">
        <v>-415</v>
      </c>
      <c r="T577" s="24">
        <v>85</v>
      </c>
      <c r="U577" s="24">
        <v>448</v>
      </c>
      <c r="V577" s="24">
        <v>-287</v>
      </c>
      <c r="W577" s="24">
        <v>-607</v>
      </c>
      <c r="X577" s="24">
        <v>49</v>
      </c>
      <c r="Y577" s="24">
        <v>840</v>
      </c>
      <c r="Z577" s="24">
        <v>-600</v>
      </c>
      <c r="AA577" s="24">
        <v>-652</v>
      </c>
      <c r="AB577" s="24">
        <v>54</v>
      </c>
      <c r="AC577" s="24">
        <v>1019</v>
      </c>
      <c r="AD577" s="24">
        <v>-243</v>
      </c>
      <c r="AE577" s="24">
        <v>-547</v>
      </c>
      <c r="AF577" s="24">
        <v>-20</v>
      </c>
      <c r="AG577" s="24">
        <v>938</v>
      </c>
      <c r="AH577" s="24">
        <v>-100</v>
      </c>
      <c r="AI577" s="24">
        <v>-281</v>
      </c>
      <c r="AJ577" s="24">
        <v>-483</v>
      </c>
      <c r="AK577" s="24">
        <v>583</v>
      </c>
      <c r="AL577" s="24">
        <v>266</v>
      </c>
      <c r="AM577" s="24">
        <v>-1373</v>
      </c>
      <c r="AN577" s="24">
        <v>-944</v>
      </c>
      <c r="AO577" s="24">
        <v>628</v>
      </c>
      <c r="AP577" s="24">
        <v>-55</v>
      </c>
      <c r="AQ577" s="24">
        <v>-126</v>
      </c>
      <c r="AR577" s="24">
        <v>-277</v>
      </c>
      <c r="AS577" s="24">
        <v>756</v>
      </c>
      <c r="AT577" s="24">
        <v>128</v>
      </c>
      <c r="AU577" s="24">
        <v>-577</v>
      </c>
      <c r="AV577" s="24">
        <v>-473</v>
      </c>
      <c r="AW577" s="24">
        <v>1193</v>
      </c>
      <c r="AX577" s="24">
        <v>-47</v>
      </c>
      <c r="AY577" s="24">
        <v>-628</v>
      </c>
      <c r="AZ577" s="24">
        <v>-678</v>
      </c>
      <c r="BA577" s="24">
        <v>656</v>
      </c>
      <c r="BB577" s="24">
        <v>314</v>
      </c>
      <c r="BC577" s="24">
        <v>-261</v>
      </c>
      <c r="BD577" s="24">
        <v>-527</v>
      </c>
      <c r="BE577" s="24">
        <v>741</v>
      </c>
      <c r="BF577" s="24">
        <v>101</v>
      </c>
      <c r="BG577" s="24">
        <v>-383</v>
      </c>
      <c r="BH577" s="146" t="e">
        <v>#NAME?</v>
      </c>
      <c r="BI577" s="146" t="e">
        <v>#NAME?</v>
      </c>
      <c r="BJ577" s="146" t="e">
        <v>#NAME?</v>
      </c>
      <c r="BK577" s="146" t="e">
        <v>#NAME?</v>
      </c>
      <c r="BL577" s="146" t="e">
        <v>#NAME?</v>
      </c>
      <c r="BM577" s="146" t="e">
        <v>#NAME?</v>
      </c>
      <c r="BN577" s="146" t="e">
        <v>#NAME?</v>
      </c>
      <c r="BO577" s="146" t="e">
        <v>#NAME?</v>
      </c>
      <c r="BP577" s="146" t="e">
        <v>#NAME?</v>
      </c>
      <c r="BQ577" s="146" t="e">
        <v>#NAME?</v>
      </c>
      <c r="BR577" s="146" t="e">
        <v>#NAME?</v>
      </c>
      <c r="BS577" s="146" t="e">
        <v>#NAME?</v>
      </c>
      <c r="BT577" s="146" t="e">
        <v>#NAME?</v>
      </c>
      <c r="BU577" s="146" t="e">
        <v>#NAME?</v>
      </c>
      <c r="BV577" s="146" t="e">
        <v>#NAME?</v>
      </c>
      <c r="BW577" s="146" t="e">
        <v>#NAME?</v>
      </c>
      <c r="BX577" s="146" t="e">
        <v>#NAME?</v>
      </c>
      <c r="BY577" s="146" t="e">
        <v>#NAME?</v>
      </c>
      <c r="BZ577" s="146" t="e">
        <v>#NAME?</v>
      </c>
      <c r="CA577" s="146" t="e">
        <v>#NAME?</v>
      </c>
      <c r="CB577" s="146" t="e">
        <v>#NAME?</v>
      </c>
      <c r="CC577" s="146" t="e">
        <v>#NAME?</v>
      </c>
      <c r="CD577" s="146" t="e">
        <v>#NAME?</v>
      </c>
      <c r="CF577" s="24" t="s">
        <v>336</v>
      </c>
      <c r="CG577" s="24" t="s">
        <v>336</v>
      </c>
      <c r="CH577" s="24">
        <v>-108</v>
      </c>
      <c r="CI577" s="24">
        <v>360</v>
      </c>
      <c r="CJ577" s="24">
        <v>-169</v>
      </c>
      <c r="CK577" s="24">
        <v>-318</v>
      </c>
      <c r="CL577" s="24">
        <v>178</v>
      </c>
      <c r="CM577" s="24">
        <v>271</v>
      </c>
      <c r="CN577" s="24">
        <v>85</v>
      </c>
      <c r="CO577" s="24">
        <v>-1744</v>
      </c>
      <c r="CP577" s="24">
        <v>481</v>
      </c>
      <c r="CQ577" s="24">
        <v>96</v>
      </c>
      <c r="CR577" s="24">
        <v>-336</v>
      </c>
      <c r="CS577" s="24">
        <v>54</v>
      </c>
      <c r="CT577" s="146" t="e">
        <v>#NAME?</v>
      </c>
      <c r="CU577" s="146" t="e">
        <v>#NAME?</v>
      </c>
      <c r="CV577" s="146" t="e">
        <v>#NAME?</v>
      </c>
      <c r="CW577" s="146" t="e">
        <v>#NAME?</v>
      </c>
      <c r="CX577" s="146" t="e">
        <v>#NAME?</v>
      </c>
    </row>
    <row r="578" spans="2:103" s="10" customFormat="1" x14ac:dyDescent="0.25">
      <c r="B578" s="10" t="s">
        <v>380</v>
      </c>
      <c r="S578" s="57">
        <v>4</v>
      </c>
      <c r="T578" s="57">
        <v>183</v>
      </c>
      <c r="U578" s="57">
        <v>682</v>
      </c>
      <c r="V578" s="57">
        <v>198</v>
      </c>
      <c r="W578" s="57">
        <v>-71</v>
      </c>
      <c r="X578" s="57">
        <v>9</v>
      </c>
      <c r="Y578" s="57">
        <v>889</v>
      </c>
      <c r="Z578" s="57">
        <v>396</v>
      </c>
      <c r="AA578" s="57">
        <v>-118</v>
      </c>
      <c r="AB578" s="57">
        <v>109</v>
      </c>
      <c r="AC578" s="57">
        <v>1115</v>
      </c>
      <c r="AD578" s="57">
        <v>407</v>
      </c>
      <c r="AE578" s="57">
        <v>176</v>
      </c>
      <c r="AF578" s="57">
        <v>52</v>
      </c>
      <c r="AG578" s="57">
        <v>849</v>
      </c>
      <c r="AH578" s="57">
        <v>615</v>
      </c>
      <c r="AI578" s="57">
        <v>120</v>
      </c>
      <c r="AJ578" s="57">
        <v>-126</v>
      </c>
      <c r="AK578" s="57">
        <v>954</v>
      </c>
      <c r="AL578" s="57">
        <v>599</v>
      </c>
      <c r="AM578" s="57">
        <v>158</v>
      </c>
      <c r="AN578" s="57">
        <v>37</v>
      </c>
      <c r="AO578" s="57">
        <v>1104</v>
      </c>
      <c r="AP578" s="57">
        <v>498</v>
      </c>
      <c r="AQ578" s="57">
        <v>378</v>
      </c>
      <c r="AR578" s="57">
        <v>61</v>
      </c>
      <c r="AS578" s="57">
        <v>1124</v>
      </c>
      <c r="AT578" s="57">
        <v>371</v>
      </c>
      <c r="AU578" s="57">
        <v>-143</v>
      </c>
      <c r="AV578" s="57">
        <v>64</v>
      </c>
      <c r="AW578" s="57">
        <v>1534</v>
      </c>
      <c r="AX578" s="57">
        <v>444</v>
      </c>
      <c r="AY578" s="57">
        <v>-78</v>
      </c>
      <c r="AZ578" s="57">
        <v>-112</v>
      </c>
      <c r="BA578" s="57">
        <v>1123</v>
      </c>
      <c r="BB578" s="57">
        <v>617</v>
      </c>
      <c r="BC578" s="57">
        <v>359</v>
      </c>
      <c r="BD578" s="57">
        <v>112</v>
      </c>
      <c r="BE578" s="57">
        <v>1264</v>
      </c>
      <c r="BF578" s="57">
        <v>580</v>
      </c>
      <c r="BG578" s="57">
        <v>120</v>
      </c>
      <c r="BH578" s="142" t="e">
        <v>#NAME?</v>
      </c>
      <c r="BI578" s="142" t="e">
        <v>#NAME?</v>
      </c>
      <c r="BJ578" s="142" t="e">
        <v>#NAME?</v>
      </c>
      <c r="BK578" s="142" t="e">
        <v>#NAME?</v>
      </c>
      <c r="BL578" s="142" t="e">
        <v>#NAME?</v>
      </c>
      <c r="BM578" s="142" t="e">
        <v>#NAME?</v>
      </c>
      <c r="BN578" s="142" t="e">
        <v>#NAME?</v>
      </c>
      <c r="BO578" s="142" t="e">
        <v>#NAME?</v>
      </c>
      <c r="BP578" s="142" t="e">
        <v>#NAME?</v>
      </c>
      <c r="BQ578" s="142" t="e">
        <v>#NAME?</v>
      </c>
      <c r="BR578" s="142" t="e">
        <v>#NAME?</v>
      </c>
      <c r="BS578" s="142" t="e">
        <v>#NAME?</v>
      </c>
      <c r="BT578" s="142" t="e">
        <v>#NAME?</v>
      </c>
      <c r="BU578" s="142" t="e">
        <v>#NAME?</v>
      </c>
      <c r="BV578" s="142" t="e">
        <v>#NAME?</v>
      </c>
      <c r="BW578" s="142" t="e">
        <v>#NAME?</v>
      </c>
      <c r="BX578" s="142" t="e">
        <v>#NAME?</v>
      </c>
      <c r="BY578" s="142" t="e">
        <v>#NAME?</v>
      </c>
      <c r="BZ578" s="142" t="e">
        <v>#NAME?</v>
      </c>
      <c r="CA578" s="142" t="e">
        <v>#NAME?</v>
      </c>
      <c r="CB578" s="142" t="e">
        <v>#NAME?</v>
      </c>
      <c r="CC578" s="142" t="e">
        <v>#NAME?</v>
      </c>
      <c r="CD578" s="142" t="e">
        <v>#NAME?</v>
      </c>
      <c r="CE578"/>
      <c r="CF578" s="57" t="s">
        <v>336</v>
      </c>
      <c r="CG578" s="57" t="s">
        <v>336</v>
      </c>
      <c r="CH578" s="57">
        <v>324</v>
      </c>
      <c r="CI578" s="57">
        <v>712</v>
      </c>
      <c r="CJ578" s="57">
        <v>1067</v>
      </c>
      <c r="CK578" s="57">
        <v>1223</v>
      </c>
      <c r="CL578" s="57">
        <v>1513</v>
      </c>
      <c r="CM578" s="57">
        <v>1692</v>
      </c>
      <c r="CN578" s="57">
        <v>1547</v>
      </c>
      <c r="CO578" s="57">
        <v>1797</v>
      </c>
      <c r="CP578" s="57">
        <v>1934</v>
      </c>
      <c r="CQ578" s="57">
        <v>1899</v>
      </c>
      <c r="CR578" s="57">
        <v>1550</v>
      </c>
      <c r="CS578" s="57">
        <v>2315</v>
      </c>
      <c r="CT578" s="142" t="e">
        <v>#NAME?</v>
      </c>
      <c r="CU578" s="142" t="e">
        <v>#NAME?</v>
      </c>
      <c r="CV578" s="142" t="e">
        <v>#NAME?</v>
      </c>
      <c r="CW578" s="142" t="e">
        <v>#NAME?</v>
      </c>
      <c r="CX578" s="142" t="e">
        <v>#NAME?</v>
      </c>
      <c r="CY578"/>
    </row>
    <row r="579" spans="2:103" x14ac:dyDescent="0.25">
      <c r="BG579" s="60"/>
      <c r="CF579" s="60"/>
      <c r="CG579" s="60"/>
      <c r="CH579" s="60"/>
      <c r="CI579" s="60"/>
      <c r="CJ579" s="60"/>
      <c r="CK579" s="60"/>
      <c r="CL579" s="60"/>
      <c r="CM579" s="60"/>
      <c r="CN579" s="60"/>
      <c r="CO579" s="60"/>
      <c r="CP579" s="60"/>
      <c r="CQ579" s="60"/>
      <c r="CR579" s="60"/>
      <c r="CS579" s="60"/>
    </row>
    <row r="580" spans="2:103" x14ac:dyDescent="0.25">
      <c r="B580" s="37" t="s">
        <v>381</v>
      </c>
      <c r="C580" s="37"/>
      <c r="D580" s="37"/>
      <c r="E580" s="37"/>
      <c r="F580" s="37"/>
      <c r="G580" s="37"/>
      <c r="H580" s="37"/>
      <c r="I580" s="37"/>
      <c r="J580" s="37"/>
      <c r="K580" s="37"/>
      <c r="L580" s="37"/>
      <c r="M580" s="37"/>
      <c r="N580" s="37"/>
      <c r="O580" s="37"/>
      <c r="P580" s="37"/>
      <c r="Q580" s="37"/>
      <c r="R580" s="37"/>
      <c r="S580" s="24">
        <v>-27</v>
      </c>
      <c r="T580" s="24">
        <v>-21</v>
      </c>
      <c r="U580" s="24">
        <v>-15</v>
      </c>
      <c r="V580" s="24">
        <v>-32</v>
      </c>
      <c r="W580" s="24">
        <v>-24</v>
      </c>
      <c r="X580" s="24">
        <v>-18</v>
      </c>
      <c r="Y580" s="24">
        <v>-21</v>
      </c>
      <c r="Z580" s="24">
        <v>-30</v>
      </c>
      <c r="AA580" s="24">
        <v>-40</v>
      </c>
      <c r="AB580" s="24">
        <v>-29</v>
      </c>
      <c r="AC580" s="24">
        <v>-25</v>
      </c>
      <c r="AD580" s="24">
        <v>-29</v>
      </c>
      <c r="AE580" s="24">
        <v>-33</v>
      </c>
      <c r="AF580" s="24">
        <v>-30</v>
      </c>
      <c r="AG580" s="24">
        <v>-24</v>
      </c>
      <c r="AH580" s="24">
        <v>-20</v>
      </c>
      <c r="AI580" s="24">
        <v>-32</v>
      </c>
      <c r="AJ580" s="24">
        <v>-31</v>
      </c>
      <c r="AK580" s="24">
        <v>-21</v>
      </c>
      <c r="AL580" s="24">
        <v>-35</v>
      </c>
      <c r="AM580" s="24">
        <v>-45</v>
      </c>
      <c r="AN580" s="24">
        <v>-27</v>
      </c>
      <c r="AO580" s="24">
        <v>-28</v>
      </c>
      <c r="AP580" s="24">
        <v>-40</v>
      </c>
      <c r="AQ580" s="24">
        <v>-38</v>
      </c>
      <c r="AR580" s="24">
        <v>-25</v>
      </c>
      <c r="AS580" s="24">
        <v>-30</v>
      </c>
      <c r="AT580" s="24">
        <v>-31</v>
      </c>
      <c r="AU580" s="24">
        <v>-44</v>
      </c>
      <c r="AV580" s="24">
        <v>-43</v>
      </c>
      <c r="AW580" s="24">
        <v>-48</v>
      </c>
      <c r="AX580" s="24">
        <v>-53</v>
      </c>
      <c r="AY580" s="24">
        <v>-59</v>
      </c>
      <c r="AZ580" s="24">
        <v>-53</v>
      </c>
      <c r="BA580" s="24">
        <v>-48</v>
      </c>
      <c r="BB580" s="24">
        <v>-47</v>
      </c>
      <c r="BC580" s="24">
        <v>-45</v>
      </c>
      <c r="BD580" s="24">
        <v>-51</v>
      </c>
      <c r="BE580" s="24">
        <v>-52</v>
      </c>
      <c r="BF580" s="24">
        <v>-51</v>
      </c>
      <c r="BG580" s="24">
        <v>-67</v>
      </c>
      <c r="BH580" s="146" t="e">
        <v>#NAME?</v>
      </c>
      <c r="BI580" s="146" t="e">
        <v>#NAME?</v>
      </c>
      <c r="BJ580" s="146" t="e">
        <v>#NAME?</v>
      </c>
      <c r="BK580" s="146" t="e">
        <v>#NAME?</v>
      </c>
      <c r="BL580" s="146" t="e">
        <v>#NAME?</v>
      </c>
      <c r="BM580" s="146" t="e">
        <v>#NAME?</v>
      </c>
      <c r="BN580" s="146" t="e">
        <v>#NAME?</v>
      </c>
      <c r="BO580" s="146" t="e">
        <v>#NAME?</v>
      </c>
      <c r="BP580" s="146" t="e">
        <v>#NAME?</v>
      </c>
      <c r="BQ580" s="146" t="e">
        <v>#NAME?</v>
      </c>
      <c r="BR580" s="146" t="e">
        <v>#NAME?</v>
      </c>
      <c r="BS580" s="146" t="e">
        <v>#NAME?</v>
      </c>
      <c r="BT580" s="146" t="e">
        <v>#NAME?</v>
      </c>
      <c r="BU580" s="146" t="e">
        <v>#NAME?</v>
      </c>
      <c r="BV580" s="146" t="e">
        <v>#NAME?</v>
      </c>
      <c r="BW580" s="146" t="e">
        <v>#NAME?</v>
      </c>
      <c r="BX580" s="146" t="e">
        <v>#NAME?</v>
      </c>
      <c r="BY580" s="146" t="e">
        <v>#NAME?</v>
      </c>
      <c r="BZ580" s="146" t="e">
        <v>#NAME?</v>
      </c>
      <c r="CA580" s="146" t="e">
        <v>#NAME?</v>
      </c>
      <c r="CB580" s="146" t="e">
        <v>#NAME?</v>
      </c>
      <c r="CC580" s="146" t="e">
        <v>#NAME?</v>
      </c>
      <c r="CD580" s="146" t="e">
        <v>#NAME?</v>
      </c>
      <c r="CF580" s="24" t="e">
        <v>#VALUE!</v>
      </c>
      <c r="CG580" s="24" t="e">
        <v>#VALUE!</v>
      </c>
      <c r="CH580" s="24">
        <v>-106</v>
      </c>
      <c r="CI580" s="24">
        <v>-97</v>
      </c>
      <c r="CJ580" s="24">
        <v>-95</v>
      </c>
      <c r="CK580" s="24">
        <v>-93</v>
      </c>
      <c r="CL580" s="24">
        <v>-123</v>
      </c>
      <c r="CM580" s="24">
        <v>-107</v>
      </c>
      <c r="CN580" s="24">
        <v>-119</v>
      </c>
      <c r="CO580" s="24">
        <v>-140</v>
      </c>
      <c r="CP580" s="24">
        <v>-124</v>
      </c>
      <c r="CQ580" s="24">
        <v>-188</v>
      </c>
      <c r="CR580" s="24">
        <v>-207</v>
      </c>
      <c r="CS580" s="24">
        <v>-199</v>
      </c>
      <c r="CT580" s="146" t="e">
        <v>#NAME?</v>
      </c>
      <c r="CU580" s="146" t="e">
        <v>#NAME?</v>
      </c>
      <c r="CV580" s="146" t="e">
        <v>#NAME?</v>
      </c>
      <c r="CW580" s="146" t="e">
        <v>#NAME?</v>
      </c>
      <c r="CX580" s="146" t="e">
        <v>#NAME?</v>
      </c>
    </row>
    <row r="581" spans="2:103" x14ac:dyDescent="0.25">
      <c r="B581" s="37" t="s">
        <v>382</v>
      </c>
      <c r="C581" s="37"/>
      <c r="D581" s="37"/>
      <c r="E581" s="37"/>
      <c r="F581" s="37"/>
      <c r="G581" s="37"/>
      <c r="H581" s="37"/>
      <c r="I581" s="37"/>
      <c r="J581" s="37"/>
      <c r="K581" s="37"/>
      <c r="L581" s="37"/>
      <c r="M581" s="37"/>
      <c r="N581" s="37"/>
      <c r="O581" s="37"/>
      <c r="P581" s="37"/>
      <c r="Q581" s="37"/>
      <c r="R581" s="37"/>
      <c r="S581" s="24">
        <v>-180</v>
      </c>
      <c r="T581" s="24">
        <v>-5</v>
      </c>
      <c r="U581" s="24">
        <v>-12</v>
      </c>
      <c r="V581" s="24">
        <v>-178</v>
      </c>
      <c r="W581" s="24">
        <v>-116</v>
      </c>
      <c r="X581" s="24">
        <v>78</v>
      </c>
      <c r="Y581" s="24">
        <v>18</v>
      </c>
      <c r="Z581" s="24">
        <v>-371</v>
      </c>
      <c r="AA581" s="24">
        <v>-41</v>
      </c>
      <c r="AB581" s="24">
        <v>-139</v>
      </c>
      <c r="AC581" s="24">
        <v>-224</v>
      </c>
      <c r="AD581" s="24">
        <v>-232</v>
      </c>
      <c r="AE581" s="24">
        <v>-255</v>
      </c>
      <c r="AF581" s="24">
        <v>-90</v>
      </c>
      <c r="AG581" s="24">
        <v>-11</v>
      </c>
      <c r="AH581" s="24">
        <v>1235</v>
      </c>
      <c r="AI581" s="24">
        <v>-21</v>
      </c>
      <c r="AJ581" s="24">
        <v>-562</v>
      </c>
      <c r="AK581" s="24">
        <v>394</v>
      </c>
      <c r="AL581" s="24">
        <v>535</v>
      </c>
      <c r="AM581" s="24">
        <v>-905</v>
      </c>
      <c r="AN581" s="24">
        <v>-286</v>
      </c>
      <c r="AO581" s="24">
        <v>-55</v>
      </c>
      <c r="AP581" s="24">
        <v>29</v>
      </c>
      <c r="AQ581" s="24">
        <v>30</v>
      </c>
      <c r="AR581" s="24">
        <v>-28</v>
      </c>
      <c r="AS581" s="24">
        <v>30</v>
      </c>
      <c r="AT581" s="24">
        <v>826</v>
      </c>
      <c r="AU581" s="24">
        <v>222</v>
      </c>
      <c r="AV581" s="24">
        <v>537</v>
      </c>
      <c r="AW581" s="24">
        <v>-4</v>
      </c>
      <c r="AX581" s="24">
        <v>20</v>
      </c>
      <c r="AY581" s="24">
        <v>-6</v>
      </c>
      <c r="AZ581" s="24">
        <v>-1</v>
      </c>
      <c r="BA581" s="24">
        <v>-13</v>
      </c>
      <c r="BB581" s="24">
        <v>10</v>
      </c>
      <c r="BC581" s="24">
        <v>1</v>
      </c>
      <c r="BD581" s="24">
        <v>-12</v>
      </c>
      <c r="BE581" s="24">
        <v>1</v>
      </c>
      <c r="BF581" s="24">
        <v>2</v>
      </c>
      <c r="BG581" s="24">
        <v>-2</v>
      </c>
      <c r="BH581" s="146" t="e">
        <v>#NAME?</v>
      </c>
      <c r="BI581" s="146" t="e">
        <v>#NAME?</v>
      </c>
      <c r="BJ581" s="146" t="e">
        <v>#NAME?</v>
      </c>
      <c r="BK581" s="146" t="e">
        <v>#NAME?</v>
      </c>
      <c r="BL581" s="146" t="e">
        <v>#NAME?</v>
      </c>
      <c r="BM581" s="146" t="e">
        <v>#NAME?</v>
      </c>
      <c r="BN581" s="146" t="e">
        <v>#NAME?</v>
      </c>
      <c r="BO581" s="146" t="e">
        <v>#NAME?</v>
      </c>
      <c r="BP581" s="146" t="e">
        <v>#NAME?</v>
      </c>
      <c r="BQ581" s="146" t="e">
        <v>#NAME?</v>
      </c>
      <c r="BR581" s="146" t="e">
        <v>#NAME?</v>
      </c>
      <c r="BS581" s="146" t="e">
        <v>#NAME?</v>
      </c>
      <c r="BT581" s="146" t="e">
        <v>#NAME?</v>
      </c>
      <c r="BU581" s="146" t="e">
        <v>#NAME?</v>
      </c>
      <c r="BV581" s="146" t="e">
        <v>#NAME?</v>
      </c>
      <c r="BW581" s="146" t="e">
        <v>#NAME?</v>
      </c>
      <c r="BX581" s="146" t="e">
        <v>#NAME?</v>
      </c>
      <c r="BY581" s="146" t="e">
        <v>#NAME?</v>
      </c>
      <c r="BZ581" s="146" t="e">
        <v>#NAME?</v>
      </c>
      <c r="CA581" s="146" t="e">
        <v>#NAME?</v>
      </c>
      <c r="CB581" s="146" t="e">
        <v>#NAME?</v>
      </c>
      <c r="CC581" s="146" t="e">
        <v>#NAME?</v>
      </c>
      <c r="CD581" s="146" t="e">
        <v>#NAME?</v>
      </c>
      <c r="CF581" s="24" t="s">
        <v>336</v>
      </c>
      <c r="CG581" s="24" t="s">
        <v>336</v>
      </c>
      <c r="CH581" s="24">
        <v>117</v>
      </c>
      <c r="CI581" s="24">
        <v>-199</v>
      </c>
      <c r="CJ581" s="24">
        <v>-375</v>
      </c>
      <c r="CK581" s="24">
        <v>-391</v>
      </c>
      <c r="CL581" s="24">
        <v>-636</v>
      </c>
      <c r="CM581" s="24">
        <v>879</v>
      </c>
      <c r="CN581" s="24">
        <v>346</v>
      </c>
      <c r="CO581" s="24">
        <v>-1217</v>
      </c>
      <c r="CP581" s="24">
        <v>858</v>
      </c>
      <c r="CQ581" s="24">
        <v>775</v>
      </c>
      <c r="CR581" s="24">
        <v>-10</v>
      </c>
      <c r="CS581" s="24">
        <v>-8</v>
      </c>
      <c r="CT581" s="146" t="e">
        <v>#NAME?</v>
      </c>
      <c r="CU581" s="146" t="e">
        <v>#NAME?</v>
      </c>
      <c r="CV581" s="146" t="e">
        <v>#NAME?</v>
      </c>
      <c r="CW581" s="146" t="e">
        <v>#NAME?</v>
      </c>
      <c r="CX581" s="146" t="e">
        <v>#NAME?</v>
      </c>
    </row>
    <row r="582" spans="2:103" x14ac:dyDescent="0.25">
      <c r="B582" s="37" t="s">
        <v>383</v>
      </c>
      <c r="C582" s="37"/>
      <c r="D582" s="37"/>
      <c r="E582" s="37"/>
      <c r="F582" s="37"/>
      <c r="G582" s="37"/>
      <c r="H582" s="37"/>
      <c r="I582" s="37"/>
      <c r="J582" s="37"/>
      <c r="K582" s="37"/>
      <c r="L582" s="37"/>
      <c r="M582" s="37"/>
      <c r="N582" s="37"/>
      <c r="O582" s="37"/>
      <c r="P582" s="37"/>
      <c r="Q582" s="37"/>
      <c r="R582" s="37"/>
      <c r="S582" s="24">
        <v>-180</v>
      </c>
      <c r="T582" s="24">
        <v>-5</v>
      </c>
      <c r="U582" s="24">
        <v>-12</v>
      </c>
      <c r="V582" s="24">
        <v>-178</v>
      </c>
      <c r="W582" s="24">
        <v>-116</v>
      </c>
      <c r="X582" s="24">
        <v>78</v>
      </c>
      <c r="Y582" s="24">
        <v>18</v>
      </c>
      <c r="Z582" s="24">
        <v>-371</v>
      </c>
      <c r="AA582" s="24">
        <v>-41</v>
      </c>
      <c r="AB582" s="24">
        <v>-139</v>
      </c>
      <c r="AC582" s="24">
        <v>-224</v>
      </c>
      <c r="AD582" s="24">
        <v>-232</v>
      </c>
      <c r="AE582" s="24">
        <v>-255</v>
      </c>
      <c r="AF582" s="24">
        <v>-90</v>
      </c>
      <c r="AG582" s="24">
        <v>-150</v>
      </c>
      <c r="AH582" s="24">
        <v>1235</v>
      </c>
      <c r="AI582" s="24">
        <v>-50</v>
      </c>
      <c r="AJ582" s="24">
        <v>-8</v>
      </c>
      <c r="AK582" s="24">
        <v>394</v>
      </c>
      <c r="AL582" s="24">
        <v>535</v>
      </c>
      <c r="AM582" s="24">
        <v>-905</v>
      </c>
      <c r="AN582" s="24">
        <v>-286</v>
      </c>
      <c r="AO582" s="24">
        <v>-55</v>
      </c>
      <c r="AP582" s="24">
        <v>29</v>
      </c>
      <c r="AQ582" s="24">
        <v>30</v>
      </c>
      <c r="AR582" s="24">
        <v>-28</v>
      </c>
      <c r="AS582" s="24">
        <v>30</v>
      </c>
      <c r="AT582" s="24">
        <v>-1239</v>
      </c>
      <c r="AU582" s="24">
        <v>-1989</v>
      </c>
      <c r="AV582" s="24">
        <v>-1405</v>
      </c>
      <c r="AW582" s="24">
        <v>3</v>
      </c>
      <c r="AX582" s="24">
        <v>20</v>
      </c>
      <c r="AY582" s="24">
        <v>-6</v>
      </c>
      <c r="AZ582" s="24">
        <v>-1</v>
      </c>
      <c r="BA582" s="24">
        <v>-13</v>
      </c>
      <c r="BB582" s="24">
        <v>10</v>
      </c>
      <c r="BC582" s="24">
        <v>1</v>
      </c>
      <c r="BD582" s="24">
        <v>-12</v>
      </c>
      <c r="BE582" s="24">
        <v>1</v>
      </c>
      <c r="BF582" s="24" t="s">
        <v>336</v>
      </c>
      <c r="BG582" s="24" t="s">
        <v>336</v>
      </c>
      <c r="BH582" s="146" t="e">
        <v>#NAME?</v>
      </c>
      <c r="BI582" s="146" t="e">
        <v>#NAME?</v>
      </c>
      <c r="BJ582" s="146" t="e">
        <v>#NAME?</v>
      </c>
      <c r="BK582" s="146" t="e">
        <v>#NAME?</v>
      </c>
      <c r="BL582" s="146" t="e">
        <v>#NAME?</v>
      </c>
      <c r="BM582" s="146" t="e">
        <v>#NAME?</v>
      </c>
      <c r="BN582" s="146" t="e">
        <v>#NAME?</v>
      </c>
      <c r="BO582" s="146" t="e">
        <v>#NAME?</v>
      </c>
      <c r="BP582" s="146" t="e">
        <v>#NAME?</v>
      </c>
      <c r="BQ582" s="146" t="e">
        <v>#NAME?</v>
      </c>
      <c r="BR582" s="146" t="e">
        <v>#NAME?</v>
      </c>
      <c r="BS582" s="146" t="e">
        <v>#NAME?</v>
      </c>
      <c r="BT582" s="146" t="e">
        <v>#NAME?</v>
      </c>
      <c r="BU582" s="146" t="e">
        <v>#NAME?</v>
      </c>
      <c r="BV582" s="146" t="e">
        <v>#NAME?</v>
      </c>
      <c r="BW582" s="146" t="e">
        <v>#NAME?</v>
      </c>
      <c r="BX582" s="146" t="e">
        <v>#NAME?</v>
      </c>
      <c r="BY582" s="146" t="e">
        <v>#NAME?</v>
      </c>
      <c r="BZ582" s="146" t="e">
        <v>#NAME?</v>
      </c>
      <c r="CA582" s="146" t="e">
        <v>#NAME?</v>
      </c>
      <c r="CB582" s="146" t="e">
        <v>#NAME?</v>
      </c>
      <c r="CC582" s="146" t="e">
        <v>#NAME?</v>
      </c>
      <c r="CD582" s="146" t="e">
        <v>#NAME?</v>
      </c>
      <c r="CF582" s="24" t="s">
        <v>336</v>
      </c>
      <c r="CG582" s="24" t="s">
        <v>336</v>
      </c>
      <c r="CH582" s="24">
        <v>21</v>
      </c>
      <c r="CI582" s="24">
        <v>-5</v>
      </c>
      <c r="CJ582" s="24">
        <v>-375</v>
      </c>
      <c r="CK582" s="24">
        <v>-391</v>
      </c>
      <c r="CL582" s="24">
        <v>-636</v>
      </c>
      <c r="CM582" s="24">
        <v>-150</v>
      </c>
      <c r="CN582" s="24">
        <v>-58</v>
      </c>
      <c r="CO582" s="24">
        <v>-1217</v>
      </c>
      <c r="CP582" s="24">
        <v>-1239</v>
      </c>
      <c r="CQ582" s="24">
        <v>-3391</v>
      </c>
      <c r="CR582" s="24">
        <v>-10</v>
      </c>
      <c r="CS582" s="24" t="s">
        <v>336</v>
      </c>
      <c r="CT582" s="146" t="e">
        <v>#NAME?</v>
      </c>
      <c r="CU582" s="146" t="e">
        <v>#NAME?</v>
      </c>
      <c r="CV582" s="146" t="e">
        <v>#NAME?</v>
      </c>
      <c r="CW582" s="146" t="e">
        <v>#NAME?</v>
      </c>
      <c r="CX582" s="146" t="e">
        <v>#NAME?</v>
      </c>
    </row>
    <row r="583" spans="2:103" s="10" customFormat="1" x14ac:dyDescent="0.25">
      <c r="B583" s="10" t="s">
        <v>384</v>
      </c>
      <c r="S583" s="57">
        <v>-207</v>
      </c>
      <c r="T583" s="57">
        <v>-26</v>
      </c>
      <c r="U583" s="57">
        <v>-27</v>
      </c>
      <c r="V583" s="57">
        <v>-210</v>
      </c>
      <c r="W583" s="57">
        <v>-140</v>
      </c>
      <c r="X583" s="57">
        <v>60</v>
      </c>
      <c r="Y583" s="57">
        <v>-3</v>
      </c>
      <c r="Z583" s="57">
        <v>-401</v>
      </c>
      <c r="AA583" s="57">
        <v>-81</v>
      </c>
      <c r="AB583" s="57">
        <v>-168</v>
      </c>
      <c r="AC583" s="57">
        <v>-249</v>
      </c>
      <c r="AD583" s="57">
        <v>-261</v>
      </c>
      <c r="AE583" s="57">
        <v>-288</v>
      </c>
      <c r="AF583" s="57">
        <v>-120</v>
      </c>
      <c r="AG583" s="57">
        <v>-185</v>
      </c>
      <c r="AH583" s="57">
        <v>1215</v>
      </c>
      <c r="AI583" s="57">
        <v>-103</v>
      </c>
      <c r="AJ583" s="57">
        <v>-601</v>
      </c>
      <c r="AK583" s="57">
        <v>373</v>
      </c>
      <c r="AL583" s="57">
        <v>500</v>
      </c>
      <c r="AM583" s="57">
        <v>-950</v>
      </c>
      <c r="AN583" s="57">
        <v>-313</v>
      </c>
      <c r="AO583" s="57">
        <v>-83</v>
      </c>
      <c r="AP583" s="57">
        <v>-11</v>
      </c>
      <c r="AQ583" s="57">
        <v>-8</v>
      </c>
      <c r="AR583" s="57">
        <v>-53</v>
      </c>
      <c r="AS583" s="57">
        <v>0</v>
      </c>
      <c r="AT583" s="57">
        <v>-444</v>
      </c>
      <c r="AU583" s="57">
        <v>-1811</v>
      </c>
      <c r="AV583" s="57">
        <v>-911</v>
      </c>
      <c r="AW583" s="57">
        <v>-49</v>
      </c>
      <c r="AX583" s="57">
        <v>-33</v>
      </c>
      <c r="AY583" s="57">
        <v>-65</v>
      </c>
      <c r="AZ583" s="57">
        <v>-54</v>
      </c>
      <c r="BA583" s="57">
        <v>-61</v>
      </c>
      <c r="BB583" s="57">
        <v>-37</v>
      </c>
      <c r="BC583" s="57">
        <v>-44</v>
      </c>
      <c r="BD583" s="57">
        <v>-63</v>
      </c>
      <c r="BE583" s="57">
        <v>-51</v>
      </c>
      <c r="BF583" s="57">
        <v>-49</v>
      </c>
      <c r="BG583" s="57">
        <v>-69</v>
      </c>
      <c r="BH583" s="142" t="e">
        <v>#NAME?</v>
      </c>
      <c r="BI583" s="142" t="e">
        <v>#NAME?</v>
      </c>
      <c r="BJ583" s="142" t="e">
        <v>#NAME?</v>
      </c>
      <c r="BK583" s="142" t="e">
        <v>#NAME?</v>
      </c>
      <c r="BL583" s="142" t="e">
        <v>#NAME?</v>
      </c>
      <c r="BM583" s="142" t="e">
        <v>#NAME?</v>
      </c>
      <c r="BN583" s="142" t="e">
        <v>#NAME?</v>
      </c>
      <c r="BO583" s="142" t="e">
        <v>#NAME?</v>
      </c>
      <c r="BP583" s="142" t="e">
        <v>#NAME?</v>
      </c>
      <c r="BQ583" s="142" t="e">
        <v>#NAME?</v>
      </c>
      <c r="BR583" s="142" t="e">
        <v>#NAME?</v>
      </c>
      <c r="BS583" s="142" t="e">
        <v>#NAME?</v>
      </c>
      <c r="BT583" s="142" t="e">
        <v>#NAME?</v>
      </c>
      <c r="BU583" s="142" t="e">
        <v>#NAME?</v>
      </c>
      <c r="BV583" s="142" t="e">
        <v>#NAME?</v>
      </c>
      <c r="BW583" s="142" t="e">
        <v>#NAME?</v>
      </c>
      <c r="BX583" s="142" t="e">
        <v>#NAME?</v>
      </c>
      <c r="BY583" s="142" t="e">
        <v>#NAME?</v>
      </c>
      <c r="BZ583" s="142" t="e">
        <v>#NAME?</v>
      </c>
      <c r="CA583" s="142" t="e">
        <v>#NAME?</v>
      </c>
      <c r="CB583" s="142" t="e">
        <v>#NAME?</v>
      </c>
      <c r="CC583" s="142" t="e">
        <v>#NAME?</v>
      </c>
      <c r="CD583" s="142" t="e">
        <v>#NAME?</v>
      </c>
      <c r="CE583"/>
      <c r="CF583" s="57" t="s">
        <v>336</v>
      </c>
      <c r="CG583" s="57" t="s">
        <v>336</v>
      </c>
      <c r="CH583" s="57">
        <v>32</v>
      </c>
      <c r="CI583" s="57">
        <v>-301</v>
      </c>
      <c r="CJ583" s="57">
        <v>-470</v>
      </c>
      <c r="CK583" s="57">
        <v>-484</v>
      </c>
      <c r="CL583" s="57">
        <v>-759</v>
      </c>
      <c r="CM583" s="57">
        <v>622</v>
      </c>
      <c r="CN583" s="57">
        <v>169</v>
      </c>
      <c r="CO583" s="57">
        <v>-1357</v>
      </c>
      <c r="CP583" s="57">
        <v>-505</v>
      </c>
      <c r="CQ583" s="57">
        <v>-2804</v>
      </c>
      <c r="CR583" s="57">
        <v>-217</v>
      </c>
      <c r="CS583" s="57">
        <v>-207</v>
      </c>
      <c r="CT583" s="142" t="e">
        <v>#NAME?</v>
      </c>
      <c r="CU583" s="142" t="e">
        <v>#NAME?</v>
      </c>
      <c r="CV583" s="142" t="e">
        <v>#NAME?</v>
      </c>
      <c r="CW583" s="142" t="e">
        <v>#NAME?</v>
      </c>
      <c r="CX583" s="142" t="e">
        <v>#NAME?</v>
      </c>
      <c r="CY583"/>
    </row>
    <row r="584" spans="2:103" x14ac:dyDescent="0.25">
      <c r="B584" s="10"/>
      <c r="C584" s="10"/>
      <c r="D584" s="10"/>
      <c r="E584" s="10"/>
      <c r="F584" s="10"/>
      <c r="G584" s="10"/>
      <c r="H584" s="10"/>
      <c r="I584" s="10"/>
      <c r="J584" s="10"/>
      <c r="K584" s="10"/>
      <c r="L584" s="10"/>
      <c r="M584" s="10"/>
      <c r="N584" s="10"/>
      <c r="O584" s="10"/>
      <c r="P584" s="10"/>
      <c r="Q584" s="10"/>
      <c r="R584" s="10"/>
      <c r="BG584" s="60"/>
      <c r="CF584" s="60"/>
      <c r="CG584" s="60"/>
      <c r="CH584" s="60"/>
      <c r="CI584" s="60"/>
      <c r="CJ584" s="60"/>
      <c r="CK584" s="60"/>
      <c r="CL584" s="60"/>
      <c r="CM584" s="60"/>
      <c r="CN584" s="60"/>
      <c r="CO584" s="60"/>
      <c r="CP584" s="60"/>
      <c r="CQ584" s="60"/>
      <c r="CR584" s="60"/>
      <c r="CS584" s="60"/>
    </row>
    <row r="585" spans="2:103" x14ac:dyDescent="0.25">
      <c r="B585" s="37" t="s">
        <v>385</v>
      </c>
      <c r="C585" s="37"/>
      <c r="D585" s="37"/>
      <c r="E585" s="37"/>
      <c r="F585" s="37"/>
      <c r="G585" s="37"/>
      <c r="H585" s="37"/>
      <c r="I585" s="37"/>
      <c r="J585" s="37"/>
      <c r="K585" s="37"/>
      <c r="L585" s="37"/>
      <c r="M585" s="37"/>
      <c r="N585" s="37"/>
      <c r="O585" s="37"/>
      <c r="P585" s="37"/>
      <c r="Q585" s="37"/>
      <c r="R585" s="37"/>
      <c r="S585" s="24">
        <v>5</v>
      </c>
      <c r="T585" s="24">
        <v>21</v>
      </c>
      <c r="U585" s="24">
        <v>5</v>
      </c>
      <c r="V585" s="24">
        <v>29</v>
      </c>
      <c r="W585" s="24">
        <v>45</v>
      </c>
      <c r="X585" s="24">
        <v>39</v>
      </c>
      <c r="Y585" s="24">
        <v>2</v>
      </c>
      <c r="Z585" s="24">
        <v>21</v>
      </c>
      <c r="AA585" s="24">
        <v>4</v>
      </c>
      <c r="AB585" s="24">
        <v>27</v>
      </c>
      <c r="AC585" s="24">
        <v>2</v>
      </c>
      <c r="AD585" s="24">
        <v>39</v>
      </c>
      <c r="AE585" s="24">
        <v>30</v>
      </c>
      <c r="AF585" s="24">
        <v>27</v>
      </c>
      <c r="AG585" s="24">
        <v>0</v>
      </c>
      <c r="AH585" s="24">
        <v>21</v>
      </c>
      <c r="AI585" s="24">
        <v>1</v>
      </c>
      <c r="AJ585" s="24">
        <v>35</v>
      </c>
      <c r="AK585" s="24">
        <v>0</v>
      </c>
      <c r="AL585" s="24">
        <v>25</v>
      </c>
      <c r="AM585" s="24">
        <v>3</v>
      </c>
      <c r="AN585" s="24">
        <v>30</v>
      </c>
      <c r="AO585" s="24">
        <v>1</v>
      </c>
      <c r="AP585" s="24">
        <v>28</v>
      </c>
      <c r="AQ585" s="24">
        <v>3</v>
      </c>
      <c r="AR585" s="24">
        <v>40</v>
      </c>
      <c r="AS585" s="24">
        <v>13</v>
      </c>
      <c r="AT585" s="24">
        <v>30</v>
      </c>
      <c r="AU585" s="24">
        <v>0</v>
      </c>
      <c r="AV585" s="24">
        <v>41</v>
      </c>
      <c r="AW585" s="24">
        <v>3</v>
      </c>
      <c r="AX585" s="24">
        <v>33</v>
      </c>
      <c r="AY585" s="24">
        <v>1</v>
      </c>
      <c r="AZ585" s="24">
        <v>43</v>
      </c>
      <c r="BA585" s="24">
        <v>3</v>
      </c>
      <c r="BB585" s="24">
        <v>33</v>
      </c>
      <c r="BC585" s="24">
        <v>0</v>
      </c>
      <c r="BD585" s="24">
        <v>40</v>
      </c>
      <c r="BE585" s="24">
        <v>3</v>
      </c>
      <c r="BF585" s="24">
        <v>34</v>
      </c>
      <c r="BG585" s="24">
        <v>0</v>
      </c>
      <c r="BH585" s="146" t="e">
        <v>#NAME?</v>
      </c>
      <c r="BI585" s="146" t="e">
        <v>#NAME?</v>
      </c>
      <c r="BJ585" s="146" t="e">
        <v>#NAME?</v>
      </c>
      <c r="BK585" s="146" t="e">
        <v>#NAME?</v>
      </c>
      <c r="BL585" s="146" t="e">
        <v>#NAME?</v>
      </c>
      <c r="BM585" s="146" t="e">
        <v>#NAME?</v>
      </c>
      <c r="BN585" s="146" t="e">
        <v>#NAME?</v>
      </c>
      <c r="BO585" s="146" t="e">
        <v>#NAME?</v>
      </c>
      <c r="BP585" s="146" t="e">
        <v>#NAME?</v>
      </c>
      <c r="BQ585" s="146" t="e">
        <v>#NAME?</v>
      </c>
      <c r="BR585" s="146" t="e">
        <v>#NAME?</v>
      </c>
      <c r="BS585" s="146" t="e">
        <v>#NAME?</v>
      </c>
      <c r="BT585" s="146" t="e">
        <v>#NAME?</v>
      </c>
      <c r="BU585" s="146" t="e">
        <v>#NAME?</v>
      </c>
      <c r="BV585" s="146" t="e">
        <v>#NAME?</v>
      </c>
      <c r="BW585" s="146" t="e">
        <v>#NAME?</v>
      </c>
      <c r="BX585" s="146" t="e">
        <v>#NAME?</v>
      </c>
      <c r="BY585" s="146" t="e">
        <v>#NAME?</v>
      </c>
      <c r="BZ585" s="146" t="e">
        <v>#NAME?</v>
      </c>
      <c r="CA585" s="146" t="e">
        <v>#NAME?</v>
      </c>
      <c r="CB585" s="146" t="e">
        <v>#NAME?</v>
      </c>
      <c r="CC585" s="146" t="e">
        <v>#NAME?</v>
      </c>
      <c r="CD585" s="146" t="e">
        <v>#NAME?</v>
      </c>
      <c r="CF585" s="24" t="s">
        <v>336</v>
      </c>
      <c r="CG585" s="24" t="s">
        <v>336</v>
      </c>
      <c r="CH585" s="24">
        <v>34</v>
      </c>
      <c r="CI585" s="24">
        <v>77</v>
      </c>
      <c r="CJ585" s="24">
        <v>60</v>
      </c>
      <c r="CK585" s="24">
        <v>107</v>
      </c>
      <c r="CL585" s="24">
        <v>72</v>
      </c>
      <c r="CM585" s="24">
        <v>78</v>
      </c>
      <c r="CN585" s="24">
        <v>61</v>
      </c>
      <c r="CO585" s="24">
        <v>62</v>
      </c>
      <c r="CP585" s="24">
        <v>86</v>
      </c>
      <c r="CQ585" s="24">
        <v>77</v>
      </c>
      <c r="CR585" s="24">
        <v>80</v>
      </c>
      <c r="CS585" s="24">
        <v>77</v>
      </c>
      <c r="CT585" s="146" t="e">
        <v>#NAME?</v>
      </c>
      <c r="CU585" s="146" t="e">
        <v>#NAME?</v>
      </c>
      <c r="CV585" s="146" t="e">
        <v>#NAME?</v>
      </c>
      <c r="CW585" s="146" t="e">
        <v>#NAME?</v>
      </c>
      <c r="CX585" s="146" t="e">
        <v>#NAME?</v>
      </c>
    </row>
    <row r="586" spans="2:103" x14ac:dyDescent="0.25">
      <c r="B586" s="37" t="s">
        <v>386</v>
      </c>
      <c r="C586" s="37"/>
      <c r="D586" s="37"/>
      <c r="E586" s="37"/>
      <c r="F586" s="37"/>
      <c r="G586" s="37"/>
      <c r="H586" s="37"/>
      <c r="I586" s="37"/>
      <c r="J586" s="37"/>
      <c r="K586" s="37"/>
      <c r="L586" s="37"/>
      <c r="M586" s="37"/>
      <c r="N586" s="37"/>
      <c r="O586" s="37"/>
      <c r="P586" s="37"/>
      <c r="Q586" s="37"/>
      <c r="R586" s="37"/>
      <c r="S586" s="24">
        <v>50</v>
      </c>
      <c r="T586" s="24">
        <v>95</v>
      </c>
      <c r="U586" s="24">
        <v>97</v>
      </c>
      <c r="V586" s="24">
        <v>95</v>
      </c>
      <c r="W586" s="24">
        <v>132</v>
      </c>
      <c r="X586" s="24">
        <v>126</v>
      </c>
      <c r="Y586" s="24">
        <v>126</v>
      </c>
      <c r="Z586" s="24">
        <v>634</v>
      </c>
      <c r="AA586" s="24">
        <v>129</v>
      </c>
      <c r="AB586" s="24">
        <v>127</v>
      </c>
      <c r="AC586" s="24">
        <v>127</v>
      </c>
      <c r="AD586" s="24">
        <v>125</v>
      </c>
      <c r="AE586" s="24">
        <v>150</v>
      </c>
      <c r="AF586" s="24">
        <v>153</v>
      </c>
      <c r="AG586" s="24">
        <v>150</v>
      </c>
      <c r="AH586" s="24">
        <v>148</v>
      </c>
      <c r="AI586" s="24">
        <v>300</v>
      </c>
      <c r="AJ586" s="24">
        <v>299</v>
      </c>
      <c r="AK586" s="24">
        <v>292</v>
      </c>
      <c r="AL586" s="24">
        <v>301</v>
      </c>
      <c r="AM586" s="24">
        <v>305</v>
      </c>
      <c r="AN586" s="24">
        <v>306</v>
      </c>
      <c r="AO586" s="24">
        <v>305</v>
      </c>
      <c r="AP586" s="24">
        <v>291</v>
      </c>
      <c r="AQ586" s="24">
        <v>78</v>
      </c>
      <c r="AR586" s="24">
        <v>0</v>
      </c>
      <c r="AS586" s="24">
        <v>326</v>
      </c>
      <c r="AT586" s="24">
        <v>325</v>
      </c>
      <c r="AU586" s="24">
        <v>325</v>
      </c>
      <c r="AV586" s="24">
        <v>325</v>
      </c>
      <c r="AW586" s="24">
        <v>325</v>
      </c>
      <c r="AX586" s="24">
        <v>325</v>
      </c>
      <c r="AY586" s="24">
        <v>320</v>
      </c>
      <c r="AZ586" s="24">
        <v>325</v>
      </c>
      <c r="BA586" s="24">
        <v>325</v>
      </c>
      <c r="BB586" s="24">
        <v>325</v>
      </c>
      <c r="BC586" s="24">
        <v>325</v>
      </c>
      <c r="BD586" s="24">
        <v>325</v>
      </c>
      <c r="BE586" s="24">
        <v>325</v>
      </c>
      <c r="BF586" s="24">
        <v>325</v>
      </c>
      <c r="BG586" s="24">
        <v>375</v>
      </c>
      <c r="BH586" s="146" t="e">
        <v>#NAME?</v>
      </c>
      <c r="BI586" s="146" t="e">
        <v>#NAME?</v>
      </c>
      <c r="BJ586" s="146" t="e">
        <v>#NAME?</v>
      </c>
      <c r="BK586" s="146" t="e">
        <v>#NAME?</v>
      </c>
      <c r="BL586" s="146" t="e">
        <v>#NAME?</v>
      </c>
      <c r="BM586" s="146" t="e">
        <v>#NAME?</v>
      </c>
      <c r="BN586" s="146" t="e">
        <v>#NAME?</v>
      </c>
      <c r="BO586" s="146" t="e">
        <v>#NAME?</v>
      </c>
      <c r="BP586" s="146" t="e">
        <v>#NAME?</v>
      </c>
      <c r="BQ586" s="146" t="e">
        <v>#NAME?</v>
      </c>
      <c r="BR586" s="146" t="e">
        <v>#NAME?</v>
      </c>
      <c r="BS586" s="146" t="e">
        <v>#NAME?</v>
      </c>
      <c r="BT586" s="146" t="e">
        <v>#NAME?</v>
      </c>
      <c r="BU586" s="146" t="e">
        <v>#NAME?</v>
      </c>
      <c r="BV586" s="146" t="e">
        <v>#NAME?</v>
      </c>
      <c r="BW586" s="146" t="e">
        <v>#NAME?</v>
      </c>
      <c r="BX586" s="146" t="e">
        <v>#NAME?</v>
      </c>
      <c r="BY586" s="146" t="e">
        <v>#NAME?</v>
      </c>
      <c r="BZ586" s="146" t="e">
        <v>#NAME?</v>
      </c>
      <c r="CA586" s="146" t="e">
        <v>#NAME?</v>
      </c>
      <c r="CB586" s="146" t="e">
        <v>#NAME?</v>
      </c>
      <c r="CC586" s="146" t="e">
        <v>#NAME?</v>
      </c>
      <c r="CD586" s="146" t="e">
        <v>#NAME?</v>
      </c>
      <c r="CF586" s="24" t="s">
        <v>336</v>
      </c>
      <c r="CG586" s="24" t="s">
        <v>336</v>
      </c>
      <c r="CH586" s="24">
        <v>349</v>
      </c>
      <c r="CI586" s="24">
        <v>0</v>
      </c>
      <c r="CJ586" s="24">
        <v>337</v>
      </c>
      <c r="CK586" s="24">
        <v>1018</v>
      </c>
      <c r="CL586" s="24">
        <v>508</v>
      </c>
      <c r="CM586" s="24">
        <v>601</v>
      </c>
      <c r="CN586" s="24">
        <v>1192</v>
      </c>
      <c r="CO586" s="24">
        <v>1207</v>
      </c>
      <c r="CP586" s="24">
        <v>729</v>
      </c>
      <c r="CQ586" s="24">
        <v>1300</v>
      </c>
      <c r="CR586" s="24">
        <v>1295</v>
      </c>
      <c r="CS586" s="24">
        <v>1300</v>
      </c>
      <c r="CT586" s="146" t="e">
        <v>#NAME?</v>
      </c>
      <c r="CU586" s="146" t="e">
        <v>#NAME?</v>
      </c>
      <c r="CV586" s="146" t="e">
        <v>#NAME?</v>
      </c>
      <c r="CW586" s="146" t="e">
        <v>#NAME?</v>
      </c>
      <c r="CX586" s="146" t="e">
        <v>#NAME?</v>
      </c>
    </row>
    <row r="587" spans="2:103" x14ac:dyDescent="0.25">
      <c r="B587" s="37" t="s">
        <v>387</v>
      </c>
      <c r="C587" s="37"/>
      <c r="D587" s="37"/>
      <c r="E587" s="37"/>
      <c r="F587" s="37"/>
      <c r="G587" s="37"/>
      <c r="H587" s="37"/>
      <c r="I587" s="37"/>
      <c r="J587" s="37"/>
      <c r="K587" s="37"/>
      <c r="L587" s="37"/>
      <c r="M587" s="37"/>
      <c r="N587" s="37"/>
      <c r="O587" s="37"/>
      <c r="P587" s="37"/>
      <c r="Q587" s="37"/>
      <c r="R587" s="37"/>
      <c r="S587" s="24" t="s">
        <v>336</v>
      </c>
      <c r="T587" s="24" t="s">
        <v>336</v>
      </c>
      <c r="U587" s="24" t="s">
        <v>336</v>
      </c>
      <c r="V587" s="24" t="s">
        <v>336</v>
      </c>
      <c r="W587" s="24" t="s">
        <v>336</v>
      </c>
      <c r="X587" s="24" t="s">
        <v>336</v>
      </c>
      <c r="Y587" s="24" t="s">
        <v>336</v>
      </c>
      <c r="Z587" s="24" t="s">
        <v>336</v>
      </c>
      <c r="AA587" s="24" t="s">
        <v>336</v>
      </c>
      <c r="AB587" s="24" t="s">
        <v>336</v>
      </c>
      <c r="AC587" s="24" t="s">
        <v>336</v>
      </c>
      <c r="AD587" s="24" t="s">
        <v>336</v>
      </c>
      <c r="AE587" s="24" t="s">
        <v>336</v>
      </c>
      <c r="AF587" s="24" t="s">
        <v>336</v>
      </c>
      <c r="AG587" s="24" t="s">
        <v>336</v>
      </c>
      <c r="AH587" s="24" t="s">
        <v>336</v>
      </c>
      <c r="AI587" s="24">
        <v>89</v>
      </c>
      <c r="AJ587" s="24">
        <v>7</v>
      </c>
      <c r="AK587" s="24">
        <v>20</v>
      </c>
      <c r="AL587" s="24">
        <v>6</v>
      </c>
      <c r="AM587" s="24">
        <v>51</v>
      </c>
      <c r="AN587" s="24">
        <v>4</v>
      </c>
      <c r="AO587" s="24">
        <v>31</v>
      </c>
      <c r="AP587" s="24">
        <v>5</v>
      </c>
      <c r="AQ587" s="24" t="s">
        <v>336</v>
      </c>
      <c r="AR587" s="24" t="s">
        <v>336</v>
      </c>
      <c r="AS587" s="24">
        <v>49</v>
      </c>
      <c r="AT587" s="24">
        <v>49</v>
      </c>
      <c r="AU587" s="24">
        <v>49</v>
      </c>
      <c r="AV587" s="24">
        <v>48</v>
      </c>
      <c r="AW587" s="24">
        <v>48</v>
      </c>
      <c r="AX587" s="24">
        <v>48</v>
      </c>
      <c r="AY587" s="24">
        <v>53</v>
      </c>
      <c r="AZ587" s="24">
        <v>53</v>
      </c>
      <c r="BA587" s="24">
        <v>52</v>
      </c>
      <c r="BB587" s="24">
        <v>52</v>
      </c>
      <c r="BC587" s="24">
        <v>52</v>
      </c>
      <c r="BD587" s="24">
        <v>51</v>
      </c>
      <c r="BE587" s="24">
        <v>51</v>
      </c>
      <c r="BF587" s="24">
        <v>51</v>
      </c>
      <c r="BG587" s="24">
        <v>50</v>
      </c>
      <c r="BH587" s="146" t="e">
        <v>#NAME?</v>
      </c>
      <c r="BI587" s="146" t="e">
        <v>#NAME?</v>
      </c>
      <c r="BJ587" s="146" t="e">
        <v>#NAME?</v>
      </c>
      <c r="BK587" s="146" t="e">
        <v>#NAME?</v>
      </c>
      <c r="BL587" s="146" t="e">
        <v>#NAME?</v>
      </c>
      <c r="BM587" s="146" t="e">
        <v>#NAME?</v>
      </c>
      <c r="BN587" s="146" t="e">
        <v>#NAME?</v>
      </c>
      <c r="BO587" s="146" t="e">
        <v>#NAME?</v>
      </c>
      <c r="BP587" s="146" t="e">
        <v>#NAME?</v>
      </c>
      <c r="BQ587" s="146" t="e">
        <v>#NAME?</v>
      </c>
      <c r="BR587" s="146" t="e">
        <v>#NAME?</v>
      </c>
      <c r="BS587" s="146" t="e">
        <v>#NAME?</v>
      </c>
      <c r="BT587" s="146" t="e">
        <v>#NAME?</v>
      </c>
      <c r="BU587" s="146" t="e">
        <v>#NAME?</v>
      </c>
      <c r="BV587" s="146" t="e">
        <v>#NAME?</v>
      </c>
      <c r="BW587" s="146" t="e">
        <v>#NAME?</v>
      </c>
      <c r="BX587" s="146" t="e">
        <v>#NAME?</v>
      </c>
      <c r="BY587" s="146" t="e">
        <v>#NAME?</v>
      </c>
      <c r="BZ587" s="146" t="e">
        <v>#NAME?</v>
      </c>
      <c r="CA587" s="146" t="e">
        <v>#NAME?</v>
      </c>
      <c r="CB587" s="146" t="e">
        <v>#NAME?</v>
      </c>
      <c r="CC587" s="146" t="e">
        <v>#NAME?</v>
      </c>
      <c r="CD587" s="146" t="e">
        <v>#NAME?</v>
      </c>
      <c r="CF587" s="24" t="s">
        <v>336</v>
      </c>
      <c r="CG587" s="24" t="s">
        <v>336</v>
      </c>
      <c r="CH587" s="24" t="s">
        <v>336</v>
      </c>
      <c r="CI587" s="24" t="s">
        <v>336</v>
      </c>
      <c r="CJ587" s="24" t="s">
        <v>336</v>
      </c>
      <c r="CK587" s="24" t="s">
        <v>336</v>
      </c>
      <c r="CL587" s="24" t="s">
        <v>336</v>
      </c>
      <c r="CM587" s="24" t="s">
        <v>336</v>
      </c>
      <c r="CN587" s="24">
        <v>122</v>
      </c>
      <c r="CO587" s="24">
        <v>91</v>
      </c>
      <c r="CP587" s="24">
        <v>98</v>
      </c>
      <c r="CQ587" s="24">
        <v>193</v>
      </c>
      <c r="CR587" s="24">
        <v>210</v>
      </c>
      <c r="CS587" s="24">
        <v>205</v>
      </c>
      <c r="CT587" s="146" t="e">
        <v>#NAME?</v>
      </c>
      <c r="CU587" s="146" t="e">
        <v>#NAME?</v>
      </c>
      <c r="CV587" s="146" t="e">
        <v>#NAME?</v>
      </c>
      <c r="CW587" s="146" t="e">
        <v>#NAME?</v>
      </c>
      <c r="CX587" s="146" t="e">
        <v>#NAME?</v>
      </c>
    </row>
    <row r="588" spans="2:103" x14ac:dyDescent="0.25">
      <c r="B588" s="37" t="s">
        <v>388</v>
      </c>
      <c r="C588" s="37"/>
      <c r="D588" s="37"/>
      <c r="E588" s="37"/>
      <c r="F588" s="37"/>
      <c r="G588" s="37"/>
      <c r="H588" s="37"/>
      <c r="I588" s="37"/>
      <c r="J588" s="37"/>
      <c r="K588" s="37"/>
      <c r="L588" s="37"/>
      <c r="M588" s="37"/>
      <c r="N588" s="37"/>
      <c r="O588" s="37"/>
      <c r="P588" s="37"/>
      <c r="Q588" s="37"/>
      <c r="R588" s="37"/>
      <c r="S588" s="24" t="s">
        <v>336</v>
      </c>
      <c r="T588" s="24" t="s">
        <v>336</v>
      </c>
      <c r="U588" s="24" t="s">
        <v>336</v>
      </c>
      <c r="V588" s="24" t="s">
        <v>336</v>
      </c>
      <c r="W588" s="24" t="s">
        <v>336</v>
      </c>
      <c r="X588" s="24">
        <v>-198</v>
      </c>
      <c r="Y588" s="24">
        <v>-95</v>
      </c>
      <c r="Z588" s="24">
        <v>989</v>
      </c>
      <c r="AA588" s="24">
        <v>-27</v>
      </c>
      <c r="AB588" s="24">
        <v>-136</v>
      </c>
      <c r="AC588" s="24" t="s">
        <v>336</v>
      </c>
      <c r="AD588" s="24" t="s">
        <v>336</v>
      </c>
      <c r="AE588" s="24" t="s">
        <v>336</v>
      </c>
      <c r="AF588" s="24" t="s">
        <v>336</v>
      </c>
      <c r="AG588" s="24" t="s">
        <v>336</v>
      </c>
      <c r="AH588" s="24" t="s">
        <v>336</v>
      </c>
      <c r="AI588" s="24" t="s">
        <v>336</v>
      </c>
      <c r="AJ588" s="24" t="s">
        <v>336</v>
      </c>
      <c r="AK588" s="24" t="s">
        <v>336</v>
      </c>
      <c r="AL588" s="24" t="s">
        <v>336</v>
      </c>
      <c r="AM588" s="24" t="s">
        <v>336</v>
      </c>
      <c r="AN588" s="24" t="s">
        <v>336</v>
      </c>
      <c r="AO588" s="24" t="s">
        <v>336</v>
      </c>
      <c r="AP588" s="24" t="s">
        <v>336</v>
      </c>
      <c r="AQ588" s="24" t="s">
        <v>336</v>
      </c>
      <c r="AR588" s="24" t="s">
        <v>336</v>
      </c>
      <c r="AS588" s="24">
        <v>1</v>
      </c>
      <c r="AT588" s="24">
        <v>878</v>
      </c>
      <c r="AU588" s="24" t="s">
        <v>336</v>
      </c>
      <c r="AV588" s="24" t="s">
        <v>336</v>
      </c>
      <c r="AW588" s="24" t="s">
        <v>336</v>
      </c>
      <c r="AX588" s="24" t="s">
        <v>336</v>
      </c>
      <c r="AY588" s="24" t="s">
        <v>336</v>
      </c>
      <c r="AZ588" s="24" t="s">
        <v>336</v>
      </c>
      <c r="BA588" s="24">
        <v>3</v>
      </c>
      <c r="BB588" s="24">
        <v>1</v>
      </c>
      <c r="BC588" s="24" t="s">
        <v>336</v>
      </c>
      <c r="BD588" s="24">
        <v>1</v>
      </c>
      <c r="BE588" s="24" t="s">
        <v>336</v>
      </c>
      <c r="BF588" s="24" t="s">
        <v>336</v>
      </c>
      <c r="BG588" s="24" t="s">
        <v>336</v>
      </c>
      <c r="BH588" s="146" t="e">
        <v>#NAME?</v>
      </c>
      <c r="BI588" s="146" t="e">
        <v>#NAME?</v>
      </c>
      <c r="BJ588" s="146" t="e">
        <v>#NAME?</v>
      </c>
      <c r="BK588" s="146" t="e">
        <v>#NAME?</v>
      </c>
      <c r="BL588" s="146" t="e">
        <v>#NAME?</v>
      </c>
      <c r="BM588" s="146" t="e">
        <v>#NAME?</v>
      </c>
      <c r="BN588" s="146" t="e">
        <v>#NAME?</v>
      </c>
      <c r="BO588" s="146" t="e">
        <v>#NAME?</v>
      </c>
      <c r="BP588" s="146" t="e">
        <v>#NAME?</v>
      </c>
      <c r="BQ588" s="146" t="e">
        <v>#NAME?</v>
      </c>
      <c r="BR588" s="146" t="e">
        <v>#NAME?</v>
      </c>
      <c r="BS588" s="146" t="e">
        <v>#NAME?</v>
      </c>
      <c r="BT588" s="146" t="e">
        <v>#NAME?</v>
      </c>
      <c r="BU588" s="146" t="e">
        <v>#NAME?</v>
      </c>
      <c r="BV588" s="146" t="e">
        <v>#NAME?</v>
      </c>
      <c r="BW588" s="146" t="e">
        <v>#NAME?</v>
      </c>
      <c r="BX588" s="146" t="e">
        <v>#NAME?</v>
      </c>
      <c r="BY588" s="146" t="e">
        <v>#NAME?</v>
      </c>
      <c r="BZ588" s="146" t="e">
        <v>#NAME?</v>
      </c>
      <c r="CA588" s="146" t="e">
        <v>#NAME?</v>
      </c>
      <c r="CB588" s="146" t="e">
        <v>#NAME?</v>
      </c>
      <c r="CC588" s="146" t="e">
        <v>#NAME?</v>
      </c>
      <c r="CD588" s="146" t="e">
        <v>#NAME?</v>
      </c>
      <c r="CF588" s="24" t="s">
        <v>336</v>
      </c>
      <c r="CG588" s="24" t="s">
        <v>336</v>
      </c>
      <c r="CH588" s="24">
        <v>-2</v>
      </c>
      <c r="CI588" s="24" t="s">
        <v>336</v>
      </c>
      <c r="CJ588" s="24" t="s">
        <v>336</v>
      </c>
      <c r="CK588" s="24">
        <v>989</v>
      </c>
      <c r="CL588" s="24">
        <v>-163</v>
      </c>
      <c r="CM588" s="24" t="s">
        <v>336</v>
      </c>
      <c r="CN588" s="24" t="s">
        <v>336</v>
      </c>
      <c r="CO588" s="24" t="s">
        <v>336</v>
      </c>
      <c r="CP588" s="24">
        <v>1478</v>
      </c>
      <c r="CQ588" s="24" t="s">
        <v>336</v>
      </c>
      <c r="CR588" s="24">
        <v>36</v>
      </c>
      <c r="CS588" s="24" t="s">
        <v>336</v>
      </c>
      <c r="CT588" s="146" t="e">
        <v>#NAME?</v>
      </c>
      <c r="CU588" s="146" t="e">
        <v>#NAME?</v>
      </c>
      <c r="CV588" s="146" t="e">
        <v>#NAME?</v>
      </c>
      <c r="CW588" s="146" t="e">
        <v>#NAME?</v>
      </c>
      <c r="CX588" s="146" t="e">
        <v>#NAME?</v>
      </c>
    </row>
    <row r="589" spans="2:103" x14ac:dyDescent="0.25">
      <c r="B589" s="37" t="s">
        <v>389</v>
      </c>
      <c r="C589" s="37"/>
      <c r="D589" s="37"/>
      <c r="E589" s="37"/>
      <c r="F589" s="37"/>
      <c r="G589" s="37"/>
      <c r="H589" s="37"/>
      <c r="I589" s="37"/>
      <c r="J589" s="37"/>
      <c r="K589" s="37"/>
      <c r="L589" s="37"/>
      <c r="M589" s="37"/>
      <c r="N589" s="37"/>
      <c r="O589" s="37"/>
      <c r="P589" s="37"/>
      <c r="Q589" s="37"/>
      <c r="R589" s="37"/>
      <c r="S589" s="24">
        <v>12</v>
      </c>
      <c r="T589" s="24">
        <v>2</v>
      </c>
      <c r="U589" s="24">
        <v>2</v>
      </c>
      <c r="V589" s="24">
        <v>6</v>
      </c>
      <c r="W589" s="24">
        <v>40</v>
      </c>
      <c r="X589" s="24">
        <v>25</v>
      </c>
      <c r="Y589" s="24">
        <v>8</v>
      </c>
      <c r="Z589" s="24">
        <v>13</v>
      </c>
      <c r="AA589" s="24">
        <v>-97</v>
      </c>
      <c r="AB589" s="24">
        <v>4</v>
      </c>
      <c r="AC589" s="24">
        <v>16</v>
      </c>
      <c r="AD589" s="24">
        <v>12</v>
      </c>
      <c r="AE589" s="24">
        <v>-95</v>
      </c>
      <c r="AF589" s="24">
        <v>-10</v>
      </c>
      <c r="AG589" s="24">
        <v>-7</v>
      </c>
      <c r="AH589" s="24">
        <v>-8</v>
      </c>
      <c r="AI589" s="24">
        <v>-89</v>
      </c>
      <c r="AJ589" s="24">
        <v>-7</v>
      </c>
      <c r="AK589" s="24">
        <v>-20</v>
      </c>
      <c r="AL589" s="24">
        <v>-6</v>
      </c>
      <c r="AM589" s="24">
        <v>-51</v>
      </c>
      <c r="AN589" s="24">
        <v>-4</v>
      </c>
      <c r="AO589" s="24">
        <v>-31</v>
      </c>
      <c r="AP589" s="24">
        <v>-5</v>
      </c>
      <c r="AQ589" s="24">
        <v>-69</v>
      </c>
      <c r="AR589" s="24">
        <v>-8</v>
      </c>
      <c r="AS589" s="24">
        <v>-67</v>
      </c>
      <c r="AT589" s="24">
        <v>-8</v>
      </c>
      <c r="AU589" s="24">
        <v>-105</v>
      </c>
      <c r="AV589" s="24">
        <v>-16</v>
      </c>
      <c r="AW589" s="24">
        <v>-72</v>
      </c>
      <c r="AX589" s="24">
        <v>-11</v>
      </c>
      <c r="AY589" s="24">
        <v>-104</v>
      </c>
      <c r="AZ589" s="24">
        <v>-13</v>
      </c>
      <c r="BA589" s="24">
        <v>-44</v>
      </c>
      <c r="BB589" s="24">
        <v>-14</v>
      </c>
      <c r="BC589" s="24">
        <v>-105</v>
      </c>
      <c r="BD589" s="24">
        <v>-15</v>
      </c>
      <c r="BE589" s="24">
        <v>-58</v>
      </c>
      <c r="BF589" s="24">
        <v>-18</v>
      </c>
      <c r="BG589" s="24">
        <v>-121</v>
      </c>
      <c r="BH589" s="146" t="e">
        <v>#NAME?</v>
      </c>
      <c r="BI589" s="146" t="e">
        <v>#NAME?</v>
      </c>
      <c r="BJ589" s="146" t="e">
        <v>#NAME?</v>
      </c>
      <c r="BK589" s="146" t="e">
        <v>#NAME?</v>
      </c>
      <c r="BL589" s="146" t="e">
        <v>#NAME?</v>
      </c>
      <c r="BM589" s="146" t="e">
        <v>#NAME?</v>
      </c>
      <c r="BN589" s="146" t="e">
        <v>#NAME?</v>
      </c>
      <c r="BO589" s="146" t="e">
        <v>#NAME?</v>
      </c>
      <c r="BP589" s="146" t="e">
        <v>#NAME?</v>
      </c>
      <c r="BQ589" s="146" t="e">
        <v>#NAME?</v>
      </c>
      <c r="BR589" s="146" t="e">
        <v>#NAME?</v>
      </c>
      <c r="BS589" s="146" t="e">
        <v>#NAME?</v>
      </c>
      <c r="BT589" s="146" t="e">
        <v>#NAME?</v>
      </c>
      <c r="BU589" s="146" t="e">
        <v>#NAME?</v>
      </c>
      <c r="BV589" s="146" t="e">
        <v>#NAME?</v>
      </c>
      <c r="BW589" s="146" t="e">
        <v>#NAME?</v>
      </c>
      <c r="BX589" s="146" t="e">
        <v>#NAME?</v>
      </c>
      <c r="BY589" s="146" t="e">
        <v>#NAME?</v>
      </c>
      <c r="BZ589" s="146" t="e">
        <v>#NAME?</v>
      </c>
      <c r="CA589" s="146" t="e">
        <v>#NAME?</v>
      </c>
      <c r="CB589" s="146" t="e">
        <v>#NAME?</v>
      </c>
      <c r="CC589" s="146" t="e">
        <v>#NAME?</v>
      </c>
      <c r="CD589" s="146" t="e">
        <v>#NAME?</v>
      </c>
      <c r="CF589" s="24" t="s">
        <v>336</v>
      </c>
      <c r="CG589" s="24" t="s">
        <v>336</v>
      </c>
      <c r="CH589" s="24">
        <v>-54.5</v>
      </c>
      <c r="CI589" s="24">
        <v>13</v>
      </c>
      <c r="CJ589" s="24">
        <v>22</v>
      </c>
      <c r="CK589" s="24">
        <v>86</v>
      </c>
      <c r="CL589" s="24">
        <v>-65</v>
      </c>
      <c r="CM589" s="24">
        <v>-120</v>
      </c>
      <c r="CN589" s="24">
        <v>-122</v>
      </c>
      <c r="CO589" s="24">
        <v>-91</v>
      </c>
      <c r="CP589" s="24">
        <v>-152</v>
      </c>
      <c r="CQ589" s="24">
        <v>-204</v>
      </c>
      <c r="CR589" s="24">
        <v>-175</v>
      </c>
      <c r="CS589" s="24">
        <v>-196</v>
      </c>
      <c r="CT589" s="146" t="e">
        <v>#NAME?</v>
      </c>
      <c r="CU589" s="146" t="e">
        <v>#NAME?</v>
      </c>
      <c r="CV589" s="146" t="e">
        <v>#NAME?</v>
      </c>
      <c r="CW589" s="146" t="e">
        <v>#NAME?</v>
      </c>
      <c r="CX589" s="146" t="e">
        <v>#NAME?</v>
      </c>
    </row>
    <row r="590" spans="2:103" x14ac:dyDescent="0.25">
      <c r="B590" s="37" t="s">
        <v>390</v>
      </c>
      <c r="C590" s="37"/>
      <c r="D590" s="37"/>
      <c r="E590" s="37"/>
      <c r="F590" s="37"/>
      <c r="G590" s="37"/>
      <c r="H590" s="37"/>
      <c r="I590" s="37"/>
      <c r="J590" s="37"/>
      <c r="K590" s="37"/>
      <c r="L590" s="37"/>
      <c r="M590" s="37"/>
      <c r="N590" s="37"/>
      <c r="O590" s="37"/>
      <c r="P590" s="37"/>
      <c r="Q590" s="37"/>
      <c r="R590" s="37"/>
      <c r="S590" s="24">
        <v>13.666666666666666</v>
      </c>
      <c r="T590" s="24">
        <v>9</v>
      </c>
      <c r="U590" s="24">
        <v>3.6666666666666665</v>
      </c>
      <c r="V590" s="24">
        <v>15.666666666666666</v>
      </c>
      <c r="W590" s="24">
        <v>55</v>
      </c>
      <c r="X590" s="24">
        <v>-198</v>
      </c>
      <c r="Y590" s="24">
        <v>-95</v>
      </c>
      <c r="Z590" s="24">
        <v>-177</v>
      </c>
      <c r="AA590" s="24">
        <v>-27</v>
      </c>
      <c r="AB590" s="24">
        <v>-136</v>
      </c>
      <c r="AC590" s="24">
        <v>9.3333333333333339</v>
      </c>
      <c r="AD590" s="24">
        <v>15</v>
      </c>
      <c r="AE590" s="24">
        <v>-65</v>
      </c>
      <c r="AF590" s="24">
        <v>3.5</v>
      </c>
      <c r="AG590" s="24">
        <v>-7</v>
      </c>
      <c r="AH590" s="24">
        <v>2.5</v>
      </c>
      <c r="AI590" s="24">
        <v>-88</v>
      </c>
      <c r="AJ590" s="24">
        <v>4.666666666666667</v>
      </c>
      <c r="AK590" s="24">
        <v>-20</v>
      </c>
      <c r="AL590" s="24">
        <v>6.5</v>
      </c>
      <c r="AM590" s="24">
        <v>-32</v>
      </c>
      <c r="AN590" s="24">
        <v>-32</v>
      </c>
      <c r="AO590" s="24">
        <v>-26</v>
      </c>
      <c r="AP590" s="24">
        <v>-32</v>
      </c>
      <c r="AQ590" s="24">
        <v>-67.5</v>
      </c>
      <c r="AR590" s="24">
        <v>12</v>
      </c>
      <c r="AS590" s="24">
        <v>-85</v>
      </c>
      <c r="AT590" s="24">
        <v>1478</v>
      </c>
      <c r="AU590" s="24">
        <v>-102.66666666666667</v>
      </c>
      <c r="AV590" s="24">
        <v>-18.333333333333332</v>
      </c>
      <c r="AW590" s="24">
        <v>-94.5</v>
      </c>
      <c r="AX590" s="24">
        <v>-7</v>
      </c>
      <c r="AY590" s="24">
        <v>-130</v>
      </c>
      <c r="AZ590" s="24">
        <v>8.5</v>
      </c>
      <c r="BA590" s="24">
        <v>-68.5</v>
      </c>
      <c r="BB590" s="24">
        <v>15.58445255474455</v>
      </c>
      <c r="BC590" s="24">
        <v>-130.97</v>
      </c>
      <c r="BD590" s="24">
        <v>-20.755350553505551</v>
      </c>
      <c r="BE590" s="24">
        <v>-81.850706319702596</v>
      </c>
      <c r="BF590" s="24">
        <v>-34</v>
      </c>
      <c r="BG590" s="24">
        <v>-171</v>
      </c>
      <c r="BH590" s="146" t="e">
        <v>#NAME?</v>
      </c>
      <c r="BI590" s="146" t="e">
        <v>#NAME?</v>
      </c>
      <c r="BJ590" s="146" t="e">
        <v>#NAME?</v>
      </c>
      <c r="BK590" s="146" t="e">
        <v>#NAME?</v>
      </c>
      <c r="BL590" s="146" t="e">
        <v>#NAME?</v>
      </c>
      <c r="BM590" s="146" t="e">
        <v>#NAME?</v>
      </c>
      <c r="BN590" s="146" t="e">
        <v>#NAME?</v>
      </c>
      <c r="BO590" s="146" t="e">
        <v>#NAME?</v>
      </c>
      <c r="BP590" s="146" t="e">
        <v>#NAME?</v>
      </c>
      <c r="BQ590" s="146" t="e">
        <v>#NAME?</v>
      </c>
      <c r="BR590" s="146" t="e">
        <v>#NAME?</v>
      </c>
      <c r="BS590" s="146" t="e">
        <v>#NAME?</v>
      </c>
      <c r="BT590" s="146" t="e">
        <v>#NAME?</v>
      </c>
      <c r="BU590" s="146" t="e">
        <v>#NAME?</v>
      </c>
      <c r="BV590" s="146" t="e">
        <v>#NAME?</v>
      </c>
      <c r="BW590" s="146" t="e">
        <v>#NAME?</v>
      </c>
      <c r="BX590" s="146" t="e">
        <v>#NAME?</v>
      </c>
      <c r="BY590" s="146" t="e">
        <v>#NAME?</v>
      </c>
      <c r="BZ590" s="146" t="e">
        <v>#NAME?</v>
      </c>
      <c r="CA590" s="146" t="e">
        <v>#NAME?</v>
      </c>
      <c r="CB590" s="146" t="e">
        <v>#NAME?</v>
      </c>
      <c r="CC590" s="146" t="e">
        <v>#NAME?</v>
      </c>
      <c r="CD590" s="146" t="e">
        <v>#NAME?</v>
      </c>
      <c r="CF590" s="24" t="s">
        <v>336</v>
      </c>
      <c r="CG590" s="24" t="s">
        <v>336</v>
      </c>
      <c r="CH590" s="24">
        <v>-30</v>
      </c>
      <c r="CI590" s="24">
        <v>-1</v>
      </c>
      <c r="CJ590" s="24">
        <v>37</v>
      </c>
      <c r="CK590" s="24">
        <v>-470</v>
      </c>
      <c r="CL590" s="24">
        <v>-163</v>
      </c>
      <c r="CM590" s="24">
        <v>-62.333333333333336</v>
      </c>
      <c r="CN590" s="24">
        <v>-55.75</v>
      </c>
      <c r="CO590" s="24">
        <v>-122</v>
      </c>
      <c r="CP590" s="24">
        <v>878</v>
      </c>
      <c r="CQ590" s="24">
        <v>-191</v>
      </c>
      <c r="CR590" s="24">
        <v>-240.41554744525544</v>
      </c>
      <c r="CS590" s="24">
        <v>-200</v>
      </c>
      <c r="CT590" s="146" t="e">
        <v>#NAME?</v>
      </c>
      <c r="CU590" s="146" t="e">
        <v>#NAME?</v>
      </c>
      <c r="CV590" s="146" t="e">
        <v>#NAME?</v>
      </c>
      <c r="CW590" s="146" t="e">
        <v>#NAME?</v>
      </c>
      <c r="CX590" s="146" t="e">
        <v>#NAME?</v>
      </c>
    </row>
    <row r="591" spans="2:103" s="10" customFormat="1" x14ac:dyDescent="0.25">
      <c r="B591" s="10" t="s">
        <v>391</v>
      </c>
      <c r="S591" s="57">
        <v>-33</v>
      </c>
      <c r="T591" s="57">
        <v>-72</v>
      </c>
      <c r="U591" s="57">
        <v>-90</v>
      </c>
      <c r="V591" s="57">
        <v>-60</v>
      </c>
      <c r="W591" s="57">
        <v>-47</v>
      </c>
      <c r="X591" s="57">
        <v>-260</v>
      </c>
      <c r="Y591" s="57">
        <v>-211</v>
      </c>
      <c r="Z591" s="57">
        <v>212</v>
      </c>
      <c r="AA591" s="57">
        <v>-249</v>
      </c>
      <c r="AB591" s="57">
        <v>-232</v>
      </c>
      <c r="AC591" s="57">
        <v>-109</v>
      </c>
      <c r="AD591" s="57">
        <v>-74</v>
      </c>
      <c r="AE591" s="57">
        <v>-215</v>
      </c>
      <c r="AF591" s="57">
        <v>-136</v>
      </c>
      <c r="AG591" s="57">
        <v>-157</v>
      </c>
      <c r="AH591" s="57">
        <v>-135</v>
      </c>
      <c r="AI591" s="57">
        <v>-388</v>
      </c>
      <c r="AJ591" s="57">
        <v>-271</v>
      </c>
      <c r="AK591" s="57">
        <v>-312</v>
      </c>
      <c r="AL591" s="57">
        <v>-282</v>
      </c>
      <c r="AM591" s="57">
        <v>-385</v>
      </c>
      <c r="AN591" s="57">
        <v>-312</v>
      </c>
      <c r="AO591" s="57">
        <v>-361</v>
      </c>
      <c r="AP591" s="57">
        <v>-300</v>
      </c>
      <c r="AQ591" s="57">
        <v>-144</v>
      </c>
      <c r="AR591" s="57">
        <v>32</v>
      </c>
      <c r="AS591" s="57">
        <v>-429</v>
      </c>
      <c r="AT591" s="57">
        <v>526</v>
      </c>
      <c r="AU591" s="57">
        <v>-479</v>
      </c>
      <c r="AV591" s="57">
        <v>-348</v>
      </c>
      <c r="AW591" s="57">
        <v>-442</v>
      </c>
      <c r="AX591" s="57">
        <v>-351</v>
      </c>
      <c r="AY591" s="57">
        <v>-476</v>
      </c>
      <c r="AZ591" s="57">
        <v>-348</v>
      </c>
      <c r="BA591" s="57">
        <v>-418</v>
      </c>
      <c r="BB591" s="57">
        <v>-358</v>
      </c>
      <c r="BC591" s="57">
        <v>-482</v>
      </c>
      <c r="BD591" s="57">
        <v>-351</v>
      </c>
      <c r="BE591" s="57">
        <v>-431</v>
      </c>
      <c r="BF591" s="57">
        <v>-360</v>
      </c>
      <c r="BG591" s="57">
        <v>-546</v>
      </c>
      <c r="BH591" s="142" t="e">
        <v>#NAME?</v>
      </c>
      <c r="BI591" s="142" t="e">
        <v>#NAME?</v>
      </c>
      <c r="BJ591" s="142" t="e">
        <v>#NAME?</v>
      </c>
      <c r="BK591" s="142" t="e">
        <v>#NAME?</v>
      </c>
      <c r="BL591" s="142" t="e">
        <v>#NAME?</v>
      </c>
      <c r="BM591" s="142" t="e">
        <v>#NAME?</v>
      </c>
      <c r="BN591" s="142" t="e">
        <v>#NAME?</v>
      </c>
      <c r="BO591" s="142" t="e">
        <v>#NAME?</v>
      </c>
      <c r="BP591" s="142" t="e">
        <v>#NAME?</v>
      </c>
      <c r="BQ591" s="142" t="e">
        <v>#NAME?</v>
      </c>
      <c r="BR591" s="142" t="e">
        <v>#NAME?</v>
      </c>
      <c r="BS591" s="142" t="e">
        <v>#NAME?</v>
      </c>
      <c r="BT591" s="142" t="e">
        <v>#NAME?</v>
      </c>
      <c r="BU591" s="142" t="e">
        <v>#NAME?</v>
      </c>
      <c r="BV591" s="142" t="e">
        <v>#NAME?</v>
      </c>
      <c r="BW591" s="142" t="e">
        <v>#NAME?</v>
      </c>
      <c r="BX591" s="142" t="e">
        <v>#NAME?</v>
      </c>
      <c r="BY591" s="142" t="e">
        <v>#NAME?</v>
      </c>
      <c r="BZ591" s="142" t="e">
        <v>#NAME?</v>
      </c>
      <c r="CA591" s="142" t="e">
        <v>#NAME?</v>
      </c>
      <c r="CB591" s="142" t="e">
        <v>#NAME?</v>
      </c>
      <c r="CC591" s="142" t="e">
        <v>#NAME?</v>
      </c>
      <c r="CD591" s="142" t="e">
        <v>#NAME?</v>
      </c>
      <c r="CE591"/>
      <c r="CF591" s="57" t="s">
        <v>336</v>
      </c>
      <c r="CG591" s="57" t="s">
        <v>336</v>
      </c>
      <c r="CH591" s="57">
        <v>-345</v>
      </c>
      <c r="CI591" s="57">
        <v>89</v>
      </c>
      <c r="CJ591" s="57">
        <v>-255</v>
      </c>
      <c r="CK591" s="57">
        <v>-306</v>
      </c>
      <c r="CL591" s="57">
        <v>-664</v>
      </c>
      <c r="CM591" s="57">
        <v>-643</v>
      </c>
      <c r="CN591" s="57">
        <v>-1253</v>
      </c>
      <c r="CO591" s="57">
        <v>-1358</v>
      </c>
      <c r="CP591" s="57">
        <v>-15</v>
      </c>
      <c r="CQ591" s="57">
        <v>-1620</v>
      </c>
      <c r="CR591" s="57">
        <v>-1600</v>
      </c>
      <c r="CS591" s="57">
        <v>-1624</v>
      </c>
      <c r="CT591" s="142" t="e">
        <v>#NAME?</v>
      </c>
      <c r="CU591" s="142" t="e">
        <v>#NAME?</v>
      </c>
      <c r="CV591" s="142" t="e">
        <v>#NAME?</v>
      </c>
      <c r="CW591" s="142" t="e">
        <v>#NAME?</v>
      </c>
      <c r="CX591" s="142" t="e">
        <v>#NAME?</v>
      </c>
      <c r="CY591"/>
    </row>
    <row r="592" spans="2:103" x14ac:dyDescent="0.25">
      <c r="B592" s="10"/>
      <c r="C592" s="10"/>
      <c r="D592" s="10"/>
      <c r="E592" s="10"/>
      <c r="F592" s="10"/>
      <c r="G592" s="10"/>
      <c r="H592" s="10"/>
      <c r="I592" s="10"/>
      <c r="J592" s="10"/>
      <c r="K592" s="10"/>
      <c r="L592" s="10"/>
      <c r="M592" s="10"/>
      <c r="N592" s="10"/>
      <c r="O592" s="10"/>
      <c r="P592" s="10"/>
      <c r="Q592" s="10"/>
      <c r="R592" s="10"/>
      <c r="BG592" s="60"/>
      <c r="CF592" s="60"/>
      <c r="CG592" s="60"/>
      <c r="CH592" s="60"/>
      <c r="CI592" s="60"/>
      <c r="CJ592" s="60"/>
      <c r="CK592" s="60"/>
      <c r="CL592" s="60"/>
      <c r="CM592" s="60"/>
      <c r="CN592" s="60"/>
      <c r="CO592" s="60"/>
      <c r="CP592" s="60"/>
      <c r="CQ592" s="60"/>
      <c r="CR592" s="60"/>
      <c r="CS592" s="60"/>
    </row>
    <row r="593" spans="2:103" x14ac:dyDescent="0.25">
      <c r="B593" t="s">
        <v>392</v>
      </c>
      <c r="S593" s="24">
        <v>-228</v>
      </c>
      <c r="T593" s="24">
        <v>70</v>
      </c>
      <c r="U593" s="24">
        <v>542</v>
      </c>
      <c r="V593" s="24">
        <v>-98</v>
      </c>
      <c r="W593" s="24">
        <v>-258</v>
      </c>
      <c r="X593" s="24">
        <v>-212</v>
      </c>
      <c r="Y593" s="24">
        <v>665</v>
      </c>
      <c r="Z593" s="24">
        <v>230</v>
      </c>
      <c r="AA593" s="24">
        <v>-451</v>
      </c>
      <c r="AB593" s="24">
        <v>-296</v>
      </c>
      <c r="AC593" s="24">
        <v>737</v>
      </c>
      <c r="AD593" s="24">
        <v>82</v>
      </c>
      <c r="AE593" s="24">
        <v>-317</v>
      </c>
      <c r="AF593" s="24">
        <v>-181</v>
      </c>
      <c r="AG593" s="24">
        <v>499</v>
      </c>
      <c r="AH593" s="24">
        <v>1692</v>
      </c>
      <c r="AI593" s="24">
        <v>-382</v>
      </c>
      <c r="AJ593" s="24">
        <v>-995</v>
      </c>
      <c r="AK593" s="24">
        <v>1006</v>
      </c>
      <c r="AL593" s="24">
        <v>821</v>
      </c>
      <c r="AM593" s="24">
        <v>-1175</v>
      </c>
      <c r="AN593" s="24">
        <v>-593</v>
      </c>
      <c r="AO593" s="24">
        <v>663</v>
      </c>
      <c r="AP593" s="24">
        <v>165</v>
      </c>
      <c r="AQ593" s="24">
        <v>245</v>
      </c>
      <c r="AR593" s="24">
        <v>46</v>
      </c>
      <c r="AS593" s="24">
        <v>713</v>
      </c>
      <c r="AT593" s="24">
        <v>488</v>
      </c>
      <c r="AU593" s="24">
        <v>-2422</v>
      </c>
      <c r="AV593" s="24">
        <v>-1208</v>
      </c>
      <c r="AW593" s="24">
        <v>1040</v>
      </c>
      <c r="AX593" s="24">
        <v>62</v>
      </c>
      <c r="AY593" s="24">
        <v>-650</v>
      </c>
      <c r="AZ593" s="24">
        <v>-543</v>
      </c>
      <c r="BA593" s="24">
        <v>663</v>
      </c>
      <c r="BB593" s="24">
        <v>222</v>
      </c>
      <c r="BC593" s="24">
        <v>-165</v>
      </c>
      <c r="BD593" s="24">
        <v>-313</v>
      </c>
      <c r="BE593" s="24">
        <v>796</v>
      </c>
      <c r="BF593" s="24">
        <v>158</v>
      </c>
      <c r="BG593" s="24">
        <v>-500</v>
      </c>
      <c r="BH593" s="146" t="e">
        <v>#NAME?</v>
      </c>
      <c r="BI593" s="146" t="e">
        <v>#NAME?</v>
      </c>
      <c r="BJ593" s="146" t="e">
        <v>#NAME?</v>
      </c>
      <c r="BK593" s="146" t="e">
        <v>#NAME?</v>
      </c>
      <c r="BL593" s="146" t="e">
        <v>#NAME?</v>
      </c>
      <c r="BM593" s="146" t="e">
        <v>#NAME?</v>
      </c>
      <c r="BN593" s="146" t="e">
        <v>#NAME?</v>
      </c>
      <c r="BO593" s="146" t="e">
        <v>#NAME?</v>
      </c>
      <c r="BP593" s="146" t="e">
        <v>#NAME?</v>
      </c>
      <c r="BQ593" s="146" t="e">
        <v>#NAME?</v>
      </c>
      <c r="BR593" s="146" t="e">
        <v>#NAME?</v>
      </c>
      <c r="BS593" s="146" t="e">
        <v>#NAME?</v>
      </c>
      <c r="BT593" s="146" t="e">
        <v>#NAME?</v>
      </c>
      <c r="BU593" s="146" t="e">
        <v>#NAME?</v>
      </c>
      <c r="BV593" s="146" t="e">
        <v>#NAME?</v>
      </c>
      <c r="BW593" s="146" t="e">
        <v>#NAME?</v>
      </c>
      <c r="BX593" s="146" t="e">
        <v>#NAME?</v>
      </c>
      <c r="BY593" s="146" t="e">
        <v>#NAME?</v>
      </c>
      <c r="BZ593" s="146" t="e">
        <v>#NAME?</v>
      </c>
      <c r="CA593" s="146" t="e">
        <v>#NAME?</v>
      </c>
      <c r="CB593" s="146" t="e">
        <v>#NAME?</v>
      </c>
      <c r="CC593" s="146" t="e">
        <v>#NAME?</v>
      </c>
      <c r="CD593" s="146" t="e">
        <v>#NAME?</v>
      </c>
      <c r="CF593" s="24" t="s">
        <v>336</v>
      </c>
      <c r="CG593" s="24" t="s">
        <v>336</v>
      </c>
      <c r="CH593" s="24">
        <v>-1</v>
      </c>
      <c r="CI593" s="24">
        <v>490</v>
      </c>
      <c r="CJ593" s="24">
        <v>286</v>
      </c>
      <c r="CK593" s="24">
        <v>425</v>
      </c>
      <c r="CL593" s="24">
        <v>72</v>
      </c>
      <c r="CM593" s="24">
        <v>1693</v>
      </c>
      <c r="CN593" s="24">
        <v>450</v>
      </c>
      <c r="CO593" s="24">
        <v>-940</v>
      </c>
      <c r="CP593" s="24">
        <v>1492</v>
      </c>
      <c r="CQ593" s="24">
        <v>-2528</v>
      </c>
      <c r="CR593" s="24">
        <v>-308</v>
      </c>
      <c r="CS593" s="24">
        <v>476</v>
      </c>
      <c r="CT593" s="146" t="e">
        <v>#NAME?</v>
      </c>
      <c r="CU593" s="146" t="e">
        <v>#NAME?</v>
      </c>
      <c r="CV593" s="146" t="e">
        <v>#NAME?</v>
      </c>
      <c r="CW593" s="146" t="e">
        <v>#NAME?</v>
      </c>
      <c r="CX593" s="146" t="e">
        <v>#NAME?</v>
      </c>
    </row>
    <row r="594" spans="2:103" x14ac:dyDescent="0.25">
      <c r="B594" t="s">
        <v>393</v>
      </c>
      <c r="S594" s="24">
        <v>1782</v>
      </c>
      <c r="T594" s="24">
        <v>1554</v>
      </c>
      <c r="U594" s="24">
        <v>1624</v>
      </c>
      <c r="V594" s="24">
        <v>2166</v>
      </c>
      <c r="W594" s="24">
        <v>2068</v>
      </c>
      <c r="X594" s="24">
        <v>1810</v>
      </c>
      <c r="Y594" s="24">
        <v>1598</v>
      </c>
      <c r="Z594" s="24">
        <v>2263</v>
      </c>
      <c r="AA594" s="24">
        <v>2493</v>
      </c>
      <c r="AB594" s="24">
        <v>2042</v>
      </c>
      <c r="AC594" s="24">
        <v>1746</v>
      </c>
      <c r="AD594" s="24">
        <v>2483</v>
      </c>
      <c r="AE594" s="24">
        <v>2565</v>
      </c>
      <c r="AF594" s="24">
        <v>2248</v>
      </c>
      <c r="AG594" s="24">
        <v>2067</v>
      </c>
      <c r="AH594" s="24">
        <v>2566</v>
      </c>
      <c r="AI594" s="24">
        <v>4258</v>
      </c>
      <c r="AJ594" s="24">
        <v>3876</v>
      </c>
      <c r="AK594" s="24">
        <v>2881</v>
      </c>
      <c r="AL594" s="24">
        <v>3887</v>
      </c>
      <c r="AM594" s="24">
        <v>4708</v>
      </c>
      <c r="AN594" s="24">
        <v>3533</v>
      </c>
      <c r="AO594" s="24">
        <v>2940</v>
      </c>
      <c r="AP594" s="24">
        <v>3603</v>
      </c>
      <c r="AQ594" s="24">
        <v>3768</v>
      </c>
      <c r="AR594" s="24">
        <v>4013</v>
      </c>
      <c r="AS594" s="24">
        <v>4059</v>
      </c>
      <c r="AT594" s="24">
        <v>4772</v>
      </c>
      <c r="AU594" s="24">
        <v>5260</v>
      </c>
      <c r="AV594" s="24">
        <v>2838</v>
      </c>
      <c r="AW594" s="24">
        <v>1630</v>
      </c>
      <c r="AX594" s="24">
        <v>2670</v>
      </c>
      <c r="AY594" s="24">
        <v>2732</v>
      </c>
      <c r="AZ594" s="24">
        <v>2082</v>
      </c>
      <c r="BA594" s="24">
        <v>1539</v>
      </c>
      <c r="BB594" s="24">
        <v>2202</v>
      </c>
      <c r="BC594" s="24">
        <v>2424</v>
      </c>
      <c r="BD594" s="24">
        <v>2259</v>
      </c>
      <c r="BE594" s="24">
        <v>1946</v>
      </c>
      <c r="BF594" s="24">
        <v>2742</v>
      </c>
      <c r="BG594" s="24">
        <v>2900</v>
      </c>
      <c r="BH594" s="146" t="e">
        <v>#NAME?</v>
      </c>
      <c r="BI594" s="146" t="e">
        <v>#NAME?</v>
      </c>
      <c r="BJ594" s="146" t="e">
        <v>#NAME?</v>
      </c>
      <c r="BK594" s="146" t="e">
        <v>#NAME?</v>
      </c>
      <c r="BL594" s="146" t="e">
        <v>#NAME?</v>
      </c>
      <c r="BM594" s="146" t="e">
        <v>#NAME?</v>
      </c>
      <c r="BN594" s="146" t="e">
        <v>#NAME?</v>
      </c>
      <c r="BO594" s="146" t="e">
        <v>#NAME?</v>
      </c>
      <c r="BP594" s="146" t="e">
        <v>#NAME?</v>
      </c>
      <c r="BQ594" s="146" t="e">
        <v>#NAME?</v>
      </c>
      <c r="BR594" s="146" t="e">
        <v>#NAME?</v>
      </c>
      <c r="BS594" s="146" t="e">
        <v>#NAME?</v>
      </c>
      <c r="BT594" s="146" t="e">
        <v>#NAME?</v>
      </c>
      <c r="BU594" s="146" t="e">
        <v>#NAME?</v>
      </c>
      <c r="BV594" s="146" t="e">
        <v>#NAME?</v>
      </c>
      <c r="BW594" s="146" t="e">
        <v>#NAME?</v>
      </c>
      <c r="BX594" s="146" t="e">
        <v>#NAME?</v>
      </c>
      <c r="BY594" s="146" t="e">
        <v>#NAME?</v>
      </c>
      <c r="BZ594" s="146" t="e">
        <v>#NAME?</v>
      </c>
      <c r="CA594" s="146" t="e">
        <v>#NAME?</v>
      </c>
      <c r="CB594" s="146" t="e">
        <v>#NAME?</v>
      </c>
      <c r="CC594" s="146" t="e">
        <v>#NAME?</v>
      </c>
      <c r="CD594" s="146" t="e">
        <v>#NAME?</v>
      </c>
      <c r="CF594" s="24" t="s">
        <v>336</v>
      </c>
      <c r="CG594" s="24" t="s">
        <v>336</v>
      </c>
      <c r="CH594" s="24">
        <v>1293</v>
      </c>
      <c r="CI594" s="24">
        <v>1292</v>
      </c>
      <c r="CJ594" s="24">
        <v>1782</v>
      </c>
      <c r="CK594" s="24">
        <v>2068</v>
      </c>
      <c r="CL594" s="24">
        <v>2493</v>
      </c>
      <c r="CM594" s="24">
        <v>2565</v>
      </c>
      <c r="CN594" s="24">
        <v>4258</v>
      </c>
      <c r="CO594" s="24">
        <v>4708</v>
      </c>
      <c r="CP594" s="24">
        <v>3768</v>
      </c>
      <c r="CQ594" s="24">
        <v>5260</v>
      </c>
      <c r="CR594" s="24">
        <v>2732</v>
      </c>
      <c r="CS594" s="24">
        <v>2424</v>
      </c>
      <c r="CT594" s="146" t="e">
        <v>#NAME?</v>
      </c>
      <c r="CU594" s="146" t="e">
        <v>#NAME?</v>
      </c>
      <c r="CV594" s="146" t="e">
        <v>#NAME?</v>
      </c>
      <c r="CW594" s="146" t="e">
        <v>#NAME?</v>
      </c>
      <c r="CX594" s="146" t="e">
        <v>#NAME?</v>
      </c>
    </row>
    <row r="595" spans="2:103" x14ac:dyDescent="0.25">
      <c r="B595" t="s">
        <v>394</v>
      </c>
      <c r="S595" s="24">
        <v>1554</v>
      </c>
      <c r="T595" s="24">
        <v>1624</v>
      </c>
      <c r="U595" s="24">
        <v>2166</v>
      </c>
      <c r="V595" s="24">
        <v>2068</v>
      </c>
      <c r="W595" s="24">
        <v>1810</v>
      </c>
      <c r="X595" s="24">
        <v>1598</v>
      </c>
      <c r="Y595" s="24">
        <v>2263</v>
      </c>
      <c r="Z595" s="24">
        <v>2493</v>
      </c>
      <c r="AA595" s="24">
        <v>2042</v>
      </c>
      <c r="AB595" s="24">
        <v>1746</v>
      </c>
      <c r="AC595" s="24">
        <v>2483</v>
      </c>
      <c r="AD595" s="24">
        <v>2565</v>
      </c>
      <c r="AE595" s="24">
        <v>2248</v>
      </c>
      <c r="AF595" s="24">
        <v>2067</v>
      </c>
      <c r="AG595" s="24">
        <v>2566</v>
      </c>
      <c r="AH595" s="24">
        <v>4258</v>
      </c>
      <c r="AI595" s="24">
        <v>3876</v>
      </c>
      <c r="AJ595" s="24">
        <v>2881</v>
      </c>
      <c r="AK595" s="24">
        <v>3887</v>
      </c>
      <c r="AL595" s="24">
        <v>4708</v>
      </c>
      <c r="AM595" s="24">
        <v>3533</v>
      </c>
      <c r="AN595" s="24">
        <v>2940</v>
      </c>
      <c r="AO595" s="24">
        <v>3603</v>
      </c>
      <c r="AP595" s="24">
        <v>3768</v>
      </c>
      <c r="AQ595" s="24">
        <v>4013</v>
      </c>
      <c r="AR595" s="24">
        <v>4059</v>
      </c>
      <c r="AS595" s="24">
        <v>4772</v>
      </c>
      <c r="AT595" s="24">
        <v>5260</v>
      </c>
      <c r="AU595" s="24">
        <v>2838</v>
      </c>
      <c r="AV595" s="24">
        <v>1630</v>
      </c>
      <c r="AW595" s="24">
        <v>2670</v>
      </c>
      <c r="AX595" s="24">
        <v>2732</v>
      </c>
      <c r="AY595" s="24">
        <v>2082</v>
      </c>
      <c r="AZ595" s="24">
        <v>1539</v>
      </c>
      <c r="BA595" s="24">
        <v>2202</v>
      </c>
      <c r="BB595" s="24">
        <v>2424</v>
      </c>
      <c r="BC595" s="24">
        <v>2259</v>
      </c>
      <c r="BD595" s="24">
        <v>1946</v>
      </c>
      <c r="BE595" s="24">
        <v>2742</v>
      </c>
      <c r="BF595" s="24">
        <v>2900</v>
      </c>
      <c r="BG595" s="24">
        <v>2400</v>
      </c>
      <c r="BH595" s="146" t="e">
        <v>#NAME?</v>
      </c>
      <c r="BI595" s="146" t="e">
        <v>#NAME?</v>
      </c>
      <c r="BJ595" s="146" t="e">
        <v>#NAME?</v>
      </c>
      <c r="BK595" s="146" t="e">
        <v>#NAME?</v>
      </c>
      <c r="BL595" s="146" t="e">
        <v>#NAME?</v>
      </c>
      <c r="BM595" s="146" t="e">
        <v>#NAME?</v>
      </c>
      <c r="BN595" s="146" t="e">
        <v>#NAME?</v>
      </c>
      <c r="BO595" s="146" t="e">
        <v>#NAME?</v>
      </c>
      <c r="BP595" s="146" t="e">
        <v>#NAME?</v>
      </c>
      <c r="BQ595" s="146" t="e">
        <v>#NAME?</v>
      </c>
      <c r="BR595" s="146" t="e">
        <v>#NAME?</v>
      </c>
      <c r="BS595" s="146" t="e">
        <v>#NAME?</v>
      </c>
      <c r="BT595" s="146" t="e">
        <v>#NAME?</v>
      </c>
      <c r="BU595" s="146" t="e">
        <v>#NAME?</v>
      </c>
      <c r="BV595" s="146" t="e">
        <v>#NAME?</v>
      </c>
      <c r="BW595" s="146" t="e">
        <v>#NAME?</v>
      </c>
      <c r="BX595" s="146" t="e">
        <v>#NAME?</v>
      </c>
      <c r="BY595" s="146" t="e">
        <v>#NAME?</v>
      </c>
      <c r="BZ595" s="146" t="e">
        <v>#NAME?</v>
      </c>
      <c r="CA595" s="146" t="e">
        <v>#NAME?</v>
      </c>
      <c r="CB595" s="146" t="e">
        <v>#NAME?</v>
      </c>
      <c r="CC595" s="146" t="e">
        <v>#NAME?</v>
      </c>
      <c r="CD595" s="146" t="e">
        <v>#NAME?</v>
      </c>
      <c r="CF595" s="24" t="s">
        <v>336</v>
      </c>
      <c r="CG595" s="24" t="s">
        <v>336</v>
      </c>
      <c r="CH595" s="24">
        <v>1292</v>
      </c>
      <c r="CI595" s="24">
        <v>1782</v>
      </c>
      <c r="CJ595" s="24">
        <v>2068</v>
      </c>
      <c r="CK595" s="24">
        <v>2493</v>
      </c>
      <c r="CL595" s="24">
        <v>2565</v>
      </c>
      <c r="CM595" s="24">
        <v>4258</v>
      </c>
      <c r="CN595" s="24">
        <v>4708</v>
      </c>
      <c r="CO595" s="24">
        <v>3768</v>
      </c>
      <c r="CP595" s="24">
        <v>5260</v>
      </c>
      <c r="CQ595" s="24">
        <v>2732</v>
      </c>
      <c r="CR595" s="24">
        <v>2424</v>
      </c>
      <c r="CS595" s="24">
        <v>2900</v>
      </c>
      <c r="CT595" s="146" t="e">
        <v>#NAME?</v>
      </c>
      <c r="CU595" s="146" t="e">
        <v>#NAME?</v>
      </c>
      <c r="CV595" s="146" t="e">
        <v>#NAME?</v>
      </c>
      <c r="CW595" s="146" t="e">
        <v>#NAME?</v>
      </c>
      <c r="CX595" s="146" t="e">
        <v>#NAME?</v>
      </c>
    </row>
    <row r="596" spans="2:103" s="10" customFormat="1" x14ac:dyDescent="0.25">
      <c r="B596" s="10" t="s">
        <v>395</v>
      </c>
      <c r="S596" s="57">
        <v>-23</v>
      </c>
      <c r="T596" s="57">
        <v>162</v>
      </c>
      <c r="U596" s="57">
        <v>667</v>
      </c>
      <c r="V596" s="57">
        <v>166</v>
      </c>
      <c r="W596" s="57">
        <v>-95</v>
      </c>
      <c r="X596" s="57">
        <v>-9</v>
      </c>
      <c r="Y596" s="57">
        <v>868</v>
      </c>
      <c r="Z596" s="57">
        <v>366</v>
      </c>
      <c r="AA596" s="57">
        <v>-158</v>
      </c>
      <c r="AB596" s="57">
        <v>80</v>
      </c>
      <c r="AC596" s="57">
        <v>1090</v>
      </c>
      <c r="AD596" s="57">
        <v>378</v>
      </c>
      <c r="AE596" s="57">
        <v>143</v>
      </c>
      <c r="AF596" s="57">
        <v>22</v>
      </c>
      <c r="AG596" s="57">
        <v>825</v>
      </c>
      <c r="AH596" s="57">
        <v>595</v>
      </c>
      <c r="AI596" s="57">
        <v>88</v>
      </c>
      <c r="AJ596" s="57">
        <v>-157</v>
      </c>
      <c r="AK596" s="57">
        <v>933</v>
      </c>
      <c r="AL596" s="57">
        <v>564</v>
      </c>
      <c r="AM596" s="57">
        <v>113</v>
      </c>
      <c r="AN596" s="57">
        <v>10</v>
      </c>
      <c r="AO596" s="57">
        <v>1076</v>
      </c>
      <c r="AP596" s="57">
        <v>458</v>
      </c>
      <c r="AQ596" s="57">
        <v>340</v>
      </c>
      <c r="AR596" s="57">
        <v>36</v>
      </c>
      <c r="AS596" s="57">
        <v>1094</v>
      </c>
      <c r="AT596" s="57">
        <v>340</v>
      </c>
      <c r="AU596" s="57">
        <v>-187</v>
      </c>
      <c r="AV596" s="57">
        <v>21</v>
      </c>
      <c r="AW596" s="57">
        <v>1486</v>
      </c>
      <c r="AX596" s="57">
        <v>391</v>
      </c>
      <c r="AY596" s="57">
        <v>-137</v>
      </c>
      <c r="AZ596" s="57">
        <v>-165</v>
      </c>
      <c r="BA596" s="57">
        <v>1075</v>
      </c>
      <c r="BB596" s="57">
        <v>570</v>
      </c>
      <c r="BC596" s="57">
        <v>314</v>
      </c>
      <c r="BD596" s="57">
        <v>61</v>
      </c>
      <c r="BE596" s="57">
        <v>1212</v>
      </c>
      <c r="BF596" s="57">
        <v>529</v>
      </c>
      <c r="BG596" s="57">
        <v>53</v>
      </c>
      <c r="BH596" s="142" t="e">
        <v>#NAME?</v>
      </c>
      <c r="BI596" s="142" t="e">
        <v>#NAME?</v>
      </c>
      <c r="BJ596" s="142" t="e">
        <v>#NAME?</v>
      </c>
      <c r="BK596" s="142" t="e">
        <v>#NAME?</v>
      </c>
      <c r="BL596" s="142" t="e">
        <v>#NAME?</v>
      </c>
      <c r="BM596" s="142" t="e">
        <v>#NAME?</v>
      </c>
      <c r="BN596" s="142" t="e">
        <v>#NAME?</v>
      </c>
      <c r="BO596" s="142" t="e">
        <v>#NAME?</v>
      </c>
      <c r="BP596" s="142" t="e">
        <v>#NAME?</v>
      </c>
      <c r="BQ596" s="142" t="e">
        <v>#NAME?</v>
      </c>
      <c r="BR596" s="142" t="e">
        <v>#NAME?</v>
      </c>
      <c r="BS596" s="142" t="e">
        <v>#NAME?</v>
      </c>
      <c r="BT596" s="142" t="e">
        <v>#NAME?</v>
      </c>
      <c r="BU596" s="142" t="e">
        <v>#NAME?</v>
      </c>
      <c r="BV596" s="142" t="e">
        <v>#NAME?</v>
      </c>
      <c r="BW596" s="142" t="e">
        <v>#NAME?</v>
      </c>
      <c r="BX596" s="142" t="e">
        <v>#NAME?</v>
      </c>
      <c r="BY596" s="142" t="e">
        <v>#NAME?</v>
      </c>
      <c r="BZ596" s="142" t="e">
        <v>#NAME?</v>
      </c>
      <c r="CA596" s="142" t="e">
        <v>#NAME?</v>
      </c>
      <c r="CB596" s="142" t="e">
        <v>#NAME?</v>
      </c>
      <c r="CC596" s="142" t="e">
        <v>#NAME?</v>
      </c>
      <c r="CD596" s="142" t="e">
        <v>#NAME?</v>
      </c>
      <c r="CE596"/>
      <c r="CF596" s="57" t="s">
        <v>336</v>
      </c>
      <c r="CG596" s="57" t="s">
        <v>336</v>
      </c>
      <c r="CH596" s="57">
        <v>218</v>
      </c>
      <c r="CI596" s="57">
        <v>615</v>
      </c>
      <c r="CJ596" s="57">
        <v>972</v>
      </c>
      <c r="CK596" s="57">
        <v>1130</v>
      </c>
      <c r="CL596" s="57">
        <v>1390</v>
      </c>
      <c r="CM596" s="57">
        <v>1585</v>
      </c>
      <c r="CN596" s="57">
        <v>1428</v>
      </c>
      <c r="CO596" s="57">
        <v>1657</v>
      </c>
      <c r="CP596" s="57">
        <v>1810</v>
      </c>
      <c r="CQ596" s="57">
        <v>1711</v>
      </c>
      <c r="CR596" s="57">
        <v>1343</v>
      </c>
      <c r="CS596" s="57">
        <v>2116</v>
      </c>
      <c r="CT596" s="142" t="e">
        <v>#NAME?</v>
      </c>
      <c r="CU596" s="142" t="e">
        <v>#NAME?</v>
      </c>
      <c r="CV596" s="142" t="e">
        <v>#NAME?</v>
      </c>
      <c r="CW596" s="142" t="e">
        <v>#NAME?</v>
      </c>
      <c r="CX596" s="142" t="e">
        <v>#NAME?</v>
      </c>
      <c r="CY596"/>
    </row>
    <row r="597" spans="2:103" x14ac:dyDescent="0.25">
      <c r="B597" s="5"/>
      <c r="C597" s="5"/>
      <c r="D597" s="5"/>
      <c r="E597" s="5"/>
      <c r="F597" s="5"/>
      <c r="G597" s="5"/>
      <c r="H597" s="5"/>
      <c r="I597" s="5"/>
      <c r="J597" s="5"/>
      <c r="K597" s="5"/>
      <c r="L597" s="5"/>
      <c r="M597" s="5"/>
      <c r="N597" s="5"/>
      <c r="O597" s="5"/>
      <c r="P597" s="5"/>
      <c r="Q597" s="5"/>
      <c r="R597" s="5"/>
      <c r="BG597" s="60"/>
      <c r="CF597" s="60"/>
      <c r="CG597" s="60"/>
      <c r="CH597" s="60"/>
      <c r="CI597" s="60"/>
      <c r="CJ597" s="60"/>
      <c r="CK597" s="60"/>
      <c r="CL597" s="60"/>
      <c r="CM597" s="60"/>
      <c r="CN597" s="60"/>
      <c r="CO597" s="60"/>
      <c r="CP597" s="60"/>
      <c r="CQ597" s="60"/>
      <c r="CR597" s="60"/>
      <c r="CS597" s="60"/>
    </row>
    <row r="598" spans="2:103" x14ac:dyDescent="0.25">
      <c r="B598" s="189" t="s">
        <v>396</v>
      </c>
      <c r="C598" s="189"/>
      <c r="D598" s="189"/>
      <c r="E598" s="189"/>
      <c r="F598" s="189"/>
      <c r="G598" s="189"/>
      <c r="H598" s="189"/>
      <c r="I598" s="189"/>
      <c r="J598" s="189"/>
      <c r="K598" s="189"/>
      <c r="L598" s="189"/>
      <c r="M598" s="189"/>
      <c r="N598" s="189"/>
      <c r="O598" s="189"/>
      <c r="P598" s="189"/>
      <c r="Q598" s="189"/>
      <c r="R598" s="189"/>
      <c r="BG598" s="60"/>
      <c r="CF598" s="60"/>
      <c r="CG598" s="60"/>
      <c r="CH598" s="60"/>
      <c r="CI598" s="60"/>
      <c r="CJ598" s="60"/>
      <c r="CK598" s="60"/>
      <c r="CL598" s="60"/>
      <c r="CM598" s="60"/>
      <c r="CN598" s="60"/>
      <c r="CO598" s="60"/>
      <c r="CP598" s="60"/>
      <c r="CQ598" s="60"/>
      <c r="CR598" s="60"/>
      <c r="CS598" s="60"/>
    </row>
    <row r="599" spans="2:103" x14ac:dyDescent="0.25">
      <c r="B599" s="37" t="s">
        <v>397</v>
      </c>
      <c r="C599" s="37"/>
      <c r="D599" s="37"/>
      <c r="E599" s="37"/>
      <c r="F599" s="37"/>
      <c r="G599" s="37"/>
      <c r="H599" s="37"/>
      <c r="I599" s="37"/>
      <c r="J599" s="37"/>
      <c r="K599" s="37"/>
      <c r="L599" s="37"/>
      <c r="M599" s="37"/>
      <c r="N599" s="37"/>
      <c r="O599" s="37"/>
      <c r="P599" s="37"/>
      <c r="Q599" s="37"/>
      <c r="R599" s="37"/>
      <c r="S599" s="24">
        <v>1554</v>
      </c>
      <c r="T599" s="24">
        <v>1624</v>
      </c>
      <c r="U599" s="24">
        <v>2166</v>
      </c>
      <c r="V599" s="24">
        <v>2068</v>
      </c>
      <c r="W599" s="24">
        <v>1810</v>
      </c>
      <c r="X599" s="24">
        <v>1598</v>
      </c>
      <c r="Y599" s="24">
        <v>2263</v>
      </c>
      <c r="Z599" s="24">
        <v>2493</v>
      </c>
      <c r="AA599" s="24">
        <v>2042</v>
      </c>
      <c r="AB599" s="24">
        <v>1746</v>
      </c>
      <c r="AC599" s="24">
        <v>2483</v>
      </c>
      <c r="AD599" s="24">
        <v>2565</v>
      </c>
      <c r="AE599" s="24">
        <v>2248</v>
      </c>
      <c r="AF599" s="24">
        <v>2067</v>
      </c>
      <c r="AG599" s="24">
        <v>2566</v>
      </c>
      <c r="AH599" s="24">
        <v>4258</v>
      </c>
      <c r="AI599" s="24">
        <v>3876</v>
      </c>
      <c r="AJ599" s="24">
        <v>2881</v>
      </c>
      <c r="AK599" s="24">
        <v>3887</v>
      </c>
      <c r="AL599" s="24">
        <v>4708</v>
      </c>
      <c r="AM599" s="24">
        <v>3533</v>
      </c>
      <c r="AN599" s="24">
        <v>2940</v>
      </c>
      <c r="AO599" s="24">
        <v>3603</v>
      </c>
      <c r="AP599" s="24">
        <v>3768</v>
      </c>
      <c r="AQ599" s="24">
        <v>4013</v>
      </c>
      <c r="AR599" s="24">
        <v>4059</v>
      </c>
      <c r="AS599" s="24">
        <v>4772</v>
      </c>
      <c r="AT599" s="24">
        <v>5260</v>
      </c>
      <c r="AU599" s="24">
        <v>2838</v>
      </c>
      <c r="AV599" s="24">
        <v>1630</v>
      </c>
      <c r="AW599" s="24">
        <v>2670</v>
      </c>
      <c r="AX599" s="24">
        <v>2732</v>
      </c>
      <c r="AY599" s="24">
        <v>2082</v>
      </c>
      <c r="AZ599" s="24">
        <v>1539</v>
      </c>
      <c r="BA599" s="24">
        <v>2202</v>
      </c>
      <c r="BB599" s="24">
        <v>2424</v>
      </c>
      <c r="BC599" s="24">
        <v>2259</v>
      </c>
      <c r="BD599" s="24">
        <v>1946</v>
      </c>
      <c r="BE599" s="24">
        <v>2742</v>
      </c>
      <c r="BF599" s="24">
        <v>2900</v>
      </c>
      <c r="BG599" s="24">
        <v>2400</v>
      </c>
      <c r="BH599" s="146" t="e">
        <v>#NAME?</v>
      </c>
      <c r="BI599" s="146" t="e">
        <v>#NAME?</v>
      </c>
      <c r="BJ599" s="146" t="e">
        <v>#NAME?</v>
      </c>
      <c r="BK599" s="146" t="e">
        <v>#NAME?</v>
      </c>
      <c r="BL599" s="146" t="e">
        <v>#NAME?</v>
      </c>
      <c r="BM599" s="146" t="e">
        <v>#NAME?</v>
      </c>
      <c r="BN599" s="146" t="e">
        <v>#NAME?</v>
      </c>
      <c r="BO599" s="146" t="e">
        <v>#NAME?</v>
      </c>
      <c r="BP599" s="146" t="e">
        <v>#NAME?</v>
      </c>
      <c r="BQ599" s="146" t="e">
        <v>#NAME?</v>
      </c>
      <c r="BR599" s="146" t="e">
        <v>#NAME?</v>
      </c>
      <c r="BS599" s="146" t="e">
        <v>#NAME?</v>
      </c>
      <c r="BT599" s="146" t="e">
        <v>#NAME?</v>
      </c>
      <c r="BU599" s="146" t="e">
        <v>#NAME?</v>
      </c>
      <c r="BV599" s="146" t="e">
        <v>#NAME?</v>
      </c>
      <c r="BW599" s="146" t="e">
        <v>#NAME?</v>
      </c>
      <c r="BX599" s="146" t="e">
        <v>#NAME?</v>
      </c>
      <c r="BY599" s="146" t="e">
        <v>#NAME?</v>
      </c>
      <c r="BZ599" s="146" t="e">
        <v>#NAME?</v>
      </c>
      <c r="CA599" s="146" t="e">
        <v>#NAME?</v>
      </c>
      <c r="CB599" s="146" t="e">
        <v>#NAME?</v>
      </c>
      <c r="CC599" s="146" t="e">
        <v>#NAME?</v>
      </c>
      <c r="CD599" s="146" t="e">
        <v>#NAME?</v>
      </c>
      <c r="CF599" s="24" t="s">
        <v>336</v>
      </c>
      <c r="CG599" s="24" t="s">
        <v>336</v>
      </c>
      <c r="CH599" s="24">
        <v>1292</v>
      </c>
      <c r="CI599" s="24">
        <v>1782</v>
      </c>
      <c r="CJ599" s="24">
        <v>2068</v>
      </c>
      <c r="CK599" s="24">
        <v>2493</v>
      </c>
      <c r="CL599" s="24">
        <v>2565</v>
      </c>
      <c r="CM599" s="24">
        <v>4258</v>
      </c>
      <c r="CN599" s="24">
        <v>4708</v>
      </c>
      <c r="CO599" s="24">
        <v>3768</v>
      </c>
      <c r="CP599" s="24">
        <v>5260</v>
      </c>
      <c r="CQ599" s="24">
        <v>2732</v>
      </c>
      <c r="CR599" s="24">
        <v>2424</v>
      </c>
      <c r="CS599" s="24">
        <v>2900</v>
      </c>
      <c r="CT599" s="146" t="e">
        <v>#NAME?</v>
      </c>
      <c r="CU599" s="146" t="e">
        <v>#NAME?</v>
      </c>
      <c r="CV599" s="146" t="e">
        <v>#NAME?</v>
      </c>
      <c r="CW599" s="146" t="e">
        <v>#NAME?</v>
      </c>
      <c r="CX599" s="146" t="e">
        <v>#NAME?</v>
      </c>
    </row>
    <row r="600" spans="2:103" x14ac:dyDescent="0.25">
      <c r="B600" s="37" t="s">
        <v>398</v>
      </c>
      <c r="C600" s="37"/>
      <c r="D600" s="37"/>
      <c r="E600" s="37"/>
      <c r="F600" s="37"/>
      <c r="G600" s="37"/>
      <c r="H600" s="37"/>
      <c r="I600" s="37"/>
      <c r="J600" s="37"/>
      <c r="K600" s="37"/>
      <c r="L600" s="37"/>
      <c r="M600" s="37"/>
      <c r="N600" s="37"/>
      <c r="O600" s="37"/>
      <c r="P600" s="37"/>
      <c r="Q600" s="37"/>
      <c r="R600" s="37"/>
      <c r="S600" s="24">
        <v>762</v>
      </c>
      <c r="T600" s="24">
        <v>764</v>
      </c>
      <c r="U600" s="24">
        <v>774</v>
      </c>
      <c r="V600" s="24">
        <v>953</v>
      </c>
      <c r="W600" s="24">
        <v>1069</v>
      </c>
      <c r="X600" s="24">
        <v>990</v>
      </c>
      <c r="Y600" s="24">
        <v>966</v>
      </c>
      <c r="Z600" s="24">
        <v>1341</v>
      </c>
      <c r="AA600" s="24">
        <v>1385</v>
      </c>
      <c r="AB600" s="24">
        <v>1520</v>
      </c>
      <c r="AC600" s="24">
        <v>1736</v>
      </c>
      <c r="AD600" s="24">
        <v>1967</v>
      </c>
      <c r="AE600" s="24">
        <v>2222</v>
      </c>
      <c r="AF600" s="24">
        <v>2288</v>
      </c>
      <c r="AG600" s="24">
        <v>2318</v>
      </c>
      <c r="AH600" s="24">
        <v>1073</v>
      </c>
      <c r="AI600" s="24">
        <v>1095</v>
      </c>
      <c r="AJ600" s="24">
        <v>1664</v>
      </c>
      <c r="AK600" s="24">
        <v>1274</v>
      </c>
      <c r="AL600" s="24">
        <v>737</v>
      </c>
      <c r="AM600" s="24">
        <v>1654</v>
      </c>
      <c r="AN600" s="24">
        <v>1943</v>
      </c>
      <c r="AO600" s="24">
        <v>1999</v>
      </c>
      <c r="AP600" s="24">
        <v>1967</v>
      </c>
      <c r="AQ600" s="24">
        <v>1947</v>
      </c>
      <c r="AR600" s="24">
        <v>1972</v>
      </c>
      <c r="AS600" s="24">
        <v>1938</v>
      </c>
      <c r="AT600" s="24">
        <v>1106</v>
      </c>
      <c r="AU600" s="24">
        <v>881</v>
      </c>
      <c r="AV600" s="24">
        <v>342</v>
      </c>
      <c r="AW600" s="24">
        <v>346</v>
      </c>
      <c r="AX600" s="24">
        <v>330</v>
      </c>
      <c r="AY600" s="24">
        <v>334</v>
      </c>
      <c r="AZ600" s="24">
        <v>335</v>
      </c>
      <c r="BA600" s="24">
        <v>351</v>
      </c>
      <c r="BB600" s="24">
        <v>343</v>
      </c>
      <c r="BC600" s="24">
        <v>343</v>
      </c>
      <c r="BD600" s="24">
        <v>359</v>
      </c>
      <c r="BE600" s="24">
        <v>362</v>
      </c>
      <c r="BF600" s="24">
        <v>362</v>
      </c>
      <c r="BG600" s="24">
        <v>366</v>
      </c>
      <c r="BH600" s="146" t="e">
        <v>#NAME?</v>
      </c>
      <c r="BI600" s="146" t="e">
        <v>#NAME?</v>
      </c>
      <c r="BJ600" s="146" t="e">
        <v>#NAME?</v>
      </c>
      <c r="BK600" s="146" t="e">
        <v>#NAME?</v>
      </c>
      <c r="BL600" s="146" t="e">
        <v>#NAME?</v>
      </c>
      <c r="BM600" s="146" t="e">
        <v>#NAME?</v>
      </c>
      <c r="BN600" s="146" t="e">
        <v>#NAME?</v>
      </c>
      <c r="BO600" s="146" t="e">
        <v>#NAME?</v>
      </c>
      <c r="BP600" s="146" t="e">
        <v>#NAME?</v>
      </c>
      <c r="BQ600" s="146" t="e">
        <v>#NAME?</v>
      </c>
      <c r="BR600" s="146" t="e">
        <v>#NAME?</v>
      </c>
      <c r="BS600" s="146" t="e">
        <v>#NAME?</v>
      </c>
      <c r="BT600" s="146" t="e">
        <v>#NAME?</v>
      </c>
      <c r="BU600" s="146" t="e">
        <v>#NAME?</v>
      </c>
      <c r="BV600" s="146" t="e">
        <v>#NAME?</v>
      </c>
      <c r="BW600" s="146" t="e">
        <v>#NAME?</v>
      </c>
      <c r="BX600" s="146" t="e">
        <v>#NAME?</v>
      </c>
      <c r="BY600" s="146" t="e">
        <v>#NAME?</v>
      </c>
      <c r="BZ600" s="146" t="e">
        <v>#NAME?</v>
      </c>
      <c r="CA600" s="146" t="e">
        <v>#NAME?</v>
      </c>
      <c r="CB600" s="146" t="e">
        <v>#NAME?</v>
      </c>
      <c r="CC600" s="146" t="e">
        <v>#NAME?</v>
      </c>
      <c r="CD600" s="146" t="e">
        <v>#NAME?</v>
      </c>
      <c r="CF600" s="24" t="s">
        <v>336</v>
      </c>
      <c r="CG600" s="24" t="s">
        <v>336</v>
      </c>
      <c r="CH600" s="24">
        <v>388</v>
      </c>
      <c r="CI600" s="24">
        <v>583</v>
      </c>
      <c r="CJ600" s="24">
        <v>953</v>
      </c>
      <c r="CK600" s="24">
        <v>1341</v>
      </c>
      <c r="CL600" s="24">
        <v>1967</v>
      </c>
      <c r="CM600" s="24">
        <v>1073</v>
      </c>
      <c r="CN600" s="24">
        <v>737</v>
      </c>
      <c r="CO600" s="24">
        <v>1967</v>
      </c>
      <c r="CP600" s="24">
        <v>1106</v>
      </c>
      <c r="CQ600" s="24">
        <v>330</v>
      </c>
      <c r="CR600" s="24">
        <v>343</v>
      </c>
      <c r="CS600" s="24">
        <v>362</v>
      </c>
      <c r="CT600" s="146" t="e">
        <v>#NAME?</v>
      </c>
      <c r="CU600" s="146" t="e">
        <v>#NAME?</v>
      </c>
      <c r="CV600" s="146" t="e">
        <v>#NAME?</v>
      </c>
      <c r="CW600" s="146" t="e">
        <v>#NAME?</v>
      </c>
      <c r="CX600" s="146" t="e">
        <v>#NAME?</v>
      </c>
    </row>
    <row r="601" spans="2:103" x14ac:dyDescent="0.25">
      <c r="B601" s="2" t="s">
        <v>399</v>
      </c>
      <c r="C601" s="2"/>
      <c r="D601" s="2"/>
      <c r="E601" s="2"/>
      <c r="F601" s="2"/>
      <c r="G601" s="2"/>
      <c r="H601" s="2"/>
      <c r="I601" s="2"/>
      <c r="J601" s="2"/>
      <c r="K601" s="2"/>
      <c r="L601" s="2"/>
      <c r="M601" s="2"/>
      <c r="N601" s="2"/>
      <c r="O601" s="2"/>
      <c r="P601" s="2"/>
      <c r="Q601" s="2"/>
      <c r="R601" s="2"/>
      <c r="S601" s="24">
        <v>2316</v>
      </c>
      <c r="T601" s="24">
        <v>2388</v>
      </c>
      <c r="U601" s="24">
        <v>2940</v>
      </c>
      <c r="V601" s="24">
        <v>3021</v>
      </c>
      <c r="W601" s="24">
        <v>2879</v>
      </c>
      <c r="X601" s="24">
        <v>2588</v>
      </c>
      <c r="Y601" s="24">
        <v>3229</v>
      </c>
      <c r="Z601" s="24">
        <v>3834</v>
      </c>
      <c r="AA601" s="24">
        <v>3427</v>
      </c>
      <c r="AB601" s="24">
        <v>3266</v>
      </c>
      <c r="AC601" s="24">
        <v>4219</v>
      </c>
      <c r="AD601" s="24">
        <v>4532</v>
      </c>
      <c r="AE601" s="24">
        <v>4470</v>
      </c>
      <c r="AF601" s="24">
        <v>4355</v>
      </c>
      <c r="AG601" s="24">
        <v>4884</v>
      </c>
      <c r="AH601" s="24">
        <v>5331</v>
      </c>
      <c r="AI601" s="24">
        <v>4971</v>
      </c>
      <c r="AJ601" s="24">
        <v>4545</v>
      </c>
      <c r="AK601" s="24">
        <v>5161</v>
      </c>
      <c r="AL601" s="24">
        <v>5445</v>
      </c>
      <c r="AM601" s="24">
        <v>5187</v>
      </c>
      <c r="AN601" s="24">
        <v>4883</v>
      </c>
      <c r="AO601" s="24">
        <v>5602</v>
      </c>
      <c r="AP601" s="24">
        <v>5735</v>
      </c>
      <c r="AQ601" s="24">
        <v>5960</v>
      </c>
      <c r="AR601" s="24">
        <v>6031</v>
      </c>
      <c r="AS601" s="24">
        <v>6710</v>
      </c>
      <c r="AT601" s="24">
        <v>6366</v>
      </c>
      <c r="AU601" s="24">
        <v>3719</v>
      </c>
      <c r="AV601" s="24">
        <v>1972</v>
      </c>
      <c r="AW601" s="24">
        <v>3016</v>
      </c>
      <c r="AX601" s="24">
        <v>3062</v>
      </c>
      <c r="AY601" s="24">
        <v>2416</v>
      </c>
      <c r="AZ601" s="24">
        <v>1874</v>
      </c>
      <c r="BA601" s="24">
        <v>2553</v>
      </c>
      <c r="BB601" s="24">
        <v>2767</v>
      </c>
      <c r="BC601" s="24">
        <v>2602</v>
      </c>
      <c r="BD601" s="24">
        <v>2305</v>
      </c>
      <c r="BE601" s="24">
        <v>3104</v>
      </c>
      <c r="BF601" s="24">
        <v>3262</v>
      </c>
      <c r="BG601" s="24">
        <v>2766</v>
      </c>
      <c r="BH601" s="146" t="e">
        <f t="shared" ref="BH601:CD601" si="769">SUM(BH599:BH600)</f>
        <v>#NAME?</v>
      </c>
      <c r="BI601" s="146" t="e">
        <f t="shared" si="769"/>
        <v>#NAME?</v>
      </c>
      <c r="BJ601" s="146" t="e">
        <f t="shared" si="769"/>
        <v>#NAME?</v>
      </c>
      <c r="BK601" s="146" t="e">
        <f t="shared" si="769"/>
        <v>#NAME?</v>
      </c>
      <c r="BL601" s="146" t="e">
        <f t="shared" si="769"/>
        <v>#NAME?</v>
      </c>
      <c r="BM601" s="146" t="e">
        <f t="shared" si="769"/>
        <v>#NAME?</v>
      </c>
      <c r="BN601" s="146" t="e">
        <f t="shared" si="769"/>
        <v>#NAME?</v>
      </c>
      <c r="BO601" s="146" t="e">
        <f t="shared" si="769"/>
        <v>#NAME?</v>
      </c>
      <c r="BP601" s="146" t="e">
        <f t="shared" si="769"/>
        <v>#NAME?</v>
      </c>
      <c r="BQ601" s="146" t="e">
        <f t="shared" si="769"/>
        <v>#NAME?</v>
      </c>
      <c r="BR601" s="146" t="e">
        <f t="shared" si="769"/>
        <v>#NAME?</v>
      </c>
      <c r="BS601" s="146" t="e">
        <f t="shared" si="769"/>
        <v>#NAME?</v>
      </c>
      <c r="BT601" s="146" t="e">
        <f t="shared" si="769"/>
        <v>#NAME?</v>
      </c>
      <c r="BU601" s="146" t="e">
        <f t="shared" si="769"/>
        <v>#NAME?</v>
      </c>
      <c r="BV601" s="146" t="e">
        <f t="shared" si="769"/>
        <v>#NAME?</v>
      </c>
      <c r="BW601" s="146" t="e">
        <f t="shared" si="769"/>
        <v>#NAME?</v>
      </c>
      <c r="BX601" s="146" t="e">
        <f t="shared" si="769"/>
        <v>#NAME?</v>
      </c>
      <c r="BY601" s="146" t="e">
        <f t="shared" si="769"/>
        <v>#NAME?</v>
      </c>
      <c r="BZ601" s="146" t="e">
        <f t="shared" si="769"/>
        <v>#NAME?</v>
      </c>
      <c r="CA601" s="146" t="e">
        <f t="shared" si="769"/>
        <v>#NAME?</v>
      </c>
      <c r="CB601" s="146" t="e">
        <f t="shared" si="769"/>
        <v>#NAME?</v>
      </c>
      <c r="CC601" s="146" t="e">
        <f t="shared" si="769"/>
        <v>#NAME?</v>
      </c>
      <c r="CD601" s="146" t="e">
        <f t="shared" si="769"/>
        <v>#NAME?</v>
      </c>
      <c r="CF601" s="24">
        <v>0</v>
      </c>
      <c r="CG601" s="24">
        <v>0</v>
      </c>
      <c r="CH601" s="24">
        <v>1680</v>
      </c>
      <c r="CI601" s="24">
        <v>2365</v>
      </c>
      <c r="CJ601" s="24">
        <v>3021</v>
      </c>
      <c r="CK601" s="24">
        <v>3834</v>
      </c>
      <c r="CL601" s="24">
        <v>4532</v>
      </c>
      <c r="CM601" s="24">
        <v>5331</v>
      </c>
      <c r="CN601" s="24">
        <v>5445</v>
      </c>
      <c r="CO601" s="24">
        <v>5735</v>
      </c>
      <c r="CP601" s="24">
        <v>6366</v>
      </c>
      <c r="CQ601" s="24">
        <v>3062</v>
      </c>
      <c r="CR601" s="24">
        <v>2767</v>
      </c>
      <c r="CS601" s="24">
        <v>3262</v>
      </c>
      <c r="CT601" s="146" t="e">
        <f t="shared" ref="CT601:CX601" si="770">SUM(CT599:CT600)</f>
        <v>#NAME?</v>
      </c>
      <c r="CU601" s="146" t="e">
        <f t="shared" si="770"/>
        <v>#NAME?</v>
      </c>
      <c r="CV601" s="146" t="e">
        <f t="shared" si="770"/>
        <v>#NAME?</v>
      </c>
      <c r="CW601" s="146" t="e">
        <f t="shared" si="770"/>
        <v>#NAME?</v>
      </c>
      <c r="CX601" s="146" t="e">
        <f t="shared" si="770"/>
        <v>#NAME?</v>
      </c>
    </row>
    <row r="602" spans="2:103" x14ac:dyDescent="0.25">
      <c r="B602" t="s">
        <v>400</v>
      </c>
      <c r="S602" s="24">
        <v>219</v>
      </c>
      <c r="T602" s="24">
        <v>829</v>
      </c>
      <c r="U602" s="24">
        <v>488</v>
      </c>
      <c r="V602" s="24">
        <v>362</v>
      </c>
      <c r="W602" s="24">
        <v>144</v>
      </c>
      <c r="X602" s="24">
        <v>737</v>
      </c>
      <c r="Y602" s="24">
        <v>621</v>
      </c>
      <c r="Z602" s="24">
        <v>233</v>
      </c>
      <c r="AA602" s="24">
        <v>246</v>
      </c>
      <c r="AB602" s="24">
        <v>723</v>
      </c>
      <c r="AC602" s="24">
        <v>587</v>
      </c>
      <c r="AD602" s="24">
        <v>359</v>
      </c>
      <c r="AE602" s="24">
        <v>222</v>
      </c>
      <c r="AF602" s="24">
        <v>812</v>
      </c>
      <c r="AG602" s="24">
        <v>886</v>
      </c>
      <c r="AH602" s="24">
        <v>385</v>
      </c>
      <c r="AI602" s="24">
        <v>371</v>
      </c>
      <c r="AJ602" s="24">
        <v>966</v>
      </c>
      <c r="AK602" s="24">
        <v>806</v>
      </c>
      <c r="AL602" s="24">
        <v>623</v>
      </c>
      <c r="AM602" s="24">
        <v>329</v>
      </c>
      <c r="AN602" s="24">
        <v>856</v>
      </c>
      <c r="AO602" s="24">
        <v>798</v>
      </c>
      <c r="AP602" s="24">
        <v>461</v>
      </c>
      <c r="AQ602" s="24">
        <v>507</v>
      </c>
      <c r="AR602" s="24">
        <v>423</v>
      </c>
      <c r="AS602" s="24">
        <v>778</v>
      </c>
      <c r="AT602" s="24">
        <v>521</v>
      </c>
      <c r="AU602" s="24">
        <v>557</v>
      </c>
      <c r="AV602" s="24">
        <v>1031</v>
      </c>
      <c r="AW602" s="24">
        <v>965</v>
      </c>
      <c r="AX602" s="24">
        <v>650</v>
      </c>
      <c r="AY602" s="24">
        <v>579</v>
      </c>
      <c r="AZ602" s="24">
        <v>919</v>
      </c>
      <c r="BA602" s="24">
        <v>836</v>
      </c>
      <c r="BB602" s="24">
        <v>684</v>
      </c>
      <c r="BC602" s="24">
        <v>517</v>
      </c>
      <c r="BD602" s="24">
        <v>1047</v>
      </c>
      <c r="BE602" s="24">
        <v>867</v>
      </c>
      <c r="BF602" s="24">
        <v>565</v>
      </c>
      <c r="BG602" s="24">
        <v>433</v>
      </c>
      <c r="BH602" s="146" t="e">
        <v>#NAME?</v>
      </c>
      <c r="BI602" s="146" t="e">
        <v>#NAME?</v>
      </c>
      <c r="BJ602" s="146" t="e">
        <v>#NAME?</v>
      </c>
      <c r="BK602" s="146" t="e">
        <v>#NAME?</v>
      </c>
      <c r="BL602" s="146" t="e">
        <v>#NAME?</v>
      </c>
      <c r="BM602" s="146" t="e">
        <v>#NAME?</v>
      </c>
      <c r="BN602" s="146" t="e">
        <v>#NAME?</v>
      </c>
      <c r="BO602" s="146" t="e">
        <v>#NAME?</v>
      </c>
      <c r="BP602" s="146" t="e">
        <v>#NAME?</v>
      </c>
      <c r="BQ602" s="146" t="e">
        <v>#NAME?</v>
      </c>
      <c r="BR602" s="146" t="e">
        <v>#NAME?</v>
      </c>
      <c r="BS602" s="146" t="e">
        <v>#NAME?</v>
      </c>
      <c r="BT602" s="146" t="e">
        <v>#NAME?</v>
      </c>
      <c r="BU602" s="146" t="e">
        <v>#NAME?</v>
      </c>
      <c r="BV602" s="146" t="e">
        <v>#NAME?</v>
      </c>
      <c r="BW602" s="146" t="e">
        <v>#NAME?</v>
      </c>
      <c r="BX602" s="146" t="e">
        <v>#NAME?</v>
      </c>
      <c r="BY602" s="146" t="e">
        <v>#NAME?</v>
      </c>
      <c r="BZ602" s="146" t="e">
        <v>#NAME?</v>
      </c>
      <c r="CA602" s="146" t="e">
        <v>#NAME?</v>
      </c>
      <c r="CB602" s="146" t="e">
        <v>#NAME?</v>
      </c>
      <c r="CC602" s="146" t="e">
        <v>#NAME?</v>
      </c>
      <c r="CD602" s="146" t="e">
        <v>#NAME?</v>
      </c>
      <c r="CF602" s="24" t="s">
        <v>336</v>
      </c>
      <c r="CG602" s="24" t="s">
        <v>336</v>
      </c>
      <c r="CH602" s="24">
        <v>312</v>
      </c>
      <c r="CI602" s="24">
        <v>327</v>
      </c>
      <c r="CJ602" s="24">
        <v>362</v>
      </c>
      <c r="CK602" s="24">
        <v>233</v>
      </c>
      <c r="CL602" s="24">
        <v>359</v>
      </c>
      <c r="CM602" s="24">
        <v>385</v>
      </c>
      <c r="CN602" s="24">
        <v>623</v>
      </c>
      <c r="CO602" s="24">
        <v>461</v>
      </c>
      <c r="CP602" s="24">
        <v>521</v>
      </c>
      <c r="CQ602" s="24">
        <v>650</v>
      </c>
      <c r="CR602" s="24">
        <v>684</v>
      </c>
      <c r="CS602" s="24">
        <v>565</v>
      </c>
      <c r="CT602" s="146" t="e">
        <v>#NAME?</v>
      </c>
      <c r="CU602" s="146" t="e">
        <v>#NAME?</v>
      </c>
      <c r="CV602" s="146" t="e">
        <v>#NAME?</v>
      </c>
      <c r="CW602" s="146" t="e">
        <v>#NAME?</v>
      </c>
      <c r="CX602" s="146" t="e">
        <v>#NAME?</v>
      </c>
    </row>
    <row r="603" spans="2:103" x14ac:dyDescent="0.25">
      <c r="B603" t="s">
        <v>401</v>
      </c>
      <c r="S603" s="24">
        <v>395</v>
      </c>
      <c r="T603" s="24">
        <v>315</v>
      </c>
      <c r="U603" s="24">
        <v>326</v>
      </c>
      <c r="V603" s="24">
        <v>337</v>
      </c>
      <c r="W603" s="24">
        <v>303</v>
      </c>
      <c r="X603" s="24">
        <v>321</v>
      </c>
      <c r="Y603" s="24">
        <v>302</v>
      </c>
      <c r="Z603" s="24">
        <v>287</v>
      </c>
      <c r="AA603" s="24">
        <v>299</v>
      </c>
      <c r="AB603" s="24">
        <v>271</v>
      </c>
      <c r="AC603" s="24">
        <v>295</v>
      </c>
      <c r="AD603" s="24">
        <v>308</v>
      </c>
      <c r="AE603" s="24">
        <v>210</v>
      </c>
      <c r="AF603" s="24">
        <v>248</v>
      </c>
      <c r="AG603" s="24">
        <v>196</v>
      </c>
      <c r="AH603" s="24">
        <v>288</v>
      </c>
      <c r="AI603" s="24">
        <v>282</v>
      </c>
      <c r="AJ603" s="24">
        <v>292</v>
      </c>
      <c r="AK603" s="24">
        <v>280</v>
      </c>
      <c r="AL603" s="24">
        <v>313</v>
      </c>
      <c r="AM603" s="24">
        <v>284</v>
      </c>
      <c r="AN603" s="24">
        <v>301</v>
      </c>
      <c r="AO603" s="24">
        <v>229</v>
      </c>
      <c r="AP603" s="24">
        <v>321</v>
      </c>
      <c r="AQ603" s="24">
        <v>223</v>
      </c>
      <c r="AR603" s="24">
        <v>376</v>
      </c>
      <c r="AS603" s="24">
        <v>233</v>
      </c>
      <c r="AT603" s="24">
        <v>326</v>
      </c>
      <c r="AU603" s="24">
        <v>401</v>
      </c>
      <c r="AV603" s="24">
        <v>387</v>
      </c>
      <c r="AW603" s="24">
        <v>377</v>
      </c>
      <c r="AX603" s="24">
        <v>439</v>
      </c>
      <c r="AY603" s="24">
        <v>522</v>
      </c>
      <c r="AZ603" s="24">
        <v>649</v>
      </c>
      <c r="BA603" s="24">
        <v>453</v>
      </c>
      <c r="BB603" s="24">
        <v>518</v>
      </c>
      <c r="BC603" s="24">
        <v>455</v>
      </c>
      <c r="BD603" s="24">
        <v>492</v>
      </c>
      <c r="BE603" s="24">
        <v>378</v>
      </c>
      <c r="BF603" s="24">
        <v>420</v>
      </c>
      <c r="BG603" s="24">
        <v>388</v>
      </c>
      <c r="BH603" s="146" t="e">
        <v>#NAME?</v>
      </c>
      <c r="BI603" s="146" t="e">
        <v>#NAME?</v>
      </c>
      <c r="BJ603" s="146" t="e">
        <v>#NAME?</v>
      </c>
      <c r="BK603" s="146" t="e">
        <v>#NAME?</v>
      </c>
      <c r="BL603" s="146" t="e">
        <v>#NAME?</v>
      </c>
      <c r="BM603" s="146" t="e">
        <v>#NAME?</v>
      </c>
      <c r="BN603" s="146" t="e">
        <v>#NAME?</v>
      </c>
      <c r="BO603" s="146" t="e">
        <v>#NAME?</v>
      </c>
      <c r="BP603" s="146" t="e">
        <v>#NAME?</v>
      </c>
      <c r="BQ603" s="146" t="e">
        <v>#NAME?</v>
      </c>
      <c r="BR603" s="146" t="e">
        <v>#NAME?</v>
      </c>
      <c r="BS603" s="146" t="e">
        <v>#NAME?</v>
      </c>
      <c r="BT603" s="146" t="e">
        <v>#NAME?</v>
      </c>
      <c r="BU603" s="146" t="e">
        <v>#NAME?</v>
      </c>
      <c r="BV603" s="146" t="e">
        <v>#NAME?</v>
      </c>
      <c r="BW603" s="146" t="e">
        <v>#NAME?</v>
      </c>
      <c r="BX603" s="146" t="e">
        <v>#NAME?</v>
      </c>
      <c r="BY603" s="146" t="e">
        <v>#NAME?</v>
      </c>
      <c r="BZ603" s="146" t="e">
        <v>#NAME?</v>
      </c>
      <c r="CA603" s="146" t="e">
        <v>#NAME?</v>
      </c>
      <c r="CB603" s="146" t="e">
        <v>#NAME?</v>
      </c>
      <c r="CC603" s="146" t="e">
        <v>#NAME?</v>
      </c>
      <c r="CD603" s="146" t="e">
        <v>#NAME?</v>
      </c>
      <c r="CF603" s="24" t="s">
        <v>336</v>
      </c>
      <c r="CG603" s="24" t="s">
        <v>336</v>
      </c>
      <c r="CH603" s="24">
        <v>333</v>
      </c>
      <c r="CI603" s="24">
        <v>446</v>
      </c>
      <c r="CJ603" s="24">
        <v>337</v>
      </c>
      <c r="CK603" s="24">
        <v>287</v>
      </c>
      <c r="CL603" s="24">
        <v>308</v>
      </c>
      <c r="CM603" s="24">
        <v>288</v>
      </c>
      <c r="CN603" s="24">
        <v>313</v>
      </c>
      <c r="CO603" s="24">
        <v>321</v>
      </c>
      <c r="CP603" s="24">
        <v>326</v>
      </c>
      <c r="CQ603" s="24">
        <v>439</v>
      </c>
      <c r="CR603" s="24">
        <v>518</v>
      </c>
      <c r="CS603" s="24">
        <v>420</v>
      </c>
      <c r="CT603" s="146" t="e">
        <v>#NAME?</v>
      </c>
      <c r="CU603" s="146" t="e">
        <v>#NAME?</v>
      </c>
      <c r="CV603" s="146" t="e">
        <v>#NAME?</v>
      </c>
      <c r="CW603" s="146" t="e">
        <v>#NAME?</v>
      </c>
      <c r="CX603" s="146" t="e">
        <v>#NAME?</v>
      </c>
    </row>
    <row r="604" spans="2:103" s="10" customFormat="1" x14ac:dyDescent="0.25">
      <c r="B604" s="10" t="s">
        <v>319</v>
      </c>
      <c r="S604" s="57">
        <v>2930</v>
      </c>
      <c r="T604" s="57">
        <v>3532</v>
      </c>
      <c r="U604" s="57">
        <v>3754</v>
      </c>
      <c r="V604" s="57">
        <v>3720</v>
      </c>
      <c r="W604" s="57">
        <v>3326</v>
      </c>
      <c r="X604" s="57">
        <v>3646</v>
      </c>
      <c r="Y604" s="57">
        <v>4152</v>
      </c>
      <c r="Z604" s="57">
        <v>4354</v>
      </c>
      <c r="AA604" s="57">
        <v>3972</v>
      </c>
      <c r="AB604" s="57">
        <v>4260</v>
      </c>
      <c r="AC604" s="57">
        <v>5101</v>
      </c>
      <c r="AD604" s="57">
        <v>5199</v>
      </c>
      <c r="AE604" s="57">
        <v>4902</v>
      </c>
      <c r="AF604" s="57">
        <v>5415</v>
      </c>
      <c r="AG604" s="57">
        <v>5966</v>
      </c>
      <c r="AH604" s="57">
        <v>6004</v>
      </c>
      <c r="AI604" s="57">
        <v>5624</v>
      </c>
      <c r="AJ604" s="57">
        <v>5803</v>
      </c>
      <c r="AK604" s="57">
        <v>6247</v>
      </c>
      <c r="AL604" s="57">
        <v>6381</v>
      </c>
      <c r="AM604" s="57">
        <v>5800</v>
      </c>
      <c r="AN604" s="57">
        <v>6040</v>
      </c>
      <c r="AO604" s="57">
        <v>6629</v>
      </c>
      <c r="AP604" s="57">
        <v>6517</v>
      </c>
      <c r="AQ604" s="57">
        <v>6690</v>
      </c>
      <c r="AR604" s="57">
        <v>6830</v>
      </c>
      <c r="AS604" s="57">
        <v>7721</v>
      </c>
      <c r="AT604" s="57">
        <v>7213</v>
      </c>
      <c r="AU604" s="57">
        <v>4677</v>
      </c>
      <c r="AV604" s="57">
        <v>3390</v>
      </c>
      <c r="AW604" s="57">
        <v>4358</v>
      </c>
      <c r="AX604" s="57">
        <v>4151</v>
      </c>
      <c r="AY604" s="57">
        <v>3517</v>
      </c>
      <c r="AZ604" s="57">
        <v>3442</v>
      </c>
      <c r="BA604" s="57">
        <v>3842</v>
      </c>
      <c r="BB604" s="57">
        <v>3969</v>
      </c>
      <c r="BC604" s="57">
        <v>3574</v>
      </c>
      <c r="BD604" s="57">
        <v>3844</v>
      </c>
      <c r="BE604" s="57">
        <v>4349</v>
      </c>
      <c r="BF604" s="57">
        <v>4247</v>
      </c>
      <c r="BG604" s="57">
        <v>3587</v>
      </c>
      <c r="BH604" s="142" t="e">
        <v>#NAME?</v>
      </c>
      <c r="BI604" s="142" t="e">
        <v>#NAME?</v>
      </c>
      <c r="BJ604" s="142" t="e">
        <v>#NAME?</v>
      </c>
      <c r="BK604" s="142" t="e">
        <v>#NAME?</v>
      </c>
      <c r="BL604" s="142" t="e">
        <v>#NAME?</v>
      </c>
      <c r="BM604" s="142" t="e">
        <v>#NAME?</v>
      </c>
      <c r="BN604" s="142" t="e">
        <v>#NAME?</v>
      </c>
      <c r="BO604" s="142" t="e">
        <v>#NAME?</v>
      </c>
      <c r="BP604" s="142" t="e">
        <v>#NAME?</v>
      </c>
      <c r="BQ604" s="142" t="e">
        <v>#NAME?</v>
      </c>
      <c r="BR604" s="142" t="e">
        <v>#NAME?</v>
      </c>
      <c r="BS604" s="142" t="e">
        <v>#NAME?</v>
      </c>
      <c r="BT604" s="142" t="e">
        <v>#NAME?</v>
      </c>
      <c r="BU604" s="142" t="e">
        <v>#NAME?</v>
      </c>
      <c r="BV604" s="142" t="e">
        <v>#NAME?</v>
      </c>
      <c r="BW604" s="142" t="e">
        <v>#NAME?</v>
      </c>
      <c r="BX604" s="142" t="e">
        <v>#NAME?</v>
      </c>
      <c r="BY604" s="142" t="e">
        <v>#NAME?</v>
      </c>
      <c r="BZ604" s="142" t="e">
        <v>#NAME?</v>
      </c>
      <c r="CA604" s="142" t="e">
        <v>#NAME?</v>
      </c>
      <c r="CB604" s="142" t="e">
        <v>#NAME?</v>
      </c>
      <c r="CC604" s="142" t="e">
        <v>#NAME?</v>
      </c>
      <c r="CD604" s="142" t="e">
        <v>#NAME?</v>
      </c>
      <c r="CE604"/>
      <c r="CF604" s="57" t="s">
        <v>336</v>
      </c>
      <c r="CG604" s="57" t="s">
        <v>336</v>
      </c>
      <c r="CH604" s="57">
        <v>2325</v>
      </c>
      <c r="CI604" s="57">
        <v>3138</v>
      </c>
      <c r="CJ604" s="57">
        <v>3720</v>
      </c>
      <c r="CK604" s="57">
        <v>4354</v>
      </c>
      <c r="CL604" s="57">
        <v>5199</v>
      </c>
      <c r="CM604" s="57">
        <v>6004</v>
      </c>
      <c r="CN604" s="57">
        <v>6381</v>
      </c>
      <c r="CO604" s="57">
        <v>6517</v>
      </c>
      <c r="CP604" s="57">
        <v>7213</v>
      </c>
      <c r="CQ604" s="57">
        <v>4151</v>
      </c>
      <c r="CR604" s="57">
        <v>3969</v>
      </c>
      <c r="CS604" s="57">
        <v>4247</v>
      </c>
      <c r="CT604" s="142" t="e">
        <v>#NAME?</v>
      </c>
      <c r="CU604" s="142" t="e">
        <v>#NAME?</v>
      </c>
      <c r="CV604" s="142" t="e">
        <v>#NAME?</v>
      </c>
      <c r="CW604" s="142" t="e">
        <v>#NAME?</v>
      </c>
      <c r="CX604" s="142" t="e">
        <v>#NAME?</v>
      </c>
      <c r="CY604"/>
    </row>
    <row r="605" spans="2:103" s="10" customFormat="1" x14ac:dyDescent="0.25">
      <c r="S605" s="57"/>
      <c r="T605" s="57"/>
      <c r="U605" s="57"/>
      <c r="V605" s="57"/>
      <c r="W605" s="57"/>
      <c r="X605" s="57"/>
      <c r="Y605" s="57"/>
      <c r="Z605" s="57"/>
      <c r="AA605" s="57"/>
      <c r="AB605" s="57"/>
      <c r="AC605" s="57"/>
      <c r="AD605" s="57"/>
      <c r="AE605" s="57"/>
      <c r="AF605" s="57"/>
      <c r="AG605" s="57"/>
      <c r="AH605" s="57"/>
      <c r="AI605" s="57"/>
      <c r="AJ605" s="57"/>
      <c r="AK605" s="57"/>
      <c r="AL605" s="57"/>
      <c r="AM605" s="57"/>
      <c r="AN605" s="57"/>
      <c r="AO605" s="57"/>
      <c r="AP605" s="57"/>
      <c r="AQ605" s="57"/>
      <c r="AR605" s="57"/>
      <c r="AS605" s="57"/>
      <c r="AT605" s="57"/>
      <c r="AU605" s="57"/>
      <c r="AV605" s="57"/>
      <c r="AW605" s="57"/>
      <c r="AX605" s="57"/>
      <c r="AY605" s="57"/>
      <c r="AZ605" s="57"/>
      <c r="BA605" s="57"/>
      <c r="BB605" s="57"/>
      <c r="BC605" s="57"/>
      <c r="BD605" s="57"/>
      <c r="BE605" s="57"/>
      <c r="BF605" s="57"/>
      <c r="BG605" s="57"/>
      <c r="BH605" s="142"/>
      <c r="BI605" s="142"/>
      <c r="BJ605" s="142"/>
      <c r="BK605" s="142"/>
      <c r="BL605" s="142"/>
      <c r="BM605" s="142"/>
      <c r="BN605" s="142"/>
      <c r="BO605" s="142"/>
      <c r="BP605" s="142"/>
      <c r="BQ605" s="142"/>
      <c r="BR605" s="142"/>
      <c r="BS605" s="142"/>
      <c r="BT605" s="142"/>
      <c r="BU605" s="142"/>
      <c r="BV605" s="142"/>
      <c r="BW605" s="142"/>
      <c r="BX605" s="142"/>
      <c r="BY605" s="142"/>
      <c r="BZ605" s="142"/>
      <c r="CA605" s="142"/>
      <c r="CB605" s="142"/>
      <c r="CC605" s="142"/>
      <c r="CD605" s="142"/>
      <c r="CE605"/>
      <c r="CF605" s="57"/>
      <c r="CG605" s="57"/>
      <c r="CH605" s="57"/>
      <c r="CI605" s="57"/>
      <c r="CJ605" s="57"/>
      <c r="CK605" s="57"/>
      <c r="CL605" s="57"/>
      <c r="CM605" s="57"/>
      <c r="CN605" s="57"/>
      <c r="CO605" s="57"/>
      <c r="CP605" s="57"/>
      <c r="CQ605" s="57"/>
      <c r="CR605" s="57"/>
      <c r="CS605" s="57"/>
      <c r="CT605" s="142"/>
      <c r="CU605" s="142"/>
      <c r="CV605" s="142"/>
      <c r="CW605" s="142"/>
      <c r="CX605" s="142"/>
      <c r="CY605"/>
    </row>
    <row r="606" spans="2:103" x14ac:dyDescent="0.25">
      <c r="B606" t="s">
        <v>402</v>
      </c>
      <c r="S606" s="24">
        <v>503</v>
      </c>
      <c r="T606" s="24">
        <v>483</v>
      </c>
      <c r="U606" s="24">
        <v>461</v>
      </c>
      <c r="V606" s="24">
        <v>459</v>
      </c>
      <c r="W606" s="24">
        <v>444</v>
      </c>
      <c r="X606" s="24">
        <v>430</v>
      </c>
      <c r="Y606" s="24">
        <v>415</v>
      </c>
      <c r="Z606" s="24">
        <v>439</v>
      </c>
      <c r="AA606" s="24">
        <v>435</v>
      </c>
      <c r="AB606" s="24">
        <v>431</v>
      </c>
      <c r="AC606" s="24">
        <v>424</v>
      </c>
      <c r="AD606" s="24">
        <v>434</v>
      </c>
      <c r="AE606" s="24">
        <v>436</v>
      </c>
      <c r="AF606" s="24">
        <v>444</v>
      </c>
      <c r="AG606" s="24">
        <v>447</v>
      </c>
      <c r="AH606" s="24">
        <v>453</v>
      </c>
      <c r="AI606" s="24">
        <v>440</v>
      </c>
      <c r="AJ606" s="24">
        <v>440</v>
      </c>
      <c r="AK606" s="24">
        <v>426</v>
      </c>
      <c r="AL606" s="24">
        <v>448</v>
      </c>
      <c r="AM606" s="24">
        <v>446</v>
      </c>
      <c r="AN606" s="24">
        <v>442</v>
      </c>
      <c r="AO606" s="24">
        <v>439</v>
      </c>
      <c r="AP606" s="24">
        <v>449</v>
      </c>
      <c r="AQ606" s="24">
        <v>450</v>
      </c>
      <c r="AR606" s="24">
        <v>458</v>
      </c>
      <c r="AS606" s="24">
        <v>467</v>
      </c>
      <c r="AT606" s="24">
        <v>491</v>
      </c>
      <c r="AU606" s="24">
        <v>510</v>
      </c>
      <c r="AV606" s="24">
        <v>516</v>
      </c>
      <c r="AW606" s="24">
        <v>522</v>
      </c>
      <c r="AX606" s="24">
        <v>550</v>
      </c>
      <c r="AY606" s="24">
        <v>545</v>
      </c>
      <c r="AZ606" s="24">
        <v>531</v>
      </c>
      <c r="BA606" s="24">
        <v>553</v>
      </c>
      <c r="BB606" s="24">
        <v>549</v>
      </c>
      <c r="BC606" s="24">
        <v>545</v>
      </c>
      <c r="BD606" s="24">
        <v>542</v>
      </c>
      <c r="BE606" s="24">
        <v>561</v>
      </c>
      <c r="BF606" s="24">
        <v>578</v>
      </c>
      <c r="BG606" s="24">
        <v>558</v>
      </c>
      <c r="BH606" s="146" t="e">
        <v>#NAME?</v>
      </c>
      <c r="BI606" s="146" t="e">
        <v>#NAME?</v>
      </c>
      <c r="BJ606" s="146" t="e">
        <v>#NAME?</v>
      </c>
      <c r="BK606" s="146" t="e">
        <v>#NAME?</v>
      </c>
      <c r="BL606" s="146" t="e">
        <v>#NAME?</v>
      </c>
      <c r="BM606" s="146" t="e">
        <v>#NAME?</v>
      </c>
      <c r="BN606" s="146" t="e">
        <v>#NAME?</v>
      </c>
      <c r="BO606" s="146" t="e">
        <v>#NAME?</v>
      </c>
      <c r="BP606" s="146" t="e">
        <v>#NAME?</v>
      </c>
      <c r="BQ606" s="146" t="e">
        <v>#NAME?</v>
      </c>
      <c r="BR606" s="146" t="e">
        <v>#NAME?</v>
      </c>
      <c r="BS606" s="146" t="e">
        <v>#NAME?</v>
      </c>
      <c r="BT606" s="146" t="e">
        <v>#NAME?</v>
      </c>
      <c r="BU606" s="146" t="e">
        <v>#NAME?</v>
      </c>
      <c r="BV606" s="146" t="e">
        <v>#NAME?</v>
      </c>
      <c r="BW606" s="146" t="e">
        <v>#NAME?</v>
      </c>
      <c r="BX606" s="146" t="e">
        <v>#NAME?</v>
      </c>
      <c r="BY606" s="146" t="e">
        <v>#NAME?</v>
      </c>
      <c r="BZ606" s="146" t="e">
        <v>#NAME?</v>
      </c>
      <c r="CA606" s="146" t="e">
        <v>#NAME?</v>
      </c>
      <c r="CB606" s="146" t="e">
        <v>#NAME?</v>
      </c>
      <c r="CC606" s="146" t="e">
        <v>#NAME?</v>
      </c>
      <c r="CD606" s="146" t="e">
        <v>#NAME?</v>
      </c>
      <c r="CF606" s="24" t="s">
        <v>336</v>
      </c>
      <c r="CG606" s="24" t="s">
        <v>336</v>
      </c>
      <c r="CH606" s="24">
        <v>548</v>
      </c>
      <c r="CI606" s="24">
        <v>510</v>
      </c>
      <c r="CJ606" s="24">
        <v>459</v>
      </c>
      <c r="CK606" s="24">
        <v>439</v>
      </c>
      <c r="CL606" s="24">
        <v>434</v>
      </c>
      <c r="CM606" s="24">
        <v>453</v>
      </c>
      <c r="CN606" s="24">
        <v>448</v>
      </c>
      <c r="CO606" s="24">
        <v>449</v>
      </c>
      <c r="CP606" s="24">
        <v>491</v>
      </c>
      <c r="CQ606" s="24">
        <v>550</v>
      </c>
      <c r="CR606" s="24">
        <v>549</v>
      </c>
      <c r="CS606" s="24">
        <v>578</v>
      </c>
      <c r="CT606" s="146" t="e">
        <v>#NAME?</v>
      </c>
      <c r="CU606" s="146" t="e">
        <v>#NAME?</v>
      </c>
      <c r="CV606" s="146" t="e">
        <v>#NAME?</v>
      </c>
      <c r="CW606" s="146" t="e">
        <v>#NAME?</v>
      </c>
      <c r="CX606" s="146" t="e">
        <v>#NAME?</v>
      </c>
    </row>
    <row r="607" spans="2:103" x14ac:dyDescent="0.25">
      <c r="B607" t="s">
        <v>403</v>
      </c>
      <c r="S607" s="24">
        <v>1726</v>
      </c>
      <c r="T607" s="24">
        <v>1723</v>
      </c>
      <c r="U607" s="24">
        <v>1718</v>
      </c>
      <c r="V607" s="24">
        <v>1713</v>
      </c>
      <c r="W607" s="24">
        <v>1713</v>
      </c>
      <c r="X607" s="24">
        <v>1709</v>
      </c>
      <c r="Y607" s="24">
        <v>1708</v>
      </c>
      <c r="Z607" s="24">
        <v>1710</v>
      </c>
      <c r="AA607" s="24">
        <v>1708</v>
      </c>
      <c r="AB607" s="24">
        <v>1709</v>
      </c>
      <c r="AC607" s="24">
        <v>1704</v>
      </c>
      <c r="AD607" s="24">
        <v>1707</v>
      </c>
      <c r="AE607" s="24">
        <v>1708</v>
      </c>
      <c r="AF607" s="24">
        <v>1711</v>
      </c>
      <c r="AG607" s="24">
        <v>1879</v>
      </c>
      <c r="AH607" s="24">
        <v>1883</v>
      </c>
      <c r="AI607" s="24">
        <v>1886</v>
      </c>
      <c r="AJ607" s="24">
        <v>1894</v>
      </c>
      <c r="AK607" s="24">
        <v>1891</v>
      </c>
      <c r="AL607" s="24">
        <v>1892</v>
      </c>
      <c r="AM607" s="24">
        <v>1892</v>
      </c>
      <c r="AN607" s="24">
        <v>1890</v>
      </c>
      <c r="AO607" s="24">
        <v>1892</v>
      </c>
      <c r="AP607" s="24">
        <v>1885</v>
      </c>
      <c r="AQ607" s="24">
        <v>1889</v>
      </c>
      <c r="AR607" s="24">
        <v>1891</v>
      </c>
      <c r="AS607" s="24">
        <v>1896</v>
      </c>
      <c r="AT607" s="24">
        <v>2868</v>
      </c>
      <c r="AU607" s="24">
        <v>4256</v>
      </c>
      <c r="AV607" s="24">
        <v>5459</v>
      </c>
      <c r="AW607" s="24">
        <v>5389</v>
      </c>
      <c r="AX607" s="24">
        <v>5387</v>
      </c>
      <c r="AY607" s="24">
        <v>5382</v>
      </c>
      <c r="AZ607" s="24">
        <v>5375</v>
      </c>
      <c r="BA607" s="24">
        <v>5380</v>
      </c>
      <c r="BB607" s="24">
        <v>5380</v>
      </c>
      <c r="BC607" s="24">
        <v>5381</v>
      </c>
      <c r="BD607" s="24">
        <v>5378</v>
      </c>
      <c r="BE607" s="24">
        <v>5382</v>
      </c>
      <c r="BF607" s="24">
        <v>5379</v>
      </c>
      <c r="BG607" s="24">
        <v>5379</v>
      </c>
      <c r="BH607" s="146" t="e">
        <v>#NAME?</v>
      </c>
      <c r="BI607" s="146" t="e">
        <v>#NAME?</v>
      </c>
      <c r="BJ607" s="146" t="e">
        <v>#NAME?</v>
      </c>
      <c r="BK607" s="146" t="e">
        <v>#NAME?</v>
      </c>
      <c r="BL607" s="146" t="e">
        <v>#NAME?</v>
      </c>
      <c r="BM607" s="146" t="e">
        <v>#NAME?</v>
      </c>
      <c r="BN607" s="146" t="e">
        <v>#NAME?</v>
      </c>
      <c r="BO607" s="146" t="e">
        <v>#NAME?</v>
      </c>
      <c r="BP607" s="146" t="e">
        <v>#NAME?</v>
      </c>
      <c r="BQ607" s="146" t="e">
        <v>#NAME?</v>
      </c>
      <c r="BR607" s="146" t="e">
        <v>#NAME?</v>
      </c>
      <c r="BS607" s="146" t="e">
        <v>#NAME?</v>
      </c>
      <c r="BT607" s="146" t="e">
        <v>#NAME?</v>
      </c>
      <c r="BU607" s="146" t="e">
        <v>#NAME?</v>
      </c>
      <c r="BV607" s="146" t="e">
        <v>#NAME?</v>
      </c>
      <c r="BW607" s="146" t="e">
        <v>#NAME?</v>
      </c>
      <c r="BX607" s="146" t="e">
        <v>#NAME?</v>
      </c>
      <c r="BY607" s="146" t="e">
        <v>#NAME?</v>
      </c>
      <c r="BZ607" s="146" t="e">
        <v>#NAME?</v>
      </c>
      <c r="CA607" s="146" t="e">
        <v>#NAME?</v>
      </c>
      <c r="CB607" s="146" t="e">
        <v>#NAME?</v>
      </c>
      <c r="CC607" s="146" t="e">
        <v>#NAME?</v>
      </c>
      <c r="CD607" s="146" t="e">
        <v>#NAME?</v>
      </c>
      <c r="CF607" s="24" t="s">
        <v>336</v>
      </c>
      <c r="CG607" s="24" t="s">
        <v>336</v>
      </c>
      <c r="CH607" s="24">
        <v>1721</v>
      </c>
      <c r="CI607" s="24">
        <v>1723</v>
      </c>
      <c r="CJ607" s="24">
        <v>1713</v>
      </c>
      <c r="CK607" s="24">
        <v>1710</v>
      </c>
      <c r="CL607" s="24">
        <v>1707</v>
      </c>
      <c r="CM607" s="24">
        <v>1883</v>
      </c>
      <c r="CN607" s="24">
        <v>1892</v>
      </c>
      <c r="CO607" s="24">
        <v>1885</v>
      </c>
      <c r="CP607" s="24">
        <v>2868</v>
      </c>
      <c r="CQ607" s="24">
        <v>5387</v>
      </c>
      <c r="CR607" s="24">
        <v>5380</v>
      </c>
      <c r="CS607" s="24">
        <v>5379</v>
      </c>
      <c r="CT607" s="146" t="e">
        <v>#NAME?</v>
      </c>
      <c r="CU607" s="146" t="e">
        <v>#NAME?</v>
      </c>
      <c r="CV607" s="146" t="e">
        <v>#NAME?</v>
      </c>
      <c r="CW607" s="146" t="e">
        <v>#NAME?</v>
      </c>
      <c r="CX607" s="146" t="e">
        <v>#NAME?</v>
      </c>
    </row>
    <row r="608" spans="2:103" x14ac:dyDescent="0.25">
      <c r="B608" t="s">
        <v>404</v>
      </c>
      <c r="S608" s="24">
        <v>160</v>
      </c>
      <c r="T608" s="24">
        <v>143</v>
      </c>
      <c r="U608" s="24">
        <v>127</v>
      </c>
      <c r="V608" s="24">
        <v>111</v>
      </c>
      <c r="W608" s="24">
        <v>98</v>
      </c>
      <c r="X608" s="24">
        <v>84</v>
      </c>
      <c r="Y608" s="24">
        <v>71</v>
      </c>
      <c r="Z608" s="24">
        <v>57</v>
      </c>
      <c r="AA608" s="24">
        <v>42</v>
      </c>
      <c r="AB608" s="24">
        <v>28</v>
      </c>
      <c r="AC608" s="24">
        <v>9</v>
      </c>
      <c r="AD608" s="24">
        <v>8</v>
      </c>
      <c r="AE608" s="24">
        <v>7</v>
      </c>
      <c r="AF608" s="24">
        <v>5</v>
      </c>
      <c r="AG608" s="24">
        <v>81</v>
      </c>
      <c r="AH608" s="24">
        <v>71</v>
      </c>
      <c r="AI608" s="24">
        <v>107</v>
      </c>
      <c r="AJ608" s="24">
        <v>100</v>
      </c>
      <c r="AK608" s="24">
        <v>93</v>
      </c>
      <c r="AL608" s="24">
        <v>87</v>
      </c>
      <c r="AM608" s="24">
        <v>80</v>
      </c>
      <c r="AN608" s="24">
        <v>72</v>
      </c>
      <c r="AO608" s="24">
        <v>62</v>
      </c>
      <c r="AP608" s="24">
        <v>53</v>
      </c>
      <c r="AQ608" s="24">
        <v>48</v>
      </c>
      <c r="AR608" s="24">
        <v>42</v>
      </c>
      <c r="AS608" s="24">
        <v>37</v>
      </c>
      <c r="AT608" s="24">
        <v>309</v>
      </c>
      <c r="AU608" s="24">
        <v>909</v>
      </c>
      <c r="AV608" s="24">
        <v>1080</v>
      </c>
      <c r="AW608" s="24">
        <v>1052</v>
      </c>
      <c r="AX608" s="24">
        <v>962</v>
      </c>
      <c r="AY608" s="24">
        <v>893</v>
      </c>
      <c r="AZ608" s="24">
        <v>811</v>
      </c>
      <c r="BA608" s="24">
        <v>735</v>
      </c>
      <c r="BB608" s="24">
        <v>618</v>
      </c>
      <c r="BC608" s="24">
        <v>577</v>
      </c>
      <c r="BD608" s="24">
        <v>538</v>
      </c>
      <c r="BE608" s="24">
        <v>501</v>
      </c>
      <c r="BF608" s="24">
        <v>400</v>
      </c>
      <c r="BG608" s="24">
        <v>373</v>
      </c>
      <c r="BH608" s="146" t="e">
        <v>#NAME?</v>
      </c>
      <c r="BI608" s="146" t="e">
        <v>#NAME?</v>
      </c>
      <c r="BJ608" s="146" t="e">
        <v>#NAME?</v>
      </c>
      <c r="BK608" s="146" t="e">
        <v>#NAME?</v>
      </c>
      <c r="BL608" s="146" t="e">
        <v>#NAME?</v>
      </c>
      <c r="BM608" s="146" t="e">
        <v>#NAME?</v>
      </c>
      <c r="BN608" s="146" t="e">
        <v>#NAME?</v>
      </c>
      <c r="BO608" s="146" t="e">
        <v>#NAME?</v>
      </c>
      <c r="BP608" s="146" t="e">
        <v>#NAME?</v>
      </c>
      <c r="BQ608" s="146" t="e">
        <v>#NAME?</v>
      </c>
      <c r="BR608" s="146" t="e">
        <v>#NAME?</v>
      </c>
      <c r="BS608" s="146" t="e">
        <v>#NAME?</v>
      </c>
      <c r="BT608" s="146" t="e">
        <v>#NAME?</v>
      </c>
      <c r="BU608" s="146" t="e">
        <v>#NAME?</v>
      </c>
      <c r="BV608" s="146" t="e">
        <v>#NAME?</v>
      </c>
      <c r="BW608" s="146" t="e">
        <v>#NAME?</v>
      </c>
      <c r="BX608" s="146" t="e">
        <v>#NAME?</v>
      </c>
      <c r="BY608" s="146" t="e">
        <v>#NAME?</v>
      </c>
      <c r="BZ608" s="146" t="e">
        <v>#NAME?</v>
      </c>
      <c r="CA608" s="146" t="e">
        <v>#NAME?</v>
      </c>
      <c r="CB608" s="146" t="e">
        <v>#NAME?</v>
      </c>
      <c r="CC608" s="146" t="e">
        <v>#NAME?</v>
      </c>
      <c r="CD608" s="146" t="e">
        <v>#NAME?</v>
      </c>
      <c r="CF608" s="24" t="s">
        <v>336</v>
      </c>
      <c r="CG608" s="24" t="s">
        <v>336</v>
      </c>
      <c r="CH608" s="24">
        <v>253</v>
      </c>
      <c r="CI608" s="24">
        <v>177</v>
      </c>
      <c r="CJ608" s="24">
        <v>111</v>
      </c>
      <c r="CK608" s="24">
        <v>57</v>
      </c>
      <c r="CL608" s="24">
        <v>8</v>
      </c>
      <c r="CM608" s="24">
        <v>71</v>
      </c>
      <c r="CN608" s="24">
        <v>87</v>
      </c>
      <c r="CO608" s="24">
        <v>53</v>
      </c>
      <c r="CP608" s="24">
        <v>309</v>
      </c>
      <c r="CQ608" s="24">
        <v>962</v>
      </c>
      <c r="CR608" s="24">
        <v>618</v>
      </c>
      <c r="CS608" s="24">
        <v>400</v>
      </c>
      <c r="CT608" s="146" t="e">
        <v>#NAME?</v>
      </c>
      <c r="CU608" s="146" t="e">
        <v>#NAME?</v>
      </c>
      <c r="CV608" s="146" t="e">
        <v>#NAME?</v>
      </c>
      <c r="CW608" s="146" t="e">
        <v>#NAME?</v>
      </c>
      <c r="CX608" s="146" t="e">
        <v>#NAME?</v>
      </c>
    </row>
    <row r="609" spans="2:103" x14ac:dyDescent="0.25">
      <c r="B609" t="s">
        <v>405</v>
      </c>
      <c r="S609" s="24">
        <v>15</v>
      </c>
      <c r="T609" s="24">
        <v>9</v>
      </c>
      <c r="U609" s="24">
        <v>6</v>
      </c>
      <c r="V609" s="24">
        <v>13</v>
      </c>
      <c r="W609" s="24">
        <v>14</v>
      </c>
      <c r="X609" s="24">
        <v>14</v>
      </c>
      <c r="Y609" s="24">
        <v>8</v>
      </c>
      <c r="Z609" s="24">
        <v>387</v>
      </c>
      <c r="AA609" s="24">
        <v>343</v>
      </c>
      <c r="AB609" s="24">
        <v>366</v>
      </c>
      <c r="AC609" s="24">
        <v>386</v>
      </c>
      <c r="AD609" s="24">
        <v>286</v>
      </c>
      <c r="AE609" s="24">
        <v>232</v>
      </c>
      <c r="AF609" s="24">
        <v>248</v>
      </c>
      <c r="AG609" s="24">
        <v>159</v>
      </c>
      <c r="AH609" s="24">
        <v>84</v>
      </c>
      <c r="AI609" s="24">
        <v>92</v>
      </c>
      <c r="AJ609" s="24">
        <v>112</v>
      </c>
      <c r="AK609" s="24">
        <v>106</v>
      </c>
      <c r="AL609" s="24">
        <v>35</v>
      </c>
      <c r="AM609" s="24">
        <v>1208</v>
      </c>
      <c r="AN609" s="24">
        <v>1835</v>
      </c>
      <c r="AO609" s="24">
        <v>1828</v>
      </c>
      <c r="AP609" s="24">
        <v>1903</v>
      </c>
      <c r="AQ609" s="24">
        <v>1894</v>
      </c>
      <c r="AR609" s="24">
        <v>1937</v>
      </c>
      <c r="AS609" s="24">
        <v>1924</v>
      </c>
      <c r="AT609" s="24">
        <v>2045</v>
      </c>
      <c r="AU609" s="24">
        <v>1960</v>
      </c>
      <c r="AV609" s="24">
        <v>2139</v>
      </c>
      <c r="AW609" s="24">
        <v>2130</v>
      </c>
      <c r="AX609" s="24">
        <v>2243</v>
      </c>
      <c r="AY609" s="24">
        <v>2327</v>
      </c>
      <c r="AZ609" s="24">
        <v>2395</v>
      </c>
      <c r="BA609" s="24">
        <v>2443</v>
      </c>
      <c r="BB609" s="24">
        <v>2462</v>
      </c>
      <c r="BC609" s="24">
        <v>2555</v>
      </c>
      <c r="BD609" s="24">
        <v>2353</v>
      </c>
      <c r="BE609" s="24">
        <v>2375</v>
      </c>
      <c r="BF609" s="24">
        <v>2380</v>
      </c>
      <c r="BG609" s="24">
        <v>2393</v>
      </c>
      <c r="BH609" s="146" t="e">
        <v>#NAME?</v>
      </c>
      <c r="BI609" s="146" t="e">
        <v>#NAME?</v>
      </c>
      <c r="BJ609" s="146" t="e">
        <v>#NAME?</v>
      </c>
      <c r="BK609" s="146" t="e">
        <v>#NAME?</v>
      </c>
      <c r="BL609" s="146" t="e">
        <v>#NAME?</v>
      </c>
      <c r="BM609" s="146" t="e">
        <v>#NAME?</v>
      </c>
      <c r="BN609" s="146" t="e">
        <v>#NAME?</v>
      </c>
      <c r="BO609" s="146" t="e">
        <v>#NAME?</v>
      </c>
      <c r="BP609" s="146" t="e">
        <v>#NAME?</v>
      </c>
      <c r="BQ609" s="146" t="e">
        <v>#NAME?</v>
      </c>
      <c r="BR609" s="146" t="e">
        <v>#NAME?</v>
      </c>
      <c r="BS609" s="146" t="e">
        <v>#NAME?</v>
      </c>
      <c r="BT609" s="146" t="e">
        <v>#NAME?</v>
      </c>
      <c r="BU609" s="146" t="e">
        <v>#NAME?</v>
      </c>
      <c r="BV609" s="146" t="e">
        <v>#NAME?</v>
      </c>
      <c r="BW609" s="146" t="e">
        <v>#NAME?</v>
      </c>
      <c r="BX609" s="146" t="e">
        <v>#NAME?</v>
      </c>
      <c r="BY609" s="146" t="e">
        <v>#NAME?</v>
      </c>
      <c r="BZ609" s="146" t="e">
        <v>#NAME?</v>
      </c>
      <c r="CA609" s="146" t="e">
        <v>#NAME?</v>
      </c>
      <c r="CB609" s="146" t="e">
        <v>#NAME?</v>
      </c>
      <c r="CC609" s="146" t="e">
        <v>#NAME?</v>
      </c>
      <c r="CD609" s="146" t="e">
        <v>#NAME?</v>
      </c>
      <c r="CF609" s="24" t="s">
        <v>336</v>
      </c>
      <c r="CG609" s="24" t="s">
        <v>336</v>
      </c>
      <c r="CH609" s="24">
        <v>53</v>
      </c>
      <c r="CI609" s="24">
        <v>28</v>
      </c>
      <c r="CJ609" s="24">
        <v>13</v>
      </c>
      <c r="CK609" s="24">
        <v>387</v>
      </c>
      <c r="CL609" s="24">
        <v>286</v>
      </c>
      <c r="CM609" s="24">
        <v>84</v>
      </c>
      <c r="CN609" s="24">
        <v>35</v>
      </c>
      <c r="CO609" s="24">
        <v>1903</v>
      </c>
      <c r="CP609" s="24">
        <v>2045</v>
      </c>
      <c r="CQ609" s="24">
        <v>2243</v>
      </c>
      <c r="CR609" s="24">
        <v>2462</v>
      </c>
      <c r="CS609" s="24">
        <v>2380</v>
      </c>
      <c r="CT609" s="146" t="e">
        <v>#NAME?</v>
      </c>
      <c r="CU609" s="146" t="e">
        <v>#NAME?</v>
      </c>
      <c r="CV609" s="146" t="e">
        <v>#NAME?</v>
      </c>
      <c r="CW609" s="146" t="e">
        <v>#NAME?</v>
      </c>
      <c r="CX609" s="146" t="e">
        <v>#NAME?</v>
      </c>
    </row>
    <row r="610" spans="2:103" x14ac:dyDescent="0.25">
      <c r="B610" t="s">
        <v>406</v>
      </c>
      <c r="S610" s="24">
        <v>142</v>
      </c>
      <c r="T610" s="24">
        <v>141</v>
      </c>
      <c r="U610" s="24">
        <v>101</v>
      </c>
      <c r="V610" s="24">
        <v>131</v>
      </c>
      <c r="W610" s="24">
        <v>126</v>
      </c>
      <c r="X610" s="24">
        <v>117</v>
      </c>
      <c r="Y610" s="24">
        <v>116</v>
      </c>
      <c r="Z610" s="24">
        <v>103</v>
      </c>
      <c r="AA610" s="24">
        <v>105</v>
      </c>
      <c r="AB610" s="24">
        <v>98</v>
      </c>
      <c r="AC610" s="24">
        <v>95</v>
      </c>
      <c r="AD610" s="24">
        <v>84</v>
      </c>
      <c r="AE610" s="24">
        <v>90</v>
      </c>
      <c r="AF610" s="24">
        <v>99</v>
      </c>
      <c r="AG610" s="24">
        <v>110</v>
      </c>
      <c r="AH610" s="24">
        <v>89</v>
      </c>
      <c r="AI610" s="24">
        <v>98</v>
      </c>
      <c r="AJ610" s="24">
        <v>101</v>
      </c>
      <c r="AK610" s="24">
        <v>94</v>
      </c>
      <c r="AL610" s="24">
        <v>114</v>
      </c>
      <c r="AM610" s="24">
        <v>323</v>
      </c>
      <c r="AN610" s="24">
        <v>314</v>
      </c>
      <c r="AO610" s="24">
        <v>311</v>
      </c>
      <c r="AP610" s="24">
        <v>305</v>
      </c>
      <c r="AQ610" s="24">
        <v>313</v>
      </c>
      <c r="AR610" s="24">
        <v>312</v>
      </c>
      <c r="AS610" s="24">
        <v>375</v>
      </c>
      <c r="AT610" s="24">
        <v>362</v>
      </c>
      <c r="AU610" s="24">
        <v>422</v>
      </c>
      <c r="AV610" s="24">
        <v>435</v>
      </c>
      <c r="AW610" s="24">
        <v>479</v>
      </c>
      <c r="AX610" s="24">
        <v>507</v>
      </c>
      <c r="AY610" s="24">
        <v>528</v>
      </c>
      <c r="AZ610" s="24">
        <v>525</v>
      </c>
      <c r="BA610" s="24">
        <v>517</v>
      </c>
      <c r="BB610" s="24">
        <v>481</v>
      </c>
      <c r="BC610" s="24">
        <v>451</v>
      </c>
      <c r="BD610" s="24">
        <v>484</v>
      </c>
      <c r="BE610" s="24">
        <v>449</v>
      </c>
      <c r="BF610" s="24">
        <v>436</v>
      </c>
      <c r="BG610" s="24">
        <v>418</v>
      </c>
      <c r="BH610" s="146" t="e">
        <v>#NAME?</v>
      </c>
      <c r="BI610" s="146" t="e">
        <v>#NAME?</v>
      </c>
      <c r="BJ610" s="146" t="e">
        <v>#NAME?</v>
      </c>
      <c r="BK610" s="146" t="e">
        <v>#NAME?</v>
      </c>
      <c r="BL610" s="146" t="e">
        <v>#NAME?</v>
      </c>
      <c r="BM610" s="146" t="e">
        <v>#NAME?</v>
      </c>
      <c r="BN610" s="146" t="e">
        <v>#NAME?</v>
      </c>
      <c r="BO610" s="146" t="e">
        <v>#NAME?</v>
      </c>
      <c r="BP610" s="146" t="e">
        <v>#NAME?</v>
      </c>
      <c r="BQ610" s="146" t="e">
        <v>#NAME?</v>
      </c>
      <c r="BR610" s="146" t="e">
        <v>#NAME?</v>
      </c>
      <c r="BS610" s="146" t="e">
        <v>#NAME?</v>
      </c>
      <c r="BT610" s="146" t="e">
        <v>#NAME?</v>
      </c>
      <c r="BU610" s="146" t="e">
        <v>#NAME?</v>
      </c>
      <c r="BV610" s="146" t="e">
        <v>#NAME?</v>
      </c>
      <c r="BW610" s="146" t="e">
        <v>#NAME?</v>
      </c>
      <c r="BX610" s="146" t="e">
        <v>#NAME?</v>
      </c>
      <c r="BY610" s="146" t="e">
        <v>#NAME?</v>
      </c>
      <c r="BZ610" s="146" t="e">
        <v>#NAME?</v>
      </c>
      <c r="CA610" s="146" t="e">
        <v>#NAME?</v>
      </c>
      <c r="CB610" s="146" t="e">
        <v>#NAME?</v>
      </c>
      <c r="CC610" s="146" t="e">
        <v>#NAME?</v>
      </c>
      <c r="CD610" s="146" t="e">
        <v>#NAME?</v>
      </c>
      <c r="CF610" s="24" t="s">
        <v>336</v>
      </c>
      <c r="CG610" s="24" t="s">
        <v>336</v>
      </c>
      <c r="CH610" s="24">
        <v>170</v>
      </c>
      <c r="CI610" s="24">
        <v>140</v>
      </c>
      <c r="CJ610" s="24">
        <v>131</v>
      </c>
      <c r="CK610" s="24">
        <v>103</v>
      </c>
      <c r="CL610" s="24">
        <v>84</v>
      </c>
      <c r="CM610" s="24">
        <v>89</v>
      </c>
      <c r="CN610" s="24">
        <v>114</v>
      </c>
      <c r="CO610" s="24">
        <v>305</v>
      </c>
      <c r="CP610" s="24">
        <v>362</v>
      </c>
      <c r="CQ610" s="24">
        <v>507</v>
      </c>
      <c r="CR610" s="24">
        <v>481</v>
      </c>
      <c r="CS610" s="24">
        <v>436</v>
      </c>
      <c r="CT610" s="146" t="e">
        <v>#NAME?</v>
      </c>
      <c r="CU610" s="146" t="e">
        <v>#NAME?</v>
      </c>
      <c r="CV610" s="146" t="e">
        <v>#NAME?</v>
      </c>
      <c r="CW610" s="146" t="e">
        <v>#NAME?</v>
      </c>
      <c r="CX610" s="146" t="e">
        <v>#NAME?</v>
      </c>
    </row>
    <row r="611" spans="2:103" s="10" customFormat="1" x14ac:dyDescent="0.25">
      <c r="B611" s="10" t="s">
        <v>407</v>
      </c>
      <c r="S611" s="57">
        <v>2546</v>
      </c>
      <c r="T611" s="57">
        <v>2499</v>
      </c>
      <c r="U611" s="57">
        <v>2413</v>
      </c>
      <c r="V611" s="57">
        <v>2427</v>
      </c>
      <c r="W611" s="57">
        <v>2395</v>
      </c>
      <c r="X611" s="57">
        <v>2354</v>
      </c>
      <c r="Y611" s="57">
        <v>2318</v>
      </c>
      <c r="Z611" s="57">
        <v>2696</v>
      </c>
      <c r="AA611" s="57">
        <v>2633</v>
      </c>
      <c r="AB611" s="57">
        <v>2632</v>
      </c>
      <c r="AC611" s="57">
        <v>2618</v>
      </c>
      <c r="AD611" s="57">
        <v>2519</v>
      </c>
      <c r="AE611" s="57">
        <v>2473</v>
      </c>
      <c r="AF611" s="57">
        <v>2507</v>
      </c>
      <c r="AG611" s="57">
        <v>2676</v>
      </c>
      <c r="AH611" s="57">
        <v>2580</v>
      </c>
      <c r="AI611" s="57">
        <v>2623</v>
      </c>
      <c r="AJ611" s="57">
        <v>2647</v>
      </c>
      <c r="AK611" s="57">
        <v>2610</v>
      </c>
      <c r="AL611" s="57">
        <v>2576</v>
      </c>
      <c r="AM611" s="57">
        <v>3949</v>
      </c>
      <c r="AN611" s="57">
        <v>4553</v>
      </c>
      <c r="AO611" s="57">
        <v>4532</v>
      </c>
      <c r="AP611" s="57">
        <v>4595</v>
      </c>
      <c r="AQ611" s="57">
        <v>4594</v>
      </c>
      <c r="AR611" s="57">
        <v>4640</v>
      </c>
      <c r="AS611" s="57">
        <v>4699</v>
      </c>
      <c r="AT611" s="57">
        <v>6075</v>
      </c>
      <c r="AU611" s="57">
        <v>8057</v>
      </c>
      <c r="AV611" s="57">
        <v>9629</v>
      </c>
      <c r="AW611" s="57">
        <v>9572</v>
      </c>
      <c r="AX611" s="57">
        <v>9649</v>
      </c>
      <c r="AY611" s="57">
        <v>9675</v>
      </c>
      <c r="AZ611" s="57">
        <v>9637</v>
      </c>
      <c r="BA611" s="57">
        <v>9628</v>
      </c>
      <c r="BB611" s="57">
        <v>9490</v>
      </c>
      <c r="BC611" s="57">
        <v>9509</v>
      </c>
      <c r="BD611" s="57">
        <v>9295</v>
      </c>
      <c r="BE611" s="57">
        <v>9268</v>
      </c>
      <c r="BF611" s="57">
        <v>9173</v>
      </c>
      <c r="BG611" s="57">
        <v>9121</v>
      </c>
      <c r="BH611" s="142" t="e">
        <v>#NAME?</v>
      </c>
      <c r="BI611" s="142" t="e">
        <v>#NAME?</v>
      </c>
      <c r="BJ611" s="142" t="e">
        <v>#NAME?</v>
      </c>
      <c r="BK611" s="142" t="e">
        <v>#NAME?</v>
      </c>
      <c r="BL611" s="142" t="e">
        <v>#NAME?</v>
      </c>
      <c r="BM611" s="142" t="e">
        <v>#NAME?</v>
      </c>
      <c r="BN611" s="142" t="e">
        <v>#NAME?</v>
      </c>
      <c r="BO611" s="142" t="e">
        <v>#NAME?</v>
      </c>
      <c r="BP611" s="142" t="e">
        <v>#NAME?</v>
      </c>
      <c r="BQ611" s="142" t="e">
        <v>#NAME?</v>
      </c>
      <c r="BR611" s="142" t="e">
        <v>#NAME?</v>
      </c>
      <c r="BS611" s="142" t="e">
        <v>#NAME?</v>
      </c>
      <c r="BT611" s="142" t="e">
        <v>#NAME?</v>
      </c>
      <c r="BU611" s="142" t="e">
        <v>#NAME?</v>
      </c>
      <c r="BV611" s="142" t="e">
        <v>#NAME?</v>
      </c>
      <c r="BW611" s="142" t="e">
        <v>#NAME?</v>
      </c>
      <c r="BX611" s="142" t="e">
        <v>#NAME?</v>
      </c>
      <c r="BY611" s="142" t="e">
        <v>#NAME?</v>
      </c>
      <c r="BZ611" s="142" t="e">
        <v>#NAME?</v>
      </c>
      <c r="CA611" s="142" t="e">
        <v>#NAME?</v>
      </c>
      <c r="CB611" s="142" t="e">
        <v>#NAME?</v>
      </c>
      <c r="CC611" s="142" t="e">
        <v>#NAME?</v>
      </c>
      <c r="CD611" s="142" t="e">
        <v>#NAME?</v>
      </c>
      <c r="CE611"/>
      <c r="CF611" s="57" t="s">
        <v>336</v>
      </c>
      <c r="CG611" s="57" t="s">
        <v>336</v>
      </c>
      <c r="CH611" s="57">
        <v>2745</v>
      </c>
      <c r="CI611" s="57">
        <v>2578</v>
      </c>
      <c r="CJ611" s="57">
        <v>2427</v>
      </c>
      <c r="CK611" s="57">
        <v>2696</v>
      </c>
      <c r="CL611" s="57">
        <v>2519</v>
      </c>
      <c r="CM611" s="57">
        <v>2580</v>
      </c>
      <c r="CN611" s="57">
        <v>2576</v>
      </c>
      <c r="CO611" s="57">
        <v>4595</v>
      </c>
      <c r="CP611" s="57">
        <v>6075</v>
      </c>
      <c r="CQ611" s="57">
        <v>9649</v>
      </c>
      <c r="CR611" s="57">
        <v>9490</v>
      </c>
      <c r="CS611" s="57">
        <v>9173</v>
      </c>
      <c r="CT611" s="142" t="e">
        <v>#NAME?</v>
      </c>
      <c r="CU611" s="142" t="e">
        <v>#NAME?</v>
      </c>
      <c r="CV611" s="142" t="e">
        <v>#NAME?</v>
      </c>
      <c r="CW611" s="142" t="e">
        <v>#NAME?</v>
      </c>
      <c r="CX611" s="142" t="e">
        <v>#NAME?</v>
      </c>
      <c r="CY611"/>
    </row>
    <row r="612" spans="2:103" s="10" customFormat="1" x14ac:dyDescent="0.25">
      <c r="B612" s="10" t="s">
        <v>320</v>
      </c>
      <c r="S612" s="57">
        <v>5476</v>
      </c>
      <c r="T612" s="57">
        <v>6031</v>
      </c>
      <c r="U612" s="57">
        <v>6167</v>
      </c>
      <c r="V612" s="57">
        <v>6147</v>
      </c>
      <c r="W612" s="57">
        <v>5721</v>
      </c>
      <c r="X612" s="57">
        <v>6000</v>
      </c>
      <c r="Y612" s="57">
        <v>6470</v>
      </c>
      <c r="Z612" s="57">
        <v>7050</v>
      </c>
      <c r="AA612" s="57">
        <v>6605</v>
      </c>
      <c r="AB612" s="57">
        <v>6892</v>
      </c>
      <c r="AC612" s="57">
        <v>7719</v>
      </c>
      <c r="AD612" s="57">
        <v>7718</v>
      </c>
      <c r="AE612" s="57">
        <v>7375</v>
      </c>
      <c r="AF612" s="57">
        <v>7922</v>
      </c>
      <c r="AG612" s="57">
        <v>8642</v>
      </c>
      <c r="AH612" s="57">
        <v>8584</v>
      </c>
      <c r="AI612" s="57">
        <v>8247</v>
      </c>
      <c r="AJ612" s="57">
        <v>8450</v>
      </c>
      <c r="AK612" s="57">
        <v>8857</v>
      </c>
      <c r="AL612" s="57">
        <v>8957</v>
      </c>
      <c r="AM612" s="57">
        <v>9749</v>
      </c>
      <c r="AN612" s="57">
        <v>10593</v>
      </c>
      <c r="AO612" s="57">
        <v>11161</v>
      </c>
      <c r="AP612" s="57">
        <v>11112</v>
      </c>
      <c r="AQ612" s="57">
        <v>11284</v>
      </c>
      <c r="AR612" s="57">
        <v>11470</v>
      </c>
      <c r="AS612" s="57">
        <v>12420</v>
      </c>
      <c r="AT612" s="57">
        <v>13288</v>
      </c>
      <c r="AU612" s="57">
        <v>12734</v>
      </c>
      <c r="AV612" s="57">
        <v>13019</v>
      </c>
      <c r="AW612" s="57">
        <v>13930</v>
      </c>
      <c r="AX612" s="57">
        <v>13800</v>
      </c>
      <c r="AY612" s="57">
        <v>13192</v>
      </c>
      <c r="AZ612" s="57">
        <v>13079</v>
      </c>
      <c r="BA612" s="57">
        <v>13470</v>
      </c>
      <c r="BB612" s="57">
        <v>13459</v>
      </c>
      <c r="BC612" s="57">
        <v>13083</v>
      </c>
      <c r="BD612" s="57">
        <v>13139</v>
      </c>
      <c r="BE612" s="57">
        <v>13617</v>
      </c>
      <c r="BF612" s="57">
        <v>13420</v>
      </c>
      <c r="BG612" s="57">
        <v>12708</v>
      </c>
      <c r="BH612" s="142" t="e">
        <v>#NAME?</v>
      </c>
      <c r="BI612" s="142" t="e">
        <v>#NAME?</v>
      </c>
      <c r="BJ612" s="142" t="e">
        <v>#NAME?</v>
      </c>
      <c r="BK612" s="142" t="e">
        <v>#NAME?</v>
      </c>
      <c r="BL612" s="142" t="e">
        <v>#NAME?</v>
      </c>
      <c r="BM612" s="142" t="e">
        <v>#NAME?</v>
      </c>
      <c r="BN612" s="142" t="e">
        <v>#NAME?</v>
      </c>
      <c r="BO612" s="142" t="e">
        <v>#NAME?</v>
      </c>
      <c r="BP612" s="142" t="e">
        <v>#NAME?</v>
      </c>
      <c r="BQ612" s="142" t="e">
        <v>#NAME?</v>
      </c>
      <c r="BR612" s="142" t="e">
        <v>#NAME?</v>
      </c>
      <c r="BS612" s="142" t="e">
        <v>#NAME?</v>
      </c>
      <c r="BT612" s="142" t="e">
        <v>#NAME?</v>
      </c>
      <c r="BU612" s="142" t="e">
        <v>#NAME?</v>
      </c>
      <c r="BV612" s="142" t="e">
        <v>#NAME?</v>
      </c>
      <c r="BW612" s="142" t="e">
        <v>#NAME?</v>
      </c>
      <c r="BX612" s="142" t="e">
        <v>#NAME?</v>
      </c>
      <c r="BY612" s="142" t="e">
        <v>#NAME?</v>
      </c>
      <c r="BZ612" s="142" t="e">
        <v>#NAME?</v>
      </c>
      <c r="CA612" s="142" t="e">
        <v>#NAME?</v>
      </c>
      <c r="CB612" s="142" t="e">
        <v>#NAME?</v>
      </c>
      <c r="CC612" s="142" t="e">
        <v>#NAME?</v>
      </c>
      <c r="CD612" s="142" t="e">
        <v>#NAME?</v>
      </c>
      <c r="CE612"/>
      <c r="CF612" s="57" t="s">
        <v>336</v>
      </c>
      <c r="CG612" s="57" t="s">
        <v>336</v>
      </c>
      <c r="CH612" s="57">
        <v>5070</v>
      </c>
      <c r="CI612" s="57">
        <v>5716</v>
      </c>
      <c r="CJ612" s="57">
        <v>6147</v>
      </c>
      <c r="CK612" s="57">
        <v>7050</v>
      </c>
      <c r="CL612" s="57">
        <v>7718</v>
      </c>
      <c r="CM612" s="57">
        <v>8584</v>
      </c>
      <c r="CN612" s="57">
        <v>8957</v>
      </c>
      <c r="CO612" s="57">
        <v>11112</v>
      </c>
      <c r="CP612" s="57">
        <v>13288</v>
      </c>
      <c r="CQ612" s="57">
        <v>13800</v>
      </c>
      <c r="CR612" s="57">
        <v>13459</v>
      </c>
      <c r="CS612" s="57">
        <v>13420</v>
      </c>
      <c r="CT612" s="142" t="e">
        <v>#NAME?</v>
      </c>
      <c r="CU612" s="142" t="e">
        <v>#NAME?</v>
      </c>
      <c r="CV612" s="142" t="e">
        <v>#NAME?</v>
      </c>
      <c r="CW612" s="142" t="e">
        <v>#NAME?</v>
      </c>
      <c r="CX612" s="142" t="e">
        <v>#NAME?</v>
      </c>
      <c r="CY612"/>
    </row>
    <row r="613" spans="2:103" s="10" customFormat="1" x14ac:dyDescent="0.25">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c r="AR613" s="57"/>
      <c r="AS613" s="57"/>
      <c r="AT613" s="57"/>
      <c r="AU613" s="57"/>
      <c r="AV613" s="57"/>
      <c r="AW613" s="57"/>
      <c r="AX613" s="57"/>
      <c r="AY613" s="57"/>
      <c r="AZ613" s="57"/>
      <c r="BA613" s="57"/>
      <c r="BB613" s="57"/>
      <c r="BC613" s="57"/>
      <c r="BD613" s="57"/>
      <c r="BE613" s="57"/>
      <c r="BF613" s="57"/>
      <c r="BG613" s="57"/>
      <c r="BH613" s="142"/>
      <c r="BI613" s="142"/>
      <c r="BJ613" s="142"/>
      <c r="BK613" s="142"/>
      <c r="BL613" s="142"/>
      <c r="BM613" s="142"/>
      <c r="BN613" s="142"/>
      <c r="BO613" s="142"/>
      <c r="BP613" s="142"/>
      <c r="BQ613" s="142"/>
      <c r="BR613" s="142"/>
      <c r="BS613" s="142"/>
      <c r="BT613" s="142"/>
      <c r="BU613" s="142"/>
      <c r="BV613" s="142"/>
      <c r="BW613" s="142"/>
      <c r="BX613" s="142"/>
      <c r="BY613" s="142"/>
      <c r="BZ613" s="142"/>
      <c r="CA613" s="142"/>
      <c r="CB613" s="142"/>
      <c r="CC613" s="142"/>
      <c r="CD613" s="142"/>
      <c r="CE613"/>
      <c r="CF613" s="57"/>
      <c r="CG613" s="57"/>
      <c r="CH613" s="57"/>
      <c r="CI613" s="57"/>
      <c r="CJ613" s="57"/>
      <c r="CK613" s="57"/>
      <c r="CL613" s="57"/>
      <c r="CM613" s="57"/>
      <c r="CN613" s="57"/>
      <c r="CO613" s="57"/>
      <c r="CP613" s="57"/>
      <c r="CQ613" s="57"/>
      <c r="CR613" s="57"/>
      <c r="CS613" s="57"/>
      <c r="CT613" s="142"/>
      <c r="CU613" s="142"/>
      <c r="CV613" s="142"/>
      <c r="CW613" s="142"/>
      <c r="CX613" s="142"/>
      <c r="CY613"/>
    </row>
    <row r="614" spans="2:103" x14ac:dyDescent="0.25">
      <c r="B614" s="103" t="s">
        <v>408</v>
      </c>
      <c r="C614" s="103"/>
      <c r="D614" s="103"/>
      <c r="E614" s="103"/>
      <c r="F614" s="103"/>
      <c r="G614" s="103"/>
      <c r="H614" s="103"/>
      <c r="I614" s="103"/>
      <c r="J614" s="103"/>
      <c r="K614" s="103"/>
      <c r="L614" s="103"/>
      <c r="M614" s="103"/>
      <c r="N614" s="103"/>
      <c r="O614" s="103"/>
      <c r="P614" s="103"/>
      <c r="Q614" s="103"/>
      <c r="R614" s="103"/>
      <c r="S614" s="24" t="s">
        <v>409</v>
      </c>
      <c r="T614" s="24" t="s">
        <v>409</v>
      </c>
      <c r="U614" s="24" t="s">
        <v>409</v>
      </c>
      <c r="V614" s="24" t="s">
        <v>409</v>
      </c>
      <c r="W614" s="24" t="s">
        <v>409</v>
      </c>
      <c r="X614" s="24" t="s">
        <v>409</v>
      </c>
      <c r="Y614" s="24" t="s">
        <v>409</v>
      </c>
      <c r="Z614" s="24" t="s">
        <v>409</v>
      </c>
      <c r="AA614" s="24" t="s">
        <v>409</v>
      </c>
      <c r="AB614" s="24" t="s">
        <v>409</v>
      </c>
      <c r="AC614" s="24" t="s">
        <v>409</v>
      </c>
      <c r="AD614" s="24" t="s">
        <v>409</v>
      </c>
      <c r="AE614" s="24" t="s">
        <v>409</v>
      </c>
      <c r="AF614" s="24" t="s">
        <v>409</v>
      </c>
      <c r="AG614" s="24" t="s">
        <v>409</v>
      </c>
      <c r="AH614" s="24" t="s">
        <v>409</v>
      </c>
      <c r="AI614" s="24" t="s">
        <v>409</v>
      </c>
      <c r="AJ614" s="24" t="s">
        <v>409</v>
      </c>
      <c r="AK614" s="24" t="s">
        <v>409</v>
      </c>
      <c r="AL614" s="24" t="s">
        <v>409</v>
      </c>
      <c r="AM614" s="24" t="s">
        <v>409</v>
      </c>
      <c r="AN614" s="24" t="s">
        <v>409</v>
      </c>
      <c r="AO614" s="24" t="s">
        <v>409</v>
      </c>
      <c r="AP614" s="24" t="s">
        <v>409</v>
      </c>
      <c r="AQ614" s="24" t="s">
        <v>409</v>
      </c>
      <c r="AR614" s="24" t="s">
        <v>409</v>
      </c>
      <c r="AS614" s="24" t="s">
        <v>409</v>
      </c>
      <c r="AT614" s="24" t="s">
        <v>409</v>
      </c>
      <c r="AU614" s="24" t="s">
        <v>409</v>
      </c>
      <c r="AV614" s="24" t="s">
        <v>409</v>
      </c>
      <c r="AW614" s="24" t="s">
        <v>409</v>
      </c>
      <c r="AX614" s="24" t="s">
        <v>409</v>
      </c>
      <c r="AY614" s="24" t="s">
        <v>409</v>
      </c>
      <c r="AZ614" s="24" t="s">
        <v>409</v>
      </c>
      <c r="BA614" s="24" t="s">
        <v>409</v>
      </c>
      <c r="BB614" s="24" t="s">
        <v>409</v>
      </c>
      <c r="BC614" s="24" t="s">
        <v>409</v>
      </c>
      <c r="BD614" s="24" t="s">
        <v>409</v>
      </c>
      <c r="BE614" s="24" t="s">
        <v>409</v>
      </c>
      <c r="BF614" s="24" t="s">
        <v>409</v>
      </c>
      <c r="BG614" s="24" t="s">
        <v>409</v>
      </c>
      <c r="BH614" s="146" t="e">
        <v>#NAME?</v>
      </c>
      <c r="BI614" s="146" t="e">
        <v>#NAME?</v>
      </c>
      <c r="BJ614" s="146" t="e">
        <v>#NAME?</v>
      </c>
      <c r="BK614" s="146" t="e">
        <v>#NAME?</v>
      </c>
      <c r="BL614" s="146" t="e">
        <v>#NAME?</v>
      </c>
      <c r="BM614" s="146" t="e">
        <v>#NAME?</v>
      </c>
      <c r="BN614" s="146" t="e">
        <v>#NAME?</v>
      </c>
      <c r="BO614" s="146" t="e">
        <v>#NAME?</v>
      </c>
      <c r="BP614" s="146" t="e">
        <v>#NAME?</v>
      </c>
      <c r="BQ614" s="146" t="e">
        <v>#NAME?</v>
      </c>
      <c r="BR614" s="146" t="e">
        <v>#NAME?</v>
      </c>
      <c r="BS614" s="146" t="e">
        <v>#NAME?</v>
      </c>
      <c r="BT614" s="146" t="e">
        <v>#NAME?</v>
      </c>
      <c r="BU614" s="146" t="e">
        <v>#NAME?</v>
      </c>
      <c r="BV614" s="146" t="e">
        <v>#NAME?</v>
      </c>
      <c r="BW614" s="146" t="e">
        <v>#NAME?</v>
      </c>
      <c r="BX614" s="146" t="e">
        <v>#NAME?</v>
      </c>
      <c r="BY614" s="146" t="e">
        <v>#NAME?</v>
      </c>
      <c r="BZ614" s="146" t="e">
        <v>#NAME?</v>
      </c>
      <c r="CA614" s="146" t="e">
        <v>#NAME?</v>
      </c>
      <c r="CB614" s="146" t="e">
        <v>#NAME?</v>
      </c>
      <c r="CC614" s="146" t="e">
        <v>#NAME?</v>
      </c>
      <c r="CD614" s="146" t="e">
        <v>#NAME?</v>
      </c>
      <c r="CF614" s="24" t="s">
        <v>409</v>
      </c>
      <c r="CG614" s="24" t="s">
        <v>409</v>
      </c>
      <c r="CH614" s="24" t="s">
        <v>409</v>
      </c>
      <c r="CI614" s="24" t="s">
        <v>409</v>
      </c>
      <c r="CJ614" s="24" t="s">
        <v>409</v>
      </c>
      <c r="CK614" s="24" t="s">
        <v>409</v>
      </c>
      <c r="CL614" s="24" t="s">
        <v>409</v>
      </c>
      <c r="CM614" s="24" t="s">
        <v>409</v>
      </c>
      <c r="CN614" s="24" t="s">
        <v>409</v>
      </c>
      <c r="CO614" s="24" t="s">
        <v>409</v>
      </c>
      <c r="CP614" s="24" t="s">
        <v>409</v>
      </c>
      <c r="CQ614" s="24" t="s">
        <v>409</v>
      </c>
      <c r="CR614" s="24" t="s">
        <v>409</v>
      </c>
      <c r="CS614" s="24" t="s">
        <v>409</v>
      </c>
      <c r="CT614" s="146" t="e">
        <v>#NAME?</v>
      </c>
      <c r="CU614" s="146" t="e">
        <v>#NAME?</v>
      </c>
      <c r="CV614" s="146" t="e">
        <v>#NAME?</v>
      </c>
      <c r="CW614" s="146" t="e">
        <v>#NAME?</v>
      </c>
      <c r="CX614" s="146" t="e">
        <v>#NAME?</v>
      </c>
    </row>
    <row r="615" spans="2:103" x14ac:dyDescent="0.25">
      <c r="B615" t="s">
        <v>410</v>
      </c>
      <c r="S615" s="24">
        <v>69</v>
      </c>
      <c r="T615" s="24">
        <v>191</v>
      </c>
      <c r="U615" s="24">
        <v>77</v>
      </c>
      <c r="V615" s="24">
        <v>68</v>
      </c>
      <c r="W615" s="24">
        <v>43</v>
      </c>
      <c r="X615" s="24">
        <v>188</v>
      </c>
      <c r="Y615" s="24">
        <v>128</v>
      </c>
      <c r="Z615" s="24">
        <v>89</v>
      </c>
      <c r="AA615" s="24">
        <v>44</v>
      </c>
      <c r="AB615" s="24">
        <v>206</v>
      </c>
      <c r="AC615" s="24">
        <v>65</v>
      </c>
      <c r="AD615" s="24">
        <v>87</v>
      </c>
      <c r="AE615" s="24">
        <v>38</v>
      </c>
      <c r="AF615" s="24">
        <v>187</v>
      </c>
      <c r="AG615" s="24">
        <v>91</v>
      </c>
      <c r="AH615" s="24">
        <v>48</v>
      </c>
      <c r="AI615" s="24">
        <v>47</v>
      </c>
      <c r="AJ615" s="24">
        <v>168</v>
      </c>
      <c r="AK615" s="24">
        <v>70</v>
      </c>
      <c r="AL615" s="24">
        <v>113</v>
      </c>
      <c r="AM615" s="24">
        <v>56</v>
      </c>
      <c r="AN615" s="24">
        <v>148</v>
      </c>
      <c r="AO615" s="24">
        <v>61</v>
      </c>
      <c r="AP615" s="24">
        <v>68</v>
      </c>
      <c r="AQ615" s="24">
        <v>51</v>
      </c>
      <c r="AR615" s="24">
        <v>164</v>
      </c>
      <c r="AS615" s="24">
        <v>89</v>
      </c>
      <c r="AT615" s="24">
        <v>96</v>
      </c>
      <c r="AU615" s="24">
        <v>73</v>
      </c>
      <c r="AV615" s="24">
        <v>136</v>
      </c>
      <c r="AW615" s="24">
        <v>86</v>
      </c>
      <c r="AX615" s="24">
        <v>101</v>
      </c>
      <c r="AY615" s="24">
        <v>70</v>
      </c>
      <c r="AZ615" s="24">
        <v>136</v>
      </c>
      <c r="BA615" s="24">
        <v>62</v>
      </c>
      <c r="BB615" s="24">
        <v>99</v>
      </c>
      <c r="BC615" s="24">
        <v>75</v>
      </c>
      <c r="BD615" s="24">
        <v>152</v>
      </c>
      <c r="BE615" s="24">
        <v>62</v>
      </c>
      <c r="BF615" s="24">
        <v>110</v>
      </c>
      <c r="BG615" s="24">
        <v>80</v>
      </c>
      <c r="BH615" s="146" t="e">
        <v>#NAME?</v>
      </c>
      <c r="BI615" s="146" t="e">
        <v>#NAME?</v>
      </c>
      <c r="BJ615" s="146" t="e">
        <v>#NAME?</v>
      </c>
      <c r="BK615" s="146" t="e">
        <v>#NAME?</v>
      </c>
      <c r="BL615" s="146" t="e">
        <v>#NAME?</v>
      </c>
      <c r="BM615" s="146" t="e">
        <v>#NAME?</v>
      </c>
      <c r="BN615" s="146" t="e">
        <v>#NAME?</v>
      </c>
      <c r="BO615" s="146" t="e">
        <v>#NAME?</v>
      </c>
      <c r="BP615" s="146" t="e">
        <v>#NAME?</v>
      </c>
      <c r="BQ615" s="146" t="e">
        <v>#NAME?</v>
      </c>
      <c r="BR615" s="146" t="e">
        <v>#NAME?</v>
      </c>
      <c r="BS615" s="146" t="e">
        <v>#NAME?</v>
      </c>
      <c r="BT615" s="146" t="e">
        <v>#NAME?</v>
      </c>
      <c r="BU615" s="146" t="e">
        <v>#NAME?</v>
      </c>
      <c r="BV615" s="146" t="e">
        <v>#NAME?</v>
      </c>
      <c r="BW615" s="146" t="e">
        <v>#NAME?</v>
      </c>
      <c r="BX615" s="146" t="e">
        <v>#NAME?</v>
      </c>
      <c r="BY615" s="146" t="e">
        <v>#NAME?</v>
      </c>
      <c r="BZ615" s="146" t="e">
        <v>#NAME?</v>
      </c>
      <c r="CA615" s="146" t="e">
        <v>#NAME?</v>
      </c>
      <c r="CB615" s="146" t="e">
        <v>#NAME?</v>
      </c>
      <c r="CC615" s="146" t="e">
        <v>#NAME?</v>
      </c>
      <c r="CD615" s="146" t="e">
        <v>#NAME?</v>
      </c>
      <c r="CF615" s="24" t="s">
        <v>336</v>
      </c>
      <c r="CG615" s="24" t="s">
        <v>336</v>
      </c>
      <c r="CH615" s="24">
        <v>136</v>
      </c>
      <c r="CI615" s="24">
        <v>119</v>
      </c>
      <c r="CJ615" s="24">
        <v>68</v>
      </c>
      <c r="CK615" s="24">
        <v>89</v>
      </c>
      <c r="CL615" s="24">
        <v>87</v>
      </c>
      <c r="CM615" s="24">
        <v>48</v>
      </c>
      <c r="CN615" s="24">
        <v>113</v>
      </c>
      <c r="CO615" s="24">
        <v>68</v>
      </c>
      <c r="CP615" s="24">
        <v>96</v>
      </c>
      <c r="CQ615" s="24">
        <v>101</v>
      </c>
      <c r="CR615" s="24">
        <v>99</v>
      </c>
      <c r="CS615" s="24">
        <v>110</v>
      </c>
      <c r="CT615" s="146" t="e">
        <v>#NAME?</v>
      </c>
      <c r="CU615" s="146" t="e">
        <v>#NAME?</v>
      </c>
      <c r="CV615" s="146" t="e">
        <v>#NAME?</v>
      </c>
      <c r="CW615" s="146" t="e">
        <v>#NAME?</v>
      </c>
      <c r="CX615" s="146" t="e">
        <v>#NAME?</v>
      </c>
    </row>
    <row r="616" spans="2:103" x14ac:dyDescent="0.25">
      <c r="B616" t="s">
        <v>411</v>
      </c>
      <c r="S616" s="24">
        <v>666</v>
      </c>
      <c r="T616" s="24">
        <v>915</v>
      </c>
      <c r="U616" s="24">
        <v>813</v>
      </c>
      <c r="V616" s="24">
        <v>794</v>
      </c>
      <c r="W616" s="24">
        <v>603</v>
      </c>
      <c r="X616" s="24">
        <v>802</v>
      </c>
      <c r="Y616" s="24">
        <v>840</v>
      </c>
      <c r="Z616" s="24">
        <v>710</v>
      </c>
      <c r="AA616" s="24">
        <v>597</v>
      </c>
      <c r="AB616" s="24">
        <v>777</v>
      </c>
      <c r="AC616" s="24">
        <v>901</v>
      </c>
      <c r="AD616" s="24">
        <v>789</v>
      </c>
      <c r="AE616" s="24">
        <v>709</v>
      </c>
      <c r="AF616" s="24">
        <v>969</v>
      </c>
      <c r="AG616" s="24">
        <v>1070</v>
      </c>
      <c r="AH616" s="24">
        <v>821</v>
      </c>
      <c r="AI616" s="24">
        <v>815</v>
      </c>
      <c r="AJ616" s="24">
        <v>907</v>
      </c>
      <c r="AK616" s="24">
        <v>1092</v>
      </c>
      <c r="AL616" s="24">
        <v>1052</v>
      </c>
      <c r="AM616" s="24">
        <v>915</v>
      </c>
      <c r="AN616" s="24">
        <v>1024</v>
      </c>
      <c r="AO616" s="24">
        <v>1204</v>
      </c>
      <c r="AP616" s="24">
        <v>1052</v>
      </c>
      <c r="AQ616" s="24">
        <v>1040</v>
      </c>
      <c r="AR616" s="24">
        <v>1083</v>
      </c>
      <c r="AS616" s="24">
        <v>1423</v>
      </c>
      <c r="AT616" s="24">
        <v>1341</v>
      </c>
      <c r="AU616" s="24">
        <v>1093</v>
      </c>
      <c r="AV616" s="24">
        <v>1119</v>
      </c>
      <c r="AW616" s="24">
        <v>1443</v>
      </c>
      <c r="AX616" s="24">
        <v>1388</v>
      </c>
      <c r="AY616" s="24">
        <v>1215</v>
      </c>
      <c r="AZ616" s="24">
        <v>1034</v>
      </c>
      <c r="BA616" s="24">
        <v>1243</v>
      </c>
      <c r="BB616" s="24">
        <v>1285</v>
      </c>
      <c r="BC616" s="24">
        <v>1145</v>
      </c>
      <c r="BD616" s="24">
        <v>1138</v>
      </c>
      <c r="BE616" s="24">
        <v>1299</v>
      </c>
      <c r="BF616" s="24">
        <v>1166</v>
      </c>
      <c r="BG616" s="24">
        <v>976</v>
      </c>
      <c r="BH616" s="146" t="e">
        <v>#NAME?</v>
      </c>
      <c r="BI616" s="146" t="e">
        <v>#NAME?</v>
      </c>
      <c r="BJ616" s="146" t="e">
        <v>#NAME?</v>
      </c>
      <c r="BK616" s="146" t="e">
        <v>#NAME?</v>
      </c>
      <c r="BL616" s="146" t="e">
        <v>#NAME?</v>
      </c>
      <c r="BM616" s="146" t="e">
        <v>#NAME?</v>
      </c>
      <c r="BN616" s="146" t="e">
        <v>#NAME?</v>
      </c>
      <c r="BO616" s="146" t="e">
        <v>#NAME?</v>
      </c>
      <c r="BP616" s="146" t="e">
        <v>#NAME?</v>
      </c>
      <c r="BQ616" s="146" t="e">
        <v>#NAME?</v>
      </c>
      <c r="BR616" s="146" t="e">
        <v>#NAME?</v>
      </c>
      <c r="BS616" s="146" t="e">
        <v>#NAME?</v>
      </c>
      <c r="BT616" s="146" t="e">
        <v>#NAME?</v>
      </c>
      <c r="BU616" s="146" t="e">
        <v>#NAME?</v>
      </c>
      <c r="BV616" s="146" t="e">
        <v>#NAME?</v>
      </c>
      <c r="BW616" s="146" t="e">
        <v>#NAME?</v>
      </c>
      <c r="BX616" s="146" t="e">
        <v>#NAME?</v>
      </c>
      <c r="BY616" s="146" t="e">
        <v>#NAME?</v>
      </c>
      <c r="BZ616" s="146" t="e">
        <v>#NAME?</v>
      </c>
      <c r="CA616" s="146" t="e">
        <v>#NAME?</v>
      </c>
      <c r="CB616" s="146" t="e">
        <v>#NAME?</v>
      </c>
      <c r="CC616" s="146" t="e">
        <v>#NAME?</v>
      </c>
      <c r="CD616" s="146" t="e">
        <v>#NAME?</v>
      </c>
      <c r="CF616" s="24" t="s">
        <v>336</v>
      </c>
      <c r="CG616" s="24" t="s">
        <v>336</v>
      </c>
      <c r="CH616" s="24">
        <v>737</v>
      </c>
      <c r="CI616" s="24">
        <v>781</v>
      </c>
      <c r="CJ616" s="24">
        <v>794</v>
      </c>
      <c r="CK616" s="24">
        <v>710</v>
      </c>
      <c r="CL616" s="24">
        <v>789</v>
      </c>
      <c r="CM616" s="24">
        <v>821</v>
      </c>
      <c r="CN616" s="24">
        <v>1052</v>
      </c>
      <c r="CO616" s="24">
        <v>1052</v>
      </c>
      <c r="CP616" s="24">
        <v>1341</v>
      </c>
      <c r="CQ616" s="24">
        <v>1388</v>
      </c>
      <c r="CR616" s="24">
        <v>1285</v>
      </c>
      <c r="CS616" s="24">
        <v>1166</v>
      </c>
      <c r="CT616" s="146" t="e">
        <v>#NAME?</v>
      </c>
      <c r="CU616" s="146" t="e">
        <v>#NAME?</v>
      </c>
      <c r="CV616" s="146" t="e">
        <v>#NAME?</v>
      </c>
      <c r="CW616" s="146" t="e">
        <v>#NAME?</v>
      </c>
      <c r="CX616" s="146" t="e">
        <v>#NAME?</v>
      </c>
    </row>
    <row r="617" spans="2:103" x14ac:dyDescent="0.25">
      <c r="B617" t="s">
        <v>412</v>
      </c>
      <c r="S617" s="24">
        <v>1051</v>
      </c>
      <c r="T617" s="24">
        <v>1281</v>
      </c>
      <c r="U617" s="24">
        <v>2179</v>
      </c>
      <c r="V617" s="24">
        <v>1885</v>
      </c>
      <c r="W617" s="24">
        <v>1383</v>
      </c>
      <c r="X617" s="24">
        <v>1535</v>
      </c>
      <c r="Y617" s="24">
        <v>2177</v>
      </c>
      <c r="Z617" s="24">
        <v>1619</v>
      </c>
      <c r="AA617" s="24">
        <v>1009</v>
      </c>
      <c r="AB617" s="24">
        <v>1067</v>
      </c>
      <c r="AC617" s="24">
        <v>1971</v>
      </c>
      <c r="AD617" s="24">
        <v>1539</v>
      </c>
      <c r="AE617" s="24">
        <v>882</v>
      </c>
      <c r="AF617" s="24">
        <v>1116</v>
      </c>
      <c r="AG617" s="24">
        <v>1946</v>
      </c>
      <c r="AH617" s="24">
        <v>1622</v>
      </c>
      <c r="AI617" s="24">
        <v>602</v>
      </c>
      <c r="AJ617" s="24">
        <v>574</v>
      </c>
      <c r="AK617" s="24">
        <v>928</v>
      </c>
      <c r="AL617" s="24">
        <v>1100</v>
      </c>
      <c r="AM617" s="24">
        <v>679</v>
      </c>
      <c r="AN617" s="24">
        <v>646</v>
      </c>
      <c r="AO617" s="24">
        <v>1073</v>
      </c>
      <c r="AP617" s="24">
        <v>1544</v>
      </c>
      <c r="AQ617" s="24">
        <v>1477</v>
      </c>
      <c r="AR617" s="24">
        <v>1238</v>
      </c>
      <c r="AS617" s="24">
        <v>1980</v>
      </c>
      <c r="AT617" s="24">
        <v>1527</v>
      </c>
      <c r="AU617" s="24">
        <v>1305</v>
      </c>
      <c r="AV617" s="24">
        <v>1322</v>
      </c>
      <c r="AW617" s="24">
        <v>2101</v>
      </c>
      <c r="AX617" s="24">
        <v>2024</v>
      </c>
      <c r="AY617" s="24">
        <v>1548</v>
      </c>
      <c r="AZ617" s="24">
        <v>1391</v>
      </c>
      <c r="BA617" s="24">
        <v>1808</v>
      </c>
      <c r="BB617" s="24">
        <v>1901</v>
      </c>
      <c r="BC617" s="24">
        <v>1580</v>
      </c>
      <c r="BD617" s="24">
        <v>1498</v>
      </c>
      <c r="BE617" s="24">
        <v>1919</v>
      </c>
      <c r="BF617" s="24">
        <v>1814</v>
      </c>
      <c r="BG617" s="24">
        <v>1412</v>
      </c>
      <c r="BH617" s="146" t="e">
        <v>#NAME?</v>
      </c>
      <c r="BI617" s="146" t="e">
        <v>#NAME?</v>
      </c>
      <c r="BJ617" s="146" t="e">
        <v>#NAME?</v>
      </c>
      <c r="BK617" s="146" t="e">
        <v>#NAME?</v>
      </c>
      <c r="BL617" s="146" t="e">
        <v>#NAME?</v>
      </c>
      <c r="BM617" s="146" t="e">
        <v>#NAME?</v>
      </c>
      <c r="BN617" s="146" t="e">
        <v>#NAME?</v>
      </c>
      <c r="BO617" s="146" t="e">
        <v>#NAME?</v>
      </c>
      <c r="BP617" s="146" t="e">
        <v>#NAME?</v>
      </c>
      <c r="BQ617" s="146" t="e">
        <v>#NAME?</v>
      </c>
      <c r="BR617" s="146" t="e">
        <v>#NAME?</v>
      </c>
      <c r="BS617" s="146" t="e">
        <v>#NAME?</v>
      </c>
      <c r="BT617" s="146" t="e">
        <v>#NAME?</v>
      </c>
      <c r="BU617" s="146" t="e">
        <v>#NAME?</v>
      </c>
      <c r="BV617" s="146" t="e">
        <v>#NAME?</v>
      </c>
      <c r="BW617" s="146" t="e">
        <v>#NAME?</v>
      </c>
      <c r="BX617" s="146" t="e">
        <v>#NAME?</v>
      </c>
      <c r="BY617" s="146" t="e">
        <v>#NAME?</v>
      </c>
      <c r="BZ617" s="146" t="e">
        <v>#NAME?</v>
      </c>
      <c r="CA617" s="146" t="e">
        <v>#NAME?</v>
      </c>
      <c r="CB617" s="146" t="e">
        <v>#NAME?</v>
      </c>
      <c r="CC617" s="146" t="e">
        <v>#NAME?</v>
      </c>
      <c r="CD617" s="146" t="e">
        <v>#NAME?</v>
      </c>
      <c r="CF617" s="24" t="s">
        <v>336</v>
      </c>
      <c r="CG617" s="24" t="s">
        <v>336</v>
      </c>
      <c r="CH617" s="24">
        <v>1044</v>
      </c>
      <c r="CI617" s="24">
        <v>1490</v>
      </c>
      <c r="CJ617" s="24">
        <v>1885</v>
      </c>
      <c r="CK617" s="24">
        <v>1619</v>
      </c>
      <c r="CL617" s="24">
        <v>1539</v>
      </c>
      <c r="CM617" s="24">
        <v>1622</v>
      </c>
      <c r="CN617" s="24">
        <v>1100</v>
      </c>
      <c r="CO617" s="24">
        <v>1544</v>
      </c>
      <c r="CP617" s="24">
        <v>1527</v>
      </c>
      <c r="CQ617" s="24">
        <v>2024</v>
      </c>
      <c r="CR617" s="24">
        <v>1901</v>
      </c>
      <c r="CS617" s="24">
        <v>1814</v>
      </c>
      <c r="CT617" s="146" t="e">
        <v>#NAME?</v>
      </c>
      <c r="CU617" s="146" t="e">
        <v>#NAME?</v>
      </c>
      <c r="CV617" s="146" t="e">
        <v>#NAME?</v>
      </c>
      <c r="CW617" s="146" t="e">
        <v>#NAME?</v>
      </c>
      <c r="CX617" s="146" t="e">
        <v>#NAME?</v>
      </c>
    </row>
    <row r="618" spans="2:103" s="10" customFormat="1" x14ac:dyDescent="0.25">
      <c r="B618" s="10" t="s">
        <v>321</v>
      </c>
      <c r="S618" s="57">
        <v>1786</v>
      </c>
      <c r="T618" s="57">
        <v>2387</v>
      </c>
      <c r="U618" s="57">
        <v>3069</v>
      </c>
      <c r="V618" s="57">
        <v>2747</v>
      </c>
      <c r="W618" s="57">
        <v>2029</v>
      </c>
      <c r="X618" s="57">
        <v>2525</v>
      </c>
      <c r="Y618" s="57">
        <v>3145</v>
      </c>
      <c r="Z618" s="57">
        <v>2418</v>
      </c>
      <c r="AA618" s="57">
        <v>1650</v>
      </c>
      <c r="AB618" s="57">
        <v>2050</v>
      </c>
      <c r="AC618" s="57">
        <v>2937</v>
      </c>
      <c r="AD618" s="57">
        <v>2415</v>
      </c>
      <c r="AE618" s="57">
        <v>1629</v>
      </c>
      <c r="AF618" s="57">
        <v>2272</v>
      </c>
      <c r="AG618" s="57">
        <v>3107</v>
      </c>
      <c r="AH618" s="57">
        <v>2491</v>
      </c>
      <c r="AI618" s="57">
        <v>1464</v>
      </c>
      <c r="AJ618" s="57">
        <v>1649</v>
      </c>
      <c r="AK618" s="57">
        <v>2090</v>
      </c>
      <c r="AL618" s="57">
        <v>2265</v>
      </c>
      <c r="AM618" s="57">
        <v>1650</v>
      </c>
      <c r="AN618" s="57">
        <v>1818</v>
      </c>
      <c r="AO618" s="57">
        <v>2338</v>
      </c>
      <c r="AP618" s="57">
        <v>2664</v>
      </c>
      <c r="AQ618" s="57">
        <v>2568</v>
      </c>
      <c r="AR618" s="57">
        <v>2485</v>
      </c>
      <c r="AS618" s="57">
        <v>3492</v>
      </c>
      <c r="AT618" s="57">
        <v>2964</v>
      </c>
      <c r="AU618" s="57">
        <v>2471</v>
      </c>
      <c r="AV618" s="57">
        <v>2577</v>
      </c>
      <c r="AW618" s="57">
        <v>3630</v>
      </c>
      <c r="AX618" s="57">
        <v>3513</v>
      </c>
      <c r="AY618" s="57">
        <v>2833</v>
      </c>
      <c r="AZ618" s="57">
        <v>2561</v>
      </c>
      <c r="BA618" s="57">
        <v>3113</v>
      </c>
      <c r="BB618" s="57">
        <v>3285</v>
      </c>
      <c r="BC618" s="57">
        <v>2800</v>
      </c>
      <c r="BD618" s="57">
        <v>2788</v>
      </c>
      <c r="BE618" s="57">
        <v>3280</v>
      </c>
      <c r="BF618" s="57">
        <v>3090</v>
      </c>
      <c r="BG618" s="57">
        <v>2468</v>
      </c>
      <c r="BH618" s="142" t="e">
        <v>#NAME?</v>
      </c>
      <c r="BI618" s="142" t="e">
        <v>#NAME?</v>
      </c>
      <c r="BJ618" s="142" t="e">
        <v>#NAME?</v>
      </c>
      <c r="BK618" s="142" t="e">
        <v>#NAME?</v>
      </c>
      <c r="BL618" s="142" t="e">
        <v>#NAME?</v>
      </c>
      <c r="BM618" s="142" t="e">
        <v>#NAME?</v>
      </c>
      <c r="BN618" s="142" t="e">
        <v>#NAME?</v>
      </c>
      <c r="BO618" s="142" t="e">
        <v>#NAME?</v>
      </c>
      <c r="BP618" s="142" t="e">
        <v>#NAME?</v>
      </c>
      <c r="BQ618" s="142" t="e">
        <v>#NAME?</v>
      </c>
      <c r="BR618" s="142" t="e">
        <v>#NAME?</v>
      </c>
      <c r="BS618" s="142" t="e">
        <v>#NAME?</v>
      </c>
      <c r="BT618" s="142" t="e">
        <v>#NAME?</v>
      </c>
      <c r="BU618" s="142" t="e">
        <v>#NAME?</v>
      </c>
      <c r="BV618" s="142" t="e">
        <v>#NAME?</v>
      </c>
      <c r="BW618" s="142" t="e">
        <v>#NAME?</v>
      </c>
      <c r="BX618" s="142" t="e">
        <v>#NAME?</v>
      </c>
      <c r="BY618" s="142" t="e">
        <v>#NAME?</v>
      </c>
      <c r="BZ618" s="142" t="e">
        <v>#NAME?</v>
      </c>
      <c r="CA618" s="142" t="e">
        <v>#NAME?</v>
      </c>
      <c r="CB618" s="142" t="e">
        <v>#NAME?</v>
      </c>
      <c r="CC618" s="142" t="e">
        <v>#NAME?</v>
      </c>
      <c r="CD618" s="142" t="e">
        <v>#NAME?</v>
      </c>
      <c r="CE618"/>
      <c r="CF618" s="57" t="s">
        <v>336</v>
      </c>
      <c r="CG618" s="57" t="s">
        <v>336</v>
      </c>
      <c r="CH618" s="57">
        <v>1917</v>
      </c>
      <c r="CI618" s="57">
        <v>2390</v>
      </c>
      <c r="CJ618" s="57">
        <v>2747</v>
      </c>
      <c r="CK618" s="57">
        <v>2418</v>
      </c>
      <c r="CL618" s="57">
        <v>2415</v>
      </c>
      <c r="CM618" s="57">
        <v>2491</v>
      </c>
      <c r="CN618" s="57">
        <v>2265</v>
      </c>
      <c r="CO618" s="57">
        <v>2664</v>
      </c>
      <c r="CP618" s="57">
        <v>2964</v>
      </c>
      <c r="CQ618" s="57">
        <v>3513</v>
      </c>
      <c r="CR618" s="57">
        <v>3285</v>
      </c>
      <c r="CS618" s="57">
        <v>3090</v>
      </c>
      <c r="CT618" s="142" t="e">
        <v>#NAME?</v>
      </c>
      <c r="CU618" s="142" t="e">
        <v>#NAME?</v>
      </c>
      <c r="CV618" s="142" t="e">
        <v>#NAME?</v>
      </c>
      <c r="CW618" s="142" t="e">
        <v>#NAME?</v>
      </c>
      <c r="CX618" s="142" t="e">
        <v>#NAME?</v>
      </c>
      <c r="CY618"/>
    </row>
    <row r="619" spans="2:103" s="10" customFormat="1" x14ac:dyDescent="0.25">
      <c r="S619" s="57"/>
      <c r="T619" s="57"/>
      <c r="U619" s="57"/>
      <c r="V619" s="57"/>
      <c r="W619" s="57"/>
      <c r="X619" s="57"/>
      <c r="Y619" s="57"/>
      <c r="Z619" s="57"/>
      <c r="AA619" s="57"/>
      <c r="AB619" s="57"/>
      <c r="AC619" s="57"/>
      <c r="AD619" s="57"/>
      <c r="AE619" s="57"/>
      <c r="AF619" s="57"/>
      <c r="AG619" s="57"/>
      <c r="AH619" s="57"/>
      <c r="AI619" s="57"/>
      <c r="AJ619" s="57"/>
      <c r="AK619" s="57"/>
      <c r="AL619" s="57"/>
      <c r="AM619" s="57"/>
      <c r="AN619" s="57"/>
      <c r="AO619" s="57"/>
      <c r="AP619" s="57"/>
      <c r="AQ619" s="57"/>
      <c r="AR619" s="57"/>
      <c r="AS619" s="57"/>
      <c r="AT619" s="57"/>
      <c r="AU619" s="57"/>
      <c r="AV619" s="57"/>
      <c r="AW619" s="57"/>
      <c r="AX619" s="57"/>
      <c r="AY619" s="57"/>
      <c r="AZ619" s="57"/>
      <c r="BA619" s="57"/>
      <c r="BB619" s="57"/>
      <c r="BC619" s="57"/>
      <c r="BD619" s="57"/>
      <c r="BE619" s="57"/>
      <c r="BF619" s="57"/>
      <c r="BG619" s="57"/>
      <c r="BH619" s="142"/>
      <c r="BI619" s="142"/>
      <c r="BJ619" s="142"/>
      <c r="BK619" s="142"/>
      <c r="BL619" s="142"/>
      <c r="BM619" s="142"/>
      <c r="BN619" s="142"/>
      <c r="BO619" s="142"/>
      <c r="BP619" s="142"/>
      <c r="BQ619" s="142"/>
      <c r="BR619" s="142"/>
      <c r="BS619" s="142"/>
      <c r="BT619" s="142"/>
      <c r="BU619" s="142"/>
      <c r="BV619" s="142"/>
      <c r="BW619" s="142"/>
      <c r="BX619" s="142"/>
      <c r="BY619" s="142"/>
      <c r="BZ619" s="142"/>
      <c r="CA619" s="142"/>
      <c r="CB619" s="142"/>
      <c r="CC619" s="142"/>
      <c r="CD619" s="142"/>
      <c r="CE619"/>
      <c r="CF619" s="57"/>
      <c r="CG619" s="57"/>
      <c r="CH619" s="57"/>
      <c r="CI619" s="57"/>
      <c r="CJ619" s="57"/>
      <c r="CK619" s="57"/>
      <c r="CL619" s="57"/>
      <c r="CM619" s="57"/>
      <c r="CN619" s="57"/>
      <c r="CO619" s="57"/>
      <c r="CP619" s="57"/>
      <c r="CQ619" s="57"/>
      <c r="CR619" s="57"/>
      <c r="CS619" s="57"/>
      <c r="CT619" s="142"/>
      <c r="CU619" s="142"/>
      <c r="CV619" s="142"/>
      <c r="CW619" s="142"/>
      <c r="CX619" s="142"/>
      <c r="CY619"/>
    </row>
    <row r="620" spans="2:103" x14ac:dyDescent="0.25">
      <c r="B620" s="103" t="s">
        <v>413</v>
      </c>
      <c r="C620" s="103"/>
      <c r="D620" s="103"/>
      <c r="E620" s="103"/>
      <c r="F620" s="103"/>
      <c r="G620" s="103"/>
      <c r="H620" s="103"/>
      <c r="I620" s="103"/>
      <c r="J620" s="103"/>
      <c r="K620" s="103"/>
      <c r="L620" s="103"/>
      <c r="M620" s="103"/>
      <c r="N620" s="103"/>
      <c r="O620" s="103"/>
      <c r="P620" s="103"/>
      <c r="Q620" s="103"/>
      <c r="R620" s="103"/>
      <c r="S620" s="24">
        <v>586</v>
      </c>
      <c r="T620" s="24">
        <v>591</v>
      </c>
      <c r="U620" s="24">
        <v>37</v>
      </c>
      <c r="V620" s="24">
        <v>31</v>
      </c>
      <c r="W620" s="24">
        <v>25</v>
      </c>
      <c r="X620" s="24">
        <v>13</v>
      </c>
      <c r="Y620" s="24">
        <v>7</v>
      </c>
      <c r="Z620" s="24">
        <v>989</v>
      </c>
      <c r="AA620" s="24">
        <v>989</v>
      </c>
      <c r="AB620" s="24">
        <v>990</v>
      </c>
      <c r="AC620" s="24">
        <v>990</v>
      </c>
      <c r="AD620" s="24">
        <v>990</v>
      </c>
      <c r="AE620" s="24">
        <v>991</v>
      </c>
      <c r="AF620" s="24">
        <v>991</v>
      </c>
      <c r="AG620" s="24">
        <v>992</v>
      </c>
      <c r="AH620" s="24">
        <v>992</v>
      </c>
      <c r="AI620" s="24">
        <v>993</v>
      </c>
      <c r="AJ620" s="24">
        <v>993</v>
      </c>
      <c r="AK620" s="24">
        <v>994</v>
      </c>
      <c r="AL620" s="24">
        <v>994</v>
      </c>
      <c r="AM620" s="24">
        <v>995</v>
      </c>
      <c r="AN620" s="24">
        <v>995</v>
      </c>
      <c r="AO620" s="24">
        <v>995</v>
      </c>
      <c r="AP620" s="24">
        <v>397</v>
      </c>
      <c r="AQ620" s="24">
        <v>397</v>
      </c>
      <c r="AR620" s="24">
        <v>397</v>
      </c>
      <c r="AS620" s="24">
        <v>397</v>
      </c>
      <c r="AT620" s="24">
        <v>1876</v>
      </c>
      <c r="AU620" s="24">
        <v>1877</v>
      </c>
      <c r="AV620" s="24">
        <v>1877</v>
      </c>
      <c r="AW620" s="24">
        <v>1878</v>
      </c>
      <c r="AX620" s="24">
        <v>1878</v>
      </c>
      <c r="AY620" s="24">
        <v>1878</v>
      </c>
      <c r="AZ620" s="24">
        <v>1879</v>
      </c>
      <c r="BA620" s="24">
        <v>1879</v>
      </c>
      <c r="BB620" s="24">
        <v>1880</v>
      </c>
      <c r="BC620" s="24">
        <v>1880</v>
      </c>
      <c r="BD620" s="24">
        <v>1881</v>
      </c>
      <c r="BE620" s="24">
        <v>1881</v>
      </c>
      <c r="BF620" s="24">
        <v>1882</v>
      </c>
      <c r="BG620" s="24">
        <v>1882</v>
      </c>
      <c r="BH620" s="146" t="e">
        <v>#NAME?</v>
      </c>
      <c r="BI620" s="146" t="e">
        <v>#NAME?</v>
      </c>
      <c r="BJ620" s="146" t="e">
        <v>#NAME?</v>
      </c>
      <c r="BK620" s="146" t="e">
        <v>#NAME?</v>
      </c>
      <c r="BL620" s="146" t="e">
        <v>#NAME?</v>
      </c>
      <c r="BM620" s="146" t="e">
        <v>#NAME?</v>
      </c>
      <c r="BN620" s="146" t="e">
        <v>#NAME?</v>
      </c>
      <c r="BO620" s="146" t="e">
        <v>#NAME?</v>
      </c>
      <c r="BP620" s="146" t="e">
        <v>#NAME?</v>
      </c>
      <c r="BQ620" s="146" t="e">
        <v>#NAME?</v>
      </c>
      <c r="BR620" s="146" t="e">
        <v>#NAME?</v>
      </c>
      <c r="BS620" s="146" t="e">
        <v>#NAME?</v>
      </c>
      <c r="BT620" s="146" t="e">
        <v>#NAME?</v>
      </c>
      <c r="BU620" s="146" t="e">
        <v>#NAME?</v>
      </c>
      <c r="BV620" s="146" t="e">
        <v>#NAME?</v>
      </c>
      <c r="BW620" s="146" t="e">
        <v>#NAME?</v>
      </c>
      <c r="BX620" s="146" t="e">
        <v>#NAME?</v>
      </c>
      <c r="BY620" s="146" t="e">
        <v>#NAME?</v>
      </c>
      <c r="BZ620" s="146" t="e">
        <v>#NAME?</v>
      </c>
      <c r="CA620" s="146" t="e">
        <v>#NAME?</v>
      </c>
      <c r="CB620" s="146" t="e">
        <v>#NAME?</v>
      </c>
      <c r="CC620" s="146" t="e">
        <v>#NAME?</v>
      </c>
      <c r="CD620" s="146" t="e">
        <v>#NAME?</v>
      </c>
      <c r="CF620" s="24" t="s">
        <v>336</v>
      </c>
      <c r="CG620" s="24" t="s">
        <v>336</v>
      </c>
      <c r="CH620" s="24">
        <v>559</v>
      </c>
      <c r="CI620" s="24">
        <v>580</v>
      </c>
      <c r="CJ620" s="24">
        <v>31</v>
      </c>
      <c r="CK620" s="24">
        <v>989</v>
      </c>
      <c r="CL620" s="24">
        <v>990</v>
      </c>
      <c r="CM620" s="24">
        <v>992</v>
      </c>
      <c r="CN620" s="24">
        <v>994</v>
      </c>
      <c r="CO620" s="24">
        <v>397</v>
      </c>
      <c r="CP620" s="24">
        <v>1876</v>
      </c>
      <c r="CQ620" s="24">
        <v>1878</v>
      </c>
      <c r="CR620" s="24">
        <v>1880</v>
      </c>
      <c r="CS620" s="24">
        <v>1882</v>
      </c>
      <c r="CT620" s="146" t="e">
        <v>#NAME?</v>
      </c>
      <c r="CU620" s="146" t="e">
        <v>#NAME?</v>
      </c>
      <c r="CV620" s="146" t="e">
        <v>#NAME?</v>
      </c>
      <c r="CW620" s="146" t="e">
        <v>#NAME?</v>
      </c>
      <c r="CX620" s="146" t="e">
        <v>#NAME?</v>
      </c>
    </row>
    <row r="621" spans="2:103" x14ac:dyDescent="0.25">
      <c r="B621" t="s">
        <v>414</v>
      </c>
      <c r="S621" s="24">
        <v>90</v>
      </c>
      <c r="T621" s="24">
        <v>89</v>
      </c>
      <c r="U621" s="24">
        <v>88</v>
      </c>
      <c r="V621" s="24">
        <v>70</v>
      </c>
      <c r="W621" s="24">
        <v>71</v>
      </c>
      <c r="X621" s="24">
        <v>66</v>
      </c>
      <c r="Y621" s="24">
        <v>63</v>
      </c>
      <c r="Z621" s="24">
        <v>80</v>
      </c>
      <c r="AA621" s="24">
        <v>88</v>
      </c>
      <c r="AB621" s="24">
        <v>86</v>
      </c>
      <c r="AC621" s="24">
        <v>87</v>
      </c>
      <c r="AD621" s="24">
        <v>104</v>
      </c>
      <c r="AE621" s="24">
        <v>114</v>
      </c>
      <c r="AF621" s="24">
        <v>122</v>
      </c>
      <c r="AG621" s="24">
        <v>194</v>
      </c>
      <c r="AH621" s="24">
        <v>250</v>
      </c>
      <c r="AI621" s="24">
        <v>276</v>
      </c>
      <c r="AJ621" s="24">
        <v>273</v>
      </c>
      <c r="AK621" s="24">
        <v>264</v>
      </c>
      <c r="AL621" s="24">
        <v>233</v>
      </c>
      <c r="AM621" s="24">
        <v>345</v>
      </c>
      <c r="AN621" s="24">
        <v>361</v>
      </c>
      <c r="AO621" s="24">
        <v>352</v>
      </c>
      <c r="AP621" s="24">
        <v>373</v>
      </c>
      <c r="AQ621" s="24">
        <v>312</v>
      </c>
      <c r="AR621" s="24">
        <v>301</v>
      </c>
      <c r="AS621" s="24">
        <v>296</v>
      </c>
      <c r="AT621" s="24">
        <v>315</v>
      </c>
      <c r="AU621" s="24">
        <v>321</v>
      </c>
      <c r="AV621" s="24">
        <v>318</v>
      </c>
      <c r="AW621" s="24">
        <v>326</v>
      </c>
      <c r="AX621" s="24">
        <v>386</v>
      </c>
      <c r="AY621" s="24">
        <v>438</v>
      </c>
      <c r="AZ621" s="24">
        <v>478</v>
      </c>
      <c r="BA621" s="24">
        <v>525</v>
      </c>
      <c r="BB621" s="24">
        <v>607</v>
      </c>
      <c r="BC621" s="24">
        <v>681</v>
      </c>
      <c r="BD621" s="24">
        <v>458</v>
      </c>
      <c r="BE621" s="24">
        <v>482</v>
      </c>
      <c r="BF621" s="24">
        <v>497</v>
      </c>
      <c r="BG621" s="24">
        <v>525</v>
      </c>
      <c r="BH621" s="146" t="e">
        <v>#NAME?</v>
      </c>
      <c r="BI621" s="146" t="e">
        <v>#NAME?</v>
      </c>
      <c r="BJ621" s="146" t="e">
        <v>#NAME?</v>
      </c>
      <c r="BK621" s="146" t="e">
        <v>#NAME?</v>
      </c>
      <c r="BL621" s="146" t="e">
        <v>#NAME?</v>
      </c>
      <c r="BM621" s="146" t="e">
        <v>#NAME?</v>
      </c>
      <c r="BN621" s="146" t="e">
        <v>#NAME?</v>
      </c>
      <c r="BO621" s="146" t="e">
        <v>#NAME?</v>
      </c>
      <c r="BP621" s="146" t="e">
        <v>#NAME?</v>
      </c>
      <c r="BQ621" s="146" t="e">
        <v>#NAME?</v>
      </c>
      <c r="BR621" s="146" t="e">
        <v>#NAME?</v>
      </c>
      <c r="BS621" s="146" t="e">
        <v>#NAME?</v>
      </c>
      <c r="BT621" s="146" t="e">
        <v>#NAME?</v>
      </c>
      <c r="BU621" s="146" t="e">
        <v>#NAME?</v>
      </c>
      <c r="BV621" s="146" t="e">
        <v>#NAME?</v>
      </c>
      <c r="BW621" s="146" t="e">
        <v>#NAME?</v>
      </c>
      <c r="BX621" s="146" t="e">
        <v>#NAME?</v>
      </c>
      <c r="BY621" s="146" t="e">
        <v>#NAME?</v>
      </c>
      <c r="BZ621" s="146" t="e">
        <v>#NAME?</v>
      </c>
      <c r="CA621" s="146" t="e">
        <v>#NAME?</v>
      </c>
      <c r="CB621" s="146" t="e">
        <v>#NAME?</v>
      </c>
      <c r="CC621" s="146" t="e">
        <v>#NAME?</v>
      </c>
      <c r="CD621" s="146" t="e">
        <v>#NAME?</v>
      </c>
      <c r="CF621" s="24" t="s">
        <v>336</v>
      </c>
      <c r="CG621" s="24" t="s">
        <v>336</v>
      </c>
      <c r="CH621" s="24">
        <v>205</v>
      </c>
      <c r="CI621" s="24">
        <v>189</v>
      </c>
      <c r="CJ621" s="24">
        <v>70</v>
      </c>
      <c r="CK621" s="24">
        <v>80</v>
      </c>
      <c r="CL621" s="24">
        <v>104</v>
      </c>
      <c r="CM621" s="24">
        <v>250</v>
      </c>
      <c r="CN621" s="24">
        <v>233</v>
      </c>
      <c r="CO621" s="24">
        <v>373</v>
      </c>
      <c r="CP621" s="24">
        <v>315</v>
      </c>
      <c r="CQ621" s="24">
        <v>386</v>
      </c>
      <c r="CR621" s="24">
        <v>607</v>
      </c>
      <c r="CS621" s="24">
        <v>497</v>
      </c>
      <c r="CT621" s="146" t="e">
        <v>#NAME?</v>
      </c>
      <c r="CU621" s="146" t="e">
        <v>#NAME?</v>
      </c>
      <c r="CV621" s="146" t="e">
        <v>#NAME?</v>
      </c>
      <c r="CW621" s="146" t="e">
        <v>#NAME?</v>
      </c>
      <c r="CX621" s="146" t="e">
        <v>#NAME?</v>
      </c>
    </row>
    <row r="622" spans="2:103" x14ac:dyDescent="0.25">
      <c r="B622" t="s">
        <v>415</v>
      </c>
      <c r="S622" s="24">
        <v>301</v>
      </c>
      <c r="T622" s="24">
        <v>294</v>
      </c>
      <c r="U622" s="24">
        <v>286</v>
      </c>
      <c r="V622" s="24">
        <v>263</v>
      </c>
      <c r="W622" s="24">
        <v>260</v>
      </c>
      <c r="X622" s="24">
        <v>250</v>
      </c>
      <c r="Y622" s="24">
        <v>243</v>
      </c>
      <c r="Z622" s="24">
        <v>165</v>
      </c>
      <c r="AA622" s="24">
        <v>162</v>
      </c>
      <c r="AB622" s="24">
        <v>158</v>
      </c>
      <c r="AC622" s="24">
        <v>156</v>
      </c>
      <c r="AD622" s="24">
        <v>149</v>
      </c>
      <c r="AE622" s="24">
        <v>155</v>
      </c>
      <c r="AF622" s="24">
        <v>149</v>
      </c>
      <c r="AG622" s="24">
        <v>263</v>
      </c>
      <c r="AH622" s="24">
        <v>256</v>
      </c>
      <c r="AI622" s="24">
        <v>254</v>
      </c>
      <c r="AJ622" s="24">
        <v>218</v>
      </c>
      <c r="AK622" s="24">
        <v>165</v>
      </c>
      <c r="AL622" s="24">
        <v>134</v>
      </c>
      <c r="AM622" s="24">
        <v>274</v>
      </c>
      <c r="AN622" s="24">
        <v>261</v>
      </c>
      <c r="AO622" s="24">
        <v>239</v>
      </c>
      <c r="AP622" s="24">
        <v>217</v>
      </c>
      <c r="AQ622" s="24">
        <v>225</v>
      </c>
      <c r="AR622" s="24">
        <v>212</v>
      </c>
      <c r="AS622" s="24">
        <v>272</v>
      </c>
      <c r="AT622" s="24">
        <v>293</v>
      </c>
      <c r="AU622" s="24">
        <v>337</v>
      </c>
      <c r="AV622" s="24">
        <v>391</v>
      </c>
      <c r="AW622" s="24">
        <v>479</v>
      </c>
      <c r="AX622" s="24">
        <v>398</v>
      </c>
      <c r="AY622" s="24">
        <v>402</v>
      </c>
      <c r="AZ622" s="24">
        <v>363</v>
      </c>
      <c r="BA622" s="24">
        <v>402</v>
      </c>
      <c r="BB622" s="24">
        <v>394</v>
      </c>
      <c r="BC622" s="24">
        <v>388</v>
      </c>
      <c r="BD622" s="24">
        <v>437</v>
      </c>
      <c r="BE622" s="24">
        <v>441</v>
      </c>
      <c r="BF622" s="24">
        <v>438</v>
      </c>
      <c r="BG622" s="24">
        <v>433</v>
      </c>
      <c r="BH622" s="146" t="e">
        <v>#NAME?</v>
      </c>
      <c r="BI622" s="146" t="e">
        <v>#NAME?</v>
      </c>
      <c r="BJ622" s="146" t="e">
        <v>#NAME?</v>
      </c>
      <c r="BK622" s="146" t="e">
        <v>#NAME?</v>
      </c>
      <c r="BL622" s="146" t="e">
        <v>#NAME?</v>
      </c>
      <c r="BM622" s="146" t="e">
        <v>#NAME?</v>
      </c>
      <c r="BN622" s="146" t="e">
        <v>#NAME?</v>
      </c>
      <c r="BO622" s="146" t="e">
        <v>#NAME?</v>
      </c>
      <c r="BP622" s="146" t="e">
        <v>#NAME?</v>
      </c>
      <c r="BQ622" s="146" t="e">
        <v>#NAME?</v>
      </c>
      <c r="BR622" s="146" t="e">
        <v>#NAME?</v>
      </c>
      <c r="BS622" s="146" t="e">
        <v>#NAME?</v>
      </c>
      <c r="BT622" s="146" t="e">
        <v>#NAME?</v>
      </c>
      <c r="BU622" s="146" t="e">
        <v>#NAME?</v>
      </c>
      <c r="BV622" s="146" t="e">
        <v>#NAME?</v>
      </c>
      <c r="BW622" s="146" t="e">
        <v>#NAME?</v>
      </c>
      <c r="BX622" s="146" t="e">
        <v>#NAME?</v>
      </c>
      <c r="BY622" s="146" t="e">
        <v>#NAME?</v>
      </c>
      <c r="BZ622" s="146" t="e">
        <v>#NAME?</v>
      </c>
      <c r="CA622" s="146" t="e">
        <v>#NAME?</v>
      </c>
      <c r="CB622" s="146" t="e">
        <v>#NAME?</v>
      </c>
      <c r="CC622" s="146" t="e">
        <v>#NAME?</v>
      </c>
      <c r="CD622" s="146" t="e">
        <v>#NAME?</v>
      </c>
      <c r="CF622" s="24" t="s">
        <v>336</v>
      </c>
      <c r="CG622" s="24" t="s">
        <v>336</v>
      </c>
      <c r="CH622" s="24">
        <v>122</v>
      </c>
      <c r="CI622" s="24">
        <v>135</v>
      </c>
      <c r="CJ622" s="24">
        <v>263</v>
      </c>
      <c r="CK622" s="24">
        <v>165</v>
      </c>
      <c r="CL622" s="24">
        <v>149</v>
      </c>
      <c r="CM622" s="24">
        <v>256</v>
      </c>
      <c r="CN622" s="24">
        <v>134</v>
      </c>
      <c r="CO622" s="24">
        <v>217</v>
      </c>
      <c r="CP622" s="24">
        <v>293</v>
      </c>
      <c r="CQ622" s="24">
        <v>398</v>
      </c>
      <c r="CR622" s="24">
        <v>394</v>
      </c>
      <c r="CS622" s="24">
        <v>438</v>
      </c>
      <c r="CT622" s="146" t="e">
        <v>#NAME?</v>
      </c>
      <c r="CU622" s="146" t="e">
        <v>#NAME?</v>
      </c>
      <c r="CV622" s="146" t="e">
        <v>#NAME?</v>
      </c>
      <c r="CW622" s="146" t="e">
        <v>#NAME?</v>
      </c>
      <c r="CX622" s="146" t="e">
        <v>#NAME?</v>
      </c>
    </row>
    <row r="623" spans="2:103" s="10" customFormat="1" x14ac:dyDescent="0.25">
      <c r="B623" s="10" t="s">
        <v>416</v>
      </c>
      <c r="S623" s="57">
        <v>977</v>
      </c>
      <c r="T623" s="57">
        <v>974</v>
      </c>
      <c r="U623" s="57">
        <v>374</v>
      </c>
      <c r="V623" s="57">
        <v>333</v>
      </c>
      <c r="W623" s="57">
        <v>331</v>
      </c>
      <c r="X623" s="57">
        <v>316</v>
      </c>
      <c r="Y623" s="57">
        <v>306</v>
      </c>
      <c r="Z623" s="57">
        <v>1234</v>
      </c>
      <c r="AA623" s="57">
        <v>1239</v>
      </c>
      <c r="AB623" s="57">
        <v>1234</v>
      </c>
      <c r="AC623" s="57">
        <v>1233</v>
      </c>
      <c r="AD623" s="57">
        <v>1243</v>
      </c>
      <c r="AE623" s="57">
        <v>1260</v>
      </c>
      <c r="AF623" s="57">
        <v>1262</v>
      </c>
      <c r="AG623" s="57">
        <v>1449</v>
      </c>
      <c r="AH623" s="57">
        <v>1498</v>
      </c>
      <c r="AI623" s="57">
        <v>1523</v>
      </c>
      <c r="AJ623" s="57">
        <v>1484</v>
      </c>
      <c r="AK623" s="57">
        <v>1423</v>
      </c>
      <c r="AL623" s="57">
        <v>1361</v>
      </c>
      <c r="AM623" s="57">
        <v>1614</v>
      </c>
      <c r="AN623" s="57">
        <v>1617</v>
      </c>
      <c r="AO623" s="57">
        <v>1586</v>
      </c>
      <c r="AP623" s="57">
        <v>987</v>
      </c>
      <c r="AQ623" s="57">
        <v>934</v>
      </c>
      <c r="AR623" s="57">
        <v>910</v>
      </c>
      <c r="AS623" s="57">
        <v>965</v>
      </c>
      <c r="AT623" s="57">
        <v>2484</v>
      </c>
      <c r="AU623" s="57">
        <v>2535</v>
      </c>
      <c r="AV623" s="57">
        <v>2586</v>
      </c>
      <c r="AW623" s="57">
        <v>2683</v>
      </c>
      <c r="AX623" s="57">
        <v>2662</v>
      </c>
      <c r="AY623" s="57">
        <v>2718</v>
      </c>
      <c r="AZ623" s="57">
        <v>2720</v>
      </c>
      <c r="BA623" s="57">
        <v>2806</v>
      </c>
      <c r="BB623" s="57">
        <v>2881</v>
      </c>
      <c r="BC623" s="57">
        <v>2949</v>
      </c>
      <c r="BD623" s="57">
        <v>2776</v>
      </c>
      <c r="BE623" s="57">
        <v>2804</v>
      </c>
      <c r="BF623" s="57">
        <v>2817</v>
      </c>
      <c r="BG623" s="57">
        <v>2840</v>
      </c>
      <c r="BH623" s="142" t="e">
        <v>#NAME?</v>
      </c>
      <c r="BI623" s="142" t="e">
        <v>#NAME?</v>
      </c>
      <c r="BJ623" s="142" t="e">
        <v>#NAME?</v>
      </c>
      <c r="BK623" s="142" t="e">
        <v>#NAME?</v>
      </c>
      <c r="BL623" s="142" t="e">
        <v>#NAME?</v>
      </c>
      <c r="BM623" s="142" t="e">
        <v>#NAME?</v>
      </c>
      <c r="BN623" s="142" t="e">
        <v>#NAME?</v>
      </c>
      <c r="BO623" s="142" t="e">
        <v>#NAME?</v>
      </c>
      <c r="BP623" s="142" t="e">
        <v>#NAME?</v>
      </c>
      <c r="BQ623" s="142" t="e">
        <v>#NAME?</v>
      </c>
      <c r="BR623" s="142" t="e">
        <v>#NAME?</v>
      </c>
      <c r="BS623" s="142" t="e">
        <v>#NAME?</v>
      </c>
      <c r="BT623" s="142" t="e">
        <v>#NAME?</v>
      </c>
      <c r="BU623" s="142" t="e">
        <v>#NAME?</v>
      </c>
      <c r="BV623" s="142" t="e">
        <v>#NAME?</v>
      </c>
      <c r="BW623" s="142" t="e">
        <v>#NAME?</v>
      </c>
      <c r="BX623" s="142" t="e">
        <v>#NAME?</v>
      </c>
      <c r="BY623" s="142" t="e">
        <v>#NAME?</v>
      </c>
      <c r="BZ623" s="142" t="e">
        <v>#NAME?</v>
      </c>
      <c r="CA623" s="142" t="e">
        <v>#NAME?</v>
      </c>
      <c r="CB623" s="142" t="e">
        <v>#NAME?</v>
      </c>
      <c r="CC623" s="142" t="e">
        <v>#NAME?</v>
      </c>
      <c r="CD623" s="142" t="e">
        <v>#NAME?</v>
      </c>
      <c r="CE623"/>
      <c r="CF623" s="57" t="s">
        <v>336</v>
      </c>
      <c r="CG623" s="57" t="s">
        <v>336</v>
      </c>
      <c r="CH623" s="57">
        <v>886</v>
      </c>
      <c r="CI623" s="57">
        <v>904</v>
      </c>
      <c r="CJ623" s="57">
        <v>333</v>
      </c>
      <c r="CK623" s="57">
        <v>1234</v>
      </c>
      <c r="CL623" s="57">
        <v>1243</v>
      </c>
      <c r="CM623" s="57">
        <v>1498</v>
      </c>
      <c r="CN623" s="57">
        <v>1361</v>
      </c>
      <c r="CO623" s="57">
        <v>987</v>
      </c>
      <c r="CP623" s="57">
        <v>2484</v>
      </c>
      <c r="CQ623" s="57">
        <v>2662</v>
      </c>
      <c r="CR623" s="57">
        <v>2881</v>
      </c>
      <c r="CS623" s="57">
        <v>2817</v>
      </c>
      <c r="CT623" s="142" t="e">
        <v>#NAME?</v>
      </c>
      <c r="CU623" s="142" t="e">
        <v>#NAME?</v>
      </c>
      <c r="CV623" s="142" t="e">
        <v>#NAME?</v>
      </c>
      <c r="CW623" s="142" t="e">
        <v>#NAME?</v>
      </c>
      <c r="CX623" s="142" t="e">
        <v>#NAME?</v>
      </c>
      <c r="CY623"/>
    </row>
    <row r="624" spans="2:103" s="10" customFormat="1" x14ac:dyDescent="0.25">
      <c r="B624" s="10" t="s">
        <v>322</v>
      </c>
      <c r="S624" s="57">
        <v>2763</v>
      </c>
      <c r="T624" s="57">
        <v>3361</v>
      </c>
      <c r="U624" s="57">
        <v>3443</v>
      </c>
      <c r="V624" s="57">
        <v>3080</v>
      </c>
      <c r="W624" s="57">
        <v>2360</v>
      </c>
      <c r="X624" s="57">
        <v>2854</v>
      </c>
      <c r="Y624" s="57">
        <v>3458</v>
      </c>
      <c r="Z624" s="57">
        <v>3652</v>
      </c>
      <c r="AA624" s="57">
        <v>2889</v>
      </c>
      <c r="AB624" s="57">
        <v>3284</v>
      </c>
      <c r="AC624" s="57">
        <v>4170</v>
      </c>
      <c r="AD624" s="57">
        <v>3658</v>
      </c>
      <c r="AE624" s="57">
        <v>2889</v>
      </c>
      <c r="AF624" s="57">
        <v>3534</v>
      </c>
      <c r="AG624" s="57">
        <v>4556</v>
      </c>
      <c r="AH624" s="57">
        <v>3989</v>
      </c>
      <c r="AI624" s="57">
        <v>2987</v>
      </c>
      <c r="AJ624" s="57">
        <v>3133</v>
      </c>
      <c r="AK624" s="57">
        <v>3513</v>
      </c>
      <c r="AL624" s="57">
        <v>3626</v>
      </c>
      <c r="AM624" s="57">
        <v>3264</v>
      </c>
      <c r="AN624" s="57">
        <v>3435</v>
      </c>
      <c r="AO624" s="57">
        <v>3924</v>
      </c>
      <c r="AP624" s="57">
        <v>3651</v>
      </c>
      <c r="AQ624" s="57">
        <v>3502</v>
      </c>
      <c r="AR624" s="57">
        <v>3395</v>
      </c>
      <c r="AS624" s="57">
        <v>4457</v>
      </c>
      <c r="AT624" s="57">
        <v>5448</v>
      </c>
      <c r="AU624" s="57">
        <v>5006</v>
      </c>
      <c r="AV624" s="57">
        <v>5163</v>
      </c>
      <c r="AW624" s="57">
        <v>6313</v>
      </c>
      <c r="AX624" s="57">
        <v>6175</v>
      </c>
      <c r="AY624" s="57">
        <v>5551</v>
      </c>
      <c r="AZ624" s="57">
        <v>5281</v>
      </c>
      <c r="BA624" s="57">
        <v>5919</v>
      </c>
      <c r="BB624" s="57">
        <v>6166</v>
      </c>
      <c r="BC624" s="57">
        <v>5749</v>
      </c>
      <c r="BD624" s="57">
        <v>5564</v>
      </c>
      <c r="BE624" s="57">
        <v>6084</v>
      </c>
      <c r="BF624" s="57">
        <v>5907</v>
      </c>
      <c r="BG624" s="57">
        <v>5308</v>
      </c>
      <c r="BH624" s="142" t="e">
        <v>#NAME?</v>
      </c>
      <c r="BI624" s="142" t="e">
        <v>#NAME?</v>
      </c>
      <c r="BJ624" s="142" t="e">
        <v>#NAME?</v>
      </c>
      <c r="BK624" s="142" t="e">
        <v>#NAME?</v>
      </c>
      <c r="BL624" s="142" t="e">
        <v>#NAME?</v>
      </c>
      <c r="BM624" s="142" t="e">
        <v>#NAME?</v>
      </c>
      <c r="BN624" s="142" t="e">
        <v>#NAME?</v>
      </c>
      <c r="BO624" s="142" t="e">
        <v>#NAME?</v>
      </c>
      <c r="BP624" s="142" t="e">
        <v>#NAME?</v>
      </c>
      <c r="BQ624" s="142" t="e">
        <v>#NAME?</v>
      </c>
      <c r="BR624" s="142" t="e">
        <v>#NAME?</v>
      </c>
      <c r="BS624" s="142" t="e">
        <v>#NAME?</v>
      </c>
      <c r="BT624" s="142" t="e">
        <v>#NAME?</v>
      </c>
      <c r="BU624" s="142" t="e">
        <v>#NAME?</v>
      </c>
      <c r="BV624" s="142" t="e">
        <v>#NAME?</v>
      </c>
      <c r="BW624" s="142" t="e">
        <v>#NAME?</v>
      </c>
      <c r="BX624" s="142" t="e">
        <v>#NAME?</v>
      </c>
      <c r="BY624" s="142" t="e">
        <v>#NAME?</v>
      </c>
      <c r="BZ624" s="142" t="e">
        <v>#NAME?</v>
      </c>
      <c r="CA624" s="142" t="e">
        <v>#NAME?</v>
      </c>
      <c r="CB624" s="142" t="e">
        <v>#NAME?</v>
      </c>
      <c r="CC624" s="142" t="e">
        <v>#NAME?</v>
      </c>
      <c r="CD624" s="142" t="e">
        <v>#NAME?</v>
      </c>
      <c r="CE624"/>
      <c r="CF624" s="57" t="s">
        <v>336</v>
      </c>
      <c r="CG624" s="57" t="s">
        <v>336</v>
      </c>
      <c r="CH624" s="57">
        <v>2803</v>
      </c>
      <c r="CI624" s="57">
        <v>3294</v>
      </c>
      <c r="CJ624" s="57">
        <v>3080</v>
      </c>
      <c r="CK624" s="57">
        <v>3654</v>
      </c>
      <c r="CL624" s="57">
        <v>3658</v>
      </c>
      <c r="CM624" s="57">
        <v>3989</v>
      </c>
      <c r="CN624" s="57">
        <v>3626</v>
      </c>
      <c r="CO624" s="57">
        <v>3651</v>
      </c>
      <c r="CP624" s="57">
        <v>5448</v>
      </c>
      <c r="CQ624" s="57">
        <v>6175</v>
      </c>
      <c r="CR624" s="57">
        <v>6166</v>
      </c>
      <c r="CS624" s="57">
        <v>5907</v>
      </c>
      <c r="CT624" s="142" t="e">
        <v>#NAME?</v>
      </c>
      <c r="CU624" s="142" t="e">
        <v>#NAME?</v>
      </c>
      <c r="CV624" s="142" t="e">
        <v>#NAME?</v>
      </c>
      <c r="CW624" s="142" t="e">
        <v>#NAME?</v>
      </c>
      <c r="CX624" s="142" t="e">
        <v>#NAME?</v>
      </c>
      <c r="CY624"/>
    </row>
    <row r="625" spans="1:103" s="10" customFormat="1" x14ac:dyDescent="0.25">
      <c r="S625" s="57"/>
      <c r="T625" s="57"/>
      <c r="U625" s="57"/>
      <c r="V625" s="57"/>
      <c r="W625" s="57"/>
      <c r="X625" s="57"/>
      <c r="Y625" s="57"/>
      <c r="Z625" s="57"/>
      <c r="AA625" s="57"/>
      <c r="AB625" s="57"/>
      <c r="AC625" s="57"/>
      <c r="AD625" s="57"/>
      <c r="AE625" s="57"/>
      <c r="AF625" s="57"/>
      <c r="AG625" s="57"/>
      <c r="AH625" s="57"/>
      <c r="AI625" s="57"/>
      <c r="AJ625" s="57"/>
      <c r="AK625" s="57"/>
      <c r="AL625" s="57"/>
      <c r="AM625" s="57"/>
      <c r="AN625" s="57"/>
      <c r="AO625" s="57"/>
      <c r="AP625" s="57"/>
      <c r="AQ625" s="57"/>
      <c r="AR625" s="57"/>
      <c r="AS625" s="57"/>
      <c r="AT625" s="57"/>
      <c r="AU625" s="57"/>
      <c r="AV625" s="57"/>
      <c r="AW625" s="57"/>
      <c r="AX625" s="57"/>
      <c r="AY625" s="57"/>
      <c r="AZ625" s="57"/>
      <c r="BA625" s="57"/>
      <c r="BB625" s="57"/>
      <c r="BC625" s="57"/>
      <c r="BD625" s="57"/>
      <c r="BE625" s="57"/>
      <c r="BF625" s="57"/>
      <c r="BG625" s="57"/>
      <c r="BH625" s="142"/>
      <c r="BI625" s="142"/>
      <c r="BJ625" s="142"/>
      <c r="BK625" s="142"/>
      <c r="BL625" s="142"/>
      <c r="BM625" s="142"/>
      <c r="BN625" s="142"/>
      <c r="BO625" s="142"/>
      <c r="BP625" s="142"/>
      <c r="BQ625" s="142"/>
      <c r="BR625" s="142"/>
      <c r="BS625" s="142"/>
      <c r="BT625" s="142"/>
      <c r="BU625" s="142"/>
      <c r="BV625" s="142"/>
      <c r="BW625" s="142"/>
      <c r="BX625" s="142"/>
      <c r="BY625" s="142"/>
      <c r="BZ625" s="142"/>
      <c r="CA625" s="142"/>
      <c r="CB625" s="142"/>
      <c r="CC625" s="142"/>
      <c r="CD625" s="142"/>
      <c r="CE625"/>
      <c r="CF625" s="57"/>
      <c r="CG625" s="57"/>
      <c r="CH625" s="57"/>
      <c r="CI625" s="57"/>
      <c r="CJ625" s="57"/>
      <c r="CK625" s="57"/>
      <c r="CL625" s="57"/>
      <c r="CM625" s="57"/>
      <c r="CN625" s="57"/>
      <c r="CO625" s="57"/>
      <c r="CP625" s="57"/>
      <c r="CQ625" s="57"/>
      <c r="CR625" s="57"/>
      <c r="CS625" s="57"/>
      <c r="CT625" s="142"/>
      <c r="CU625" s="142"/>
      <c r="CV625" s="142"/>
      <c r="CW625" s="142"/>
      <c r="CX625" s="142"/>
      <c r="CY625"/>
    </row>
    <row r="626" spans="1:103" x14ac:dyDescent="0.25">
      <c r="B626" t="s">
        <v>417</v>
      </c>
      <c r="S626" s="24">
        <v>3</v>
      </c>
      <c r="T626" s="24">
        <v>3</v>
      </c>
      <c r="U626" s="24">
        <v>3</v>
      </c>
      <c r="V626" s="24">
        <v>3</v>
      </c>
      <c r="W626" s="24">
        <v>3</v>
      </c>
      <c r="X626" s="24">
        <v>3</v>
      </c>
      <c r="Y626" s="24">
        <v>3</v>
      </c>
      <c r="Z626" s="24">
        <v>3</v>
      </c>
      <c r="AA626" s="24">
        <v>3</v>
      </c>
      <c r="AB626" s="24">
        <v>3</v>
      </c>
      <c r="AC626" s="24">
        <v>3</v>
      </c>
      <c r="AD626" s="24">
        <v>3</v>
      </c>
      <c r="AE626" s="24">
        <v>3</v>
      </c>
      <c r="AF626" s="24">
        <v>3</v>
      </c>
      <c r="AG626" s="24">
        <v>3</v>
      </c>
      <c r="AH626" s="24">
        <v>3</v>
      </c>
      <c r="AI626" s="24">
        <v>3</v>
      </c>
      <c r="AJ626" s="24">
        <v>3</v>
      </c>
      <c r="AK626" s="24">
        <v>3</v>
      </c>
      <c r="AL626" s="24">
        <v>3</v>
      </c>
      <c r="AM626" s="24">
        <v>3</v>
      </c>
      <c r="AN626" s="24">
        <v>3</v>
      </c>
      <c r="AO626" s="24">
        <v>3</v>
      </c>
      <c r="AP626" s="24">
        <v>3</v>
      </c>
      <c r="AQ626" s="24">
        <v>3</v>
      </c>
      <c r="AR626" s="24">
        <v>3</v>
      </c>
      <c r="AS626" s="24">
        <v>3</v>
      </c>
      <c r="AT626" s="24">
        <v>3</v>
      </c>
      <c r="AU626" s="24">
        <v>3</v>
      </c>
      <c r="AV626" s="24">
        <v>3</v>
      </c>
      <c r="AW626" s="24">
        <v>3</v>
      </c>
      <c r="AX626" s="24">
        <v>3</v>
      </c>
      <c r="AY626" s="24">
        <v>3</v>
      </c>
      <c r="AZ626" s="24">
        <v>3</v>
      </c>
      <c r="BA626" s="24">
        <v>3</v>
      </c>
      <c r="BB626" s="24">
        <v>3</v>
      </c>
      <c r="BC626" s="24">
        <v>3</v>
      </c>
      <c r="BD626" s="24">
        <v>3</v>
      </c>
      <c r="BE626" s="24">
        <v>3</v>
      </c>
      <c r="BF626" s="24">
        <v>3</v>
      </c>
      <c r="BG626" s="24">
        <v>3</v>
      </c>
      <c r="BH626" s="146" t="e">
        <v>#NAME?</v>
      </c>
      <c r="BI626" s="146" t="e">
        <v>#NAME?</v>
      </c>
      <c r="BJ626" s="146" t="e">
        <v>#NAME?</v>
      </c>
      <c r="BK626" s="146" t="e">
        <v>#NAME?</v>
      </c>
      <c r="BL626" s="146" t="e">
        <v>#NAME?</v>
      </c>
      <c r="BM626" s="146" t="e">
        <v>#NAME?</v>
      </c>
      <c r="BN626" s="146" t="e">
        <v>#NAME?</v>
      </c>
      <c r="BO626" s="146" t="e">
        <v>#NAME?</v>
      </c>
      <c r="BP626" s="146" t="e">
        <v>#NAME?</v>
      </c>
      <c r="BQ626" s="146" t="e">
        <v>#NAME?</v>
      </c>
      <c r="BR626" s="146" t="e">
        <v>#NAME?</v>
      </c>
      <c r="BS626" s="146" t="e">
        <v>#NAME?</v>
      </c>
      <c r="BT626" s="146" t="e">
        <v>#NAME?</v>
      </c>
      <c r="BU626" s="146" t="e">
        <v>#NAME?</v>
      </c>
      <c r="BV626" s="146" t="e">
        <v>#NAME?</v>
      </c>
      <c r="BW626" s="146" t="e">
        <v>#NAME?</v>
      </c>
      <c r="BX626" s="146" t="e">
        <v>#NAME?</v>
      </c>
      <c r="BY626" s="146" t="e">
        <v>#NAME?</v>
      </c>
      <c r="BZ626" s="146" t="e">
        <v>#NAME?</v>
      </c>
      <c r="CA626" s="146" t="e">
        <v>#NAME?</v>
      </c>
      <c r="CB626" s="146" t="e">
        <v>#NAME?</v>
      </c>
      <c r="CC626" s="146" t="e">
        <v>#NAME?</v>
      </c>
      <c r="CD626" s="146" t="e">
        <v>#NAME?</v>
      </c>
      <c r="CF626" s="24" t="s">
        <v>336</v>
      </c>
      <c r="CG626" s="24" t="s">
        <v>336</v>
      </c>
      <c r="CH626" s="24">
        <v>3</v>
      </c>
      <c r="CI626" s="24">
        <v>3</v>
      </c>
      <c r="CJ626" s="24">
        <v>3</v>
      </c>
      <c r="CK626" s="24">
        <v>3</v>
      </c>
      <c r="CL626" s="24">
        <v>3</v>
      </c>
      <c r="CM626" s="24">
        <v>3</v>
      </c>
      <c r="CN626" s="24">
        <v>3</v>
      </c>
      <c r="CO626" s="24">
        <v>3</v>
      </c>
      <c r="CP626" s="24">
        <v>3</v>
      </c>
      <c r="CQ626" s="24">
        <v>3</v>
      </c>
      <c r="CR626" s="24">
        <v>3</v>
      </c>
      <c r="CS626" s="24">
        <v>3</v>
      </c>
      <c r="CT626" s="146" t="e">
        <v>#NAME?</v>
      </c>
      <c r="CU626" s="146" t="e">
        <v>#NAME?</v>
      </c>
      <c r="CV626" s="146" t="e">
        <v>#NAME?</v>
      </c>
      <c r="CW626" s="146" t="e">
        <v>#NAME?</v>
      </c>
      <c r="CX626" s="146" t="e">
        <v>#NAME?</v>
      </c>
    </row>
    <row r="627" spans="1:103" x14ac:dyDescent="0.25">
      <c r="B627" t="s">
        <v>418</v>
      </c>
      <c r="S627" s="24">
        <v>364</v>
      </c>
      <c r="T627" s="24">
        <v>367</v>
      </c>
      <c r="U627" s="24">
        <v>509</v>
      </c>
      <c r="V627" s="24">
        <v>904</v>
      </c>
      <c r="W627" s="24">
        <v>1346</v>
      </c>
      <c r="X627" s="24">
        <v>1206</v>
      </c>
      <c r="Y627" s="24">
        <v>1161</v>
      </c>
      <c r="Z627" s="24">
        <v>2060</v>
      </c>
      <c r="AA627" s="24">
        <v>2500</v>
      </c>
      <c r="AB627" s="24">
        <v>2462</v>
      </c>
      <c r="AC627" s="24">
        <v>2461</v>
      </c>
      <c r="AD627" s="24">
        <v>3027</v>
      </c>
      <c r="AE627" s="24">
        <v>3663</v>
      </c>
      <c r="AF627" s="24">
        <v>3641</v>
      </c>
      <c r="AG627" s="24">
        <v>3455</v>
      </c>
      <c r="AH627" s="24">
        <v>4062</v>
      </c>
      <c r="AI627" s="24">
        <v>4944</v>
      </c>
      <c r="AJ627" s="24">
        <v>5199</v>
      </c>
      <c r="AK627" s="24">
        <v>5358</v>
      </c>
      <c r="AL627" s="24">
        <v>5358</v>
      </c>
      <c r="AM627" s="24">
        <v>6499</v>
      </c>
      <c r="AN627" s="24">
        <v>7165</v>
      </c>
      <c r="AO627" s="24">
        <v>7267</v>
      </c>
      <c r="AP627" s="24">
        <v>7508</v>
      </c>
      <c r="AQ627" s="24">
        <v>7831</v>
      </c>
      <c r="AR627" s="24">
        <v>8016</v>
      </c>
      <c r="AS627" s="24">
        <v>8054</v>
      </c>
      <c r="AT627" s="24">
        <v>7887</v>
      </c>
      <c r="AU627" s="24">
        <v>7760</v>
      </c>
      <c r="AV627" s="24">
        <v>7855</v>
      </c>
      <c r="AW627" s="24">
        <v>7608</v>
      </c>
      <c r="AX627" s="24">
        <v>7607</v>
      </c>
      <c r="AY627" s="24">
        <v>7567</v>
      </c>
      <c r="AZ627" s="24">
        <v>7658</v>
      </c>
      <c r="BA627" s="24">
        <v>7585</v>
      </c>
      <c r="BB627" s="24">
        <v>7357</v>
      </c>
      <c r="BC627" s="24">
        <v>7406</v>
      </c>
      <c r="BD627" s="24">
        <v>7606</v>
      </c>
      <c r="BE627" s="24">
        <v>7614</v>
      </c>
      <c r="BF627" s="24">
        <v>7582</v>
      </c>
      <c r="BG627" s="24">
        <v>7457</v>
      </c>
      <c r="BH627" s="146" t="e">
        <v>#NAME?</v>
      </c>
      <c r="BI627" s="146" t="e">
        <v>#NAME?</v>
      </c>
      <c r="BJ627" s="146" t="e">
        <v>#NAME?</v>
      </c>
      <c r="BK627" s="146" t="e">
        <v>#NAME?</v>
      </c>
      <c r="BL627" s="146" t="e">
        <v>#NAME?</v>
      </c>
      <c r="BM627" s="146" t="e">
        <v>#NAME?</v>
      </c>
      <c r="BN627" s="146" t="e">
        <v>#NAME?</v>
      </c>
      <c r="BO627" s="146" t="e">
        <v>#NAME?</v>
      </c>
      <c r="BP627" s="146" t="e">
        <v>#NAME?</v>
      </c>
      <c r="BQ627" s="146" t="e">
        <v>#NAME?</v>
      </c>
      <c r="BR627" s="146" t="e">
        <v>#NAME?</v>
      </c>
      <c r="BS627" s="146" t="e">
        <v>#NAME?</v>
      </c>
      <c r="BT627" s="146" t="e">
        <v>#NAME?</v>
      </c>
      <c r="BU627" s="146" t="e">
        <v>#NAME?</v>
      </c>
      <c r="BV627" s="146" t="e">
        <v>#NAME?</v>
      </c>
      <c r="BW627" s="146" t="e">
        <v>#NAME?</v>
      </c>
      <c r="BX627" s="146" t="e">
        <v>#NAME?</v>
      </c>
      <c r="BY627" s="146" t="e">
        <v>#NAME?</v>
      </c>
      <c r="BZ627" s="146" t="e">
        <v>#NAME?</v>
      </c>
      <c r="CA627" s="146" t="e">
        <v>#NAME?</v>
      </c>
      <c r="CB627" s="146" t="e">
        <v>#NAME?</v>
      </c>
      <c r="CC627" s="146" t="e">
        <v>#NAME?</v>
      </c>
      <c r="CD627" s="146" t="e">
        <v>#NAME?</v>
      </c>
      <c r="CF627" s="24" t="s">
        <v>336</v>
      </c>
      <c r="CG627" s="24" t="s">
        <v>336</v>
      </c>
      <c r="CH627" s="24">
        <v>21</v>
      </c>
      <c r="CI627" s="24">
        <v>29</v>
      </c>
      <c r="CJ627" s="24">
        <v>904</v>
      </c>
      <c r="CK627" s="24">
        <v>2060</v>
      </c>
      <c r="CL627" s="24">
        <v>3027</v>
      </c>
      <c r="CM627" s="24">
        <v>4062</v>
      </c>
      <c r="CN627" s="24">
        <v>5358</v>
      </c>
      <c r="CO627" s="24">
        <v>7508</v>
      </c>
      <c r="CP627" s="24">
        <v>7887</v>
      </c>
      <c r="CQ627" s="24">
        <v>7607</v>
      </c>
      <c r="CR627" s="24">
        <v>7357</v>
      </c>
      <c r="CS627" s="24">
        <v>7582</v>
      </c>
      <c r="CT627" s="146" t="e">
        <v>#NAME?</v>
      </c>
      <c r="CU627" s="146" t="e">
        <v>#NAME?</v>
      </c>
      <c r="CV627" s="146" t="e">
        <v>#NAME?</v>
      </c>
      <c r="CW627" s="146" t="e">
        <v>#NAME?</v>
      </c>
      <c r="CX627" s="146" t="e">
        <v>#NAME?</v>
      </c>
    </row>
    <row r="628" spans="1:103" x14ac:dyDescent="0.25">
      <c r="B628" t="s">
        <v>419</v>
      </c>
      <c r="S628" s="24">
        <v>61</v>
      </c>
      <c r="T628" s="24">
        <v>53</v>
      </c>
      <c r="U628" s="24">
        <v>23</v>
      </c>
      <c r="V628" s="24">
        <v>2</v>
      </c>
      <c r="W628" s="24">
        <v>-14</v>
      </c>
      <c r="X628" s="24">
        <v>-44</v>
      </c>
      <c r="Y628" s="24">
        <v>-57</v>
      </c>
      <c r="Z628" s="24">
        <v>-16</v>
      </c>
      <c r="AA628" s="24">
        <v>3</v>
      </c>
      <c r="AB628" s="24">
        <v>-10</v>
      </c>
      <c r="AC628" s="24">
        <v>-1</v>
      </c>
      <c r="AD628" s="24">
        <v>-19</v>
      </c>
      <c r="AE628" s="24">
        <v>-71</v>
      </c>
      <c r="AF628" s="24">
        <v>-73</v>
      </c>
      <c r="AG628" s="24">
        <v>-95</v>
      </c>
      <c r="AH628" s="24">
        <v>-127</v>
      </c>
      <c r="AI628" s="24">
        <v>-26</v>
      </c>
      <c r="AJ628" s="24">
        <v>-19</v>
      </c>
      <c r="AK628" s="24">
        <v>-17</v>
      </c>
      <c r="AL628" s="24">
        <v>-30</v>
      </c>
      <c r="AM628" s="24">
        <v>-17</v>
      </c>
      <c r="AN628" s="24">
        <v>-10</v>
      </c>
      <c r="AO628" s="24">
        <v>-33</v>
      </c>
      <c r="AP628" s="24">
        <v>-50</v>
      </c>
      <c r="AQ628" s="24">
        <v>-52</v>
      </c>
      <c r="AR628" s="24">
        <v>-89</v>
      </c>
      <c r="AS628" s="24">
        <v>-94</v>
      </c>
      <c r="AT628" s="24">
        <v>-50</v>
      </c>
      <c r="AU628" s="24">
        <v>-35</v>
      </c>
      <c r="AV628" s="24">
        <v>-2</v>
      </c>
      <c r="AW628" s="24">
        <v>6</v>
      </c>
      <c r="AX628" s="24">
        <v>15</v>
      </c>
      <c r="AY628" s="24">
        <v>71</v>
      </c>
      <c r="AZ628" s="24">
        <v>137</v>
      </c>
      <c r="BA628" s="24">
        <v>-37</v>
      </c>
      <c r="BB628" s="24">
        <v>-67</v>
      </c>
      <c r="BC628" s="24">
        <v>-75</v>
      </c>
      <c r="BD628" s="24">
        <v>-34</v>
      </c>
      <c r="BE628" s="24">
        <v>-84</v>
      </c>
      <c r="BF628" s="24">
        <v>-72</v>
      </c>
      <c r="BG628" s="24">
        <v>-60</v>
      </c>
      <c r="BH628" s="146" t="e">
        <v>#NAME?</v>
      </c>
      <c r="BI628" s="146" t="e">
        <v>#NAME?</v>
      </c>
      <c r="BJ628" s="146" t="e">
        <v>#NAME?</v>
      </c>
      <c r="BK628" s="146" t="e">
        <v>#NAME?</v>
      </c>
      <c r="BL628" s="146" t="e">
        <v>#NAME?</v>
      </c>
      <c r="BM628" s="146" t="e">
        <v>#NAME?</v>
      </c>
      <c r="BN628" s="146" t="e">
        <v>#NAME?</v>
      </c>
      <c r="BO628" s="146" t="e">
        <v>#NAME?</v>
      </c>
      <c r="BP628" s="146" t="e">
        <v>#NAME?</v>
      </c>
      <c r="BQ628" s="146" t="e">
        <v>#NAME?</v>
      </c>
      <c r="BR628" s="146" t="e">
        <v>#NAME?</v>
      </c>
      <c r="BS628" s="146" t="e">
        <v>#NAME?</v>
      </c>
      <c r="BT628" s="146" t="e">
        <v>#NAME?</v>
      </c>
      <c r="BU628" s="146" t="e">
        <v>#NAME?</v>
      </c>
      <c r="BV628" s="146" t="e">
        <v>#NAME?</v>
      </c>
      <c r="BW628" s="146" t="e">
        <v>#NAME?</v>
      </c>
      <c r="BX628" s="146" t="e">
        <v>#NAME?</v>
      </c>
      <c r="BY628" s="146" t="e">
        <v>#NAME?</v>
      </c>
      <c r="BZ628" s="146" t="e">
        <v>#NAME?</v>
      </c>
      <c r="CA628" s="146" t="e">
        <v>#NAME?</v>
      </c>
      <c r="CB628" s="146" t="e">
        <v>#NAME?</v>
      </c>
      <c r="CC628" s="146" t="e">
        <v>#NAME?</v>
      </c>
      <c r="CD628" s="146" t="e">
        <v>#NAME?</v>
      </c>
      <c r="CF628" s="24" t="s">
        <v>336</v>
      </c>
      <c r="CG628" s="24" t="s">
        <v>336</v>
      </c>
      <c r="CH628" s="24">
        <v>69</v>
      </c>
      <c r="CI628" s="24">
        <v>37</v>
      </c>
      <c r="CJ628" s="24">
        <v>2</v>
      </c>
      <c r="CK628" s="24">
        <v>-16</v>
      </c>
      <c r="CL628" s="24">
        <v>-19</v>
      </c>
      <c r="CM628" s="24">
        <v>-127</v>
      </c>
      <c r="CN628" s="24">
        <v>-30</v>
      </c>
      <c r="CO628" s="24">
        <v>-50</v>
      </c>
      <c r="CP628" s="24">
        <v>-50</v>
      </c>
      <c r="CQ628" s="24">
        <v>15</v>
      </c>
      <c r="CR628" s="24">
        <v>-67</v>
      </c>
      <c r="CS628" s="24">
        <v>-72</v>
      </c>
      <c r="CT628" s="146" t="e">
        <v>#NAME?</v>
      </c>
      <c r="CU628" s="146" t="e">
        <v>#NAME?</v>
      </c>
      <c r="CV628" s="146" t="e">
        <v>#NAME?</v>
      </c>
      <c r="CW628" s="146" t="e">
        <v>#NAME?</v>
      </c>
      <c r="CX628" s="146" t="e">
        <v>#NAME?</v>
      </c>
    </row>
    <row r="629" spans="1:103" s="10" customFormat="1" x14ac:dyDescent="0.25">
      <c r="B629" s="10" t="s">
        <v>420</v>
      </c>
      <c r="S629" s="57">
        <v>2713</v>
      </c>
      <c r="T629" s="57">
        <v>2670</v>
      </c>
      <c r="U629" s="57">
        <v>2687</v>
      </c>
      <c r="V629" s="57">
        <v>3036</v>
      </c>
      <c r="W629" s="57">
        <v>3336</v>
      </c>
      <c r="X629" s="57">
        <v>3146</v>
      </c>
      <c r="Y629" s="57">
        <v>3012</v>
      </c>
      <c r="Z629" s="57">
        <v>3396</v>
      </c>
      <c r="AA629" s="57">
        <v>3716</v>
      </c>
      <c r="AB629" s="57">
        <v>3608</v>
      </c>
      <c r="AC629" s="57">
        <v>3549</v>
      </c>
      <c r="AD629" s="57">
        <v>4060</v>
      </c>
      <c r="AE629" s="57">
        <v>4486</v>
      </c>
      <c r="AF629" s="57">
        <v>4388</v>
      </c>
      <c r="AG629" s="57">
        <v>4086</v>
      </c>
      <c r="AH629" s="57">
        <v>4595</v>
      </c>
      <c r="AI629" s="57">
        <v>5260</v>
      </c>
      <c r="AJ629" s="57">
        <v>5317</v>
      </c>
      <c r="AK629" s="57">
        <v>5344</v>
      </c>
      <c r="AL629" s="57">
        <v>5331</v>
      </c>
      <c r="AM629" s="57">
        <v>6485</v>
      </c>
      <c r="AN629" s="57">
        <v>7158</v>
      </c>
      <c r="AO629" s="57">
        <v>7237</v>
      </c>
      <c r="AP629" s="57">
        <v>7461</v>
      </c>
      <c r="AQ629" s="57">
        <v>7782</v>
      </c>
      <c r="AR629" s="57">
        <v>8075</v>
      </c>
      <c r="AS629" s="57">
        <v>7963</v>
      </c>
      <c r="AT629" s="57">
        <v>7840</v>
      </c>
      <c r="AU629" s="57">
        <v>7728</v>
      </c>
      <c r="AV629" s="57">
        <v>7856</v>
      </c>
      <c r="AW629" s="57">
        <v>7617</v>
      </c>
      <c r="AX629" s="57">
        <v>7625</v>
      </c>
      <c r="AY629" s="57">
        <v>7641</v>
      </c>
      <c r="AZ629" s="57">
        <v>7798</v>
      </c>
      <c r="BA629" s="57">
        <v>7551</v>
      </c>
      <c r="BB629" s="57">
        <v>7293</v>
      </c>
      <c r="BC629" s="57">
        <v>7334</v>
      </c>
      <c r="BD629" s="57">
        <v>7575</v>
      </c>
      <c r="BE629" s="57">
        <v>7533</v>
      </c>
      <c r="BF629" s="57">
        <v>7513</v>
      </c>
      <c r="BG629" s="57">
        <v>7400</v>
      </c>
      <c r="BH629" s="142" t="e">
        <v>#NAME?</v>
      </c>
      <c r="BI629" s="142" t="e">
        <v>#NAME?</v>
      </c>
      <c r="BJ629" s="142" t="e">
        <v>#NAME?</v>
      </c>
      <c r="BK629" s="142" t="e">
        <v>#NAME?</v>
      </c>
      <c r="BL629" s="142" t="e">
        <v>#NAME?</v>
      </c>
      <c r="BM629" s="142" t="e">
        <v>#NAME?</v>
      </c>
      <c r="BN629" s="142" t="e">
        <v>#NAME?</v>
      </c>
      <c r="BO629" s="142" t="e">
        <v>#NAME?</v>
      </c>
      <c r="BP629" s="142" t="e">
        <v>#NAME?</v>
      </c>
      <c r="BQ629" s="142" t="e">
        <v>#NAME?</v>
      </c>
      <c r="BR629" s="142" t="e">
        <v>#NAME?</v>
      </c>
      <c r="BS629" s="142" t="e">
        <v>#NAME?</v>
      </c>
      <c r="BT629" s="142" t="e">
        <v>#NAME?</v>
      </c>
      <c r="BU629" s="142" t="e">
        <v>#NAME?</v>
      </c>
      <c r="BV629" s="142" t="e">
        <v>#NAME?</v>
      </c>
      <c r="BW629" s="142" t="e">
        <v>#NAME?</v>
      </c>
      <c r="BX629" s="142" t="e">
        <v>#NAME?</v>
      </c>
      <c r="BY629" s="142" t="e">
        <v>#NAME?</v>
      </c>
      <c r="BZ629" s="142" t="e">
        <v>#NAME?</v>
      </c>
      <c r="CA629" s="142" t="e">
        <v>#NAME?</v>
      </c>
      <c r="CB629" s="142" t="e">
        <v>#NAME?</v>
      </c>
      <c r="CC629" s="142" t="e">
        <v>#NAME?</v>
      </c>
      <c r="CD629" s="142" t="e">
        <v>#NAME?</v>
      </c>
      <c r="CE629"/>
      <c r="CF629" s="57" t="s">
        <v>336</v>
      </c>
      <c r="CG629" s="57" t="s">
        <v>336</v>
      </c>
      <c r="CH629" s="57">
        <v>2267</v>
      </c>
      <c r="CI629" s="57">
        <v>2422</v>
      </c>
      <c r="CJ629" s="57">
        <v>3036</v>
      </c>
      <c r="CK629" s="57">
        <v>3396</v>
      </c>
      <c r="CL629" s="57">
        <v>4060</v>
      </c>
      <c r="CM629" s="57">
        <v>4595</v>
      </c>
      <c r="CN629" s="57">
        <v>5331</v>
      </c>
      <c r="CO629" s="57">
        <v>7461</v>
      </c>
      <c r="CP629" s="57">
        <v>7840</v>
      </c>
      <c r="CQ629" s="57">
        <v>7625</v>
      </c>
      <c r="CR629" s="57">
        <v>7293</v>
      </c>
      <c r="CS629" s="57">
        <v>7513</v>
      </c>
      <c r="CT629" s="142" t="e">
        <v>#NAME?</v>
      </c>
      <c r="CU629" s="142" t="e">
        <v>#NAME?</v>
      </c>
      <c r="CV629" s="142" t="e">
        <v>#NAME?</v>
      </c>
      <c r="CW629" s="142" t="e">
        <v>#NAME?</v>
      </c>
      <c r="CX629" s="142" t="e">
        <v>#NAME?</v>
      </c>
      <c r="CY629"/>
    </row>
    <row r="630" spans="1:103" x14ac:dyDescent="0.25">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146"/>
      <c r="BI630" s="146"/>
      <c r="BJ630" s="146"/>
      <c r="BK630" s="146"/>
      <c r="BL630" s="146"/>
      <c r="BM630" s="146"/>
      <c r="BN630" s="146"/>
      <c r="BO630" s="146"/>
      <c r="BP630" s="146"/>
      <c r="BQ630" s="146"/>
      <c r="BR630" s="146"/>
      <c r="BS630" s="146"/>
      <c r="BT630" s="146"/>
      <c r="BU630" s="146"/>
      <c r="BV630" s="146"/>
      <c r="BW630" s="146"/>
      <c r="BX630" s="146"/>
      <c r="BY630" s="146"/>
      <c r="BZ630" s="146"/>
      <c r="CA630" s="146"/>
      <c r="CB630" s="146"/>
      <c r="CC630" s="146"/>
      <c r="CD630" s="146"/>
      <c r="CF630" s="24"/>
      <c r="CG630" s="24"/>
      <c r="CH630" s="24"/>
      <c r="CI630" s="24"/>
      <c r="CJ630" s="24"/>
      <c r="CK630" s="24"/>
      <c r="CL630" s="24"/>
      <c r="CM630" s="24"/>
      <c r="CN630" s="24"/>
      <c r="CO630" s="24"/>
      <c r="CP630" s="24"/>
      <c r="CQ630" s="24"/>
      <c r="CR630" s="24"/>
      <c r="CS630" s="24"/>
      <c r="CT630" s="146"/>
      <c r="CU630" s="146"/>
      <c r="CV630" s="146"/>
      <c r="CW630" s="146"/>
      <c r="CX630" s="146"/>
    </row>
    <row r="631" spans="1:103" s="10" customFormat="1" x14ac:dyDescent="0.25">
      <c r="B631" s="10" t="s">
        <v>323</v>
      </c>
      <c r="S631" s="57">
        <v>5476</v>
      </c>
      <c r="T631" s="57">
        <v>6031</v>
      </c>
      <c r="U631" s="57">
        <v>6167</v>
      </c>
      <c r="V631" s="57">
        <v>6147</v>
      </c>
      <c r="W631" s="57">
        <v>5721</v>
      </c>
      <c r="X631" s="57">
        <v>6000</v>
      </c>
      <c r="Y631" s="57">
        <v>6470</v>
      </c>
      <c r="Z631" s="57">
        <v>7050</v>
      </c>
      <c r="AA631" s="57">
        <v>6605</v>
      </c>
      <c r="AB631" s="57">
        <v>6892</v>
      </c>
      <c r="AC631" s="57">
        <v>7719</v>
      </c>
      <c r="AD631" s="57">
        <v>7718</v>
      </c>
      <c r="AE631" s="57">
        <v>7375</v>
      </c>
      <c r="AF631" s="57">
        <v>7922</v>
      </c>
      <c r="AG631" s="57">
        <v>8642</v>
      </c>
      <c r="AH631" s="57">
        <v>8584</v>
      </c>
      <c r="AI631" s="57">
        <v>8247</v>
      </c>
      <c r="AJ631" s="57">
        <v>8450</v>
      </c>
      <c r="AK631" s="57">
        <v>8857</v>
      </c>
      <c r="AL631" s="57">
        <v>8957</v>
      </c>
      <c r="AM631" s="57">
        <v>9749</v>
      </c>
      <c r="AN631" s="57">
        <v>10593</v>
      </c>
      <c r="AO631" s="57">
        <v>11161</v>
      </c>
      <c r="AP631" s="57">
        <v>11112</v>
      </c>
      <c r="AQ631" s="57">
        <v>11284</v>
      </c>
      <c r="AR631" s="57">
        <v>11470</v>
      </c>
      <c r="AS631" s="57">
        <v>12420</v>
      </c>
      <c r="AT631" s="57">
        <v>13288</v>
      </c>
      <c r="AU631" s="57">
        <v>12734</v>
      </c>
      <c r="AV631" s="57">
        <v>13019</v>
      </c>
      <c r="AW631" s="57">
        <v>13930</v>
      </c>
      <c r="AX631" s="57">
        <v>13800</v>
      </c>
      <c r="AY631" s="57">
        <v>13192</v>
      </c>
      <c r="AZ631" s="57">
        <v>13079</v>
      </c>
      <c r="BA631" s="57">
        <v>13470</v>
      </c>
      <c r="BB631" s="57">
        <v>13459</v>
      </c>
      <c r="BC631" s="57">
        <v>13083</v>
      </c>
      <c r="BD631" s="57">
        <v>13139</v>
      </c>
      <c r="BE631" s="57">
        <v>13617</v>
      </c>
      <c r="BF631" s="57">
        <v>13420</v>
      </c>
      <c r="BG631" s="57">
        <v>12708</v>
      </c>
      <c r="BH631" s="142" t="e">
        <v>#NAME?</v>
      </c>
      <c r="BI631" s="142" t="e">
        <v>#NAME?</v>
      </c>
      <c r="BJ631" s="142" t="e">
        <v>#NAME?</v>
      </c>
      <c r="BK631" s="142" t="e">
        <v>#NAME?</v>
      </c>
      <c r="BL631" s="142" t="e">
        <v>#NAME?</v>
      </c>
      <c r="BM631" s="142" t="e">
        <v>#NAME?</v>
      </c>
      <c r="BN631" s="142" t="e">
        <v>#NAME?</v>
      </c>
      <c r="BO631" s="142" t="e">
        <v>#NAME?</v>
      </c>
      <c r="BP631" s="142" t="e">
        <v>#NAME?</v>
      </c>
      <c r="BQ631" s="142" t="e">
        <v>#NAME?</v>
      </c>
      <c r="BR631" s="142" t="e">
        <v>#NAME?</v>
      </c>
      <c r="BS631" s="142" t="e">
        <v>#NAME?</v>
      </c>
      <c r="BT631" s="142" t="e">
        <v>#NAME?</v>
      </c>
      <c r="BU631" s="142" t="e">
        <v>#NAME?</v>
      </c>
      <c r="BV631" s="142" t="e">
        <v>#NAME?</v>
      </c>
      <c r="BW631" s="142" t="e">
        <v>#NAME?</v>
      </c>
      <c r="BX631" s="142" t="e">
        <v>#NAME?</v>
      </c>
      <c r="BY631" s="142" t="e">
        <v>#NAME?</v>
      </c>
      <c r="BZ631" s="142" t="e">
        <v>#NAME?</v>
      </c>
      <c r="CA631" s="142" t="e">
        <v>#NAME?</v>
      </c>
      <c r="CB631" s="142" t="e">
        <v>#NAME?</v>
      </c>
      <c r="CC631" s="142" t="e">
        <v>#NAME?</v>
      </c>
      <c r="CD631" s="142" t="e">
        <v>#NAME?</v>
      </c>
      <c r="CE631"/>
      <c r="CF631" s="57" t="s">
        <v>336</v>
      </c>
      <c r="CG631" s="57" t="s">
        <v>336</v>
      </c>
      <c r="CH631" s="57">
        <v>5070</v>
      </c>
      <c r="CI631" s="57">
        <v>5716</v>
      </c>
      <c r="CJ631" s="57">
        <v>6147</v>
      </c>
      <c r="CK631" s="57">
        <v>7050</v>
      </c>
      <c r="CL631" s="57">
        <v>7718</v>
      </c>
      <c r="CM631" s="57">
        <v>8584</v>
      </c>
      <c r="CN631" s="57">
        <v>8957</v>
      </c>
      <c r="CO631" s="57">
        <v>11112</v>
      </c>
      <c r="CP631" s="57">
        <v>13288</v>
      </c>
      <c r="CQ631" s="57">
        <v>13800</v>
      </c>
      <c r="CR631" s="57">
        <v>13459</v>
      </c>
      <c r="CS631" s="57">
        <v>13420</v>
      </c>
      <c r="CT631" s="142" t="e">
        <v>#NAME?</v>
      </c>
      <c r="CU631" s="142" t="e">
        <v>#NAME?</v>
      </c>
      <c r="CV631" s="142" t="e">
        <v>#NAME?</v>
      </c>
      <c r="CW631" s="142" t="e">
        <v>#NAME?</v>
      </c>
      <c r="CX631" s="142" t="e">
        <v>#NAME?</v>
      </c>
      <c r="CY631"/>
    </row>
    <row r="632" spans="1:103" s="5" customFormat="1" x14ac:dyDescent="0.25">
      <c r="B632" s="5" t="s">
        <v>421</v>
      </c>
      <c r="S632" s="143">
        <f t="shared" ref="S632:CD632" si="771">+S612-S631</f>
        <v>0</v>
      </c>
      <c r="T632" s="143">
        <f t="shared" si="771"/>
        <v>0</v>
      </c>
      <c r="U632" s="143">
        <f t="shared" si="771"/>
        <v>0</v>
      </c>
      <c r="V632" s="143">
        <f t="shared" si="771"/>
        <v>0</v>
      </c>
      <c r="W632" s="143">
        <f t="shared" si="771"/>
        <v>0</v>
      </c>
      <c r="X632" s="143">
        <f t="shared" si="771"/>
        <v>0</v>
      </c>
      <c r="Y632" s="143">
        <f t="shared" si="771"/>
        <v>0</v>
      </c>
      <c r="Z632" s="143">
        <f t="shared" si="771"/>
        <v>0</v>
      </c>
      <c r="AA632" s="143">
        <f t="shared" si="771"/>
        <v>0</v>
      </c>
      <c r="AB632" s="143">
        <f t="shared" si="771"/>
        <v>0</v>
      </c>
      <c r="AC632" s="143">
        <f t="shared" si="771"/>
        <v>0</v>
      </c>
      <c r="AD632" s="143">
        <f t="shared" si="771"/>
        <v>0</v>
      </c>
      <c r="AE632" s="143">
        <f t="shared" si="771"/>
        <v>0</v>
      </c>
      <c r="AF632" s="143">
        <f t="shared" si="771"/>
        <v>0</v>
      </c>
      <c r="AG632" s="143">
        <f t="shared" si="771"/>
        <v>0</v>
      </c>
      <c r="AH632" s="143">
        <f t="shared" si="771"/>
        <v>0</v>
      </c>
      <c r="AI632" s="143">
        <f t="shared" si="771"/>
        <v>0</v>
      </c>
      <c r="AJ632" s="143">
        <f t="shared" si="771"/>
        <v>0</v>
      </c>
      <c r="AK632" s="143">
        <f t="shared" si="771"/>
        <v>0</v>
      </c>
      <c r="AL632" s="143">
        <f t="shared" si="771"/>
        <v>0</v>
      </c>
      <c r="AM632" s="143">
        <f t="shared" si="771"/>
        <v>0</v>
      </c>
      <c r="AN632" s="143">
        <f t="shared" si="771"/>
        <v>0</v>
      </c>
      <c r="AO632" s="143">
        <f t="shared" si="771"/>
        <v>0</v>
      </c>
      <c r="AP632" s="143">
        <f t="shared" si="771"/>
        <v>0</v>
      </c>
      <c r="AQ632" s="143">
        <f t="shared" si="771"/>
        <v>0</v>
      </c>
      <c r="AR632" s="143">
        <f t="shared" si="771"/>
        <v>0</v>
      </c>
      <c r="AS632" s="143">
        <f t="shared" si="771"/>
        <v>0</v>
      </c>
      <c r="AT632" s="143">
        <f t="shared" si="771"/>
        <v>0</v>
      </c>
      <c r="AU632" s="143">
        <f t="shared" si="771"/>
        <v>0</v>
      </c>
      <c r="AV632" s="143">
        <f t="shared" si="771"/>
        <v>0</v>
      </c>
      <c r="AW632" s="143">
        <f t="shared" si="771"/>
        <v>0</v>
      </c>
      <c r="AX632" s="143">
        <f t="shared" si="771"/>
        <v>0</v>
      </c>
      <c r="AY632" s="143">
        <f t="shared" si="771"/>
        <v>0</v>
      </c>
      <c r="AZ632" s="143">
        <f t="shared" si="771"/>
        <v>0</v>
      </c>
      <c r="BA632" s="143">
        <f t="shared" si="771"/>
        <v>0</v>
      </c>
      <c r="BB632" s="143">
        <f t="shared" si="771"/>
        <v>0</v>
      </c>
      <c r="BC632" s="143">
        <f t="shared" si="771"/>
        <v>0</v>
      </c>
      <c r="BD632" s="143">
        <f t="shared" si="771"/>
        <v>0</v>
      </c>
      <c r="BE632" s="143">
        <f t="shared" si="771"/>
        <v>0</v>
      </c>
      <c r="BF632" s="143">
        <f t="shared" si="771"/>
        <v>0</v>
      </c>
      <c r="BG632" s="215">
        <v>0</v>
      </c>
      <c r="BH632" s="143" t="e">
        <f t="shared" si="771"/>
        <v>#NAME?</v>
      </c>
      <c r="BI632" s="143" t="e">
        <f t="shared" si="771"/>
        <v>#NAME?</v>
      </c>
      <c r="BJ632" s="143" t="e">
        <f t="shared" si="771"/>
        <v>#NAME?</v>
      </c>
      <c r="BK632" s="143" t="e">
        <f t="shared" si="771"/>
        <v>#NAME?</v>
      </c>
      <c r="BL632" s="143" t="e">
        <f t="shared" si="771"/>
        <v>#NAME?</v>
      </c>
      <c r="BM632" s="143" t="e">
        <f t="shared" si="771"/>
        <v>#NAME?</v>
      </c>
      <c r="BN632" s="143" t="e">
        <f t="shared" si="771"/>
        <v>#NAME?</v>
      </c>
      <c r="BO632" s="143" t="e">
        <f t="shared" si="771"/>
        <v>#NAME?</v>
      </c>
      <c r="BP632" s="143" t="e">
        <f t="shared" si="771"/>
        <v>#NAME?</v>
      </c>
      <c r="BQ632" s="143" t="e">
        <f t="shared" si="771"/>
        <v>#NAME?</v>
      </c>
      <c r="BR632" s="143" t="e">
        <f t="shared" si="771"/>
        <v>#NAME?</v>
      </c>
      <c r="BS632" s="143" t="e">
        <f t="shared" si="771"/>
        <v>#NAME?</v>
      </c>
      <c r="BT632" s="143" t="e">
        <f t="shared" si="771"/>
        <v>#NAME?</v>
      </c>
      <c r="BU632" s="143" t="e">
        <f t="shared" si="771"/>
        <v>#NAME?</v>
      </c>
      <c r="BV632" s="143" t="e">
        <f t="shared" si="771"/>
        <v>#NAME?</v>
      </c>
      <c r="BW632" s="143" t="e">
        <f t="shared" si="771"/>
        <v>#NAME?</v>
      </c>
      <c r="BX632" s="143" t="e">
        <f t="shared" si="771"/>
        <v>#NAME?</v>
      </c>
      <c r="BY632" s="143" t="e">
        <f t="shared" si="771"/>
        <v>#NAME?</v>
      </c>
      <c r="BZ632" s="143" t="e">
        <f t="shared" si="771"/>
        <v>#NAME?</v>
      </c>
      <c r="CA632" s="143" t="e">
        <f t="shared" si="771"/>
        <v>#NAME?</v>
      </c>
      <c r="CB632" s="143" t="e">
        <f t="shared" si="771"/>
        <v>#NAME?</v>
      </c>
      <c r="CC632" s="143" t="e">
        <f t="shared" si="771"/>
        <v>#NAME?</v>
      </c>
      <c r="CD632" s="143" t="e">
        <f t="shared" si="771"/>
        <v>#NAME?</v>
      </c>
      <c r="CE632"/>
      <c r="CF632" s="215" t="e">
        <f t="shared" ref="CF632:CX632" si="772">+CF612-CF631</f>
        <v>#VALUE!</v>
      </c>
      <c r="CG632" s="215" t="e">
        <f t="shared" si="772"/>
        <v>#VALUE!</v>
      </c>
      <c r="CH632" s="215">
        <f t="shared" si="772"/>
        <v>0</v>
      </c>
      <c r="CI632" s="215">
        <f t="shared" si="772"/>
        <v>0</v>
      </c>
      <c r="CJ632" s="215">
        <f t="shared" si="772"/>
        <v>0</v>
      </c>
      <c r="CK632" s="215">
        <f t="shared" si="772"/>
        <v>0</v>
      </c>
      <c r="CL632" s="215">
        <f t="shared" si="772"/>
        <v>0</v>
      </c>
      <c r="CM632" s="215">
        <f t="shared" si="772"/>
        <v>0</v>
      </c>
      <c r="CN632" s="215">
        <f t="shared" si="772"/>
        <v>0</v>
      </c>
      <c r="CO632" s="215">
        <f t="shared" si="772"/>
        <v>0</v>
      </c>
      <c r="CP632" s="215">
        <f t="shared" si="772"/>
        <v>0</v>
      </c>
      <c r="CQ632" s="215">
        <f t="shared" si="772"/>
        <v>0</v>
      </c>
      <c r="CR632" s="215">
        <f t="shared" si="772"/>
        <v>0</v>
      </c>
      <c r="CS632" s="215">
        <f t="shared" si="772"/>
        <v>0</v>
      </c>
      <c r="CT632" s="143" t="e">
        <f t="shared" si="772"/>
        <v>#NAME?</v>
      </c>
      <c r="CU632" s="143" t="e">
        <f t="shared" si="772"/>
        <v>#NAME?</v>
      </c>
      <c r="CV632" s="143" t="e">
        <f t="shared" si="772"/>
        <v>#NAME?</v>
      </c>
      <c r="CW632" s="143" t="e">
        <f t="shared" si="772"/>
        <v>#NAME?</v>
      </c>
      <c r="CX632" s="143" t="e">
        <f t="shared" si="772"/>
        <v>#NAME?</v>
      </c>
      <c r="CY632"/>
    </row>
    <row r="634" spans="1:103" ht="15" customHeight="1" x14ac:dyDescent="0.25">
      <c r="A634" s="1" t="s">
        <v>18</v>
      </c>
      <c r="B634" s="16" t="s">
        <v>422</v>
      </c>
      <c r="C634" s="17"/>
      <c r="D634" s="17"/>
      <c r="E634" s="17"/>
      <c r="F634" s="17"/>
      <c r="G634" s="17"/>
      <c r="H634" s="17"/>
      <c r="I634" s="17"/>
      <c r="J634" s="17"/>
      <c r="K634" s="17"/>
      <c r="L634" s="17"/>
      <c r="M634" s="17"/>
      <c r="N634" s="17"/>
      <c r="O634" s="17"/>
      <c r="P634" s="17"/>
      <c r="Q634" s="17"/>
      <c r="R634" s="17"/>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t="s">
        <v>423</v>
      </c>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B634" s="19" t="e">
        <f>+#REF!</f>
        <v>#REF!</v>
      </c>
      <c r="CC634" s="20"/>
      <c r="CD634" s="20"/>
      <c r="CF634" s="20"/>
      <c r="CG634" s="20"/>
      <c r="CH634" s="20"/>
      <c r="CI634" s="21" t="str">
        <f>+$B634</f>
        <v>6758_JP</v>
      </c>
      <c r="CJ634" s="20"/>
      <c r="CK634" s="20"/>
      <c r="CL634" s="20"/>
      <c r="CM634" s="20"/>
      <c r="CN634" s="20"/>
      <c r="CO634" s="20"/>
      <c r="CP634" s="20"/>
      <c r="CQ634" s="20"/>
      <c r="CR634" s="20"/>
      <c r="CS634" s="20"/>
      <c r="CT634" s="20"/>
      <c r="CU634" s="20"/>
      <c r="CV634" s="20"/>
      <c r="CW634" s="20"/>
      <c r="CX634" s="20"/>
    </row>
    <row r="635" spans="1:103" x14ac:dyDescent="0.25">
      <c r="A635" s="1"/>
      <c r="B635" s="216">
        <f ca="1">TODAY()</f>
        <v>45886</v>
      </c>
      <c r="C635" s="216"/>
      <c r="D635" s="216"/>
      <c r="E635" s="216"/>
      <c r="F635" s="216"/>
      <c r="G635" s="216"/>
      <c r="H635" s="216"/>
      <c r="I635" s="216"/>
      <c r="J635" s="216"/>
      <c r="K635" s="216"/>
      <c r="L635" s="216"/>
      <c r="M635" s="216"/>
      <c r="N635" s="216"/>
      <c r="O635" s="216"/>
      <c r="P635" s="216"/>
      <c r="Q635" s="216"/>
      <c r="R635" s="216"/>
      <c r="S635" s="9" t="str">
        <f t="shared" ref="S635:CD635" si="773">+MROUND(MONTH(EOMONTH(S$5,-3))/3,1)&amp;"Q-"&amp;TEXT(EOMONTH(S$5,9),"yy")</f>
        <v>1Q-15</v>
      </c>
      <c r="T635" s="9" t="str">
        <f t="shared" si="773"/>
        <v>2Q-15</v>
      </c>
      <c r="U635" s="9" t="str">
        <f t="shared" si="773"/>
        <v>3Q-15</v>
      </c>
      <c r="V635" s="9" t="str">
        <f t="shared" si="773"/>
        <v>4Q-15</v>
      </c>
      <c r="W635" s="9" t="str">
        <f t="shared" si="773"/>
        <v>1Q-16</v>
      </c>
      <c r="X635" s="9" t="str">
        <f t="shared" si="773"/>
        <v>2Q-16</v>
      </c>
      <c r="Y635" s="9" t="str">
        <f t="shared" si="773"/>
        <v>3Q-16</v>
      </c>
      <c r="Z635" s="9" t="str">
        <f t="shared" si="773"/>
        <v>4Q-16</v>
      </c>
      <c r="AA635" s="9" t="str">
        <f t="shared" si="773"/>
        <v>1Q-17</v>
      </c>
      <c r="AB635" s="9" t="str">
        <f t="shared" si="773"/>
        <v>2Q-17</v>
      </c>
      <c r="AC635" s="9" t="str">
        <f t="shared" si="773"/>
        <v>3Q-17</v>
      </c>
      <c r="AD635" s="9" t="str">
        <f t="shared" si="773"/>
        <v>4Q-17</v>
      </c>
      <c r="AE635" s="9" t="str">
        <f t="shared" si="773"/>
        <v>1Q-18</v>
      </c>
      <c r="AF635" s="9" t="str">
        <f t="shared" si="773"/>
        <v>2Q-18</v>
      </c>
      <c r="AG635" s="9" t="str">
        <f t="shared" si="773"/>
        <v>3Q-18</v>
      </c>
      <c r="AH635" s="9" t="str">
        <f t="shared" si="773"/>
        <v>4Q-18</v>
      </c>
      <c r="AI635" s="9" t="str">
        <f t="shared" si="773"/>
        <v>1Q-19</v>
      </c>
      <c r="AJ635" s="9" t="str">
        <f t="shared" si="773"/>
        <v>2Q-19</v>
      </c>
      <c r="AK635" s="9" t="str">
        <f t="shared" si="773"/>
        <v>3Q-19</v>
      </c>
      <c r="AL635" s="9" t="str">
        <f t="shared" si="773"/>
        <v>4Q-19</v>
      </c>
      <c r="AM635" s="9" t="str">
        <f t="shared" si="773"/>
        <v>1Q-20</v>
      </c>
      <c r="AN635" s="9" t="str">
        <f t="shared" si="773"/>
        <v>2Q-20</v>
      </c>
      <c r="AO635" s="9" t="str">
        <f t="shared" si="773"/>
        <v>3Q-20</v>
      </c>
      <c r="AP635" s="9" t="str">
        <f t="shared" si="773"/>
        <v>4Q-20</v>
      </c>
      <c r="AQ635" s="9" t="str">
        <f t="shared" si="773"/>
        <v>1Q-21</v>
      </c>
      <c r="AR635" s="9" t="str">
        <f t="shared" si="773"/>
        <v>2Q-21</v>
      </c>
      <c r="AS635" s="9" t="str">
        <f t="shared" si="773"/>
        <v>3Q-21</v>
      </c>
      <c r="AT635" s="9" t="str">
        <f t="shared" si="773"/>
        <v>4Q-21</v>
      </c>
      <c r="AU635" s="9" t="str">
        <f t="shared" si="773"/>
        <v>1Q-22</v>
      </c>
      <c r="AV635" s="9" t="str">
        <f t="shared" si="773"/>
        <v>2Q-22</v>
      </c>
      <c r="AW635" s="9" t="str">
        <f t="shared" si="773"/>
        <v>3Q-22</v>
      </c>
      <c r="AX635" s="9" t="str">
        <f t="shared" si="773"/>
        <v>4Q-22</v>
      </c>
      <c r="AY635" s="9" t="str">
        <f t="shared" si="773"/>
        <v>1Q-23</v>
      </c>
      <c r="AZ635" s="9" t="str">
        <f t="shared" si="773"/>
        <v>2Q-23</v>
      </c>
      <c r="BA635" s="9" t="str">
        <f t="shared" si="773"/>
        <v>3Q-23</v>
      </c>
      <c r="BB635" s="9" t="str">
        <f t="shared" si="773"/>
        <v>4Q-23</v>
      </c>
      <c r="BC635" s="9" t="str">
        <f t="shared" si="773"/>
        <v>1Q-24</v>
      </c>
      <c r="BD635" s="9" t="str">
        <f t="shared" si="773"/>
        <v>2Q-24</v>
      </c>
      <c r="BE635" s="9" t="str">
        <f t="shared" si="773"/>
        <v>3Q-24</v>
      </c>
      <c r="BF635" s="9" t="str">
        <f t="shared" si="773"/>
        <v>4Q-24</v>
      </c>
      <c r="BG635" s="9" t="str">
        <f t="shared" si="773"/>
        <v>1Q-25</v>
      </c>
      <c r="BH635" s="9" t="str">
        <f t="shared" si="773"/>
        <v>2Q-25</v>
      </c>
      <c r="BI635" s="9" t="str">
        <f t="shared" si="773"/>
        <v>3Q-25</v>
      </c>
      <c r="BJ635" s="9" t="str">
        <f t="shared" si="773"/>
        <v>4Q-25</v>
      </c>
      <c r="BK635" s="9" t="str">
        <f t="shared" si="773"/>
        <v>1Q-26</v>
      </c>
      <c r="BL635" s="9" t="str">
        <f t="shared" si="773"/>
        <v>2Q-26</v>
      </c>
      <c r="BM635" s="9" t="str">
        <f t="shared" si="773"/>
        <v>3Q-26</v>
      </c>
      <c r="BN635" s="9" t="str">
        <f t="shared" si="773"/>
        <v>4Q-26</v>
      </c>
      <c r="BO635" s="9" t="str">
        <f t="shared" si="773"/>
        <v>1Q-27</v>
      </c>
      <c r="BP635" s="9" t="str">
        <f t="shared" si="773"/>
        <v>2Q-27</v>
      </c>
      <c r="BQ635" s="9" t="str">
        <f t="shared" si="773"/>
        <v>3Q-27</v>
      </c>
      <c r="BR635" s="9" t="str">
        <f t="shared" si="773"/>
        <v>4Q-27</v>
      </c>
      <c r="BS635" s="9" t="str">
        <f t="shared" si="773"/>
        <v>1Q-28</v>
      </c>
      <c r="BT635" s="9" t="str">
        <f t="shared" si="773"/>
        <v>2Q-28</v>
      </c>
      <c r="BU635" s="9" t="str">
        <f t="shared" si="773"/>
        <v>3Q-28</v>
      </c>
      <c r="BV635" s="9" t="str">
        <f t="shared" si="773"/>
        <v>4Q-28</v>
      </c>
      <c r="BW635" s="9" t="str">
        <f t="shared" si="773"/>
        <v>1Q-29</v>
      </c>
      <c r="BX635" s="9" t="str">
        <f t="shared" si="773"/>
        <v>2Q-29</v>
      </c>
      <c r="BY635" s="9" t="str">
        <f t="shared" si="773"/>
        <v>3Q-29</v>
      </c>
      <c r="BZ635" s="9" t="str">
        <f t="shared" si="773"/>
        <v>4Q-29</v>
      </c>
      <c r="CA635" s="9" t="str">
        <f t="shared" si="773"/>
        <v>1Q-30</v>
      </c>
      <c r="CB635" s="9" t="str">
        <f t="shared" si="773"/>
        <v>2Q-30</v>
      </c>
      <c r="CC635" s="9" t="str">
        <f t="shared" si="773"/>
        <v>3Q-30</v>
      </c>
      <c r="CD635" s="9" t="str">
        <f t="shared" si="773"/>
        <v>4Q-30</v>
      </c>
      <c r="CF635" s="9" t="str">
        <f t="shared" ref="CF635:CL635" si="774">+"FY-"&amp;TEXT(CF$5,"yy")-1</f>
        <v>FY-10</v>
      </c>
      <c r="CG635" s="9" t="str">
        <f t="shared" si="774"/>
        <v>FY-11</v>
      </c>
      <c r="CH635" s="9" t="str">
        <f t="shared" si="774"/>
        <v>FY-12</v>
      </c>
      <c r="CI635" s="9" t="str">
        <f t="shared" si="774"/>
        <v>FY-13</v>
      </c>
      <c r="CJ635" s="9" t="str">
        <f t="shared" si="774"/>
        <v>FY-14</v>
      </c>
      <c r="CK635" s="9" t="str">
        <f t="shared" si="774"/>
        <v>FY-15</v>
      </c>
      <c r="CL635" s="9" t="str">
        <f t="shared" si="774"/>
        <v>FY-16</v>
      </c>
      <c r="CM635" s="9" t="str">
        <f>+"FY-"&amp;TEXT(CM$5,"yy")-1</f>
        <v>FY-17</v>
      </c>
      <c r="CN635" s="9" t="str">
        <f t="shared" ref="CN635:CX635" si="775">+"FY-"&amp;TEXT(CN$5,"yy")-1</f>
        <v>FY-18</v>
      </c>
      <c r="CO635" s="9" t="str">
        <f t="shared" si="775"/>
        <v>FY-19</v>
      </c>
      <c r="CP635" s="9" t="str">
        <f t="shared" si="775"/>
        <v>FY-20</v>
      </c>
      <c r="CQ635" s="9" t="str">
        <f t="shared" si="775"/>
        <v>FY-21</v>
      </c>
      <c r="CR635" s="9" t="str">
        <f t="shared" si="775"/>
        <v>FY-22</v>
      </c>
      <c r="CS635" s="9" t="str">
        <f t="shared" si="775"/>
        <v>FY-23</v>
      </c>
      <c r="CT635" s="9" t="str">
        <f t="shared" si="775"/>
        <v>FY-24</v>
      </c>
      <c r="CU635" s="9" t="str">
        <f t="shared" si="775"/>
        <v>FY-25</v>
      </c>
      <c r="CV635" s="9" t="str">
        <f t="shared" si="775"/>
        <v>FY-26</v>
      </c>
      <c r="CW635" s="9" t="str">
        <f t="shared" si="775"/>
        <v>FY-27</v>
      </c>
      <c r="CX635" s="9" t="str">
        <f t="shared" si="775"/>
        <v>FY-28</v>
      </c>
    </row>
    <row r="636" spans="1:103" x14ac:dyDescent="0.25">
      <c r="A636" s="1"/>
      <c r="B636" s="217" t="s">
        <v>424</v>
      </c>
      <c r="C636" s="217"/>
      <c r="D636" s="217"/>
      <c r="E636" s="217"/>
      <c r="F636" s="217"/>
      <c r="G636" s="217"/>
      <c r="H636" s="217"/>
      <c r="I636" s="217"/>
      <c r="J636" s="217"/>
      <c r="K636" s="217"/>
      <c r="L636" s="217"/>
      <c r="M636" s="217"/>
      <c r="N636" s="217"/>
      <c r="O636" s="217"/>
      <c r="P636" s="217"/>
      <c r="Q636" s="217"/>
      <c r="R636" s="217"/>
      <c r="S636" s="206" t="e" cm="1">
        <f t="array" aca="1" ref="S636" ca="1">_xll.VisibleAlpha.UDF.VADetail("ActualOrEstimate",$B$634,"Consensus",S$635)</f>
        <v>#NAME?</v>
      </c>
      <c r="T636" s="206" t="e" cm="1">
        <f t="array" aca="1" ref="T636" ca="1">_xll.VisibleAlpha.UDF.VADetail("ActualOrEstimate",$B$634,"Consensus",T$635)</f>
        <v>#NAME?</v>
      </c>
      <c r="U636" s="206" t="e" cm="1">
        <f t="array" aca="1" ref="U636" ca="1">_xll.VisibleAlpha.UDF.VADetail("ActualOrEstimate",$B$634,"Consensus",U$635)</f>
        <v>#NAME?</v>
      </c>
      <c r="V636" s="206" t="e" cm="1">
        <f t="array" aca="1" ref="V636" ca="1">_xll.VisibleAlpha.UDF.VADetail("ActualOrEstimate",$B$634,"Consensus",V$635)</f>
        <v>#NAME?</v>
      </c>
      <c r="W636" s="206" t="e" cm="1">
        <f t="array" aca="1" ref="W636" ca="1">_xll.VisibleAlpha.UDF.VADetail("ActualOrEstimate",$B$634,"Consensus",W$635)</f>
        <v>#NAME?</v>
      </c>
      <c r="X636" s="206" t="e" cm="1">
        <f t="array" aca="1" ref="X636" ca="1">_xll.VisibleAlpha.UDF.VADetail("ActualOrEstimate",$B$634,"Consensus",X$635)</f>
        <v>#NAME?</v>
      </c>
      <c r="Y636" s="206" t="e" cm="1">
        <f t="array" aca="1" ref="Y636" ca="1">_xll.VisibleAlpha.UDF.VADetail("ActualOrEstimate",$B$634,"Consensus",Y$635)</f>
        <v>#NAME?</v>
      </c>
      <c r="Z636" s="206" t="e" cm="1">
        <f t="array" aca="1" ref="Z636" ca="1">_xll.VisibleAlpha.UDF.VADetail("ActualOrEstimate",$B$634,"Consensus",Z$635)</f>
        <v>#NAME?</v>
      </c>
      <c r="AA636" s="206" t="e" cm="1">
        <f t="array" aca="1" ref="AA636" ca="1">_xll.VisibleAlpha.UDF.VADetail("ActualOrEstimate",$B$634,"Consensus",AA$635)</f>
        <v>#NAME?</v>
      </c>
      <c r="AB636" s="206" t="e" cm="1">
        <f t="array" aca="1" ref="AB636" ca="1">_xll.VisibleAlpha.UDF.VADetail("ActualOrEstimate",$B$634,"Consensus",AB$635)</f>
        <v>#NAME?</v>
      </c>
      <c r="AC636" s="206" t="e" cm="1">
        <f t="array" aca="1" ref="AC636" ca="1">_xll.VisibleAlpha.UDF.VADetail("ActualOrEstimate",$B$634,"Consensus",AC$635)</f>
        <v>#NAME?</v>
      </c>
      <c r="AD636" s="206" t="e" cm="1">
        <f t="array" aca="1" ref="AD636" ca="1">_xll.VisibleAlpha.UDF.VADetail("ActualOrEstimate",$B$634,"Consensus",AD$635)</f>
        <v>#NAME?</v>
      </c>
      <c r="AE636" s="206" t="e" cm="1">
        <f t="array" aca="1" ref="AE636" ca="1">_xll.VisibleAlpha.UDF.VADetail("ActualOrEstimate",$B$634,"Consensus",AE$635)</f>
        <v>#NAME?</v>
      </c>
      <c r="AF636" s="206" t="e" cm="1">
        <f t="array" aca="1" ref="AF636" ca="1">_xll.VisibleAlpha.UDF.VADetail("ActualOrEstimate",$B$634,"Consensus",AF$635)</f>
        <v>#NAME?</v>
      </c>
      <c r="AG636" s="206" t="e" cm="1">
        <f t="array" aca="1" ref="AG636" ca="1">_xll.VisibleAlpha.UDF.VADetail("ActualOrEstimate",$B$634,"Consensus",AG$635)</f>
        <v>#NAME?</v>
      </c>
      <c r="AH636" s="206" t="e" cm="1">
        <f t="array" aca="1" ref="AH636" ca="1">_xll.VisibleAlpha.UDF.VADetail("ActualOrEstimate",$B$634,"Consensus",AH$635)</f>
        <v>#NAME?</v>
      </c>
      <c r="AI636" s="9" t="e" cm="1">
        <f t="array" aca="1" ref="AI636" ca="1">_xll.VisibleAlpha.UDF.VADetail("ActualOrEstimate",$B$634,"Consensus",AI$635)</f>
        <v>#NAME?</v>
      </c>
      <c r="AJ636" s="9" t="e" cm="1">
        <f t="array" aca="1" ref="AJ636" ca="1">_xll.VisibleAlpha.UDF.VADetail("ActualOrEstimate",$B$634,"Consensus",AJ$635)</f>
        <v>#NAME?</v>
      </c>
      <c r="AK636" s="9" t="e" cm="1">
        <f t="array" aca="1" ref="AK636" ca="1">_xll.VisibleAlpha.UDF.VADetail("ActualOrEstimate",$B$634,"Consensus",AK$635)</f>
        <v>#NAME?</v>
      </c>
      <c r="AL636" s="9" t="e" cm="1">
        <f t="array" aca="1" ref="AL636" ca="1">_xll.VisibleAlpha.UDF.VADetail("ActualOrEstimate",$B$634,"Consensus",AL$635)</f>
        <v>#NAME?</v>
      </c>
      <c r="AM636" s="9" t="e" cm="1">
        <f t="array" aca="1" ref="AM636" ca="1">_xll.VisibleAlpha.UDF.VADetail("ActualOrEstimate",$B$634,"Consensus",AM$635)</f>
        <v>#NAME?</v>
      </c>
      <c r="AN636" s="9" t="e" cm="1">
        <f t="array" aca="1" ref="AN636" ca="1">_xll.VisibleAlpha.UDF.VADetail("ActualOrEstimate",$B$634,"Consensus",AN$635)</f>
        <v>#NAME?</v>
      </c>
      <c r="AO636" s="9" t="e" cm="1">
        <f t="array" aca="1" ref="AO636" ca="1">_xll.VisibleAlpha.UDF.VADetail("ActualOrEstimate",$B$634,"Consensus",AO$635)</f>
        <v>#NAME?</v>
      </c>
      <c r="AP636" s="9" t="e" cm="1">
        <f t="array" aca="1" ref="AP636" ca="1">_xll.VisibleAlpha.UDF.VADetail("ActualOrEstimate",$B$634,"Consensus",AP$635)</f>
        <v>#NAME?</v>
      </c>
      <c r="AQ636" s="9" t="e" cm="1">
        <f t="array" aca="1" ref="AQ636" ca="1">_xll.VisibleAlpha.UDF.VADetail("ActualOrEstimate",$B$634,"Consensus",AQ$635)</f>
        <v>#NAME?</v>
      </c>
      <c r="AR636" s="9" t="e" cm="1">
        <f t="array" aca="1" ref="AR636" ca="1">_xll.VisibleAlpha.UDF.VADetail("ActualOrEstimate",$B$634,"Consensus",AR$635)</f>
        <v>#NAME?</v>
      </c>
      <c r="AS636" s="9" t="e" cm="1">
        <f t="array" aca="1" ref="AS636" ca="1">_xll.VisibleAlpha.UDF.VADetail("ActualOrEstimate",$B$634,"Consensus",AS$635)</f>
        <v>#NAME?</v>
      </c>
      <c r="AT636" s="9" t="e" cm="1">
        <f t="array" aca="1" ref="AT636" ca="1">_xll.VisibleAlpha.UDF.VADetail("ActualOrEstimate",$B$634,"Consensus",AT$635)</f>
        <v>#NAME?</v>
      </c>
      <c r="AU636" s="9" t="e" cm="1">
        <f t="array" aca="1" ref="AU636" ca="1">_xll.VisibleAlpha.UDF.VADetail("ActualOrEstimate",$B$634,"Consensus",AU$635)</f>
        <v>#NAME?</v>
      </c>
      <c r="AV636" s="9" t="e" cm="1">
        <f t="array" aca="1" ref="AV636" ca="1">_xll.VisibleAlpha.UDF.VADetail("ActualOrEstimate",$B$634,"Consensus",AV$635)</f>
        <v>#NAME?</v>
      </c>
      <c r="AW636" s="9" t="e" cm="1">
        <f t="array" aca="1" ref="AW636" ca="1">_xll.VisibleAlpha.UDF.VADetail("ActualOrEstimate",$B$634,"Consensus",AW$635)</f>
        <v>#NAME?</v>
      </c>
      <c r="AX636" s="9" t="e" cm="1">
        <f t="array" aca="1" ref="AX636" ca="1">_xll.VisibleAlpha.UDF.VADetail("ActualOrEstimate",$B$634,"Consensus",AX$635)</f>
        <v>#NAME?</v>
      </c>
      <c r="AY636" s="9" t="e" cm="1">
        <f t="array" aca="1" ref="AY636" ca="1">_xll.VisibleAlpha.UDF.VADetail("ActualOrEstimate",$B$634,"Consensus",AY$635)</f>
        <v>#NAME?</v>
      </c>
      <c r="AZ636" s="9" t="e" cm="1">
        <f t="array" aca="1" ref="AZ636" ca="1">_xll.VisibleAlpha.UDF.VADetail("ActualOrEstimate",$B$634,"Consensus",AZ$635)</f>
        <v>#NAME?</v>
      </c>
      <c r="BA636" s="9" t="e" cm="1">
        <f t="array" aca="1" ref="BA636" ca="1">_xll.VisibleAlpha.UDF.VADetail("ActualOrEstimate",$B$634,"Consensus",BA$635)</f>
        <v>#NAME?</v>
      </c>
      <c r="BB636" s="9" t="e" cm="1">
        <f t="array" aca="1" ref="BB636" ca="1">_xll.VisibleAlpha.UDF.VADetail("ActualOrEstimate",$B$634,"Consensus",BB$635)</f>
        <v>#NAME?</v>
      </c>
      <c r="BC636" s="9" t="e" cm="1">
        <f t="array" aca="1" ref="BC636" ca="1">_xll.VisibleAlpha.UDF.VADetail("ActualOrEstimate",$B$634,"Consensus",BC$635)</f>
        <v>#NAME?</v>
      </c>
      <c r="BD636" s="9" t="e" cm="1">
        <f t="array" aca="1" ref="BD636" ca="1">_xll.VisibleAlpha.UDF.VADetail("ActualOrEstimate",$B$634,"Consensus",BD$635)</f>
        <v>#NAME?</v>
      </c>
      <c r="BE636" s="9" t="e" cm="1">
        <f t="array" aca="1" ref="BE636" ca="1">_xll.VisibleAlpha.UDF.VADetail("ActualOrEstimate",$B$634,"Consensus",BE$635)</f>
        <v>#NAME?</v>
      </c>
      <c r="BF636" s="9" t="e" cm="1">
        <f t="array" aca="1" ref="BF636" ca="1">_xll.VisibleAlpha.UDF.VADetail("ActualOrEstimate",$B$634,"Consensus",BF$635)</f>
        <v>#NAME?</v>
      </c>
      <c r="BG636" s="9" t="e" cm="1">
        <f t="array" aca="1" ref="BG636" ca="1">_xll.VisibleAlpha.UDF.VADetail("ActualOrEstimate",$B$634,"Consensus",BG$635)</f>
        <v>#NAME?</v>
      </c>
      <c r="BH636" s="9" t="e" cm="1">
        <f t="array" aca="1" ref="BH636" ca="1">_xll.VisibleAlpha.UDF.VADetail("ActualOrEstimate",$B$634,"Consensus",BH$635)</f>
        <v>#NAME?</v>
      </c>
      <c r="BI636" s="9" t="e" cm="1">
        <f t="array" aca="1" ref="BI636" ca="1">_xll.VisibleAlpha.UDF.VADetail("ActualOrEstimate",$B$634,"Consensus",BI$635)</f>
        <v>#NAME?</v>
      </c>
      <c r="BJ636" s="9" t="e" cm="1">
        <f t="array" aca="1" ref="BJ636" ca="1">_xll.VisibleAlpha.UDF.VADetail("ActualOrEstimate",$B$634,"Consensus",BJ$635)</f>
        <v>#NAME?</v>
      </c>
      <c r="BK636" s="9" t="e" cm="1">
        <f t="array" aca="1" ref="BK636" ca="1">_xll.VisibleAlpha.UDF.VADetail("ActualOrEstimate",$B$634,"Consensus",BK$635)</f>
        <v>#NAME?</v>
      </c>
      <c r="BL636" s="9" t="e" cm="1">
        <f t="array" aca="1" ref="BL636" ca="1">_xll.VisibleAlpha.UDF.VADetail("ActualOrEstimate",$B$634,"Consensus",BL$635)</f>
        <v>#NAME?</v>
      </c>
      <c r="BM636" s="9" t="e" cm="1">
        <f t="array" aca="1" ref="BM636" ca="1">_xll.VisibleAlpha.UDF.VADetail("ActualOrEstimate",$B$634,"Consensus",BM$635)</f>
        <v>#NAME?</v>
      </c>
      <c r="BN636" s="9" t="e" cm="1">
        <f t="array" aca="1" ref="BN636" ca="1">_xll.VisibleAlpha.UDF.VADetail("ActualOrEstimate",$B$634,"Consensus",BN$635)</f>
        <v>#NAME?</v>
      </c>
      <c r="BO636" s="9" t="e" cm="1">
        <f t="array" aca="1" ref="BO636" ca="1">_xll.VisibleAlpha.UDF.VADetail("ActualOrEstimate",$B$634,"Consensus",BO$635)</f>
        <v>#NAME?</v>
      </c>
      <c r="BP636" s="9" t="e" cm="1">
        <f t="array" aca="1" ref="BP636" ca="1">_xll.VisibleAlpha.UDF.VADetail("ActualOrEstimate",$B$634,"Consensus",BP$635)</f>
        <v>#NAME?</v>
      </c>
      <c r="BQ636" s="9" t="e" cm="1">
        <f t="array" aca="1" ref="BQ636" ca="1">_xll.VisibleAlpha.UDF.VADetail("ActualOrEstimate",$B$634,"Consensus",BQ$635)</f>
        <v>#NAME?</v>
      </c>
      <c r="BR636" s="9" t="e" cm="1">
        <f t="array" aca="1" ref="BR636" ca="1">_xll.VisibleAlpha.UDF.VADetail("ActualOrEstimate",$B$634,"Consensus",BR$635)</f>
        <v>#NAME?</v>
      </c>
      <c r="BS636" s="9" t="e" cm="1">
        <f t="array" aca="1" ref="BS636" ca="1">_xll.VisibleAlpha.UDF.VADetail("ActualOrEstimate",$B$634,"Consensus",BS$635)</f>
        <v>#NAME?</v>
      </c>
      <c r="BT636" s="9" t="e" cm="1">
        <f t="array" aca="1" ref="BT636" ca="1">_xll.VisibleAlpha.UDF.VADetail("ActualOrEstimate",$B$634,"Consensus",BT$635)</f>
        <v>#NAME?</v>
      </c>
      <c r="BU636" s="9" t="e" cm="1">
        <f t="array" aca="1" ref="BU636" ca="1">_xll.VisibleAlpha.UDF.VADetail("ActualOrEstimate",$B$634,"Consensus",BU$635)</f>
        <v>#NAME?</v>
      </c>
      <c r="BV636" s="9" t="e" cm="1">
        <f t="array" aca="1" ref="BV636" ca="1">_xll.VisibleAlpha.UDF.VADetail("ActualOrEstimate",$B$634,"Consensus",BV$635)</f>
        <v>#NAME?</v>
      </c>
      <c r="BW636" s="9" t="e" cm="1">
        <f t="array" aca="1" ref="BW636" ca="1">_xll.VisibleAlpha.UDF.VADetail("ActualOrEstimate",$B$634,"Consensus",BW$635)</f>
        <v>#NAME?</v>
      </c>
      <c r="BX636" s="9" t="e" cm="1">
        <f t="array" aca="1" ref="BX636" ca="1">_xll.VisibleAlpha.UDF.VADetail("ActualOrEstimate",$B$634,"Consensus",BX$635)</f>
        <v>#NAME?</v>
      </c>
      <c r="BY636" s="9" t="e" cm="1">
        <f t="array" aca="1" ref="BY636" ca="1">_xll.VisibleAlpha.UDF.VADetail("ActualOrEstimate",$B$634,"Consensus",BY$635)</f>
        <v>#NAME?</v>
      </c>
      <c r="BZ636" s="9" t="e" cm="1">
        <f t="array" aca="1" ref="BZ636" ca="1">_xll.VisibleAlpha.UDF.VADetail("ActualOrEstimate",$B$634,"Consensus",BZ$635)</f>
        <v>#NAME?</v>
      </c>
      <c r="CA636" t="e" cm="1">
        <f t="array" aca="1" ref="CA636" ca="1">_xll.VisibleAlpha.UDF.VADetail("ActualOrEstimate",$B$634,"Consensus",CA$635)</f>
        <v>#NAME?</v>
      </c>
      <c r="CB636" s="206" t="e" cm="1">
        <f t="array" aca="1" ref="CB636" ca="1">_xll.VisibleAlpha.UDF.VADetail("ActualOrEstimate",$B$634,"Consensus",CB$635)</f>
        <v>#NAME?</v>
      </c>
      <c r="CC636" s="206" t="e" cm="1">
        <f t="array" aca="1" ref="CC636" ca="1">_xll.VisibleAlpha.UDF.VADetail("ActualOrEstimate",$B$634,"Consensus",CC$635)</f>
        <v>#NAME?</v>
      </c>
      <c r="CD636" s="206" t="e" cm="1">
        <f t="array" aca="1" ref="CD636" ca="1">_xll.VisibleAlpha.UDF.VADetail("ActualOrEstimate",$B$634,"Consensus",CD$635)</f>
        <v>#NAME?</v>
      </c>
      <c r="CF636" s="206" t="e" cm="1">
        <f t="array" aca="1" ref="CF636" ca="1">_xll.VisibleAlpha.UDF.VADetail("ActualOrEstimate",$B$634,"Consensus",CF$635)</f>
        <v>#NAME?</v>
      </c>
      <c r="CG636" s="206" t="e" cm="1">
        <f t="array" aca="1" ref="CG636" ca="1">_xll.VisibleAlpha.UDF.VADetail("ActualOrEstimate",$B$634,"Consensus",CG$635)</f>
        <v>#NAME?</v>
      </c>
      <c r="CH636" s="206" t="e" cm="1">
        <f t="array" aca="1" ref="CH636" ca="1">_xll.VisibleAlpha.UDF.VADetail("ActualOrEstimate",$B$634,"Consensus",CH$635)</f>
        <v>#NAME?</v>
      </c>
      <c r="CI636" s="9" t="e" cm="1">
        <f t="array" aca="1" ref="CI636" ca="1">_xll.VisibleAlpha.UDF.VADetail("ActualOrEstimate",$B$634,"Consensus",CI$635)</f>
        <v>#NAME?</v>
      </c>
      <c r="CJ636" s="9" t="e" cm="1">
        <f t="array" aca="1" ref="CJ636" ca="1">_xll.VisibleAlpha.UDF.VADetail("ActualOrEstimate",$B$634,"Consensus",CJ$635)</f>
        <v>#NAME?</v>
      </c>
      <c r="CK636" s="9" t="e" cm="1">
        <f t="array" aca="1" ref="CK636" ca="1">_xll.VisibleAlpha.UDF.VADetail("ActualOrEstimate",$B$634,"Consensus",CK$635)</f>
        <v>#NAME?</v>
      </c>
      <c r="CL636" s="9" t="e" cm="1">
        <f t="array" aca="1" ref="CL636" ca="1">_xll.VisibleAlpha.UDF.VADetail("ActualOrEstimate",$B$634,"Consensus",CL$635)</f>
        <v>#NAME?</v>
      </c>
      <c r="CM636" s="9" t="e" cm="1">
        <f t="array" aca="1" ref="CM636" ca="1">_xll.VisibleAlpha.UDF.VADetail("ActualOrEstimate",$B$634,"Consensus",CM$635)</f>
        <v>#NAME?</v>
      </c>
      <c r="CN636" s="9" t="e" cm="1">
        <f t="array" aca="1" ref="CN636" ca="1">_xll.VisibleAlpha.UDF.VADetail("ActualOrEstimate",$B$634,"Consensus",CN$635)</f>
        <v>#NAME?</v>
      </c>
      <c r="CO636" s="9" t="e" cm="1">
        <f t="array" aca="1" ref="CO636" ca="1">_xll.VisibleAlpha.UDF.VADetail("ActualOrEstimate",$B$634,"Consensus",CO$635)</f>
        <v>#NAME?</v>
      </c>
      <c r="CP636" s="9" t="e" cm="1">
        <f t="array" aca="1" ref="CP636" ca="1">_xll.VisibleAlpha.UDF.VADetail("ActualOrEstimate",$B$634,"Consensus",CP$635)</f>
        <v>#NAME?</v>
      </c>
      <c r="CQ636" s="9" t="e" cm="1">
        <f t="array" aca="1" ref="CQ636" ca="1">_xll.VisibleAlpha.UDF.VADetail("ActualOrEstimate",$B$634,"Consensus",CQ$635)</f>
        <v>#NAME?</v>
      </c>
      <c r="CR636" s="9" t="e" cm="1">
        <f t="array" aca="1" ref="CR636" ca="1">_xll.VisibleAlpha.UDF.VADetail("ActualOrEstimate",$B$634,"Consensus",CR$635)</f>
        <v>#NAME?</v>
      </c>
      <c r="CS636" s="9" t="e" cm="1">
        <f t="array" aca="1" ref="CS636" ca="1">_xll.VisibleAlpha.UDF.VADetail("ActualOrEstimate",$B$634,"Consensus",CS$635)</f>
        <v>#NAME?</v>
      </c>
      <c r="CT636" s="9" t="e" cm="1">
        <f t="array" aca="1" ref="CT636" ca="1">_xll.VisibleAlpha.UDF.VADetail("ActualOrEstimate",$B$634,"Consensus",CT$635)</f>
        <v>#NAME?</v>
      </c>
      <c r="CU636" s="9" t="e" cm="1">
        <f t="array" aca="1" ref="CU636" ca="1">_xll.VisibleAlpha.UDF.VADetail("ActualOrEstimate",$B$634,"Consensus",CU$635)</f>
        <v>#NAME?</v>
      </c>
      <c r="CV636" s="9" t="e" cm="1">
        <f t="array" aca="1" ref="CV636" ca="1">_xll.VisibleAlpha.UDF.VADetail("ActualOrEstimate",$B$634,"Consensus",CV$635)</f>
        <v>#NAME?</v>
      </c>
      <c r="CW636" s="9" t="e" cm="1">
        <f t="array" aca="1" ref="CW636" ca="1">_xll.VisibleAlpha.UDF.VADetail("ActualOrEstimate",$B$634,"Consensus",CW$635)</f>
        <v>#NAME?</v>
      </c>
      <c r="CX636" s="9" t="e" cm="1">
        <f t="array" aca="1" ref="CX636" ca="1">_xll.VisibleAlpha.UDF.VADetail("ActualOrEstimate",$B$634,"Consensus",CX$635)</f>
        <v>#NAME?</v>
      </c>
    </row>
    <row r="637" spans="1:103" x14ac:dyDescent="0.25">
      <c r="A637" s="1"/>
      <c r="B637" s="217" t="s">
        <v>425</v>
      </c>
      <c r="C637" s="217"/>
      <c r="D637" s="217"/>
      <c r="E637" s="217"/>
      <c r="F637" s="217"/>
      <c r="G637" s="217"/>
      <c r="H637" s="217"/>
      <c r="I637" s="217"/>
      <c r="J637" s="217"/>
      <c r="K637" s="217"/>
      <c r="L637" s="217"/>
      <c r="M637" s="217"/>
      <c r="N637" s="217"/>
      <c r="O637" s="217"/>
      <c r="P637" s="217"/>
      <c r="Q637" s="217"/>
      <c r="R637" s="217"/>
      <c r="S637" s="165" t="e">
        <f t="shared" ref="S637:BZ637" ca="1" si="776">IF(S636="A","VA Actuals","Consensus")</f>
        <v>#NAME?</v>
      </c>
      <c r="T637" s="165" t="e">
        <f t="shared" ca="1" si="776"/>
        <v>#NAME?</v>
      </c>
      <c r="U637" s="165" t="e">
        <f t="shared" ca="1" si="776"/>
        <v>#NAME?</v>
      </c>
      <c r="V637" s="165" t="e">
        <f t="shared" ca="1" si="776"/>
        <v>#NAME?</v>
      </c>
      <c r="W637" s="165" t="e">
        <f t="shared" ca="1" si="776"/>
        <v>#NAME?</v>
      </c>
      <c r="X637" s="165" t="e">
        <f t="shared" ca="1" si="776"/>
        <v>#NAME?</v>
      </c>
      <c r="Y637" s="165" t="e">
        <f t="shared" ca="1" si="776"/>
        <v>#NAME?</v>
      </c>
      <c r="Z637" s="165" t="e">
        <f t="shared" ca="1" si="776"/>
        <v>#NAME?</v>
      </c>
      <c r="AA637" s="165" t="e">
        <f t="shared" ca="1" si="776"/>
        <v>#NAME?</v>
      </c>
      <c r="AB637" s="165" t="e">
        <f t="shared" ca="1" si="776"/>
        <v>#NAME?</v>
      </c>
      <c r="AC637" s="165" t="e">
        <f t="shared" ca="1" si="776"/>
        <v>#NAME?</v>
      </c>
      <c r="AD637" s="165" t="e">
        <f t="shared" ca="1" si="776"/>
        <v>#NAME?</v>
      </c>
      <c r="AE637" s="165" t="e">
        <f t="shared" ca="1" si="776"/>
        <v>#NAME?</v>
      </c>
      <c r="AF637" s="165" t="e">
        <f t="shared" ca="1" si="776"/>
        <v>#NAME?</v>
      </c>
      <c r="AG637" s="165" t="e">
        <f t="shared" ca="1" si="776"/>
        <v>#NAME?</v>
      </c>
      <c r="AH637" s="165" t="e">
        <f t="shared" ca="1" si="776"/>
        <v>#NAME?</v>
      </c>
      <c r="AI637" s="10" t="e">
        <f t="shared" ca="1" si="776"/>
        <v>#NAME?</v>
      </c>
      <c r="AJ637" s="10" t="e">
        <f t="shared" ca="1" si="776"/>
        <v>#NAME?</v>
      </c>
      <c r="AK637" s="10" t="e">
        <f t="shared" ca="1" si="776"/>
        <v>#NAME?</v>
      </c>
      <c r="AL637" s="10" t="e">
        <f t="shared" ca="1" si="776"/>
        <v>#NAME?</v>
      </c>
      <c r="AM637" s="10" t="e">
        <f t="shared" ca="1" si="776"/>
        <v>#NAME?</v>
      </c>
      <c r="AN637" s="10" t="e">
        <f t="shared" ca="1" si="776"/>
        <v>#NAME?</v>
      </c>
      <c r="AO637" s="10" t="e">
        <f t="shared" ca="1" si="776"/>
        <v>#NAME?</v>
      </c>
      <c r="AP637" s="10" t="e">
        <f t="shared" ca="1" si="776"/>
        <v>#NAME?</v>
      </c>
      <c r="AQ637" s="10" t="e">
        <f t="shared" ca="1" si="776"/>
        <v>#NAME?</v>
      </c>
      <c r="AR637" s="10" t="e">
        <f t="shared" ca="1" si="776"/>
        <v>#NAME?</v>
      </c>
      <c r="AS637" s="10" t="e">
        <f t="shared" ca="1" si="776"/>
        <v>#NAME?</v>
      </c>
      <c r="AT637" s="10" t="e">
        <f t="shared" ca="1" si="776"/>
        <v>#NAME?</v>
      </c>
      <c r="AU637" s="10" t="e">
        <f t="shared" ca="1" si="776"/>
        <v>#NAME?</v>
      </c>
      <c r="AV637" s="10" t="e">
        <f t="shared" ca="1" si="776"/>
        <v>#NAME?</v>
      </c>
      <c r="AW637" s="10" t="e">
        <f t="shared" ca="1" si="776"/>
        <v>#NAME?</v>
      </c>
      <c r="AX637" s="10" t="e">
        <f t="shared" ca="1" si="776"/>
        <v>#NAME?</v>
      </c>
      <c r="AY637" s="10" t="e">
        <f t="shared" ca="1" si="776"/>
        <v>#NAME?</v>
      </c>
      <c r="AZ637" s="10" t="e">
        <f t="shared" ca="1" si="776"/>
        <v>#NAME?</v>
      </c>
      <c r="BA637" s="10" t="e">
        <f t="shared" ca="1" si="776"/>
        <v>#NAME?</v>
      </c>
      <c r="BB637" s="10" t="e">
        <f t="shared" ca="1" si="776"/>
        <v>#NAME?</v>
      </c>
      <c r="BC637" s="10" t="e">
        <f t="shared" ca="1" si="776"/>
        <v>#NAME?</v>
      </c>
      <c r="BD637" s="10" t="e">
        <f t="shared" ca="1" si="776"/>
        <v>#NAME?</v>
      </c>
      <c r="BE637" s="10" t="e">
        <f t="shared" ca="1" si="776"/>
        <v>#NAME?</v>
      </c>
      <c r="BF637" s="10" t="e">
        <f t="shared" ca="1" si="776"/>
        <v>#NAME?</v>
      </c>
      <c r="BG637" s="10" t="e">
        <f t="shared" ca="1" si="776"/>
        <v>#NAME?</v>
      </c>
      <c r="BH637" s="10" t="e">
        <f t="shared" ca="1" si="776"/>
        <v>#NAME?</v>
      </c>
      <c r="BI637" s="10" t="e">
        <f t="shared" ca="1" si="776"/>
        <v>#NAME?</v>
      </c>
      <c r="BJ637" s="10" t="e">
        <f t="shared" ca="1" si="776"/>
        <v>#NAME?</v>
      </c>
      <c r="BK637" s="10" t="e">
        <f t="shared" ca="1" si="776"/>
        <v>#NAME?</v>
      </c>
      <c r="BL637" s="10" t="e">
        <f t="shared" ca="1" si="776"/>
        <v>#NAME?</v>
      </c>
      <c r="BM637" s="10" t="e">
        <f t="shared" ca="1" si="776"/>
        <v>#NAME?</v>
      </c>
      <c r="BN637" s="10" t="e">
        <f t="shared" ca="1" si="776"/>
        <v>#NAME?</v>
      </c>
      <c r="BO637" s="10" t="e">
        <f t="shared" ca="1" si="776"/>
        <v>#NAME?</v>
      </c>
      <c r="BP637" s="10" t="e">
        <f t="shared" ca="1" si="776"/>
        <v>#NAME?</v>
      </c>
      <c r="BQ637" s="10" t="e">
        <f t="shared" ca="1" si="776"/>
        <v>#NAME?</v>
      </c>
      <c r="BR637" s="10" t="e">
        <f t="shared" ca="1" si="776"/>
        <v>#NAME?</v>
      </c>
      <c r="BS637" s="10" t="e">
        <f t="shared" ca="1" si="776"/>
        <v>#NAME?</v>
      </c>
      <c r="BT637" s="10" t="e">
        <f t="shared" ca="1" si="776"/>
        <v>#NAME?</v>
      </c>
      <c r="BU637" s="10" t="e">
        <f t="shared" ca="1" si="776"/>
        <v>#NAME?</v>
      </c>
      <c r="BV637" s="10" t="e">
        <f t="shared" ca="1" si="776"/>
        <v>#NAME?</v>
      </c>
      <c r="BW637" s="10" t="e">
        <f t="shared" ca="1" si="776"/>
        <v>#NAME?</v>
      </c>
      <c r="BX637" s="10" t="e">
        <f t="shared" ca="1" si="776"/>
        <v>#NAME?</v>
      </c>
      <c r="BY637" s="10" t="e">
        <f t="shared" ca="1" si="776"/>
        <v>#NAME?</v>
      </c>
      <c r="BZ637" s="10" t="e">
        <f t="shared" ca="1" si="776"/>
        <v>#NAME?</v>
      </c>
      <c r="CB637" s="165" t="s">
        <v>333</v>
      </c>
      <c r="CC637" s="165" t="s">
        <v>333</v>
      </c>
      <c r="CD637" s="165" t="s">
        <v>333</v>
      </c>
      <c r="CF637" s="165" t="s">
        <v>333</v>
      </c>
      <c r="CG637" s="165" t="s">
        <v>333</v>
      </c>
      <c r="CH637" s="165" t="s">
        <v>333</v>
      </c>
      <c r="CI637" s="10" t="s">
        <v>333</v>
      </c>
      <c r="CJ637" s="10" t="s">
        <v>333</v>
      </c>
      <c r="CK637" s="10" t="s">
        <v>333</v>
      </c>
      <c r="CL637" s="10" t="s">
        <v>333</v>
      </c>
      <c r="CM637" s="10" t="s">
        <v>333</v>
      </c>
      <c r="CN637" s="10" t="s">
        <v>333</v>
      </c>
      <c r="CO637" s="10" t="e">
        <f t="shared" ref="CO637:CX637" ca="1" si="777">IF(CO636="A","VA Actuals","Consensus")</f>
        <v>#NAME?</v>
      </c>
      <c r="CP637" s="10" t="e">
        <f t="shared" ca="1" si="777"/>
        <v>#NAME?</v>
      </c>
      <c r="CQ637" s="10" t="e">
        <f t="shared" ca="1" si="777"/>
        <v>#NAME?</v>
      </c>
      <c r="CR637" s="10" t="e">
        <f t="shared" ca="1" si="777"/>
        <v>#NAME?</v>
      </c>
      <c r="CS637" s="10" t="e">
        <f t="shared" ca="1" si="777"/>
        <v>#NAME?</v>
      </c>
      <c r="CT637" s="10" t="e">
        <f t="shared" ca="1" si="777"/>
        <v>#NAME?</v>
      </c>
      <c r="CU637" s="10" t="e">
        <f t="shared" ca="1" si="777"/>
        <v>#NAME?</v>
      </c>
      <c r="CV637" s="10" t="e">
        <f t="shared" ca="1" si="777"/>
        <v>#NAME?</v>
      </c>
      <c r="CW637" s="10" t="e">
        <f t="shared" ca="1" si="777"/>
        <v>#NAME?</v>
      </c>
      <c r="CX637" s="10" t="e">
        <f t="shared" ca="1" si="777"/>
        <v>#NAME?</v>
      </c>
    </row>
    <row r="638" spans="1:103" x14ac:dyDescent="0.25">
      <c r="A638" s="1"/>
      <c r="S638" s="165"/>
      <c r="T638" s="165"/>
      <c r="U638" s="165"/>
      <c r="V638" s="165"/>
      <c r="W638" s="165"/>
      <c r="X638" s="165"/>
      <c r="Y638" s="165"/>
      <c r="Z638" s="165"/>
      <c r="AA638" s="165"/>
      <c r="AB638" s="165"/>
      <c r="AC638" s="165"/>
      <c r="AD638" s="165"/>
      <c r="AE638" s="165"/>
      <c r="AF638" s="165"/>
      <c r="AG638" s="165"/>
      <c r="AH638" s="165"/>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B638" s="165"/>
      <c r="CC638" s="165"/>
      <c r="CD638" s="165"/>
      <c r="CF638" s="165"/>
      <c r="CG638" s="165"/>
      <c r="CH638" s="165"/>
      <c r="CI638" s="10"/>
      <c r="CJ638" s="10"/>
      <c r="CK638" s="10"/>
      <c r="CL638" s="10"/>
      <c r="CM638" s="10"/>
      <c r="CN638" s="10"/>
      <c r="CO638" s="10"/>
      <c r="CP638" s="10"/>
      <c r="CQ638" s="10"/>
      <c r="CR638" s="10"/>
      <c r="CS638" s="10"/>
      <c r="CT638" s="10"/>
      <c r="CU638" s="10"/>
      <c r="CV638" s="10"/>
      <c r="CW638" s="10"/>
      <c r="CX638" s="10"/>
    </row>
    <row r="639" spans="1:103" s="10" customFormat="1" x14ac:dyDescent="0.25">
      <c r="A639" s="9"/>
      <c r="B639" s="112" t="s">
        <v>426</v>
      </c>
      <c r="C639" s="112"/>
      <c r="D639" s="112"/>
      <c r="E639" s="112"/>
      <c r="F639" s="112"/>
      <c r="G639" s="112"/>
      <c r="H639" s="112"/>
      <c r="I639" s="112"/>
      <c r="J639" s="112"/>
      <c r="K639" s="112"/>
      <c r="L639" s="112"/>
      <c r="M639" s="112"/>
      <c r="N639" s="112"/>
      <c r="O639" s="112"/>
      <c r="P639" s="112"/>
      <c r="Q639" s="112"/>
      <c r="R639" s="112"/>
      <c r="S639" s="57" t="s">
        <v>336</v>
      </c>
      <c r="T639" s="57" t="s">
        <v>336</v>
      </c>
      <c r="U639" s="57" t="s">
        <v>336</v>
      </c>
      <c r="V639" s="57" t="s">
        <v>336</v>
      </c>
      <c r="W639" s="57">
        <v>3375</v>
      </c>
      <c r="X639" s="57">
        <v>4387.5</v>
      </c>
      <c r="Y639" s="57">
        <v>8986.875</v>
      </c>
      <c r="Z639" s="57">
        <v>2578.75</v>
      </c>
      <c r="AA639" s="57">
        <v>3500</v>
      </c>
      <c r="AB639" s="57">
        <v>3900</v>
      </c>
      <c r="AC639" s="57">
        <v>9700</v>
      </c>
      <c r="AD639" s="57">
        <v>2900</v>
      </c>
      <c r="AE639" s="57">
        <v>3800</v>
      </c>
      <c r="AF639" s="57">
        <v>4200</v>
      </c>
      <c r="AG639" s="57">
        <v>9000</v>
      </c>
      <c r="AH639" s="57">
        <v>2500</v>
      </c>
      <c r="AI639" s="57">
        <v>3200</v>
      </c>
      <c r="AJ639" s="57">
        <v>3900</v>
      </c>
      <c r="AK639" s="57">
        <v>8100</v>
      </c>
      <c r="AL639" s="57">
        <v>2600</v>
      </c>
      <c r="AM639" s="57">
        <v>3200</v>
      </c>
      <c r="AN639" s="57">
        <v>2800</v>
      </c>
      <c r="AO639" s="57">
        <v>6100</v>
      </c>
      <c r="AP639" s="57">
        <v>1400</v>
      </c>
      <c r="AQ639" s="57">
        <v>1900</v>
      </c>
      <c r="AR639" s="57">
        <v>1500</v>
      </c>
      <c r="AS639" s="57">
        <v>6200</v>
      </c>
      <c r="AT639" s="57">
        <v>4300</v>
      </c>
      <c r="AU639" s="57">
        <v>2800</v>
      </c>
      <c r="AV639" s="57">
        <v>3500</v>
      </c>
      <c r="AW639" s="57">
        <v>4100</v>
      </c>
      <c r="AX639" s="57">
        <v>2100</v>
      </c>
      <c r="AY639" s="57">
        <v>2400</v>
      </c>
      <c r="AZ639" s="57">
        <v>3300</v>
      </c>
      <c r="BA639" s="57">
        <v>7100</v>
      </c>
      <c r="BB639" s="57">
        <v>6300</v>
      </c>
      <c r="BC639" s="57">
        <v>3300</v>
      </c>
      <c r="BD639" s="57">
        <v>4900</v>
      </c>
      <c r="BE639" s="57">
        <v>8200</v>
      </c>
      <c r="BF639" s="57" t="e" cm="1">
        <f t="array" aca="1" ref="BF639" ca="1">_xll.VisibleAlpha.UDF.VAData($B$634,BF$635,$B639,BF$637,$B$637,$B$636,$B$635)</f>
        <v>#NAME?</v>
      </c>
      <c r="BG639" s="57" t="e" cm="1">
        <f t="array" aca="1" ref="BG639" ca="1">_xll.VisibleAlpha.UDF.VAData($B$634,BG$635,$B639,BG$637,$B$637,$B$636,$B$635)</f>
        <v>#NAME?</v>
      </c>
      <c r="BH639" s="142" t="e" cm="1">
        <f t="array" aca="1" ref="BH639" ca="1">_xll.VisibleAlpha.UDF.VAData($B$634,BH$635,$B639,BH$637,$B$637,$B$636,$B$635)</f>
        <v>#NAME?</v>
      </c>
      <c r="BI639" s="142" t="e" cm="1">
        <f t="array" aca="1" ref="BI639" ca="1">_xll.VisibleAlpha.UDF.VAData($B$634,BI$635,$B639,BI$637,$B$637,$B$636,$B$635)</f>
        <v>#NAME?</v>
      </c>
      <c r="BJ639" s="142" t="e" cm="1">
        <f t="array" aca="1" ref="BJ639" ca="1">_xll.VisibleAlpha.UDF.VAData($B$634,BJ$635,$B639,BJ$637,$B$637,$B$636,$B$635)</f>
        <v>#NAME?</v>
      </c>
      <c r="BK639" s="142" t="e" cm="1">
        <f t="array" aca="1" ref="BK639" ca="1">_xll.VisibleAlpha.UDF.VAData($B$634,BK$635,$B639,BK$637,$B$637,$B$636,$B$635)</f>
        <v>#NAME?</v>
      </c>
      <c r="BL639" s="142" t="e" cm="1">
        <f t="array" aca="1" ref="BL639" ca="1">_xll.VisibleAlpha.UDF.VAData($B$634,BL$635,$B639,BL$637,$B$637,$B$636,$B$635)</f>
        <v>#NAME?</v>
      </c>
      <c r="BM639" s="142" t="e" cm="1">
        <f t="array" aca="1" ref="BM639" ca="1">_xll.VisibleAlpha.UDF.VAData($B$634,BM$635,$B639,BM$637,$B$637,$B$636,$B$635)</f>
        <v>#NAME?</v>
      </c>
      <c r="BN639" s="142" t="e" cm="1">
        <f t="array" aca="1" ref="BN639" ca="1">_xll.VisibleAlpha.UDF.VAData($B$634,BN$635,$B639,BN$637,$B$637,$B$636,$B$635)</f>
        <v>#NAME?</v>
      </c>
      <c r="BO639" s="142" t="e" cm="1">
        <f t="array" aca="1" ref="BO639" ca="1">_xll.VisibleAlpha.UDF.VAData($B$634,BO$635,$B639,BO$637,$B$637,$B$636,$B$635)</f>
        <v>#NAME?</v>
      </c>
      <c r="BP639" s="142" t="e" cm="1">
        <f t="array" aca="1" ref="BP639" ca="1">_xll.VisibleAlpha.UDF.VAData($B$634,BP$635,$B639,BP$637,$B$637,$B$636,$B$635)</f>
        <v>#NAME?</v>
      </c>
      <c r="BQ639" s="142" t="e" cm="1">
        <f t="array" aca="1" ref="BQ639" ca="1">_xll.VisibleAlpha.UDF.VAData($B$634,BQ$635,$B639,BQ$637,$B$637,$B$636,$B$635)</f>
        <v>#NAME?</v>
      </c>
      <c r="BR639" s="142" t="e" cm="1">
        <f t="array" aca="1" ref="BR639" ca="1">_xll.VisibleAlpha.UDF.VAData($B$634,BR$635,$B639,BR$637,$B$637,$B$636,$B$635)</f>
        <v>#NAME?</v>
      </c>
      <c r="BS639" s="142" t="e" cm="1">
        <f t="array" aca="1" ref="BS639" ca="1">_xll.VisibleAlpha.UDF.VAData($B$634,BS$635,$B639,BS$637,$B$637,$B$636,$B$635)</f>
        <v>#NAME?</v>
      </c>
      <c r="BT639" s="142" t="e" cm="1">
        <f t="array" aca="1" ref="BT639" ca="1">_xll.VisibleAlpha.UDF.VAData($B$634,BT$635,$B639,BT$637,$B$637,$B$636,$B$635)</f>
        <v>#NAME?</v>
      </c>
      <c r="BU639" s="142" t="e" cm="1">
        <f t="array" aca="1" ref="BU639" ca="1">_xll.VisibleAlpha.UDF.VAData($B$634,BU$635,$B639,BU$637,$B$637,$B$636,$B$635)</f>
        <v>#NAME?</v>
      </c>
      <c r="BV639" s="142" t="e" cm="1">
        <f t="array" aca="1" ref="BV639" ca="1">_xll.VisibleAlpha.UDF.VAData($B$634,BV$635,$B639,BV$637,$B$637,$B$636,$B$635)</f>
        <v>#NAME?</v>
      </c>
      <c r="BW639" s="142" t="e" cm="1">
        <f t="array" aca="1" ref="BW639" ca="1">_xll.VisibleAlpha.UDF.VAData($B$634,BW$635,$B639,BW$637,$B$637,$B$636,$B$635)</f>
        <v>#NAME?</v>
      </c>
      <c r="BX639" s="142" t="e" cm="1">
        <f t="array" aca="1" ref="BX639" ca="1">_xll.VisibleAlpha.UDF.VAData($B$634,BX$635,$B639,BX$637,$B$637,$B$636,$B$635)</f>
        <v>#NAME?</v>
      </c>
      <c r="BY639" s="142" t="e" cm="1">
        <f t="array" aca="1" ref="BY639" ca="1">_xll.VisibleAlpha.UDF.VAData($B$634,BY$635,$B639,BY$637,$B$637,$B$636,$B$635)</f>
        <v>#NAME?</v>
      </c>
      <c r="BZ639" s="142" t="e" cm="1">
        <f t="array" aca="1" ref="BZ639" ca="1">_xll.VisibleAlpha.UDF.VAData($B$634,BZ$635,$B639,BZ$637,$B$637,$B$636,$B$635)</f>
        <v>#NAME?</v>
      </c>
      <c r="CA639" s="10" t="e" cm="1">
        <f t="array" aca="1" ref="CA639" ca="1">_xll.VisibleAlpha.UDF.VAData($B$634,CA$635,$B639,CA$637,$B$637,$B$636,$B$635)</f>
        <v>#NAME?</v>
      </c>
      <c r="CB639" s="57" t="e" cm="1">
        <f t="array" aca="1" ref="CB639" ca="1">_xll.VisibleAlpha.UDF.VAData($B$634,CB$635,$B639,CB$637,$B$637,$B$636,$B$635)</f>
        <v>#NAME?</v>
      </c>
      <c r="CC639" s="57" t="e" cm="1">
        <f t="array" aca="1" ref="CC639" ca="1">_xll.VisibleAlpha.UDF.VAData($B$634,CC$635,$B639,CC$637,$B$637,$B$636,$B$635)</f>
        <v>#NAME?</v>
      </c>
      <c r="CD639" s="57" t="e" cm="1">
        <f t="array" aca="1" ref="CD639" ca="1">_xll.VisibleAlpha.UDF.VAData($B$634,CD$635,$B639,CD$637,$B$637,$B$636,$B$635)</f>
        <v>#NAME?</v>
      </c>
      <c r="CE639"/>
      <c r="CF639" s="57" t="e" cm="1">
        <f t="array" aca="1" ref="CF639" ca="1">_xll.VisibleAlpha.UDF.VAData($B$634,CF$635,$B639,CF$637,$B$637,$B$636,$B$635)</f>
        <v>#NAME?</v>
      </c>
      <c r="CG639" s="57" t="e" cm="1">
        <f t="array" aca="1" ref="CG639" ca="1">_xll.VisibleAlpha.UDF.VAData($B$634,CG$635,$B639,CG$637,$B$637,$B$636,$B$635)</f>
        <v>#NAME?</v>
      </c>
      <c r="CH639" s="57" t="e" cm="1">
        <f t="array" aca="1" ref="CH639" ca="1">_xll.VisibleAlpha.UDF.VAData($B$634,CH$635,$B639,CH$637,$B$637,$B$636,$B$635)</f>
        <v>#NAME?</v>
      </c>
      <c r="CI639" s="57" t="e" cm="1">
        <f t="array" aca="1" ref="CI639" ca="1">_xll.VisibleAlpha.UDF.VAData($B$634,CI$635,$B639,CI$637,$B$637,$B$636,$B$635)</f>
        <v>#NAME?</v>
      </c>
      <c r="CJ639" s="57" t="e" cm="1">
        <f t="array" aca="1" ref="CJ639" ca="1">_xll.VisibleAlpha.UDF.VAData($B$634,CJ$635,$B639,CJ$637,$B$637,$B$636,$B$635)</f>
        <v>#NAME?</v>
      </c>
      <c r="CK639" s="57" t="e" cm="1">
        <f t="array" aca="1" ref="CK639" ca="1">_xll.VisibleAlpha.UDF.VAData($B$634,CK$635,$B639,CK$637,$B$637,$B$636,$B$635)</f>
        <v>#NAME?</v>
      </c>
      <c r="CL639" s="57" t="e" cm="1">
        <f t="array" aca="1" ref="CL639" ca="1">_xll.VisibleAlpha.UDF.VAData($B$634,CL$635,$B639,CL$637,$B$637,$B$636,$B$635)</f>
        <v>#NAME?</v>
      </c>
      <c r="CM639" s="57" t="e" cm="1">
        <f t="array" aca="1" ref="CM639" ca="1">_xll.VisibleAlpha.UDF.VAData($B$634,CM$635,$B639,CM$637,$B$637,$B$636,$B$635)</f>
        <v>#NAME?</v>
      </c>
      <c r="CN639" s="57" t="e" cm="1">
        <f t="array" aca="1" ref="CN639" ca="1">_xll.VisibleAlpha.UDF.VAData($B$634,CN$635,$B639,CN$637,$B$637,$B$636,$B$635)</f>
        <v>#NAME?</v>
      </c>
      <c r="CO639" s="142" t="e" cm="1">
        <f t="array" aca="1" ref="CO639" ca="1">_xll.VisibleAlpha.UDF.VAData($B$634,CO$635,$B639,CO$637,$B$637,$B$636,$B$635)</f>
        <v>#NAME?</v>
      </c>
      <c r="CP639" s="142" t="e" cm="1">
        <f t="array" aca="1" ref="CP639" ca="1">_xll.VisibleAlpha.UDF.VAData($B$634,CP$635,$B639,CP$637,$B$637,$B$636,$B$635)</f>
        <v>#NAME?</v>
      </c>
      <c r="CQ639" s="142" t="e" cm="1">
        <f t="array" aca="1" ref="CQ639" ca="1">_xll.VisibleAlpha.UDF.VAData($B$634,CQ$635,$B639,CQ$637,$B$637,$B$636,$B$635)</f>
        <v>#NAME?</v>
      </c>
      <c r="CR639" s="142" t="e" cm="1">
        <f t="array" aca="1" ref="CR639" ca="1">_xll.VisibleAlpha.UDF.VAData($B$634,CR$635,$B639,CR$637,$B$637,$B$636,$B$635)</f>
        <v>#NAME?</v>
      </c>
      <c r="CS639" s="142" t="e" cm="1">
        <f t="array" aca="1" ref="CS639" ca="1">_xll.VisibleAlpha.UDF.VAData($B$634,CS$635,$B639,CS$637,$B$637,$B$636,$B$635)</f>
        <v>#NAME?</v>
      </c>
      <c r="CT639" s="142" t="e" cm="1">
        <f t="array" aca="1" ref="CT639" ca="1">_xll.VisibleAlpha.UDF.VAData($B$634,CT$635,$B639,CT$637,$B$637,$B$636,$B$635)</f>
        <v>#NAME?</v>
      </c>
      <c r="CU639" s="142" t="e" cm="1">
        <f t="array" aca="1" ref="CU639" ca="1">_xll.VisibleAlpha.UDF.VAData($B$634,CU$635,$B639,CU$637,$B$637,$B$636,$B$635)</f>
        <v>#NAME?</v>
      </c>
      <c r="CV639" s="142" t="e" cm="1">
        <f t="array" aca="1" ref="CV639" ca="1">_xll.VisibleAlpha.UDF.VAData($B$634,CV$635,$B639,CV$637,$B$637,$B$636,$B$635)</f>
        <v>#NAME?</v>
      </c>
      <c r="CW639" s="142" t="e" cm="1">
        <f t="array" aca="1" ref="CW639" ca="1">_xll.VisibleAlpha.UDF.VAData($B$634,CW$635,$B639,CW$637,$B$637,$B$636,$B$635)</f>
        <v>#NAME?</v>
      </c>
      <c r="CX639" s="142" t="e" cm="1">
        <f t="array" aca="1" ref="CX639" ca="1">_xll.VisibleAlpha.UDF.VAData($B$634,CX$635,$B639,CX$637,$B$637,$B$636,$B$635)</f>
        <v>#NAME?</v>
      </c>
    </row>
    <row r="640" spans="1:103" x14ac:dyDescent="0.25">
      <c r="A640" s="1"/>
      <c r="B640" s="26" t="s">
        <v>427</v>
      </c>
      <c r="C640" s="26"/>
      <c r="D640" s="26"/>
      <c r="E640" s="26"/>
      <c r="F640" s="26"/>
      <c r="G640" s="26"/>
      <c r="H640" s="26"/>
      <c r="I640" s="26"/>
      <c r="J640" s="26"/>
      <c r="K640" s="26"/>
      <c r="L640" s="26"/>
      <c r="M640" s="26"/>
      <c r="N640" s="26"/>
      <c r="O640" s="26"/>
      <c r="P640" s="26"/>
      <c r="Q640" s="26"/>
      <c r="R640" s="26"/>
      <c r="S640" s="24" t="s">
        <v>336</v>
      </c>
      <c r="T640" s="24" t="s">
        <v>336</v>
      </c>
      <c r="U640" s="24" t="s">
        <v>336</v>
      </c>
      <c r="V640" s="24" t="s">
        <v>336</v>
      </c>
      <c r="W640" s="24">
        <v>435</v>
      </c>
      <c r="X640" s="24">
        <v>435</v>
      </c>
      <c r="Y640" s="24">
        <v>725</v>
      </c>
      <c r="Z640" s="24">
        <v>350</v>
      </c>
      <c r="AA640" s="24">
        <v>233.33333333333334</v>
      </c>
      <c r="AB640" s="24">
        <v>296.66666666666669</v>
      </c>
      <c r="AC640" s="24">
        <v>516.66666666666663</v>
      </c>
      <c r="AD640" s="24">
        <v>296.66666666666669</v>
      </c>
      <c r="AE640" s="24">
        <v>250</v>
      </c>
      <c r="AF640" s="24">
        <v>250</v>
      </c>
      <c r="AG640" s="24">
        <v>316.66666666666669</v>
      </c>
      <c r="AH640" s="24">
        <v>225</v>
      </c>
      <c r="AI640" s="24">
        <v>200</v>
      </c>
      <c r="AJ640" s="24">
        <v>300</v>
      </c>
      <c r="AK640" s="24">
        <v>300</v>
      </c>
      <c r="AL640" s="24">
        <v>300</v>
      </c>
      <c r="AM640" s="24">
        <v>125</v>
      </c>
      <c r="AN640" s="24">
        <v>200</v>
      </c>
      <c r="AO640" s="24">
        <v>250</v>
      </c>
      <c r="AP640" s="24">
        <v>200</v>
      </c>
      <c r="AQ640" s="24">
        <v>200</v>
      </c>
      <c r="AR640" s="24">
        <v>300</v>
      </c>
      <c r="AS640" s="24">
        <v>300</v>
      </c>
      <c r="AT640" s="24">
        <v>200</v>
      </c>
      <c r="AU640" s="24">
        <v>50</v>
      </c>
      <c r="AV640" s="24">
        <v>160</v>
      </c>
      <c r="AW640" s="24">
        <v>790</v>
      </c>
      <c r="AX640" s="24" t="s">
        <v>336</v>
      </c>
      <c r="AY640" s="24">
        <v>300</v>
      </c>
      <c r="AZ640" s="24">
        <v>300</v>
      </c>
      <c r="BA640" s="24">
        <v>300</v>
      </c>
      <c r="BB640" s="24" t="s">
        <v>336</v>
      </c>
      <c r="BC640" s="24">
        <v>300</v>
      </c>
      <c r="BD640" s="24">
        <v>300</v>
      </c>
      <c r="BE640" s="24">
        <v>300</v>
      </c>
      <c r="BF640" s="24" t="e" cm="1">
        <f t="array" aca="1" ref="BF640" ca="1">_xll.VisibleAlpha.UDF.VAData($B$634,BF$635,$B640,BF$637,$B$637,$B$636,$B$635)</f>
        <v>#NAME?</v>
      </c>
      <c r="BG640" s="24" t="e" cm="1">
        <f t="array" aca="1" ref="BG640" ca="1">_xll.VisibleAlpha.UDF.VAData($B$634,BG$635,$B640,BG$637,$B$637,$B$636,$B$635)</f>
        <v>#NAME?</v>
      </c>
      <c r="BH640" s="146" t="e" cm="1">
        <f t="array" aca="1" ref="BH640" ca="1">_xll.VisibleAlpha.UDF.VAData($B$634,BH$635,$B640,BH$637,$B$637,$B$636,$B$635)</f>
        <v>#NAME?</v>
      </c>
      <c r="BI640" s="146" t="e" cm="1">
        <f t="array" aca="1" ref="BI640" ca="1">_xll.VisibleAlpha.UDF.VAData($B$634,BI$635,$B640,BI$637,$B$637,$B$636,$B$635)</f>
        <v>#NAME?</v>
      </c>
      <c r="BJ640" s="146" t="e" cm="1">
        <f t="array" aca="1" ref="BJ640" ca="1">_xll.VisibleAlpha.UDF.VAData($B$634,BJ$635,$B640,BJ$637,$B$637,$B$636,$B$635)</f>
        <v>#NAME?</v>
      </c>
      <c r="BK640" s="146" t="e" cm="1">
        <f t="array" aca="1" ref="BK640" ca="1">_xll.VisibleAlpha.UDF.VAData($B$634,BK$635,$B640,BK$637,$B$637,$B$636,$B$635)</f>
        <v>#NAME?</v>
      </c>
      <c r="BL640" s="146" t="e" cm="1">
        <f t="array" aca="1" ref="BL640" ca="1">_xll.VisibleAlpha.UDF.VAData($B$634,BL$635,$B640,BL$637,$B$637,$B$636,$B$635)</f>
        <v>#NAME?</v>
      </c>
      <c r="BM640" s="146" t="e" cm="1">
        <f t="array" aca="1" ref="BM640" ca="1">_xll.VisibleAlpha.UDF.VAData($B$634,BM$635,$B640,BM$637,$B$637,$B$636,$B$635)</f>
        <v>#NAME?</v>
      </c>
      <c r="BN640" s="146" t="e" cm="1">
        <f t="array" aca="1" ref="BN640" ca="1">_xll.VisibleAlpha.UDF.VAData($B$634,BN$635,$B640,BN$637,$B$637,$B$636,$B$635)</f>
        <v>#NAME?</v>
      </c>
      <c r="BO640" s="146" t="e" cm="1">
        <f t="array" aca="1" ref="BO640" ca="1">_xll.VisibleAlpha.UDF.VAData($B$634,BO$635,$B640,BO$637,$B$637,$B$636,$B$635)</f>
        <v>#NAME?</v>
      </c>
      <c r="BP640" s="146" t="e" cm="1">
        <f t="array" aca="1" ref="BP640" ca="1">_xll.VisibleAlpha.UDF.VAData($B$634,BP$635,$B640,BP$637,$B$637,$B$636,$B$635)</f>
        <v>#NAME?</v>
      </c>
      <c r="BQ640" s="146" t="e" cm="1">
        <f t="array" aca="1" ref="BQ640" ca="1">_xll.VisibleAlpha.UDF.VAData($B$634,BQ$635,$B640,BQ$637,$B$637,$B$636,$B$635)</f>
        <v>#NAME?</v>
      </c>
      <c r="BR640" s="146" t="e" cm="1">
        <f t="array" aca="1" ref="BR640" ca="1">_xll.VisibleAlpha.UDF.VAData($B$634,BR$635,$B640,BR$637,$B$637,$B$636,$B$635)</f>
        <v>#NAME?</v>
      </c>
      <c r="BS640" s="146" t="e" cm="1">
        <f t="array" aca="1" ref="BS640" ca="1">_xll.VisibleAlpha.UDF.VAData($B$634,BS$635,$B640,BS$637,$B$637,$B$636,$B$635)</f>
        <v>#NAME?</v>
      </c>
      <c r="BT640" s="146" t="e" cm="1">
        <f t="array" aca="1" ref="BT640" ca="1">_xll.VisibleAlpha.UDF.VAData($B$634,BT$635,$B640,BT$637,$B$637,$B$636,$B$635)</f>
        <v>#NAME?</v>
      </c>
      <c r="BU640" s="146" t="e" cm="1">
        <f t="array" aca="1" ref="BU640" ca="1">_xll.VisibleAlpha.UDF.VAData($B$634,BU$635,$B640,BU$637,$B$637,$B$636,$B$635)</f>
        <v>#NAME?</v>
      </c>
      <c r="BV640" s="146" t="e" cm="1">
        <f t="array" aca="1" ref="BV640" ca="1">_xll.VisibleAlpha.UDF.VAData($B$634,BV$635,$B640,BV$637,$B$637,$B$636,$B$635)</f>
        <v>#NAME?</v>
      </c>
      <c r="BW640" s="146" t="e" cm="1">
        <f t="array" aca="1" ref="BW640" ca="1">_xll.VisibleAlpha.UDF.VAData($B$634,BW$635,$B640,BW$637,$B$637,$B$636,$B$635)</f>
        <v>#NAME?</v>
      </c>
      <c r="BX640" s="146" t="e" cm="1">
        <f t="array" aca="1" ref="BX640" ca="1">_xll.VisibleAlpha.UDF.VAData($B$634,BX$635,$B640,BX$637,$B$637,$B$636,$B$635)</f>
        <v>#NAME?</v>
      </c>
      <c r="BY640" s="146" t="e" cm="1">
        <f t="array" aca="1" ref="BY640" ca="1">_xll.VisibleAlpha.UDF.VAData($B$634,BY$635,$B640,BY$637,$B$637,$B$636,$B$635)</f>
        <v>#NAME?</v>
      </c>
      <c r="BZ640" s="146" t="e" cm="1">
        <f t="array" aca="1" ref="BZ640" ca="1">_xll.VisibleAlpha.UDF.VAData($B$634,BZ$635,$B640,BZ$637,$B$637,$B$636,$B$635)</f>
        <v>#NAME?</v>
      </c>
      <c r="CA640" t="e" cm="1">
        <f t="array" aca="1" ref="CA640" ca="1">_xll.VisibleAlpha.UDF.VAData($B$634,CA$635,$B640,CA$637,$B$637,$B$636,$B$635)</f>
        <v>#NAME?</v>
      </c>
      <c r="CB640" s="24" t="e" cm="1">
        <f t="array" aca="1" ref="CB640" ca="1">_xll.VisibleAlpha.UDF.VAData($B$634,CB$635,$B640,CB$637,$B$637,$B$636,$B$635)</f>
        <v>#NAME?</v>
      </c>
      <c r="CC640" s="24" t="e" cm="1">
        <f t="array" aca="1" ref="CC640" ca="1">_xll.VisibleAlpha.UDF.VAData($B$634,CC$635,$B640,CC$637,$B$637,$B$636,$B$635)</f>
        <v>#NAME?</v>
      </c>
      <c r="CD640" s="24" t="e" cm="1">
        <f t="array" aca="1" ref="CD640" ca="1">_xll.VisibleAlpha.UDF.VAData($B$634,CD$635,$B640,CD$637,$B$637,$B$636,$B$635)</f>
        <v>#NAME?</v>
      </c>
      <c r="CF640" s="24" t="e" cm="1">
        <f t="array" aca="1" ref="CF640" ca="1">_xll.VisibleAlpha.UDF.VAData($B$634,CF$635,$B640,CF$637,$B$637,$B$636,$B$635)</f>
        <v>#NAME?</v>
      </c>
      <c r="CG640" s="24" t="e" cm="1">
        <f t="array" aca="1" ref="CG640" ca="1">_xll.VisibleAlpha.UDF.VAData($B$634,CG$635,$B640,CG$637,$B$637,$B$636,$B$635)</f>
        <v>#NAME?</v>
      </c>
      <c r="CH640" s="24" t="e" cm="1">
        <f t="array" aca="1" ref="CH640" ca="1">_xll.VisibleAlpha.UDF.VAData($B$634,CH$635,$B640,CH$637,$B$637,$B$636,$B$635)</f>
        <v>#NAME?</v>
      </c>
      <c r="CI640" s="24" t="e" cm="1">
        <f t="array" aca="1" ref="CI640" ca="1">_xll.VisibleAlpha.UDF.VAData($B$634,CI$635,$B640,CI$637,$B$637,$B$636,$B$635)</f>
        <v>#NAME?</v>
      </c>
      <c r="CJ640" s="24" t="e" cm="1">
        <f t="array" aca="1" ref="CJ640" ca="1">_xll.VisibleAlpha.UDF.VAData($B$634,CJ$635,$B640,CJ$637,$B$637,$B$636,$B$635)</f>
        <v>#NAME?</v>
      </c>
      <c r="CK640" s="24" t="e" cm="1">
        <f t="array" aca="1" ref="CK640" ca="1">_xll.VisibleAlpha.UDF.VAData($B$634,CK$635,$B640,CK$637,$B$637,$B$636,$B$635)</f>
        <v>#NAME?</v>
      </c>
      <c r="CL640" s="24" t="e" cm="1">
        <f t="array" aca="1" ref="CL640" ca="1">_xll.VisibleAlpha.UDF.VAData($B$634,CL$635,$B640,CL$637,$B$637,$B$636,$B$635)</f>
        <v>#NAME?</v>
      </c>
      <c r="CM640" s="24" t="e" cm="1">
        <f t="array" aca="1" ref="CM640" ca="1">_xll.VisibleAlpha.UDF.VAData($B$634,CM$635,$B640,CM$637,$B$637,$B$636,$B$635)</f>
        <v>#NAME?</v>
      </c>
      <c r="CN640" s="24" t="e" cm="1">
        <f t="array" aca="1" ref="CN640" ca="1">_xll.VisibleAlpha.UDF.VAData($B$634,CN$635,$B640,CN$637,$B$637,$B$636,$B$635)</f>
        <v>#NAME?</v>
      </c>
      <c r="CO640" s="146" t="e" cm="1">
        <f t="array" aca="1" ref="CO640" ca="1">_xll.VisibleAlpha.UDF.VAData($B$634,CO$635,$B640,CO$637,$B$637,$B$636,$B$635)</f>
        <v>#NAME?</v>
      </c>
      <c r="CP640" s="146" t="e" cm="1">
        <f t="array" aca="1" ref="CP640" ca="1">_xll.VisibleAlpha.UDF.VAData($B$634,CP$635,$B640,CP$637,$B$637,$B$636,$B$635)</f>
        <v>#NAME?</v>
      </c>
      <c r="CQ640" s="146" t="e" cm="1">
        <f t="array" aca="1" ref="CQ640" ca="1">_xll.VisibleAlpha.UDF.VAData($B$634,CQ$635,$B640,CQ$637,$B$637,$B$636,$B$635)</f>
        <v>#NAME?</v>
      </c>
      <c r="CR640" s="146" t="e" cm="1">
        <f t="array" aca="1" ref="CR640" ca="1">_xll.VisibleAlpha.UDF.VAData($B$634,CR$635,$B640,CR$637,$B$637,$B$636,$B$635)</f>
        <v>#NAME?</v>
      </c>
      <c r="CS640" s="146" t="e" cm="1">
        <f t="array" aca="1" ref="CS640" ca="1">_xll.VisibleAlpha.UDF.VAData($B$634,CS$635,$B640,CS$637,$B$637,$B$636,$B$635)</f>
        <v>#NAME?</v>
      </c>
      <c r="CT640" s="146" t="e" cm="1">
        <f t="array" aca="1" ref="CT640" ca="1">_xll.VisibleAlpha.UDF.VAData($B$634,CT$635,$B640,CT$637,$B$637,$B$636,$B$635)</f>
        <v>#NAME?</v>
      </c>
      <c r="CU640" s="146" t="e" cm="1">
        <f t="array" aca="1" ref="CU640" ca="1">_xll.VisibleAlpha.UDF.VAData($B$634,CU$635,$B640,CU$637,$B$637,$B$636,$B$635)</f>
        <v>#NAME?</v>
      </c>
      <c r="CV640" s="146" t="e" cm="1">
        <f t="array" aca="1" ref="CV640" ca="1">_xll.VisibleAlpha.UDF.VAData($B$634,CV$635,$B640,CV$637,$B$637,$B$636,$B$635)</f>
        <v>#NAME?</v>
      </c>
      <c r="CW640" s="146" t="e" cm="1">
        <f t="array" aca="1" ref="CW640" ca="1">_xll.VisibleAlpha.UDF.VAData($B$634,CW$635,$B640,CW$637,$B$637,$B$636,$B$635)</f>
        <v>#NAME?</v>
      </c>
      <c r="CX640" s="146" t="e" cm="1">
        <f t="array" aca="1" ref="CX640" ca="1">_xll.VisibleAlpha.UDF.VAData($B$634,CX$635,$B640,CX$637,$B$637,$B$636,$B$635)</f>
        <v>#NAME?</v>
      </c>
    </row>
    <row r="641" spans="1:102" x14ac:dyDescent="0.25">
      <c r="A641" s="1"/>
      <c r="B641" s="26" t="s">
        <v>428</v>
      </c>
      <c r="C641" s="26"/>
      <c r="D641" s="26"/>
      <c r="E641" s="26"/>
      <c r="F641" s="26"/>
      <c r="G641" s="26"/>
      <c r="H641" s="26"/>
      <c r="I641" s="26"/>
      <c r="J641" s="26"/>
      <c r="K641" s="26"/>
      <c r="L641" s="26"/>
      <c r="M641" s="26"/>
      <c r="N641" s="26"/>
      <c r="O641" s="26"/>
      <c r="P641" s="26"/>
      <c r="Q641" s="26"/>
      <c r="R641" s="26"/>
      <c r="S641" s="24" t="s">
        <v>336</v>
      </c>
      <c r="T641" s="24" t="s">
        <v>336</v>
      </c>
      <c r="U641" s="24" t="s">
        <v>336</v>
      </c>
      <c r="V641" s="24" t="s">
        <v>336</v>
      </c>
      <c r="W641" s="24">
        <v>252</v>
      </c>
      <c r="X641" s="24">
        <v>272</v>
      </c>
      <c r="Y641" s="24">
        <v>359</v>
      </c>
      <c r="Z641" s="24">
        <v>166</v>
      </c>
      <c r="AA641" s="24">
        <v>150</v>
      </c>
      <c r="AB641" s="24">
        <v>200</v>
      </c>
      <c r="AC641" s="24">
        <v>150</v>
      </c>
      <c r="AD641" s="24">
        <v>100</v>
      </c>
      <c r="AE641" s="24" t="s">
        <v>336</v>
      </c>
      <c r="AF641" s="24" t="s">
        <v>336</v>
      </c>
      <c r="AG641" s="24" t="s">
        <v>336</v>
      </c>
      <c r="AH641" s="24" t="s">
        <v>336</v>
      </c>
      <c r="AI641" s="24" t="s">
        <v>336</v>
      </c>
      <c r="AJ641" s="24" t="s">
        <v>336</v>
      </c>
      <c r="AK641" s="24" t="s">
        <v>336</v>
      </c>
      <c r="AL641" s="24" t="s">
        <v>336</v>
      </c>
      <c r="AM641" s="24" t="s">
        <v>336</v>
      </c>
      <c r="AN641" s="24" t="s">
        <v>336</v>
      </c>
      <c r="AO641" s="24" t="s">
        <v>336</v>
      </c>
      <c r="AP641" s="24" t="s">
        <v>336</v>
      </c>
      <c r="AQ641" s="24" t="s">
        <v>336</v>
      </c>
      <c r="AR641" s="24" t="s">
        <v>336</v>
      </c>
      <c r="AS641" s="24" t="s">
        <v>336</v>
      </c>
      <c r="AT641" s="24" t="s">
        <v>336</v>
      </c>
      <c r="AU641" s="24" t="s">
        <v>336</v>
      </c>
      <c r="AV641" s="24" t="s">
        <v>336</v>
      </c>
      <c r="AW641" s="24" t="s">
        <v>336</v>
      </c>
      <c r="AX641" s="24" t="s">
        <v>336</v>
      </c>
      <c r="AY641" s="24" t="s">
        <v>336</v>
      </c>
      <c r="AZ641" s="24" t="s">
        <v>336</v>
      </c>
      <c r="BA641" s="24" t="s">
        <v>336</v>
      </c>
      <c r="BB641" s="24" t="s">
        <v>336</v>
      </c>
      <c r="BC641" s="24" t="s">
        <v>336</v>
      </c>
      <c r="BD641" s="24" t="s">
        <v>336</v>
      </c>
      <c r="BE641" s="24" t="s">
        <v>336</v>
      </c>
      <c r="BF641" s="24" t="e" cm="1">
        <f t="array" aca="1" ref="BF641" ca="1">_xll.VisibleAlpha.UDF.VAData($B$634,BF$635,$B641,BF$637,$B$637,$B$636,$B$635)</f>
        <v>#NAME?</v>
      </c>
      <c r="BG641" s="24" t="e" cm="1">
        <f t="array" aca="1" ref="BG641" ca="1">_xll.VisibleAlpha.UDF.VAData($B$634,BG$635,$B641,BG$637,$B$637,$B$636,$B$635)</f>
        <v>#NAME?</v>
      </c>
      <c r="BH641" s="146" t="e" cm="1">
        <f t="array" aca="1" ref="BH641" ca="1">_xll.VisibleAlpha.UDF.VAData($B$634,BH$635,$B641,BH$637,$B$637,$B$636,$B$635)</f>
        <v>#NAME?</v>
      </c>
      <c r="BI641" s="146" t="e" cm="1">
        <f t="array" aca="1" ref="BI641" ca="1">_xll.VisibleAlpha.UDF.VAData($B$634,BI$635,$B641,BI$637,$B$637,$B$636,$B$635)</f>
        <v>#NAME?</v>
      </c>
      <c r="BJ641" s="146" t="e" cm="1">
        <f t="array" aca="1" ref="BJ641" ca="1">_xll.VisibleAlpha.UDF.VAData($B$634,BJ$635,$B641,BJ$637,$B$637,$B$636,$B$635)</f>
        <v>#NAME?</v>
      </c>
      <c r="BK641" s="146" t="e" cm="1">
        <f t="array" aca="1" ref="BK641" ca="1">_xll.VisibleAlpha.UDF.VAData($B$634,BK$635,$B641,BK$637,$B$637,$B$636,$B$635)</f>
        <v>#NAME?</v>
      </c>
      <c r="BL641" s="146" t="e" cm="1">
        <f t="array" aca="1" ref="BL641" ca="1">_xll.VisibleAlpha.UDF.VAData($B$634,BL$635,$B641,BL$637,$B$637,$B$636,$B$635)</f>
        <v>#NAME?</v>
      </c>
      <c r="BM641" s="146" t="e" cm="1">
        <f t="array" aca="1" ref="BM641" ca="1">_xll.VisibleAlpha.UDF.VAData($B$634,BM$635,$B641,BM$637,$B$637,$B$636,$B$635)</f>
        <v>#NAME?</v>
      </c>
      <c r="BN641" s="146" t="e" cm="1">
        <f t="array" aca="1" ref="BN641" ca="1">_xll.VisibleAlpha.UDF.VAData($B$634,BN$635,$B641,BN$637,$B$637,$B$636,$B$635)</f>
        <v>#NAME?</v>
      </c>
      <c r="BO641" s="146" t="e" cm="1">
        <f t="array" aca="1" ref="BO641" ca="1">_xll.VisibleAlpha.UDF.VAData($B$634,BO$635,$B641,BO$637,$B$637,$B$636,$B$635)</f>
        <v>#NAME?</v>
      </c>
      <c r="BP641" s="146" t="e" cm="1">
        <f t="array" aca="1" ref="BP641" ca="1">_xll.VisibleAlpha.UDF.VAData($B$634,BP$635,$B641,BP$637,$B$637,$B$636,$B$635)</f>
        <v>#NAME?</v>
      </c>
      <c r="BQ641" s="146" t="e" cm="1">
        <f t="array" aca="1" ref="BQ641" ca="1">_xll.VisibleAlpha.UDF.VAData($B$634,BQ$635,$B641,BQ$637,$B$637,$B$636,$B$635)</f>
        <v>#NAME?</v>
      </c>
      <c r="BR641" s="146" t="e" cm="1">
        <f t="array" aca="1" ref="BR641" ca="1">_xll.VisibleAlpha.UDF.VAData($B$634,BR$635,$B641,BR$637,$B$637,$B$636,$B$635)</f>
        <v>#NAME?</v>
      </c>
      <c r="BS641" s="146" t="e" cm="1">
        <f t="array" aca="1" ref="BS641" ca="1">_xll.VisibleAlpha.UDF.VAData($B$634,BS$635,$B641,BS$637,$B$637,$B$636,$B$635)</f>
        <v>#NAME?</v>
      </c>
      <c r="BT641" s="146" t="e" cm="1">
        <f t="array" aca="1" ref="BT641" ca="1">_xll.VisibleAlpha.UDF.VAData($B$634,BT$635,$B641,BT$637,$B$637,$B$636,$B$635)</f>
        <v>#NAME?</v>
      </c>
      <c r="BU641" s="146" t="e" cm="1">
        <f t="array" aca="1" ref="BU641" ca="1">_xll.VisibleAlpha.UDF.VAData($B$634,BU$635,$B641,BU$637,$B$637,$B$636,$B$635)</f>
        <v>#NAME?</v>
      </c>
      <c r="BV641" s="146" t="e" cm="1">
        <f t="array" aca="1" ref="BV641" ca="1">_xll.VisibleAlpha.UDF.VAData($B$634,BV$635,$B641,BV$637,$B$637,$B$636,$B$635)</f>
        <v>#NAME?</v>
      </c>
      <c r="BW641" s="146" t="e" cm="1">
        <f t="array" aca="1" ref="BW641" ca="1">_xll.VisibleAlpha.UDF.VAData($B$634,BW$635,$B641,BW$637,$B$637,$B$636,$B$635)</f>
        <v>#NAME?</v>
      </c>
      <c r="BX641" s="146" t="e" cm="1">
        <f t="array" aca="1" ref="BX641" ca="1">_xll.VisibleAlpha.UDF.VAData($B$634,BX$635,$B641,BX$637,$B$637,$B$636,$B$635)</f>
        <v>#NAME?</v>
      </c>
      <c r="BY641" s="146" t="e" cm="1">
        <f t="array" aca="1" ref="BY641" ca="1">_xll.VisibleAlpha.UDF.VAData($B$634,BY$635,$B641,BY$637,$B$637,$B$636,$B$635)</f>
        <v>#NAME?</v>
      </c>
      <c r="BZ641" s="146" t="e" cm="1">
        <f t="array" aca="1" ref="BZ641" ca="1">_xll.VisibleAlpha.UDF.VAData($B$634,BZ$635,$B641,BZ$637,$B$637,$B$636,$B$635)</f>
        <v>#NAME?</v>
      </c>
      <c r="CA641" t="e" cm="1">
        <f t="array" aca="1" ref="CA641" ca="1">_xll.VisibleAlpha.UDF.VAData($B$634,CA$635,$B641,CA$637,$B$637,$B$636,$B$635)</f>
        <v>#NAME?</v>
      </c>
      <c r="CB641" s="24" t="e" cm="1">
        <f t="array" aca="1" ref="CB641" ca="1">_xll.VisibleAlpha.UDF.VAData($B$634,CB$635,$B641,CB$637,$B$637,$B$636,$B$635)</f>
        <v>#NAME?</v>
      </c>
      <c r="CC641" s="24" t="e" cm="1">
        <f t="array" aca="1" ref="CC641" ca="1">_xll.VisibleAlpha.UDF.VAData($B$634,CC$635,$B641,CC$637,$B$637,$B$636,$B$635)</f>
        <v>#NAME?</v>
      </c>
      <c r="CD641" s="24" t="e" cm="1">
        <f t="array" aca="1" ref="CD641" ca="1">_xll.VisibleAlpha.UDF.VAData($B$634,CD$635,$B641,CD$637,$B$637,$B$636,$B$635)</f>
        <v>#NAME?</v>
      </c>
      <c r="CF641" s="24" t="e" cm="1">
        <f t="array" aca="1" ref="CF641" ca="1">_xll.VisibleAlpha.UDF.VAData($B$634,CF$635,$B641,CF$637,$B$637,$B$636,$B$635)</f>
        <v>#NAME?</v>
      </c>
      <c r="CG641" s="24" t="e" cm="1">
        <f t="array" aca="1" ref="CG641" ca="1">_xll.VisibleAlpha.UDF.VAData($B$634,CG$635,$B641,CG$637,$B$637,$B$636,$B$635)</f>
        <v>#NAME?</v>
      </c>
      <c r="CH641" s="24" t="e" cm="1">
        <f t="array" aca="1" ref="CH641" ca="1">_xll.VisibleAlpha.UDF.VAData($B$634,CH$635,$B641,CH$637,$B$637,$B$636,$B$635)</f>
        <v>#NAME?</v>
      </c>
      <c r="CI641" s="24" t="e" cm="1">
        <f t="array" aca="1" ref="CI641" ca="1">_xll.VisibleAlpha.UDF.VAData($B$634,CI$635,$B641,CI$637,$B$637,$B$636,$B$635)</f>
        <v>#NAME?</v>
      </c>
      <c r="CJ641" s="24" t="e" cm="1">
        <f t="array" aca="1" ref="CJ641" ca="1">_xll.VisibleAlpha.UDF.VAData($B$634,CJ$635,$B641,CJ$637,$B$637,$B$636,$B$635)</f>
        <v>#NAME?</v>
      </c>
      <c r="CK641" s="24" t="e" cm="1">
        <f t="array" aca="1" ref="CK641" ca="1">_xll.VisibleAlpha.UDF.VAData($B$634,CK$635,$B641,CK$637,$B$637,$B$636,$B$635)</f>
        <v>#NAME?</v>
      </c>
      <c r="CL641" s="24" t="e" cm="1">
        <f t="array" aca="1" ref="CL641" ca="1">_xll.VisibleAlpha.UDF.VAData($B$634,CL$635,$B641,CL$637,$B$637,$B$636,$B$635)</f>
        <v>#NAME?</v>
      </c>
      <c r="CM641" s="24" t="e" cm="1">
        <f t="array" aca="1" ref="CM641" ca="1">_xll.VisibleAlpha.UDF.VAData($B$634,CM$635,$B641,CM$637,$B$637,$B$636,$B$635)</f>
        <v>#NAME?</v>
      </c>
      <c r="CN641" s="24" t="e" cm="1">
        <f t="array" aca="1" ref="CN641" ca="1">_xll.VisibleAlpha.UDF.VAData($B$634,CN$635,$B641,CN$637,$B$637,$B$636,$B$635)</f>
        <v>#NAME?</v>
      </c>
      <c r="CO641" s="146" t="e" cm="1">
        <f t="array" aca="1" ref="CO641" ca="1">_xll.VisibleAlpha.UDF.VAData($B$634,CO$635,$B641,CO$637,$B$637,$B$636,$B$635)</f>
        <v>#NAME?</v>
      </c>
      <c r="CP641" s="146" t="e" cm="1">
        <f t="array" aca="1" ref="CP641" ca="1">_xll.VisibleAlpha.UDF.VAData($B$634,CP$635,$B641,CP$637,$B$637,$B$636,$B$635)</f>
        <v>#NAME?</v>
      </c>
      <c r="CQ641" s="146" t="e" cm="1">
        <f t="array" aca="1" ref="CQ641" ca="1">_xll.VisibleAlpha.UDF.VAData($B$634,CQ$635,$B641,CQ$637,$B$637,$B$636,$B$635)</f>
        <v>#NAME?</v>
      </c>
      <c r="CR641" s="146" t="e" cm="1">
        <f t="array" aca="1" ref="CR641" ca="1">_xll.VisibleAlpha.UDF.VAData($B$634,CR$635,$B641,CR$637,$B$637,$B$636,$B$635)</f>
        <v>#NAME?</v>
      </c>
      <c r="CS641" s="146" t="e" cm="1">
        <f t="array" aca="1" ref="CS641" ca="1">_xll.VisibleAlpha.UDF.VAData($B$634,CS$635,$B641,CS$637,$B$637,$B$636,$B$635)</f>
        <v>#NAME?</v>
      </c>
      <c r="CT641" s="146" t="e" cm="1">
        <f t="array" aca="1" ref="CT641" ca="1">_xll.VisibleAlpha.UDF.VAData($B$634,CT$635,$B641,CT$637,$B$637,$B$636,$B$635)</f>
        <v>#NAME?</v>
      </c>
      <c r="CU641" s="146" t="e" cm="1">
        <f t="array" aca="1" ref="CU641" ca="1">_xll.VisibleAlpha.UDF.VAData($B$634,CU$635,$B641,CU$637,$B$637,$B$636,$B$635)</f>
        <v>#NAME?</v>
      </c>
      <c r="CV641" s="146" t="e" cm="1">
        <f t="array" aca="1" ref="CV641" ca="1">_xll.VisibleAlpha.UDF.VAData($B$634,CV$635,$B641,CV$637,$B$637,$B$636,$B$635)</f>
        <v>#NAME?</v>
      </c>
      <c r="CW641" s="146" t="e" cm="1">
        <f t="array" aca="1" ref="CW641" ca="1">_xll.VisibleAlpha.UDF.VAData($B$634,CW$635,$B641,CW$637,$B$637,$B$636,$B$635)</f>
        <v>#NAME?</v>
      </c>
      <c r="CX641" s="146" t="e" cm="1">
        <f t="array" aca="1" ref="CX641" ca="1">_xll.VisibleAlpha.UDF.VAData($B$634,CX$635,$B641,CX$637,$B$637,$B$636,$B$635)</f>
        <v>#NAME?</v>
      </c>
    </row>
    <row r="642" spans="1:102" x14ac:dyDescent="0.25">
      <c r="A642" s="1"/>
      <c r="B642" s="26" t="s">
        <v>429</v>
      </c>
      <c r="C642" s="26"/>
      <c r="D642" s="26"/>
      <c r="E642" s="26"/>
      <c r="F642" s="26"/>
      <c r="G642" s="26"/>
      <c r="H642" s="26"/>
      <c r="I642" s="26"/>
      <c r="J642" s="26"/>
      <c r="K642" s="26"/>
      <c r="L642" s="26"/>
      <c r="M642" s="26"/>
      <c r="N642" s="26"/>
      <c r="O642" s="26"/>
      <c r="P642" s="26"/>
      <c r="Q642" s="26"/>
      <c r="R642" s="26"/>
      <c r="S642" s="24" t="s">
        <v>336</v>
      </c>
      <c r="T642" s="24" t="s">
        <v>336</v>
      </c>
      <c r="U642" s="24" t="s">
        <v>336</v>
      </c>
      <c r="V642" s="24">
        <f>(113.5-91.4)*10^3</f>
        <v>22099.999999999993</v>
      </c>
      <c r="W642" s="24">
        <v>3000</v>
      </c>
      <c r="X642" s="24">
        <v>4000</v>
      </c>
      <c r="Y642" s="24">
        <v>8400</v>
      </c>
      <c r="Z642" s="24">
        <v>2300</v>
      </c>
      <c r="AA642" s="24">
        <v>3500</v>
      </c>
      <c r="AB642" s="24">
        <v>3900</v>
      </c>
      <c r="AC642" s="24">
        <v>9700</v>
      </c>
      <c r="AD642" s="24">
        <v>2900</v>
      </c>
      <c r="AE642" s="24">
        <v>3300</v>
      </c>
      <c r="AF642" s="24">
        <v>4200</v>
      </c>
      <c r="AG642" s="24">
        <v>9000</v>
      </c>
      <c r="AH642" s="24">
        <v>2500</v>
      </c>
      <c r="AI642" s="24">
        <v>3200</v>
      </c>
      <c r="AJ642" s="24">
        <v>3900</v>
      </c>
      <c r="AK642" s="24">
        <v>8100</v>
      </c>
      <c r="AL642" s="24">
        <v>2600</v>
      </c>
      <c r="AM642" s="24">
        <v>3200</v>
      </c>
      <c r="AN642" s="24">
        <v>2800</v>
      </c>
      <c r="AO642" s="24">
        <v>6100</v>
      </c>
      <c r="AP642" s="24">
        <v>1400</v>
      </c>
      <c r="AQ642" s="24">
        <v>1900</v>
      </c>
      <c r="AR642" s="24">
        <v>1500</v>
      </c>
      <c r="AS642" s="24">
        <v>1400</v>
      </c>
      <c r="AT642" s="24">
        <v>1000</v>
      </c>
      <c r="AU642" s="24">
        <v>500</v>
      </c>
      <c r="AV642" s="24">
        <v>200</v>
      </c>
      <c r="AW642" s="24">
        <v>200</v>
      </c>
      <c r="AX642" s="24">
        <v>100</v>
      </c>
      <c r="AY642" s="24">
        <v>176.20166666666665</v>
      </c>
      <c r="AZ642" s="24">
        <v>142.04633333333334</v>
      </c>
      <c r="BA642" s="24">
        <v>233.33333333333334</v>
      </c>
      <c r="BB642" s="24">
        <v>100</v>
      </c>
      <c r="BC642" s="24">
        <v>100</v>
      </c>
      <c r="BD642" s="24">
        <v>100</v>
      </c>
      <c r="BE642" s="24" t="s">
        <v>336</v>
      </c>
      <c r="BF642" s="24" t="e" cm="1">
        <f t="array" aca="1" ref="BF642" ca="1">_xll.VisibleAlpha.UDF.VAData($B$634,BF$635,$B642,BF$637,$B$637,$B$636,$B$635)</f>
        <v>#NAME?</v>
      </c>
      <c r="BG642" s="24" t="e" cm="1">
        <f t="array" aca="1" ref="BG642" ca="1">_xll.VisibleAlpha.UDF.VAData($B$634,BG$635,$B642,BG$637,$B$637,$B$636,$B$635)</f>
        <v>#NAME?</v>
      </c>
      <c r="BH642" s="146" t="e" cm="1">
        <f t="array" aca="1" ref="BH642" ca="1">_xll.VisibleAlpha.UDF.VAData($B$634,BH$635,$B642,BH$637,$B$637,$B$636,$B$635)</f>
        <v>#NAME?</v>
      </c>
      <c r="BI642" s="146" t="e" cm="1">
        <f t="array" aca="1" ref="BI642" ca="1">_xll.VisibleAlpha.UDF.VAData($B$634,BI$635,$B642,BI$637,$B$637,$B$636,$B$635)</f>
        <v>#NAME?</v>
      </c>
      <c r="BJ642" s="146" t="e" cm="1">
        <f t="array" aca="1" ref="BJ642" ca="1">_xll.VisibleAlpha.UDF.VAData($B$634,BJ$635,$B642,BJ$637,$B$637,$B$636,$B$635)</f>
        <v>#NAME?</v>
      </c>
      <c r="BK642" s="146" t="e" cm="1">
        <f t="array" aca="1" ref="BK642" ca="1">_xll.VisibleAlpha.UDF.VAData($B$634,BK$635,$B642,BK$637,$B$637,$B$636,$B$635)</f>
        <v>#NAME?</v>
      </c>
      <c r="BL642" s="146" t="e" cm="1">
        <f t="array" aca="1" ref="BL642" ca="1">_xll.VisibleAlpha.UDF.VAData($B$634,BL$635,$B642,BL$637,$B$637,$B$636,$B$635)</f>
        <v>#NAME?</v>
      </c>
      <c r="BM642" s="146" t="e" cm="1">
        <f t="array" aca="1" ref="BM642" ca="1">_xll.VisibleAlpha.UDF.VAData($B$634,BM$635,$B642,BM$637,$B$637,$B$636,$B$635)</f>
        <v>#NAME?</v>
      </c>
      <c r="BN642" s="146" t="e" cm="1">
        <f t="array" aca="1" ref="BN642" ca="1">_xll.VisibleAlpha.UDF.VAData($B$634,BN$635,$B642,BN$637,$B$637,$B$636,$B$635)</f>
        <v>#NAME?</v>
      </c>
      <c r="BO642" s="146" t="e" cm="1">
        <f t="array" aca="1" ref="BO642" ca="1">_xll.VisibleAlpha.UDF.VAData($B$634,BO$635,$B642,BO$637,$B$637,$B$636,$B$635)</f>
        <v>#NAME?</v>
      </c>
      <c r="BP642" s="146" t="e" cm="1">
        <f t="array" aca="1" ref="BP642" ca="1">_xll.VisibleAlpha.UDF.VAData($B$634,BP$635,$B642,BP$637,$B$637,$B$636,$B$635)</f>
        <v>#NAME?</v>
      </c>
      <c r="BQ642" s="146" t="e" cm="1">
        <f t="array" aca="1" ref="BQ642" ca="1">_xll.VisibleAlpha.UDF.VAData($B$634,BQ$635,$B642,BQ$637,$B$637,$B$636,$B$635)</f>
        <v>#NAME?</v>
      </c>
      <c r="BR642" s="146" t="e" cm="1">
        <f t="array" aca="1" ref="BR642" ca="1">_xll.VisibleAlpha.UDF.VAData($B$634,BR$635,$B642,BR$637,$B$637,$B$636,$B$635)</f>
        <v>#NAME?</v>
      </c>
      <c r="BS642" s="146" t="e" cm="1">
        <f t="array" aca="1" ref="BS642" ca="1">_xll.VisibleAlpha.UDF.VAData($B$634,BS$635,$B642,BS$637,$B$637,$B$636,$B$635)</f>
        <v>#NAME?</v>
      </c>
      <c r="BT642" s="146" t="e" cm="1">
        <f t="array" aca="1" ref="BT642" ca="1">_xll.VisibleAlpha.UDF.VAData($B$634,BT$635,$B642,BT$637,$B$637,$B$636,$B$635)</f>
        <v>#NAME?</v>
      </c>
      <c r="BU642" s="146" t="e" cm="1">
        <f t="array" aca="1" ref="BU642" ca="1">_xll.VisibleAlpha.UDF.VAData($B$634,BU$635,$B642,BU$637,$B$637,$B$636,$B$635)</f>
        <v>#NAME?</v>
      </c>
      <c r="BV642" s="146" t="e" cm="1">
        <f t="array" aca="1" ref="BV642" ca="1">_xll.VisibleAlpha.UDF.VAData($B$634,BV$635,$B642,BV$637,$B$637,$B$636,$B$635)</f>
        <v>#NAME?</v>
      </c>
      <c r="BW642" s="146" t="e" cm="1">
        <f t="array" aca="1" ref="BW642" ca="1">_xll.VisibleAlpha.UDF.VAData($B$634,BW$635,$B642,BW$637,$B$637,$B$636,$B$635)</f>
        <v>#NAME?</v>
      </c>
      <c r="BX642" s="146" t="e" cm="1">
        <f t="array" aca="1" ref="BX642" ca="1">_xll.VisibleAlpha.UDF.VAData($B$634,BX$635,$B642,BX$637,$B$637,$B$636,$B$635)</f>
        <v>#NAME?</v>
      </c>
      <c r="BY642" s="146" t="e" cm="1">
        <f t="array" aca="1" ref="BY642" ca="1">_xll.VisibleAlpha.UDF.VAData($B$634,BY$635,$B642,BY$637,$B$637,$B$636,$B$635)</f>
        <v>#NAME?</v>
      </c>
      <c r="BZ642" s="146" t="e" cm="1">
        <f t="array" aca="1" ref="BZ642" ca="1">_xll.VisibleAlpha.UDF.VAData($B$634,BZ$635,$B642,BZ$637,$B$637,$B$636,$B$635)</f>
        <v>#NAME?</v>
      </c>
      <c r="CA642" t="e" cm="1">
        <f t="array" aca="1" ref="CA642" ca="1">_xll.VisibleAlpha.UDF.VAData($B$634,CA$635,$B642,CA$637,$B$637,$B$636,$B$635)</f>
        <v>#NAME?</v>
      </c>
      <c r="CB642" s="24" t="e" cm="1">
        <f t="array" aca="1" ref="CB642" ca="1">_xll.VisibleAlpha.UDF.VAData($B$634,CB$635,$B642,CB$637,$B$637,$B$636,$B$635)</f>
        <v>#NAME?</v>
      </c>
      <c r="CC642" s="24" t="e" cm="1">
        <f t="array" aca="1" ref="CC642" ca="1">_xll.VisibleAlpha.UDF.VAData($B$634,CC$635,$B642,CC$637,$B$637,$B$636,$B$635)</f>
        <v>#NAME?</v>
      </c>
      <c r="CD642" s="24" t="e" cm="1">
        <f t="array" aca="1" ref="CD642" ca="1">_xll.VisibleAlpha.UDF.VAData($B$634,CD$635,$B642,CD$637,$B$637,$B$636,$B$635)</f>
        <v>#NAME?</v>
      </c>
      <c r="CF642" s="24" t="e" cm="1">
        <f t="array" aca="1" ref="CF642" ca="1">_xll.VisibleAlpha.UDF.VAData($B$634,CF$635,$B642,CF$637,$B$637,$B$636,$B$635)</f>
        <v>#NAME?</v>
      </c>
      <c r="CG642" s="24" t="e" cm="1">
        <f t="array" aca="1" ref="CG642" ca="1">_xll.VisibleAlpha.UDF.VAData($B$634,CG$635,$B642,CG$637,$B$637,$B$636,$B$635)</f>
        <v>#NAME?</v>
      </c>
      <c r="CH642" s="24" t="e" cm="1">
        <f t="array" aca="1" ref="CH642" ca="1">_xll.VisibleAlpha.UDF.VAData($B$634,CH$635,$B642,CH$637,$B$637,$B$636,$B$635)</f>
        <v>#NAME?</v>
      </c>
      <c r="CI642" s="24" t="e" cm="1">
        <f t="array" aca="1" ref="CI642" ca="1">_xll.VisibleAlpha.UDF.VAData($B$634,CI$635,$B642,CI$637,$B$637,$B$636,$B$635)</f>
        <v>#NAME?</v>
      </c>
      <c r="CJ642" s="24" t="e" cm="1">
        <f t="array" aca="1" ref="CJ642" ca="1">_xll.VisibleAlpha.UDF.VAData($B$634,CJ$635,$B642,CJ$637,$B$637,$B$636,$B$635)</f>
        <v>#NAME?</v>
      </c>
      <c r="CK642" s="24" t="e" cm="1">
        <f t="array" aca="1" ref="CK642" ca="1">_xll.VisibleAlpha.UDF.VAData($B$634,CK$635,$B642,CK$637,$B$637,$B$636,$B$635)</f>
        <v>#NAME?</v>
      </c>
      <c r="CL642" s="24" t="e" cm="1">
        <f t="array" aca="1" ref="CL642" ca="1">_xll.VisibleAlpha.UDF.VAData($B$634,CL$635,$B642,CL$637,$B$637,$B$636,$B$635)</f>
        <v>#NAME?</v>
      </c>
      <c r="CM642" s="24" t="e" cm="1">
        <f t="array" aca="1" ref="CM642" ca="1">_xll.VisibleAlpha.UDF.VAData($B$634,CM$635,$B642,CM$637,$B$637,$B$636,$B$635)</f>
        <v>#NAME?</v>
      </c>
      <c r="CN642" s="24" t="e" cm="1">
        <f t="array" aca="1" ref="CN642" ca="1">_xll.VisibleAlpha.UDF.VAData($B$634,CN$635,$B642,CN$637,$B$637,$B$636,$B$635)</f>
        <v>#NAME?</v>
      </c>
      <c r="CO642" s="146" t="e" cm="1">
        <f t="array" aca="1" ref="CO642" ca="1">_xll.VisibleAlpha.UDF.VAData($B$634,CO$635,$B642,CO$637,$B$637,$B$636,$B$635)</f>
        <v>#NAME?</v>
      </c>
      <c r="CP642" s="146" t="e" cm="1">
        <f t="array" aca="1" ref="CP642" ca="1">_xll.VisibleAlpha.UDF.VAData($B$634,CP$635,$B642,CP$637,$B$637,$B$636,$B$635)</f>
        <v>#NAME?</v>
      </c>
      <c r="CQ642" s="146" t="e" cm="1">
        <f t="array" aca="1" ref="CQ642" ca="1">_xll.VisibleAlpha.UDF.VAData($B$634,CQ$635,$B642,CQ$637,$B$637,$B$636,$B$635)</f>
        <v>#NAME?</v>
      </c>
      <c r="CR642" s="146" t="e" cm="1">
        <f t="array" aca="1" ref="CR642" ca="1">_xll.VisibleAlpha.UDF.VAData($B$634,CR$635,$B642,CR$637,$B$637,$B$636,$B$635)</f>
        <v>#NAME?</v>
      </c>
      <c r="CS642" s="146" t="e" cm="1">
        <f t="array" aca="1" ref="CS642" ca="1">_xll.VisibleAlpha.UDF.VAData($B$634,CS$635,$B642,CS$637,$B$637,$B$636,$B$635)</f>
        <v>#NAME?</v>
      </c>
      <c r="CT642" s="146" t="e" cm="1">
        <f t="array" aca="1" ref="CT642" ca="1">_xll.VisibleAlpha.UDF.VAData($B$634,CT$635,$B642,CT$637,$B$637,$B$636,$B$635)</f>
        <v>#NAME?</v>
      </c>
      <c r="CU642" s="146" t="e" cm="1">
        <f t="array" aca="1" ref="CU642" ca="1">_xll.VisibleAlpha.UDF.VAData($B$634,CU$635,$B642,CU$637,$B$637,$B$636,$B$635)</f>
        <v>#NAME?</v>
      </c>
      <c r="CV642" s="146" t="e" cm="1">
        <f t="array" aca="1" ref="CV642" ca="1">_xll.VisibleAlpha.UDF.VAData($B$634,CV$635,$B642,CV$637,$B$637,$B$636,$B$635)</f>
        <v>#NAME?</v>
      </c>
      <c r="CW642" s="146" t="e" cm="1">
        <f t="array" aca="1" ref="CW642" ca="1">_xll.VisibleAlpha.UDF.VAData($B$634,CW$635,$B642,CW$637,$B$637,$B$636,$B$635)</f>
        <v>#NAME?</v>
      </c>
      <c r="CX642" s="146" t="e" cm="1">
        <f t="array" aca="1" ref="CX642" ca="1">_xll.VisibleAlpha.UDF.VAData($B$634,CX$635,$B642,CX$637,$B$637,$B$636,$B$635)</f>
        <v>#NAME?</v>
      </c>
    </row>
    <row r="643" spans="1:102" x14ac:dyDescent="0.25">
      <c r="A643" s="1"/>
      <c r="B643" s="26" t="s">
        <v>430</v>
      </c>
      <c r="C643" s="26"/>
      <c r="D643" s="26"/>
      <c r="E643" s="26"/>
      <c r="F643" s="26"/>
      <c r="G643" s="26"/>
      <c r="H643" s="26"/>
      <c r="I643" s="26"/>
      <c r="J643" s="26"/>
      <c r="K643" s="26"/>
      <c r="L643" s="26"/>
      <c r="M643" s="26"/>
      <c r="N643" s="26"/>
      <c r="O643" s="26"/>
      <c r="P643" s="26"/>
      <c r="Q643" s="26"/>
      <c r="R643" s="26"/>
      <c r="S643" s="24" t="s">
        <v>336</v>
      </c>
      <c r="T643" s="24" t="s">
        <v>336</v>
      </c>
      <c r="U643" s="24" t="s">
        <v>336</v>
      </c>
      <c r="V643" s="24" t="s">
        <v>336</v>
      </c>
      <c r="W643" s="24" t="s">
        <v>336</v>
      </c>
      <c r="X643" s="24" t="s">
        <v>336</v>
      </c>
      <c r="Y643" s="24" t="s">
        <v>336</v>
      </c>
      <c r="Z643" s="24" t="s">
        <v>336</v>
      </c>
      <c r="AA643" s="24" t="s">
        <v>336</v>
      </c>
      <c r="AB643" s="24" t="s">
        <v>336</v>
      </c>
      <c r="AC643" s="24" t="s">
        <v>336</v>
      </c>
      <c r="AD643" s="24" t="s">
        <v>336</v>
      </c>
      <c r="AE643" s="24" t="s">
        <v>336</v>
      </c>
      <c r="AF643" s="24" t="s">
        <v>336</v>
      </c>
      <c r="AG643" s="24" t="s">
        <v>336</v>
      </c>
      <c r="AH643" s="24">
        <v>0</v>
      </c>
      <c r="AI643" s="24" t="s">
        <v>336</v>
      </c>
      <c r="AJ643" s="24" t="s">
        <v>336</v>
      </c>
      <c r="AK643" s="24" t="s">
        <v>336</v>
      </c>
      <c r="AL643" s="24">
        <v>0</v>
      </c>
      <c r="AM643" s="24" t="s">
        <v>336</v>
      </c>
      <c r="AN643" s="24" t="s">
        <v>336</v>
      </c>
      <c r="AO643" s="24" t="s">
        <v>336</v>
      </c>
      <c r="AP643" s="24" t="s">
        <v>336</v>
      </c>
      <c r="AQ643" s="24" t="s">
        <v>336</v>
      </c>
      <c r="AR643" s="24" t="s">
        <v>336</v>
      </c>
      <c r="AS643" s="24">
        <v>4500</v>
      </c>
      <c r="AT643" s="24">
        <v>3300</v>
      </c>
      <c r="AU643" s="24">
        <v>2300</v>
      </c>
      <c r="AV643" s="24">
        <v>3300</v>
      </c>
      <c r="AW643" s="24">
        <v>3900</v>
      </c>
      <c r="AX643" s="24">
        <v>2000</v>
      </c>
      <c r="AY643" s="24">
        <v>2400</v>
      </c>
      <c r="AZ643" s="24">
        <v>3300</v>
      </c>
      <c r="BA643" s="24">
        <v>7100</v>
      </c>
      <c r="BB643" s="24">
        <v>6300</v>
      </c>
      <c r="BC643" s="24">
        <v>3300</v>
      </c>
      <c r="BD643" s="24">
        <v>4900</v>
      </c>
      <c r="BE643" s="24">
        <v>8200</v>
      </c>
      <c r="BF643" s="24" t="e" cm="1">
        <f t="array" aca="1" ref="BF643" ca="1">_xll.VisibleAlpha.UDF.VAData($B$634,BF$635,$B643,BF$637,$B$637,$B$636,$B$635)</f>
        <v>#NAME?</v>
      </c>
      <c r="BG643" s="24" t="e" cm="1">
        <f t="array" aca="1" ref="BG643" ca="1">_xll.VisibleAlpha.UDF.VAData($B$634,BG$635,$B643,BG$637,$B$637,$B$636,$B$635)</f>
        <v>#NAME?</v>
      </c>
      <c r="BH643" s="146" t="e" cm="1">
        <f t="array" aca="1" ref="BH643" ca="1">_xll.VisibleAlpha.UDF.VAData($B$634,BH$635,$B643,BH$637,$B$637,$B$636,$B$635)</f>
        <v>#NAME?</v>
      </c>
      <c r="BI643" s="146" t="e" cm="1">
        <f t="array" aca="1" ref="BI643" ca="1">_xll.VisibleAlpha.UDF.VAData($B$634,BI$635,$B643,BI$637,$B$637,$B$636,$B$635)</f>
        <v>#NAME?</v>
      </c>
      <c r="BJ643" s="146" t="e" cm="1">
        <f t="array" aca="1" ref="BJ643" ca="1">_xll.VisibleAlpha.UDF.VAData($B$634,BJ$635,$B643,BJ$637,$B$637,$B$636,$B$635)</f>
        <v>#NAME?</v>
      </c>
      <c r="BK643" s="146" t="e" cm="1">
        <f t="array" aca="1" ref="BK643" ca="1">_xll.VisibleAlpha.UDF.VAData($B$634,BK$635,$B643,BK$637,$B$637,$B$636,$B$635)</f>
        <v>#NAME?</v>
      </c>
      <c r="BL643" s="146" t="e" cm="1">
        <f t="array" aca="1" ref="BL643" ca="1">_xll.VisibleAlpha.UDF.VAData($B$634,BL$635,$B643,BL$637,$B$637,$B$636,$B$635)</f>
        <v>#NAME?</v>
      </c>
      <c r="BM643" s="146" t="e" cm="1">
        <f t="array" aca="1" ref="BM643" ca="1">_xll.VisibleAlpha.UDF.VAData($B$634,BM$635,$B643,BM$637,$B$637,$B$636,$B$635)</f>
        <v>#NAME?</v>
      </c>
      <c r="BN643" s="146" t="e" cm="1">
        <f t="array" aca="1" ref="BN643" ca="1">_xll.VisibleAlpha.UDF.VAData($B$634,BN$635,$B643,BN$637,$B$637,$B$636,$B$635)</f>
        <v>#NAME?</v>
      </c>
      <c r="BO643" s="146" t="e" cm="1">
        <f t="array" aca="1" ref="BO643" ca="1">_xll.VisibleAlpha.UDF.VAData($B$634,BO$635,$B643,BO$637,$B$637,$B$636,$B$635)</f>
        <v>#NAME?</v>
      </c>
      <c r="BP643" s="146" t="e" cm="1">
        <f t="array" aca="1" ref="BP643" ca="1">_xll.VisibleAlpha.UDF.VAData($B$634,BP$635,$B643,BP$637,$B$637,$B$636,$B$635)</f>
        <v>#NAME?</v>
      </c>
      <c r="BQ643" s="146" t="e" cm="1">
        <f t="array" aca="1" ref="BQ643" ca="1">_xll.VisibleAlpha.UDF.VAData($B$634,BQ$635,$B643,BQ$637,$B$637,$B$636,$B$635)</f>
        <v>#NAME?</v>
      </c>
      <c r="BR643" s="146" t="e" cm="1">
        <f t="array" aca="1" ref="BR643" ca="1">_xll.VisibleAlpha.UDF.VAData($B$634,BR$635,$B643,BR$637,$B$637,$B$636,$B$635)</f>
        <v>#NAME?</v>
      </c>
      <c r="BS643" s="146" t="e" cm="1">
        <f t="array" aca="1" ref="BS643" ca="1">_xll.VisibleAlpha.UDF.VAData($B$634,BS$635,$B643,BS$637,$B$637,$B$636,$B$635)</f>
        <v>#NAME?</v>
      </c>
      <c r="BT643" s="146" t="e" cm="1">
        <f t="array" aca="1" ref="BT643" ca="1">_xll.VisibleAlpha.UDF.VAData($B$634,BT$635,$B643,BT$637,$B$637,$B$636,$B$635)</f>
        <v>#NAME?</v>
      </c>
      <c r="BU643" s="146" t="e" cm="1">
        <f t="array" aca="1" ref="BU643" ca="1">_xll.VisibleAlpha.UDF.VAData($B$634,BU$635,$B643,BU$637,$B$637,$B$636,$B$635)</f>
        <v>#NAME?</v>
      </c>
      <c r="BV643" s="146" t="e" cm="1">
        <f t="array" aca="1" ref="BV643" ca="1">_xll.VisibleAlpha.UDF.VAData($B$634,BV$635,$B643,BV$637,$B$637,$B$636,$B$635)</f>
        <v>#NAME?</v>
      </c>
      <c r="BW643" s="146" t="e" cm="1">
        <f t="array" aca="1" ref="BW643" ca="1">_xll.VisibleAlpha.UDF.VAData($B$634,BW$635,$B643,BW$637,$B$637,$B$636,$B$635)</f>
        <v>#NAME?</v>
      </c>
      <c r="BX643" s="146" t="e" cm="1">
        <f t="array" aca="1" ref="BX643" ca="1">_xll.VisibleAlpha.UDF.VAData($B$634,BX$635,$B643,BX$637,$B$637,$B$636,$B$635)</f>
        <v>#NAME?</v>
      </c>
      <c r="BY643" s="146" t="e" cm="1">
        <f t="array" aca="1" ref="BY643" ca="1">_xll.VisibleAlpha.UDF.VAData($B$634,BY$635,$B643,BY$637,$B$637,$B$636,$B$635)</f>
        <v>#NAME?</v>
      </c>
      <c r="BZ643" s="146" t="e" cm="1">
        <f t="array" aca="1" ref="BZ643" ca="1">_xll.VisibleAlpha.UDF.VAData($B$634,BZ$635,$B643,BZ$637,$B$637,$B$636,$B$635)</f>
        <v>#NAME?</v>
      </c>
      <c r="CA643" t="e" cm="1">
        <f t="array" aca="1" ref="CA643" ca="1">_xll.VisibleAlpha.UDF.VAData($B$634,CA$635,$B643,CA$637,$B$637,$B$636,$B$635)</f>
        <v>#NAME?</v>
      </c>
      <c r="CB643" s="24" t="e" cm="1">
        <f t="array" aca="1" ref="CB643" ca="1">_xll.VisibleAlpha.UDF.VAData($B$634,CB$635,$B643,CB$637,$B$637,$B$636,$B$635)</f>
        <v>#NAME?</v>
      </c>
      <c r="CC643" s="24" t="e" cm="1">
        <f t="array" aca="1" ref="CC643" ca="1">_xll.VisibleAlpha.UDF.VAData($B$634,CC$635,$B643,CC$637,$B$637,$B$636,$B$635)</f>
        <v>#NAME?</v>
      </c>
      <c r="CD643" s="24" t="e" cm="1">
        <f t="array" aca="1" ref="CD643" ca="1">_xll.VisibleAlpha.UDF.VAData($B$634,CD$635,$B643,CD$637,$B$637,$B$636,$B$635)</f>
        <v>#NAME?</v>
      </c>
      <c r="CF643" s="24" t="e" cm="1">
        <f t="array" aca="1" ref="CF643" ca="1">_xll.VisibleAlpha.UDF.VAData($B$634,CF$635,$B643,CF$637,$B$637,$B$636,$B$635)</f>
        <v>#NAME?</v>
      </c>
      <c r="CG643" s="24" t="e" cm="1">
        <f t="array" aca="1" ref="CG643" ca="1">_xll.VisibleAlpha.UDF.VAData($B$634,CG$635,$B643,CG$637,$B$637,$B$636,$B$635)</f>
        <v>#NAME?</v>
      </c>
      <c r="CH643" s="24" t="e" cm="1">
        <f t="array" aca="1" ref="CH643" ca="1">_xll.VisibleAlpha.UDF.VAData($B$634,CH$635,$B643,CH$637,$B$637,$B$636,$B$635)</f>
        <v>#NAME?</v>
      </c>
      <c r="CI643" s="24" t="e" cm="1">
        <f t="array" aca="1" ref="CI643" ca="1">_xll.VisibleAlpha.UDF.VAData($B$634,CI$635,$B643,CI$637,$B$637,$B$636,$B$635)</f>
        <v>#NAME?</v>
      </c>
      <c r="CJ643" s="24" t="e" cm="1">
        <f t="array" aca="1" ref="CJ643" ca="1">_xll.VisibleAlpha.UDF.VAData($B$634,CJ$635,$B643,CJ$637,$B$637,$B$636,$B$635)</f>
        <v>#NAME?</v>
      </c>
      <c r="CK643" s="24" t="e" cm="1">
        <f t="array" aca="1" ref="CK643" ca="1">_xll.VisibleAlpha.UDF.VAData($B$634,CK$635,$B643,CK$637,$B$637,$B$636,$B$635)</f>
        <v>#NAME?</v>
      </c>
      <c r="CL643" s="24" t="e" cm="1">
        <f t="array" aca="1" ref="CL643" ca="1">_xll.VisibleAlpha.UDF.VAData($B$634,CL$635,$B643,CL$637,$B$637,$B$636,$B$635)</f>
        <v>#NAME?</v>
      </c>
      <c r="CM643" s="24" t="e" cm="1">
        <f t="array" aca="1" ref="CM643" ca="1">_xll.VisibleAlpha.UDF.VAData($B$634,CM$635,$B643,CM$637,$B$637,$B$636,$B$635)</f>
        <v>#NAME?</v>
      </c>
      <c r="CN643" s="24" t="e" cm="1">
        <f t="array" aca="1" ref="CN643" ca="1">_xll.VisibleAlpha.UDF.VAData($B$634,CN$635,$B643,CN$637,$B$637,$B$636,$B$635)</f>
        <v>#NAME?</v>
      </c>
      <c r="CO643" s="146" t="e" cm="1">
        <f t="array" aca="1" ref="CO643" ca="1">_xll.VisibleAlpha.UDF.VAData($B$634,CO$635,$B643,CO$637,$B$637,$B$636,$B$635)</f>
        <v>#NAME?</v>
      </c>
      <c r="CP643" s="146" t="e" cm="1">
        <f t="array" aca="1" ref="CP643" ca="1">_xll.VisibleAlpha.UDF.VAData($B$634,CP$635,$B643,CP$637,$B$637,$B$636,$B$635)</f>
        <v>#NAME?</v>
      </c>
      <c r="CQ643" s="146" t="e" cm="1">
        <f t="array" aca="1" ref="CQ643" ca="1">_xll.VisibleAlpha.UDF.VAData($B$634,CQ$635,$B643,CQ$637,$B$637,$B$636,$B$635)</f>
        <v>#NAME?</v>
      </c>
      <c r="CR643" s="146" t="e" cm="1">
        <f t="array" aca="1" ref="CR643" ca="1">_xll.VisibleAlpha.UDF.VAData($B$634,CR$635,$B643,CR$637,$B$637,$B$636,$B$635)</f>
        <v>#NAME?</v>
      </c>
      <c r="CS643" s="146" t="e" cm="1">
        <f t="array" aca="1" ref="CS643" ca="1">_xll.VisibleAlpha.UDF.VAData($B$634,CS$635,$B643,CS$637,$B$637,$B$636,$B$635)</f>
        <v>#NAME?</v>
      </c>
      <c r="CT643" s="146" t="e" cm="1">
        <f t="array" aca="1" ref="CT643" ca="1">_xll.VisibleAlpha.UDF.VAData($B$634,CT$635,$B643,CT$637,$B$637,$B$636,$B$635)</f>
        <v>#NAME?</v>
      </c>
      <c r="CU643" s="146" t="e" cm="1">
        <f t="array" aca="1" ref="CU643" ca="1">_xll.VisibleAlpha.UDF.VAData($B$634,CU$635,$B643,CU$637,$B$637,$B$636,$B$635)</f>
        <v>#NAME?</v>
      </c>
      <c r="CV643" s="146" t="e" cm="1">
        <f t="array" aca="1" ref="CV643" ca="1">_xll.VisibleAlpha.UDF.VAData($B$634,CV$635,$B643,CV$637,$B$637,$B$636,$B$635)</f>
        <v>#NAME?</v>
      </c>
      <c r="CW643" s="146" t="e" cm="1">
        <f t="array" aca="1" ref="CW643" ca="1">_xll.VisibleAlpha.UDF.VAData($B$634,CW$635,$B643,CW$637,$B$637,$B$636,$B$635)</f>
        <v>#NAME?</v>
      </c>
      <c r="CX643" s="146" t="e" cm="1">
        <f t="array" aca="1" ref="CX643" ca="1">_xll.VisibleAlpha.UDF.VAData($B$634,CX$635,$B643,CX$637,$B$637,$B$636,$B$635)</f>
        <v>#NAME?</v>
      </c>
    </row>
    <row r="644" spans="1:102" x14ac:dyDescent="0.25">
      <c r="A644" s="1"/>
      <c r="B644" s="26"/>
      <c r="C644" s="26"/>
      <c r="D644" s="26"/>
      <c r="E644" s="26"/>
      <c r="F644" s="26"/>
      <c r="G644" s="26"/>
      <c r="H644" s="26"/>
      <c r="I644" s="26"/>
      <c r="J644" s="26"/>
      <c r="K644" s="26"/>
      <c r="L644" s="26"/>
      <c r="M644" s="26"/>
      <c r="N644" s="26"/>
      <c r="O644" s="26"/>
      <c r="P644" s="26"/>
      <c r="Q644" s="26"/>
      <c r="R644" s="26"/>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146"/>
      <c r="BI644" s="146"/>
      <c r="BJ644" s="146"/>
      <c r="BK644" s="146"/>
      <c r="BL644" s="146"/>
      <c r="BM644" s="146"/>
      <c r="BN644" s="146"/>
      <c r="BO644" s="146"/>
      <c r="BP644" s="146"/>
      <c r="BQ644" s="146"/>
      <c r="BR644" s="146"/>
      <c r="BS644" s="146"/>
      <c r="BT644" s="146"/>
      <c r="BU644" s="146"/>
      <c r="BV644" s="146"/>
      <c r="BW644" s="146"/>
      <c r="BX644" s="146"/>
      <c r="BY644" s="146"/>
      <c r="BZ644" s="146"/>
      <c r="CB644" s="24"/>
      <c r="CC644" s="24"/>
      <c r="CD644" s="24"/>
      <c r="CF644" s="24"/>
      <c r="CG644" s="24"/>
      <c r="CH644" s="24"/>
      <c r="CI644" s="24"/>
      <c r="CJ644" s="24"/>
      <c r="CK644" s="24"/>
      <c r="CL644" s="24"/>
      <c r="CM644" s="24"/>
      <c r="CN644" s="24"/>
      <c r="CO644" s="146"/>
      <c r="CP644" s="146"/>
      <c r="CQ644" s="146"/>
      <c r="CR644" s="146"/>
      <c r="CS644" s="146"/>
      <c r="CT644" s="146"/>
      <c r="CU644" s="146"/>
      <c r="CV644" s="146"/>
      <c r="CW644" s="146"/>
      <c r="CX644" s="146"/>
    </row>
    <row r="645" spans="1:102" s="10" customFormat="1" x14ac:dyDescent="0.25">
      <c r="A645" s="9"/>
      <c r="B645" s="112" t="s">
        <v>431</v>
      </c>
      <c r="C645" s="112"/>
      <c r="D645" s="112"/>
      <c r="E645" s="112"/>
      <c r="F645" s="112"/>
      <c r="G645" s="112"/>
      <c r="H645" s="112"/>
      <c r="I645" s="112"/>
      <c r="J645" s="112"/>
      <c r="K645" s="112"/>
      <c r="L645" s="112"/>
      <c r="M645" s="112"/>
      <c r="N645" s="112"/>
      <c r="O645" s="112"/>
      <c r="P645" s="112"/>
      <c r="Q645" s="112"/>
      <c r="R645" s="112"/>
      <c r="S645" s="57" t="s">
        <v>336</v>
      </c>
      <c r="T645" s="57" t="s">
        <v>336</v>
      </c>
      <c r="U645" s="57" t="s">
        <v>336</v>
      </c>
      <c r="V645" s="57" t="s">
        <v>336</v>
      </c>
      <c r="W645" s="57">
        <v>1113150</v>
      </c>
      <c r="X645" s="57">
        <v>1291350.0000000049</v>
      </c>
      <c r="Y645" s="57">
        <v>81300</v>
      </c>
      <c r="Z645" s="57">
        <v>42600</v>
      </c>
      <c r="AA645" s="57">
        <v>36700</v>
      </c>
      <c r="AB645" s="57">
        <v>50100</v>
      </c>
      <c r="AC645" s="57">
        <v>80500</v>
      </c>
      <c r="AD645" s="57">
        <v>50600</v>
      </c>
      <c r="AE645" s="57">
        <v>38700</v>
      </c>
      <c r="AF645" s="57">
        <v>69700</v>
      </c>
      <c r="AG645" s="57">
        <v>86500</v>
      </c>
      <c r="AH645" s="57">
        <v>52000</v>
      </c>
      <c r="AI645" s="57">
        <v>40600</v>
      </c>
      <c r="AJ645" s="57">
        <v>75100</v>
      </c>
      <c r="AK645" s="57">
        <v>87200</v>
      </c>
      <c r="AL645" s="57">
        <v>54700</v>
      </c>
      <c r="AM645" s="57">
        <v>50500</v>
      </c>
      <c r="AN645" s="57">
        <v>71600</v>
      </c>
      <c r="AO645" s="57">
        <v>88700</v>
      </c>
      <c r="AP645" s="57">
        <v>65300</v>
      </c>
      <c r="AQ645" s="57">
        <v>91400</v>
      </c>
      <c r="AR645" s="57">
        <v>81800</v>
      </c>
      <c r="AS645" s="57">
        <v>104200</v>
      </c>
      <c r="AT645" s="57">
        <v>61400</v>
      </c>
      <c r="AU645" s="57">
        <v>63600</v>
      </c>
      <c r="AV645" s="57">
        <v>76400</v>
      </c>
      <c r="AW645" s="57">
        <v>92700</v>
      </c>
      <c r="AX645" s="57">
        <v>70500</v>
      </c>
      <c r="AY645" s="57">
        <v>47200</v>
      </c>
      <c r="AZ645" s="57">
        <v>62500</v>
      </c>
      <c r="BA645" s="57">
        <v>86500</v>
      </c>
      <c r="BB645" s="57">
        <v>68000</v>
      </c>
      <c r="BC645" s="57">
        <v>56500</v>
      </c>
      <c r="BD645" s="57">
        <v>67600</v>
      </c>
      <c r="BE645" s="57">
        <v>89700</v>
      </c>
      <c r="BF645" s="57" t="e" cm="1">
        <f t="array" aca="1" ref="BF645" ca="1">_xll.VisibleAlpha.UDF.VAData($B$634,BF$635,$B645,BF$637,$B$637,$B$636,$B$635)</f>
        <v>#NAME?</v>
      </c>
      <c r="BG645" s="57" t="e" cm="1">
        <f t="array" aca="1" ref="BG645" ca="1">_xll.VisibleAlpha.UDF.VAData($B$634,BG$635,$B645,BG$637,$B$637,$B$636,$B$635)</f>
        <v>#NAME?</v>
      </c>
      <c r="BH645" s="142" t="e" cm="1">
        <f t="array" aca="1" ref="BH645" ca="1">_xll.VisibleAlpha.UDF.VAData($B$634,BH$635,$B645,BH$637,$B$637,$B$636,$B$635)</f>
        <v>#NAME?</v>
      </c>
      <c r="BI645" s="142" t="e" cm="1">
        <f t="array" aca="1" ref="BI645" ca="1">_xll.VisibleAlpha.UDF.VAData($B$634,BI$635,$B645,BI$637,$B$637,$B$636,$B$635)</f>
        <v>#NAME?</v>
      </c>
      <c r="BJ645" s="142" t="e" cm="1">
        <f t="array" aca="1" ref="BJ645" ca="1">_xll.VisibleAlpha.UDF.VAData($B$634,BJ$635,$B645,BJ$637,$B$637,$B$636,$B$635)</f>
        <v>#NAME?</v>
      </c>
      <c r="BK645" s="142" t="e" cm="1">
        <f t="array" aca="1" ref="BK645" ca="1">_xll.VisibleAlpha.UDF.VAData($B$634,BK$635,$B645,BK$637,$B$637,$B$636,$B$635)</f>
        <v>#NAME?</v>
      </c>
      <c r="BL645" s="142" t="e" cm="1">
        <f t="array" aca="1" ref="BL645" ca="1">_xll.VisibleAlpha.UDF.VAData($B$634,BL$635,$B645,BL$637,$B$637,$B$636,$B$635)</f>
        <v>#NAME?</v>
      </c>
      <c r="BM645" s="142" t="e" cm="1">
        <f t="array" aca="1" ref="BM645" ca="1">_xll.VisibleAlpha.UDF.VAData($B$634,BM$635,$B645,BM$637,$B$637,$B$636,$B$635)</f>
        <v>#NAME?</v>
      </c>
      <c r="BN645" s="142" t="e" cm="1">
        <f t="array" aca="1" ref="BN645" ca="1">_xll.VisibleAlpha.UDF.VAData($B$634,BN$635,$B645,BN$637,$B$637,$B$636,$B$635)</f>
        <v>#NAME?</v>
      </c>
      <c r="BO645" s="142" t="e" cm="1">
        <f t="array" aca="1" ref="BO645" ca="1">_xll.VisibleAlpha.UDF.VAData($B$634,BO$635,$B645,BO$637,$B$637,$B$636,$B$635)</f>
        <v>#NAME?</v>
      </c>
      <c r="BP645" s="142" t="e" cm="1">
        <f t="array" aca="1" ref="BP645" ca="1">_xll.VisibleAlpha.UDF.VAData($B$634,BP$635,$B645,BP$637,$B$637,$B$636,$B$635)</f>
        <v>#NAME?</v>
      </c>
      <c r="BQ645" s="142" t="e" cm="1">
        <f t="array" aca="1" ref="BQ645" ca="1">_xll.VisibleAlpha.UDF.VAData($B$634,BQ$635,$B645,BQ$637,$B$637,$B$636,$B$635)</f>
        <v>#NAME?</v>
      </c>
      <c r="BR645" s="142" t="e" cm="1">
        <f t="array" aca="1" ref="BR645" ca="1">_xll.VisibleAlpha.UDF.VAData($B$634,BR$635,$B645,BR$637,$B$637,$B$636,$B$635)</f>
        <v>#NAME?</v>
      </c>
      <c r="BS645" s="142" t="e" cm="1">
        <f t="array" aca="1" ref="BS645" ca="1">_xll.VisibleAlpha.UDF.VAData($B$634,BS$635,$B645,BS$637,$B$637,$B$636,$B$635)</f>
        <v>#NAME?</v>
      </c>
      <c r="BT645" s="142" t="e" cm="1">
        <f t="array" aca="1" ref="BT645" ca="1">_xll.VisibleAlpha.UDF.VAData($B$634,BT$635,$B645,BT$637,$B$637,$B$636,$B$635)</f>
        <v>#NAME?</v>
      </c>
      <c r="BU645" s="142" t="e" cm="1">
        <f t="array" aca="1" ref="BU645" ca="1">_xll.VisibleAlpha.UDF.VAData($B$634,BU$635,$B645,BU$637,$B$637,$B$636,$B$635)</f>
        <v>#NAME?</v>
      </c>
      <c r="BV645" s="142" t="e" cm="1">
        <f t="array" aca="1" ref="BV645" ca="1">_xll.VisibleAlpha.UDF.VAData($B$634,BV$635,$B645,BV$637,$B$637,$B$636,$B$635)</f>
        <v>#NAME?</v>
      </c>
      <c r="BW645" s="142" t="e" cm="1">
        <f t="array" aca="1" ref="BW645" ca="1">_xll.VisibleAlpha.UDF.VAData($B$634,BW$635,$B645,BW$637,$B$637,$B$636,$B$635)</f>
        <v>#NAME?</v>
      </c>
      <c r="BX645" s="142" t="e" cm="1">
        <f t="array" aca="1" ref="BX645" ca="1">_xll.VisibleAlpha.UDF.VAData($B$634,BX$635,$B645,BX$637,$B$637,$B$636,$B$635)</f>
        <v>#NAME?</v>
      </c>
      <c r="BY645" s="142" t="e" cm="1">
        <f t="array" aca="1" ref="BY645" ca="1">_xll.VisibleAlpha.UDF.VAData($B$634,BY$635,$B645,BY$637,$B$637,$B$636,$B$635)</f>
        <v>#NAME?</v>
      </c>
      <c r="BZ645" s="142" t="e" cm="1">
        <f t="array" aca="1" ref="BZ645" ca="1">_xll.VisibleAlpha.UDF.VAData($B$634,BZ$635,$B645,BZ$637,$B$637,$B$636,$B$635)</f>
        <v>#NAME?</v>
      </c>
      <c r="CA645" s="10" t="e" cm="1">
        <f t="array" aca="1" ref="CA645" ca="1">_xll.VisibleAlpha.UDF.VAData($B$634,CA$635,$B645,CA$637,$B$637,$B$636,$B$635)</f>
        <v>#NAME?</v>
      </c>
      <c r="CB645" s="57" t="e" cm="1">
        <f t="array" aca="1" ref="CB645" ca="1">_xll.VisibleAlpha.UDF.VAData($B$634,CB$635,$B645,CB$637,$B$637,$B$636,$B$635)</f>
        <v>#NAME?</v>
      </c>
      <c r="CC645" s="57" t="e" cm="1">
        <f t="array" aca="1" ref="CC645" ca="1">_xll.VisibleAlpha.UDF.VAData($B$634,CC$635,$B645,CC$637,$B$637,$B$636,$B$635)</f>
        <v>#NAME?</v>
      </c>
      <c r="CD645" s="57" t="e" cm="1">
        <f t="array" aca="1" ref="CD645" ca="1">_xll.VisibleAlpha.UDF.VAData($B$634,CD$635,$B645,CD$637,$B$637,$B$636,$B$635)</f>
        <v>#NAME?</v>
      </c>
      <c r="CE645"/>
      <c r="CF645" s="57" t="e" cm="1">
        <f t="array" aca="1" ref="CF645" ca="1">_xll.VisibleAlpha.UDF.VAData($B$634,CF$635,$B645,CF$637,$B$637,$B$636,$B$635)</f>
        <v>#NAME?</v>
      </c>
      <c r="CG645" s="57" t="e" cm="1">
        <f t="array" aca="1" ref="CG645" ca="1">_xll.VisibleAlpha.UDF.VAData($B$634,CG$635,$B645,CG$637,$B$637,$B$636,$B$635)</f>
        <v>#NAME?</v>
      </c>
      <c r="CH645" s="57" t="e" cm="1">
        <f t="array" aca="1" ref="CH645" ca="1">_xll.VisibleAlpha.UDF.VAData($B$634,CH$635,$B645,CH$637,$B$637,$B$636,$B$635)</f>
        <v>#NAME?</v>
      </c>
      <c r="CI645" s="57" t="e" cm="1">
        <f t="array" aca="1" ref="CI645" ca="1">_xll.VisibleAlpha.UDF.VAData($B$634,CI$635,$B645,CI$637,$B$637,$B$636,$B$635)</f>
        <v>#NAME?</v>
      </c>
      <c r="CJ645" s="57" t="e" cm="1">
        <f t="array" aca="1" ref="CJ645" ca="1">_xll.VisibleAlpha.UDF.VAData($B$634,CJ$635,$B645,CJ$637,$B$637,$B$636,$B$635)</f>
        <v>#NAME?</v>
      </c>
      <c r="CK645" s="57" t="e" cm="1">
        <f t="array" aca="1" ref="CK645" ca="1">_xll.VisibleAlpha.UDF.VAData($B$634,CK$635,$B645,CK$637,$B$637,$B$636,$B$635)</f>
        <v>#NAME?</v>
      </c>
      <c r="CL645" s="57" t="e" cm="1">
        <f t="array" aca="1" ref="CL645" ca="1">_xll.VisibleAlpha.UDF.VAData($B$634,CL$635,$B645,CL$637,$B$637,$B$636,$B$635)</f>
        <v>#NAME?</v>
      </c>
      <c r="CM645" s="57" t="e" cm="1">
        <f t="array" aca="1" ref="CM645" ca="1">_xll.VisibleAlpha.UDF.VAData($B$634,CM$635,$B645,CM$637,$B$637,$B$636,$B$635)</f>
        <v>#NAME?</v>
      </c>
      <c r="CN645" s="57" t="e" cm="1">
        <f t="array" aca="1" ref="CN645" ca="1">_xll.VisibleAlpha.UDF.VAData($B$634,CN$635,$B645,CN$637,$B$637,$B$636,$B$635)</f>
        <v>#NAME?</v>
      </c>
      <c r="CO645" s="142" t="e" cm="1">
        <f t="array" aca="1" ref="CO645" ca="1">_xll.VisibleAlpha.UDF.VAData($B$634,CO$635,$B645,CO$637,$B$637,$B$636,$B$635)</f>
        <v>#NAME?</v>
      </c>
      <c r="CP645" s="142" t="e" cm="1">
        <f t="array" aca="1" ref="CP645" ca="1">_xll.VisibleAlpha.UDF.VAData($B$634,CP$635,$B645,CP$637,$B$637,$B$636,$B$635)</f>
        <v>#NAME?</v>
      </c>
      <c r="CQ645" s="142" t="e" cm="1">
        <f t="array" aca="1" ref="CQ645" ca="1">_xll.VisibleAlpha.UDF.VAData($B$634,CQ$635,$B645,CQ$637,$B$637,$B$636,$B$635)</f>
        <v>#NAME?</v>
      </c>
      <c r="CR645" s="142" t="e" cm="1">
        <f t="array" aca="1" ref="CR645" ca="1">_xll.VisibleAlpha.UDF.VAData($B$634,CR$635,$B645,CR$637,$B$637,$B$636,$B$635)</f>
        <v>#NAME?</v>
      </c>
      <c r="CS645" s="142" t="e" cm="1">
        <f t="array" aca="1" ref="CS645" ca="1">_xll.VisibleAlpha.UDF.VAData($B$634,CS$635,$B645,CS$637,$B$637,$B$636,$B$635)</f>
        <v>#NAME?</v>
      </c>
      <c r="CT645" s="142" t="e" cm="1">
        <f t="array" aca="1" ref="CT645" ca="1">_xll.VisibleAlpha.UDF.VAData($B$634,CT$635,$B645,CT$637,$B$637,$B$636,$B$635)</f>
        <v>#NAME?</v>
      </c>
      <c r="CU645" s="142" t="e" cm="1">
        <f t="array" aca="1" ref="CU645" ca="1">_xll.VisibleAlpha.UDF.VAData($B$634,CU$635,$B645,CU$637,$B$637,$B$636,$B$635)</f>
        <v>#NAME?</v>
      </c>
      <c r="CV645" s="142" t="e" cm="1">
        <f t="array" aca="1" ref="CV645" ca="1">_xll.VisibleAlpha.UDF.VAData($B$634,CV$635,$B645,CV$637,$B$637,$B$636,$B$635)</f>
        <v>#NAME?</v>
      </c>
      <c r="CW645" s="142" t="e" cm="1">
        <f t="array" aca="1" ref="CW645" ca="1">_xll.VisibleAlpha.UDF.VAData($B$634,CW$635,$B645,CW$637,$B$637,$B$636,$B$635)</f>
        <v>#NAME?</v>
      </c>
      <c r="CX645" s="142" t="e" cm="1">
        <f t="array" aca="1" ref="CX645" ca="1">_xll.VisibleAlpha.UDF.VAData($B$634,CX$635,$B645,CX$637,$B$637,$B$636,$B$635)</f>
        <v>#NAME?</v>
      </c>
    </row>
    <row r="646" spans="1:102" x14ac:dyDescent="0.25">
      <c r="A646" s="1"/>
      <c r="B646" s="26" t="s">
        <v>432</v>
      </c>
      <c r="C646" s="26"/>
      <c r="D646" s="26"/>
      <c r="E646" s="26"/>
      <c r="F646" s="26"/>
      <c r="G646" s="26"/>
      <c r="H646" s="26"/>
      <c r="I646" s="26"/>
      <c r="J646" s="26"/>
      <c r="K646" s="26"/>
      <c r="L646" s="26"/>
      <c r="M646" s="26"/>
      <c r="N646" s="26"/>
      <c r="O646" s="26"/>
      <c r="P646" s="26"/>
      <c r="Q646" s="26"/>
      <c r="R646" s="26"/>
      <c r="S646" s="24" t="s">
        <v>336</v>
      </c>
      <c r="T646" s="24" t="s">
        <v>336</v>
      </c>
      <c r="U646" s="24" t="s">
        <v>336</v>
      </c>
      <c r="V646" s="24" t="s">
        <v>336</v>
      </c>
      <c r="W646" s="24">
        <v>6803.12</v>
      </c>
      <c r="X646" s="24">
        <v>8059.7</v>
      </c>
      <c r="Y646" s="24">
        <v>9788.52</v>
      </c>
      <c r="Z646" s="24">
        <v>5503.92</v>
      </c>
      <c r="AA646" s="24">
        <v>7164.33</v>
      </c>
      <c r="AB646" s="24">
        <v>2640.31</v>
      </c>
      <c r="AC646" s="24">
        <v>6163.3625000000002</v>
      </c>
      <c r="AD646" s="24">
        <v>8358.0550000000003</v>
      </c>
      <c r="AE646" s="24">
        <v>3629.9050000000002</v>
      </c>
      <c r="AF646" s="24">
        <v>5546.24</v>
      </c>
      <c r="AG646" s="24">
        <v>9507.5</v>
      </c>
      <c r="AH646" s="24">
        <v>3952.2</v>
      </c>
      <c r="AI646" s="24">
        <v>14114.0286</v>
      </c>
      <c r="AJ646" s="24">
        <v>14218.867399999999</v>
      </c>
      <c r="AK646" s="24">
        <v>15635.670599999999</v>
      </c>
      <c r="AL646" s="24">
        <v>8365.6702499999974</v>
      </c>
      <c r="AM646" s="24">
        <v>12200</v>
      </c>
      <c r="AN646" s="24">
        <v>6800</v>
      </c>
      <c r="AO646" s="24">
        <v>21000</v>
      </c>
      <c r="AP646" s="24">
        <v>9200</v>
      </c>
      <c r="AQ646" s="24">
        <v>18800</v>
      </c>
      <c r="AR646" s="24">
        <v>12800</v>
      </c>
      <c r="AS646" s="24">
        <v>19000</v>
      </c>
      <c r="AT646" s="24">
        <v>7900</v>
      </c>
      <c r="AU646" s="24">
        <v>10500</v>
      </c>
      <c r="AV646" s="24">
        <v>7600</v>
      </c>
      <c r="AW646" s="24">
        <v>11300</v>
      </c>
      <c r="AX646" s="24">
        <v>14500</v>
      </c>
      <c r="AY646" s="24">
        <v>6600</v>
      </c>
      <c r="AZ646" s="24">
        <v>6600</v>
      </c>
      <c r="BA646" s="24">
        <v>20800</v>
      </c>
      <c r="BB646" s="24">
        <v>9500</v>
      </c>
      <c r="BC646" s="24">
        <v>6600</v>
      </c>
      <c r="BD646" s="24">
        <v>4700</v>
      </c>
      <c r="BE646" s="24">
        <v>16200</v>
      </c>
      <c r="BF646" s="24" t="e" cm="1">
        <f t="array" aca="1" ref="BF646" ca="1">_xll.VisibleAlpha.UDF.VAData($B$634,BF$635,$B646,BF$637,$B$637,$B$636,$B$635)</f>
        <v>#NAME?</v>
      </c>
      <c r="BG646" s="24" t="e" cm="1">
        <f t="array" aca="1" ref="BG646" ca="1">_xll.VisibleAlpha.UDF.VAData($B$634,BG$635,$B646,BG$637,$B$637,$B$636,$B$635)</f>
        <v>#NAME?</v>
      </c>
      <c r="BH646" s="146" t="e" cm="1">
        <f t="array" aca="1" ref="BH646" ca="1">_xll.VisibleAlpha.UDF.VAData($B$634,BH$635,$B646,BH$637,$B$637,$B$636,$B$635)</f>
        <v>#NAME?</v>
      </c>
      <c r="BI646" s="146" t="e" cm="1">
        <f t="array" aca="1" ref="BI646" ca="1">_xll.VisibleAlpha.UDF.VAData($B$634,BI$635,$B646,BI$637,$B$637,$B$636,$B$635)</f>
        <v>#NAME?</v>
      </c>
      <c r="BJ646" s="146" t="e" cm="1">
        <f t="array" aca="1" ref="BJ646" ca="1">_xll.VisibleAlpha.UDF.VAData($B$634,BJ$635,$B646,BJ$637,$B$637,$B$636,$B$635)</f>
        <v>#NAME?</v>
      </c>
      <c r="BK646" s="146" t="e" cm="1">
        <f t="array" aca="1" ref="BK646" ca="1">_xll.VisibleAlpha.UDF.VAData($B$634,BK$635,$B646,BK$637,$B$637,$B$636,$B$635)</f>
        <v>#NAME?</v>
      </c>
      <c r="BL646" s="146" t="e" cm="1">
        <f t="array" aca="1" ref="BL646" ca="1">_xll.VisibleAlpha.UDF.VAData($B$634,BL$635,$B646,BL$637,$B$637,$B$636,$B$635)</f>
        <v>#NAME?</v>
      </c>
      <c r="BM646" s="146" t="e" cm="1">
        <f t="array" aca="1" ref="BM646" ca="1">_xll.VisibleAlpha.UDF.VAData($B$634,BM$635,$B646,BM$637,$B$637,$B$636,$B$635)</f>
        <v>#NAME?</v>
      </c>
      <c r="BN646" s="146" t="e" cm="1">
        <f t="array" aca="1" ref="BN646" ca="1">_xll.VisibleAlpha.UDF.VAData($B$634,BN$635,$B646,BN$637,$B$637,$B$636,$B$635)</f>
        <v>#NAME?</v>
      </c>
      <c r="BO646" s="146" t="e" cm="1">
        <f t="array" aca="1" ref="BO646" ca="1">_xll.VisibleAlpha.UDF.VAData($B$634,BO$635,$B646,BO$637,$B$637,$B$636,$B$635)</f>
        <v>#NAME?</v>
      </c>
      <c r="BP646" s="146" t="e" cm="1">
        <f t="array" aca="1" ref="BP646" ca="1">_xll.VisibleAlpha.UDF.VAData($B$634,BP$635,$B646,BP$637,$B$637,$B$636,$B$635)</f>
        <v>#NAME?</v>
      </c>
      <c r="BQ646" s="146" t="e" cm="1">
        <f t="array" aca="1" ref="BQ646" ca="1">_xll.VisibleAlpha.UDF.VAData($B$634,BQ$635,$B646,BQ$637,$B$637,$B$636,$B$635)</f>
        <v>#NAME?</v>
      </c>
      <c r="BR646" s="146" t="e" cm="1">
        <f t="array" aca="1" ref="BR646" ca="1">_xll.VisibleAlpha.UDF.VAData($B$634,BR$635,$B646,BR$637,$B$637,$B$636,$B$635)</f>
        <v>#NAME?</v>
      </c>
      <c r="BS646" s="146" t="e" cm="1">
        <f t="array" aca="1" ref="BS646" ca="1">_xll.VisibleAlpha.UDF.VAData($B$634,BS$635,$B646,BS$637,$B$637,$B$636,$B$635)</f>
        <v>#NAME?</v>
      </c>
      <c r="BT646" s="146" t="e" cm="1">
        <f t="array" aca="1" ref="BT646" ca="1">_xll.VisibleAlpha.UDF.VAData($B$634,BT$635,$B646,BT$637,$B$637,$B$636,$B$635)</f>
        <v>#NAME?</v>
      </c>
      <c r="BU646" s="146" t="e" cm="1">
        <f t="array" aca="1" ref="BU646" ca="1">_xll.VisibleAlpha.UDF.VAData($B$634,BU$635,$B646,BU$637,$B$637,$B$636,$B$635)</f>
        <v>#NAME?</v>
      </c>
      <c r="BV646" s="146" t="e" cm="1">
        <f t="array" aca="1" ref="BV646" ca="1">_xll.VisibleAlpha.UDF.VAData($B$634,BV$635,$B646,BV$637,$B$637,$B$636,$B$635)</f>
        <v>#NAME?</v>
      </c>
      <c r="BW646" s="146" t="e" cm="1">
        <f t="array" aca="1" ref="BW646" ca="1">_xll.VisibleAlpha.UDF.VAData($B$634,BW$635,$B646,BW$637,$B$637,$B$636,$B$635)</f>
        <v>#NAME?</v>
      </c>
      <c r="BX646" s="146" t="e" cm="1">
        <f t="array" aca="1" ref="BX646" ca="1">_xll.VisibleAlpha.UDF.VAData($B$634,BX$635,$B646,BX$637,$B$637,$B$636,$B$635)</f>
        <v>#NAME?</v>
      </c>
      <c r="BY646" s="146" t="e" cm="1">
        <f t="array" aca="1" ref="BY646" ca="1">_xll.VisibleAlpha.UDF.VAData($B$634,BY$635,$B646,BY$637,$B$637,$B$636,$B$635)</f>
        <v>#NAME?</v>
      </c>
      <c r="BZ646" s="146" t="e" cm="1">
        <f t="array" aca="1" ref="BZ646" ca="1">_xll.VisibleAlpha.UDF.VAData($B$634,BZ$635,$B646,BZ$637,$B$637,$B$636,$B$635)</f>
        <v>#NAME?</v>
      </c>
      <c r="CA646" t="e" cm="1">
        <f t="array" aca="1" ref="CA646" ca="1">_xll.VisibleAlpha.UDF.VAData($B$634,CA$635,$B646,CA$637,$B$637,$B$636,$B$635)</f>
        <v>#NAME?</v>
      </c>
      <c r="CB646" s="24" t="e" cm="1">
        <f t="array" aca="1" ref="CB646" ca="1">_xll.VisibleAlpha.UDF.VAData($B$634,CB$635,$B646,CB$637,$B$637,$B$636,$B$635)</f>
        <v>#NAME?</v>
      </c>
      <c r="CC646" s="24" t="e" cm="1">
        <f t="array" aca="1" ref="CC646" ca="1">_xll.VisibleAlpha.UDF.VAData($B$634,CC$635,$B646,CC$637,$B$637,$B$636,$B$635)</f>
        <v>#NAME?</v>
      </c>
      <c r="CD646" s="24" t="e" cm="1">
        <f t="array" aca="1" ref="CD646" ca="1">_xll.VisibleAlpha.UDF.VAData($B$634,CD$635,$B646,CD$637,$B$637,$B$636,$B$635)</f>
        <v>#NAME?</v>
      </c>
      <c r="CF646" s="24" t="e" cm="1">
        <f t="array" aca="1" ref="CF646" ca="1">_xll.VisibleAlpha.UDF.VAData($B$634,CF$635,$B646,CF$637,$B$637,$B$636,$B$635)</f>
        <v>#NAME?</v>
      </c>
      <c r="CG646" s="24" t="e" cm="1">
        <f t="array" aca="1" ref="CG646" ca="1">_xll.VisibleAlpha.UDF.VAData($B$634,CG$635,$B646,CG$637,$B$637,$B$636,$B$635)</f>
        <v>#NAME?</v>
      </c>
      <c r="CH646" s="24" t="e" cm="1">
        <f t="array" aca="1" ref="CH646" ca="1">_xll.VisibleAlpha.UDF.VAData($B$634,CH$635,$B646,CH$637,$B$637,$B$636,$B$635)</f>
        <v>#NAME?</v>
      </c>
      <c r="CI646" s="24" t="e" cm="1">
        <f t="array" aca="1" ref="CI646" ca="1">_xll.VisibleAlpha.UDF.VAData($B$634,CI$635,$B646,CI$637,$B$637,$B$636,$B$635)</f>
        <v>#NAME?</v>
      </c>
      <c r="CJ646" s="24" t="e" cm="1">
        <f t="array" aca="1" ref="CJ646" ca="1">_xll.VisibleAlpha.UDF.VAData($B$634,CJ$635,$B646,CJ$637,$B$637,$B$636,$B$635)</f>
        <v>#NAME?</v>
      </c>
      <c r="CK646" s="24" t="e" cm="1">
        <f t="array" aca="1" ref="CK646" ca="1">_xll.VisibleAlpha.UDF.VAData($B$634,CK$635,$B646,CK$637,$B$637,$B$636,$B$635)</f>
        <v>#NAME?</v>
      </c>
      <c r="CL646" s="24" t="e" cm="1">
        <f t="array" aca="1" ref="CL646" ca="1">_xll.VisibleAlpha.UDF.VAData($B$634,CL$635,$B646,CL$637,$B$637,$B$636,$B$635)</f>
        <v>#NAME?</v>
      </c>
      <c r="CM646" s="24" t="e" cm="1">
        <f t="array" aca="1" ref="CM646" ca="1">_xll.VisibleAlpha.UDF.VAData($B$634,CM$635,$B646,CM$637,$B$637,$B$636,$B$635)</f>
        <v>#NAME?</v>
      </c>
      <c r="CN646" s="24" t="e" cm="1">
        <f t="array" aca="1" ref="CN646" ca="1">_xll.VisibleAlpha.UDF.VAData($B$634,CN$635,$B646,CN$637,$B$637,$B$636,$B$635)</f>
        <v>#NAME?</v>
      </c>
      <c r="CO646" s="146" t="e" cm="1">
        <f t="array" aca="1" ref="CO646" ca="1">_xll.VisibleAlpha.UDF.VAData($B$634,CO$635,$B646,CO$637,$B$637,$B$636,$B$635)</f>
        <v>#NAME?</v>
      </c>
      <c r="CP646" s="146" t="e" cm="1">
        <f t="array" aca="1" ref="CP646" ca="1">_xll.VisibleAlpha.UDF.VAData($B$634,CP$635,$B646,CP$637,$B$637,$B$636,$B$635)</f>
        <v>#NAME?</v>
      </c>
      <c r="CQ646" s="146" t="e" cm="1">
        <f t="array" aca="1" ref="CQ646" ca="1">_xll.VisibleAlpha.UDF.VAData($B$634,CQ$635,$B646,CQ$637,$B$637,$B$636,$B$635)</f>
        <v>#NAME?</v>
      </c>
      <c r="CR646" s="146" t="e" cm="1">
        <f t="array" aca="1" ref="CR646" ca="1">_xll.VisibleAlpha.UDF.VAData($B$634,CR$635,$B646,CR$637,$B$637,$B$636,$B$635)</f>
        <v>#NAME?</v>
      </c>
      <c r="CS646" s="146" t="e" cm="1">
        <f t="array" aca="1" ref="CS646" ca="1">_xll.VisibleAlpha.UDF.VAData($B$634,CS$635,$B646,CS$637,$B$637,$B$636,$B$635)</f>
        <v>#NAME?</v>
      </c>
      <c r="CT646" s="146" t="e" cm="1">
        <f t="array" aca="1" ref="CT646" ca="1">_xll.VisibleAlpha.UDF.VAData($B$634,CT$635,$B646,CT$637,$B$637,$B$636,$B$635)</f>
        <v>#NAME?</v>
      </c>
      <c r="CU646" s="146" t="e" cm="1">
        <f t="array" aca="1" ref="CU646" ca="1">_xll.VisibleAlpha.UDF.VAData($B$634,CU$635,$B646,CU$637,$B$637,$B$636,$B$635)</f>
        <v>#NAME?</v>
      </c>
      <c r="CV646" s="146" t="e" cm="1">
        <f t="array" aca="1" ref="CV646" ca="1">_xll.VisibleAlpha.UDF.VAData($B$634,CV$635,$B646,CV$637,$B$637,$B$636,$B$635)</f>
        <v>#NAME?</v>
      </c>
      <c r="CW646" s="146" t="e" cm="1">
        <f t="array" aca="1" ref="CW646" ca="1">_xll.VisibleAlpha.UDF.VAData($B$634,CW$635,$B646,CW$637,$B$637,$B$636,$B$635)</f>
        <v>#NAME?</v>
      </c>
      <c r="CX646" s="146" t="e" cm="1">
        <f t="array" aca="1" ref="CX646" ca="1">_xll.VisibleAlpha.UDF.VAData($B$634,CX$635,$B646,CX$637,$B$637,$B$636,$B$635)</f>
        <v>#NAME?</v>
      </c>
    </row>
    <row r="647" spans="1:102" s="84" customFormat="1" x14ac:dyDescent="0.25">
      <c r="A647" s="218"/>
      <c r="B647" s="219" t="s">
        <v>433</v>
      </c>
      <c r="C647" s="219"/>
      <c r="D647" s="219"/>
      <c r="E647" s="219"/>
      <c r="F647" s="219"/>
      <c r="G647" s="219"/>
      <c r="H647" s="219"/>
      <c r="I647" s="219"/>
      <c r="J647" s="219"/>
      <c r="K647" s="219"/>
      <c r="L647" s="219"/>
      <c r="M647" s="219"/>
      <c r="N647" s="219"/>
      <c r="O647" s="219"/>
      <c r="P647" s="219"/>
      <c r="Q647" s="219"/>
      <c r="R647" s="219"/>
      <c r="S647" s="86" t="s">
        <v>336</v>
      </c>
      <c r="T647" s="86" t="s">
        <v>336</v>
      </c>
      <c r="U647" s="86" t="s">
        <v>336</v>
      </c>
      <c r="V647" s="86" t="s">
        <v>336</v>
      </c>
      <c r="W647" s="86">
        <v>46.396583464350996</v>
      </c>
      <c r="X647" s="86">
        <v>26.13543541578035</v>
      </c>
      <c r="Y647" s="86">
        <v>23</v>
      </c>
      <c r="Z647" s="86">
        <v>35.333333333333336</v>
      </c>
      <c r="AA647" s="86">
        <v>29</v>
      </c>
      <c r="AB647" s="86">
        <v>22</v>
      </c>
      <c r="AC647" s="86">
        <v>23</v>
      </c>
      <c r="AD647" s="86">
        <v>37</v>
      </c>
      <c r="AE647" s="86">
        <v>39</v>
      </c>
      <c r="AF647" s="86">
        <v>27</v>
      </c>
      <c r="AG647" s="86">
        <v>28</v>
      </c>
      <c r="AH647" s="86">
        <v>43</v>
      </c>
      <c r="AI647" s="86">
        <v>43</v>
      </c>
      <c r="AJ647" s="86">
        <v>28</v>
      </c>
      <c r="AK647" s="86">
        <v>37</v>
      </c>
      <c r="AL647" s="86">
        <v>45</v>
      </c>
      <c r="AM647" s="86">
        <v>60</v>
      </c>
      <c r="AN647" s="86">
        <v>45</v>
      </c>
      <c r="AO647" s="86">
        <v>50</v>
      </c>
      <c r="AP647" s="86">
        <v>68</v>
      </c>
      <c r="AQ647" s="86">
        <v>74</v>
      </c>
      <c r="AR647" s="86">
        <v>59</v>
      </c>
      <c r="AS647" s="86">
        <v>53</v>
      </c>
      <c r="AT647" s="86">
        <v>79</v>
      </c>
      <c r="AU647" s="86">
        <v>71</v>
      </c>
      <c r="AV647" s="86">
        <v>62</v>
      </c>
      <c r="AW647" s="86">
        <v>62</v>
      </c>
      <c r="AX647" s="86">
        <v>71</v>
      </c>
      <c r="AY647" s="86">
        <v>79</v>
      </c>
      <c r="AZ647" s="86">
        <v>63</v>
      </c>
      <c r="BA647" s="86">
        <v>62</v>
      </c>
      <c r="BB647" s="86">
        <v>70</v>
      </c>
      <c r="BC647" s="86">
        <v>72</v>
      </c>
      <c r="BD647" s="86">
        <v>67</v>
      </c>
      <c r="BE647" s="86">
        <v>66</v>
      </c>
      <c r="BF647" s="86" t="e" cm="1">
        <f t="array" aca="1" ref="BF647" ca="1">_xll.VisibleAlpha.UDF.VAData($B$634,BF$635,$B647,BF$637,$B$637,$B$636,$B$635)</f>
        <v>#NAME?</v>
      </c>
      <c r="BG647" s="86" t="e" cm="1">
        <f t="array" aca="1" ref="BG647" ca="1">_xll.VisibleAlpha.UDF.VAData($B$634,BG$635,$B647,BG$637,$B$637,$B$636,$B$635)</f>
        <v>#NAME?</v>
      </c>
      <c r="BH647" s="220" t="e" cm="1">
        <f t="array" aca="1" ref="BH647" ca="1">_xll.VisibleAlpha.UDF.VAData($B$634,BH$635,$B647,BH$637,$B$637,$B$636,$B$635)</f>
        <v>#NAME?</v>
      </c>
      <c r="BI647" s="220" t="e" cm="1">
        <f t="array" aca="1" ref="BI647" ca="1">_xll.VisibleAlpha.UDF.VAData($B$634,BI$635,$B647,BI$637,$B$637,$B$636,$B$635)</f>
        <v>#NAME?</v>
      </c>
      <c r="BJ647" s="220" t="e" cm="1">
        <f t="array" aca="1" ref="BJ647" ca="1">_xll.VisibleAlpha.UDF.VAData($B$634,BJ$635,$B647,BJ$637,$B$637,$B$636,$B$635)</f>
        <v>#NAME?</v>
      </c>
      <c r="BK647" s="220" t="e" cm="1">
        <f t="array" aca="1" ref="BK647" ca="1">_xll.VisibleAlpha.UDF.VAData($B$634,BK$635,$B647,BK$637,$B$637,$B$636,$B$635)</f>
        <v>#NAME?</v>
      </c>
      <c r="BL647" s="220" t="e" cm="1">
        <f t="array" aca="1" ref="BL647" ca="1">_xll.VisibleAlpha.UDF.VAData($B$634,BL$635,$B647,BL$637,$B$637,$B$636,$B$635)</f>
        <v>#NAME?</v>
      </c>
      <c r="BM647" s="220" t="e" cm="1">
        <f t="array" aca="1" ref="BM647" ca="1">_xll.VisibleAlpha.UDF.VAData($B$634,BM$635,$B647,BM$637,$B$637,$B$636,$B$635)</f>
        <v>#NAME?</v>
      </c>
      <c r="BN647" s="220" t="e" cm="1">
        <f t="array" aca="1" ref="BN647" ca="1">_xll.VisibleAlpha.UDF.VAData($B$634,BN$635,$B647,BN$637,$B$637,$B$636,$B$635)</f>
        <v>#NAME?</v>
      </c>
      <c r="BO647" s="220" t="e" cm="1">
        <f t="array" aca="1" ref="BO647" ca="1">_xll.VisibleAlpha.UDF.VAData($B$634,BO$635,$B647,BO$637,$B$637,$B$636,$B$635)</f>
        <v>#NAME?</v>
      </c>
      <c r="BP647" s="220" t="e" cm="1">
        <f t="array" aca="1" ref="BP647" ca="1">_xll.VisibleAlpha.UDF.VAData($B$634,BP$635,$B647,BP$637,$B$637,$B$636,$B$635)</f>
        <v>#NAME?</v>
      </c>
      <c r="BQ647" s="220" t="e" cm="1">
        <f t="array" aca="1" ref="BQ647" ca="1">_xll.VisibleAlpha.UDF.VAData($B$634,BQ$635,$B647,BQ$637,$B$637,$B$636,$B$635)</f>
        <v>#NAME?</v>
      </c>
      <c r="BR647" s="220" t="e" cm="1">
        <f t="array" aca="1" ref="BR647" ca="1">_xll.VisibleAlpha.UDF.VAData($B$634,BR$635,$B647,BR$637,$B$637,$B$636,$B$635)</f>
        <v>#NAME?</v>
      </c>
      <c r="BS647" s="220" t="e" cm="1">
        <f t="array" aca="1" ref="BS647" ca="1">_xll.VisibleAlpha.UDF.VAData($B$634,BS$635,$B647,BS$637,$B$637,$B$636,$B$635)</f>
        <v>#NAME?</v>
      </c>
      <c r="BT647" s="220" t="e" cm="1">
        <f t="array" aca="1" ref="BT647" ca="1">_xll.VisibleAlpha.UDF.VAData($B$634,BT$635,$B647,BT$637,$B$637,$B$636,$B$635)</f>
        <v>#NAME?</v>
      </c>
      <c r="BU647" s="220" t="e" cm="1">
        <f t="array" aca="1" ref="BU647" ca="1">_xll.VisibleAlpha.UDF.VAData($B$634,BU$635,$B647,BU$637,$B$637,$B$636,$B$635)</f>
        <v>#NAME?</v>
      </c>
      <c r="BV647" s="220" t="e" cm="1">
        <f t="array" aca="1" ref="BV647" ca="1">_xll.VisibleAlpha.UDF.VAData($B$634,BV$635,$B647,BV$637,$B$637,$B$636,$B$635)</f>
        <v>#NAME?</v>
      </c>
      <c r="BW647" s="220" t="e" cm="1">
        <f t="array" aca="1" ref="BW647" ca="1">_xll.VisibleAlpha.UDF.VAData($B$634,BW$635,$B647,BW$637,$B$637,$B$636,$B$635)</f>
        <v>#NAME?</v>
      </c>
      <c r="BX647" s="220" t="e" cm="1">
        <f t="array" aca="1" ref="BX647" ca="1">_xll.VisibleAlpha.UDF.VAData($B$634,BX$635,$B647,BX$637,$B$637,$B$636,$B$635)</f>
        <v>#NAME?</v>
      </c>
      <c r="BY647" s="220" t="e" cm="1">
        <f t="array" aca="1" ref="BY647" ca="1">_xll.VisibleAlpha.UDF.VAData($B$634,BY$635,$B647,BY$637,$B$637,$B$636,$B$635)</f>
        <v>#NAME?</v>
      </c>
      <c r="BZ647" s="220" t="e" cm="1">
        <f t="array" aca="1" ref="BZ647" ca="1">_xll.VisibleAlpha.UDF.VAData($B$634,BZ$635,$B647,BZ$637,$B$637,$B$636,$B$635)</f>
        <v>#NAME?</v>
      </c>
      <c r="CA647" s="84" t="e" cm="1">
        <f t="array" aca="1" ref="CA647" ca="1">_xll.VisibleAlpha.UDF.VAData($B$634,CA$635,$B647,CA$637,$B$637,$B$636,$B$635)</f>
        <v>#NAME?</v>
      </c>
      <c r="CB647" s="86" t="e" cm="1">
        <f t="array" aca="1" ref="CB647" ca="1">_xll.VisibleAlpha.UDF.VAData($B$634,CB$635,$B647,CB$637,$B$637,$B$636,$B$635)</f>
        <v>#NAME?</v>
      </c>
      <c r="CC647" s="86" t="e" cm="1">
        <f t="array" aca="1" ref="CC647" ca="1">_xll.VisibleAlpha.UDF.VAData($B$634,CC$635,$B647,CC$637,$B$637,$B$636,$B$635)</f>
        <v>#NAME?</v>
      </c>
      <c r="CD647" s="86" t="e" cm="1">
        <f t="array" aca="1" ref="CD647" ca="1">_xll.VisibleAlpha.UDF.VAData($B$634,CD$635,$B647,CD$637,$B$637,$B$636,$B$635)</f>
        <v>#NAME?</v>
      </c>
      <c r="CE647"/>
      <c r="CF647" s="86" t="e" cm="1">
        <f t="array" aca="1" ref="CF647" ca="1">_xll.VisibleAlpha.UDF.VAData($B$634,CF$635,$B647,CF$637,$B$637,$B$636,$B$635)</f>
        <v>#NAME?</v>
      </c>
      <c r="CG647" s="86" t="e" cm="1">
        <f t="array" aca="1" ref="CG647" ca="1">_xll.VisibleAlpha.UDF.VAData($B$634,CG$635,$B647,CG$637,$B$637,$B$636,$B$635)</f>
        <v>#NAME?</v>
      </c>
      <c r="CH647" s="86" t="e" cm="1">
        <f t="array" aca="1" ref="CH647" ca="1">_xll.VisibleAlpha.UDF.VAData($B$634,CH$635,$B647,CH$637,$B$637,$B$636,$B$635)</f>
        <v>#NAME?</v>
      </c>
      <c r="CI647" s="86" t="e" cm="1">
        <f t="array" aca="1" ref="CI647" ca="1">_xll.VisibleAlpha.UDF.VAData($B$634,CI$635,$B647,CI$637,$B$637,$B$636,$B$635)</f>
        <v>#NAME?</v>
      </c>
      <c r="CJ647" s="86" t="e" cm="1">
        <f t="array" aca="1" ref="CJ647" ca="1">_xll.VisibleAlpha.UDF.VAData($B$634,CJ$635,$B647,CJ$637,$B$637,$B$636,$B$635)</f>
        <v>#NAME?</v>
      </c>
      <c r="CK647" s="86" t="e" cm="1">
        <f t="array" aca="1" ref="CK647" ca="1">_xll.VisibleAlpha.UDF.VAData($B$634,CK$635,$B647,CK$637,$B$637,$B$636,$B$635)</f>
        <v>#NAME?</v>
      </c>
      <c r="CL647" s="86" t="e" cm="1">
        <f t="array" aca="1" ref="CL647" ca="1">_xll.VisibleAlpha.UDF.VAData($B$634,CL$635,$B647,CL$637,$B$637,$B$636,$B$635)</f>
        <v>#NAME?</v>
      </c>
      <c r="CM647" s="86" t="e" cm="1">
        <f t="array" aca="1" ref="CM647" ca="1">_xll.VisibleAlpha.UDF.VAData($B$634,CM$635,$B647,CM$637,$B$637,$B$636,$B$635)</f>
        <v>#NAME?</v>
      </c>
      <c r="CN647" s="86" t="e" cm="1">
        <f t="array" aca="1" ref="CN647" ca="1">_xll.VisibleAlpha.UDF.VAData($B$634,CN$635,$B647,CN$637,$B$637,$B$636,$B$635)</f>
        <v>#NAME?</v>
      </c>
      <c r="CO647" s="220" t="e" cm="1">
        <f t="array" aca="1" ref="CO647" ca="1">_xll.VisibleAlpha.UDF.VAData($B$634,CO$635,$B647,CO$637,$B$637,$B$636,$B$635)</f>
        <v>#NAME?</v>
      </c>
      <c r="CP647" s="220" t="e" cm="1">
        <f t="array" aca="1" ref="CP647" ca="1">_xll.VisibleAlpha.UDF.VAData($B$634,CP$635,$B647,CP$637,$B$637,$B$636,$B$635)</f>
        <v>#NAME?</v>
      </c>
      <c r="CQ647" s="220" t="e" cm="1">
        <f t="array" aca="1" ref="CQ647" ca="1">_xll.VisibleAlpha.UDF.VAData($B$634,CQ$635,$B647,CQ$637,$B$637,$B$636,$B$635)</f>
        <v>#NAME?</v>
      </c>
      <c r="CR647" s="220" t="e" cm="1">
        <f t="array" aca="1" ref="CR647" ca="1">_xll.VisibleAlpha.UDF.VAData($B$634,CR$635,$B647,CR$637,$B$637,$B$636,$B$635)</f>
        <v>#NAME?</v>
      </c>
      <c r="CS647" s="220" t="e" cm="1">
        <f t="array" aca="1" ref="CS647" ca="1">_xll.VisibleAlpha.UDF.VAData($B$634,CS$635,$B647,CS$637,$B$637,$B$636,$B$635)</f>
        <v>#NAME?</v>
      </c>
      <c r="CT647" s="220" t="e" cm="1">
        <f t="array" aca="1" ref="CT647" ca="1">_xll.VisibleAlpha.UDF.VAData($B$634,CT$635,$B647,CT$637,$B$637,$B$636,$B$635)</f>
        <v>#NAME?</v>
      </c>
      <c r="CU647" s="220" t="e" cm="1">
        <f t="array" aca="1" ref="CU647" ca="1">_xll.VisibleAlpha.UDF.VAData($B$634,CU$635,$B647,CU$637,$B$637,$B$636,$B$635)</f>
        <v>#NAME?</v>
      </c>
      <c r="CV647" s="220" t="e" cm="1">
        <f t="array" aca="1" ref="CV647" ca="1">_xll.VisibleAlpha.UDF.VAData($B$634,CV$635,$B647,CV$637,$B$637,$B$636,$B$635)</f>
        <v>#NAME?</v>
      </c>
      <c r="CW647" s="220" t="e" cm="1">
        <f t="array" aca="1" ref="CW647" ca="1">_xll.VisibleAlpha.UDF.VAData($B$634,CW$635,$B647,CW$637,$B$637,$B$636,$B$635)</f>
        <v>#NAME?</v>
      </c>
      <c r="CX647" s="220" t="e" cm="1">
        <f t="array" aca="1" ref="CX647" ca="1">_xll.VisibleAlpha.UDF.VAData($B$634,CX$635,$B647,CX$637,$B$637,$B$636,$B$635)</f>
        <v>#NAME?</v>
      </c>
    </row>
    <row r="648" spans="1:102" s="84" customFormat="1" x14ac:dyDescent="0.25">
      <c r="A648" s="218"/>
      <c r="B648" s="219"/>
      <c r="C648" s="219"/>
      <c r="D648" s="219"/>
      <c r="E648" s="219"/>
      <c r="F648" s="219"/>
      <c r="G648" s="219"/>
      <c r="H648" s="219"/>
      <c r="I648" s="219"/>
      <c r="J648" s="219"/>
      <c r="K648" s="219"/>
      <c r="L648" s="219"/>
      <c r="M648" s="219"/>
      <c r="N648" s="219"/>
      <c r="O648" s="219"/>
      <c r="P648" s="219"/>
      <c r="Q648" s="219"/>
      <c r="R648" s="219"/>
      <c r="S648" s="86"/>
      <c r="T648" s="86"/>
      <c r="U648" s="86"/>
      <c r="V648" s="86"/>
      <c r="W648" s="86"/>
      <c r="X648" s="86"/>
      <c r="Y648" s="86"/>
      <c r="Z648" s="86"/>
      <c r="AA648" s="86"/>
      <c r="AB648" s="86"/>
      <c r="AC648" s="86"/>
      <c r="AD648" s="86"/>
      <c r="AE648" s="86"/>
      <c r="AF648" s="86"/>
      <c r="AG648" s="86"/>
      <c r="AH648" s="86"/>
      <c r="AI648" s="86"/>
      <c r="AJ648" s="86"/>
      <c r="AK648" s="86"/>
      <c r="AL648" s="86"/>
      <c r="AM648" s="86"/>
      <c r="AN648" s="86"/>
      <c r="AO648" s="86"/>
      <c r="AP648" s="86"/>
      <c r="AQ648" s="86"/>
      <c r="AR648" s="86"/>
      <c r="AS648" s="86"/>
      <c r="AT648" s="86"/>
      <c r="AU648" s="86"/>
      <c r="AV648" s="86"/>
      <c r="AW648" s="86"/>
      <c r="AX648" s="86"/>
      <c r="AY648" s="86"/>
      <c r="AZ648" s="86"/>
      <c r="BA648" s="86"/>
      <c r="BB648" s="86"/>
      <c r="BC648" s="86"/>
      <c r="BD648" s="86"/>
      <c r="BE648" s="86"/>
      <c r="BF648" s="86"/>
      <c r="BG648" s="86"/>
      <c r="BH648" s="220"/>
      <c r="BI648" s="220"/>
      <c r="BJ648" s="220"/>
      <c r="BK648" s="220"/>
      <c r="BL648" s="220"/>
      <c r="BM648" s="220"/>
      <c r="BN648" s="220"/>
      <c r="BO648" s="220"/>
      <c r="BP648" s="220"/>
      <c r="BQ648" s="220"/>
      <c r="BR648" s="220"/>
      <c r="BS648" s="220"/>
      <c r="BT648" s="220"/>
      <c r="BU648" s="220"/>
      <c r="BV648" s="220"/>
      <c r="BW648" s="220"/>
      <c r="BX648" s="220"/>
      <c r="BY648" s="220"/>
      <c r="BZ648" s="220"/>
      <c r="CB648" s="86"/>
      <c r="CC648" s="86"/>
      <c r="CD648" s="86"/>
      <c r="CE648"/>
      <c r="CF648" s="86"/>
      <c r="CG648" s="86"/>
      <c r="CH648" s="86"/>
      <c r="CI648" s="86"/>
      <c r="CJ648" s="86"/>
      <c r="CK648" s="86"/>
      <c r="CL648" s="86"/>
      <c r="CM648" s="86"/>
      <c r="CN648" s="86"/>
      <c r="CO648" s="220"/>
      <c r="CP648" s="220"/>
      <c r="CQ648" s="220"/>
      <c r="CR648" s="220"/>
      <c r="CS648" s="220"/>
      <c r="CT648" s="220"/>
      <c r="CU648" s="220"/>
      <c r="CV648" s="220"/>
      <c r="CW648" s="220"/>
      <c r="CX648" s="220"/>
    </row>
    <row r="649" spans="1:102" s="225" customFormat="1" x14ac:dyDescent="0.25">
      <c r="A649" s="221"/>
      <c r="B649" s="222" t="s">
        <v>434</v>
      </c>
      <c r="C649" s="222"/>
      <c r="D649" s="222"/>
      <c r="E649" s="222"/>
      <c r="F649" s="222"/>
      <c r="G649" s="222"/>
      <c r="H649" s="222"/>
      <c r="I649" s="222"/>
      <c r="J649" s="222"/>
      <c r="K649" s="222"/>
      <c r="L649" s="222"/>
      <c r="M649" s="222"/>
      <c r="N649" s="222"/>
      <c r="O649" s="222"/>
      <c r="P649" s="222"/>
      <c r="Q649" s="222"/>
      <c r="R649" s="222"/>
      <c r="S649" s="223" t="s">
        <v>336</v>
      </c>
      <c r="T649" s="223" t="s">
        <v>336</v>
      </c>
      <c r="U649" s="223" t="s">
        <v>336</v>
      </c>
      <c r="V649" s="223" t="s">
        <v>336</v>
      </c>
      <c r="W649" s="223">
        <v>112.5682464119529</v>
      </c>
      <c r="X649" s="223">
        <v>131.51183118628239</v>
      </c>
      <c r="Y649" s="223">
        <v>180.24181608505771</v>
      </c>
      <c r="Z649" s="223">
        <v>148.36874939521775</v>
      </c>
      <c r="AA649" s="223">
        <v>147.01499999999999</v>
      </c>
      <c r="AB649" s="223">
        <v>144.749</v>
      </c>
      <c r="AC649" s="223">
        <v>221.31700000000001</v>
      </c>
      <c r="AD649" s="223">
        <v>197.88900000000001</v>
      </c>
      <c r="AE649" s="223">
        <v>157.79499999999999</v>
      </c>
      <c r="AF649" s="223">
        <v>202.64099999999999</v>
      </c>
      <c r="AG649" s="223">
        <v>298.97000000000003</v>
      </c>
      <c r="AH649" s="223">
        <v>260.71100000000001</v>
      </c>
      <c r="AI649" s="223">
        <v>268.24299999999999</v>
      </c>
      <c r="AJ649" s="223">
        <v>317.00799999999998</v>
      </c>
      <c r="AK649" s="223">
        <v>410.27499999999998</v>
      </c>
      <c r="AL649" s="223">
        <v>298.21800000000002</v>
      </c>
      <c r="AM649" s="223">
        <v>241.31100000000001</v>
      </c>
      <c r="AN649" s="223">
        <v>255.56299999999999</v>
      </c>
      <c r="AO649" s="223">
        <v>347.07900000000001</v>
      </c>
      <c r="AP649" s="223">
        <v>282.81599999999997</v>
      </c>
      <c r="AQ649" s="223">
        <v>432.55074999999999</v>
      </c>
      <c r="AR649" s="223">
        <v>330.98899999999998</v>
      </c>
      <c r="AS649" s="223">
        <v>483.66300000000001</v>
      </c>
      <c r="AT649" s="223">
        <v>345.45499999999998</v>
      </c>
      <c r="AU649" s="223">
        <v>346.03399999999999</v>
      </c>
      <c r="AV649" s="223">
        <v>343.00299999999999</v>
      </c>
      <c r="AW649" s="223">
        <v>461.87700000000001</v>
      </c>
      <c r="AX649" s="223">
        <v>402.46199999999999</v>
      </c>
      <c r="AY649" s="223">
        <v>319.19099999999997</v>
      </c>
      <c r="AZ649" s="223">
        <v>380.12200000000001</v>
      </c>
      <c r="BA649" s="223">
        <v>621.197</v>
      </c>
      <c r="BB649" s="223">
        <v>463.7</v>
      </c>
      <c r="BC649" s="223">
        <v>406.221</v>
      </c>
      <c r="BD649" s="223">
        <v>479.32499999999999</v>
      </c>
      <c r="BE649" s="223">
        <v>733.06299999999999</v>
      </c>
      <c r="BF649" s="223" t="e" cm="1">
        <f t="array" aca="1" ref="BF649" ca="1">_xll.VisibleAlpha.UDF.VAData($B$634,BF$635,$B649,BF$637,$B$637,$B$636,$B$635)</f>
        <v>#NAME?</v>
      </c>
      <c r="BG649" s="223" t="e" cm="1">
        <f t="array" aca="1" ref="BG649" ca="1">_xll.VisibleAlpha.UDF.VAData($B$634,BG$635,$B649,BG$637,$B$637,$B$636,$B$635)</f>
        <v>#NAME?</v>
      </c>
      <c r="BH649" s="224" t="e" cm="1">
        <f t="array" aca="1" ref="BH649" ca="1">_xll.VisibleAlpha.UDF.VAData($B$634,BH$635,$B649,BH$637,$B$637,$B$636,$B$635)</f>
        <v>#NAME?</v>
      </c>
      <c r="BI649" s="224" t="e" cm="1">
        <f t="array" aca="1" ref="BI649" ca="1">_xll.VisibleAlpha.UDF.VAData($B$634,BI$635,$B649,BI$637,$B$637,$B$636,$B$635)</f>
        <v>#NAME?</v>
      </c>
      <c r="BJ649" s="224" t="e" cm="1">
        <f t="array" aca="1" ref="BJ649" ca="1">_xll.VisibleAlpha.UDF.VAData($B$634,BJ$635,$B649,BJ$637,$B$637,$B$636,$B$635)</f>
        <v>#NAME?</v>
      </c>
      <c r="BK649" s="224" t="e" cm="1">
        <f t="array" aca="1" ref="BK649" ca="1">_xll.VisibleAlpha.UDF.VAData($B$634,BK$635,$B649,BK$637,$B$637,$B$636,$B$635)</f>
        <v>#NAME?</v>
      </c>
      <c r="BL649" s="224" t="e" cm="1">
        <f t="array" aca="1" ref="BL649" ca="1">_xll.VisibleAlpha.UDF.VAData($B$634,BL$635,$B649,BL$637,$B$637,$B$636,$B$635)</f>
        <v>#NAME?</v>
      </c>
      <c r="BM649" s="224" t="e" cm="1">
        <f t="array" aca="1" ref="BM649" ca="1">_xll.VisibleAlpha.UDF.VAData($B$634,BM$635,$B649,BM$637,$B$637,$B$636,$B$635)</f>
        <v>#NAME?</v>
      </c>
      <c r="BN649" s="224" t="e" cm="1">
        <f t="array" aca="1" ref="BN649" ca="1">_xll.VisibleAlpha.UDF.VAData($B$634,BN$635,$B649,BN$637,$B$637,$B$636,$B$635)</f>
        <v>#NAME?</v>
      </c>
      <c r="BO649" s="224" t="e" cm="1">
        <f t="array" aca="1" ref="BO649" ca="1">_xll.VisibleAlpha.UDF.VAData($B$634,BO$635,$B649,BO$637,$B$637,$B$636,$B$635)</f>
        <v>#NAME?</v>
      </c>
      <c r="BP649" s="224" t="e" cm="1">
        <f t="array" aca="1" ref="BP649" ca="1">_xll.VisibleAlpha.UDF.VAData($B$634,BP$635,$B649,BP$637,$B$637,$B$636,$B$635)</f>
        <v>#NAME?</v>
      </c>
      <c r="BQ649" s="224" t="e" cm="1">
        <f t="array" aca="1" ref="BQ649" ca="1">_xll.VisibleAlpha.UDF.VAData($B$634,BQ$635,$B649,BQ$637,$B$637,$B$636,$B$635)</f>
        <v>#NAME?</v>
      </c>
      <c r="BR649" s="224" t="e" cm="1">
        <f t="array" aca="1" ref="BR649" ca="1">_xll.VisibleAlpha.UDF.VAData($B$634,BR$635,$B649,BR$637,$B$637,$B$636,$B$635)</f>
        <v>#NAME?</v>
      </c>
      <c r="BS649" s="224" t="e" cm="1">
        <f t="array" aca="1" ref="BS649" ca="1">_xll.VisibleAlpha.UDF.VAData($B$634,BS$635,$B649,BS$637,$B$637,$B$636,$B$635)</f>
        <v>#NAME?</v>
      </c>
      <c r="BT649" s="224" t="e" cm="1">
        <f t="array" aca="1" ref="BT649" ca="1">_xll.VisibleAlpha.UDF.VAData($B$634,BT$635,$B649,BT$637,$B$637,$B$636,$B$635)</f>
        <v>#NAME?</v>
      </c>
      <c r="BU649" s="224" t="e" cm="1">
        <f t="array" aca="1" ref="BU649" ca="1">_xll.VisibleAlpha.UDF.VAData($B$634,BU$635,$B649,BU$637,$B$637,$B$636,$B$635)</f>
        <v>#NAME?</v>
      </c>
      <c r="BV649" s="224" t="e" cm="1">
        <f t="array" aca="1" ref="BV649" ca="1">_xll.VisibleAlpha.UDF.VAData($B$634,BV$635,$B649,BV$637,$B$637,$B$636,$B$635)</f>
        <v>#NAME?</v>
      </c>
      <c r="BW649" s="224" t="e" cm="1">
        <f t="array" aca="1" ref="BW649" ca="1">_xll.VisibleAlpha.UDF.VAData($B$634,BW$635,$B649,BW$637,$B$637,$B$636,$B$635)</f>
        <v>#NAME?</v>
      </c>
      <c r="BX649" s="224" t="e" cm="1">
        <f t="array" aca="1" ref="BX649" ca="1">_xll.VisibleAlpha.UDF.VAData($B$634,BX$635,$B649,BX$637,$B$637,$B$636,$B$635)</f>
        <v>#NAME?</v>
      </c>
      <c r="BY649" s="224" t="e" cm="1">
        <f t="array" aca="1" ref="BY649" ca="1">_xll.VisibleAlpha.UDF.VAData($B$634,BY$635,$B649,BY$637,$B$637,$B$636,$B$635)</f>
        <v>#NAME?</v>
      </c>
      <c r="BZ649" s="224" t="e" cm="1">
        <f t="array" aca="1" ref="BZ649" ca="1">_xll.VisibleAlpha.UDF.VAData($B$634,BZ$635,$B649,BZ$637,$B$637,$B$636,$B$635)</f>
        <v>#NAME?</v>
      </c>
      <c r="CA649" s="225" t="e" cm="1">
        <f t="array" aca="1" ref="CA649" ca="1">_xll.VisibleAlpha.UDF.VAData($B$634,CA$635,$B649,CA$637,$B$637,$B$636,$B$635)</f>
        <v>#NAME?</v>
      </c>
      <c r="CB649" s="223" t="e" cm="1">
        <f t="array" aca="1" ref="CB649" ca="1">_xll.VisibleAlpha.UDF.VAData($B$634,CB$635,$B649,CB$637,$B$637,$B$636,$B$635)</f>
        <v>#NAME?</v>
      </c>
      <c r="CC649" s="223" t="e" cm="1">
        <f t="array" aca="1" ref="CC649" ca="1">_xll.VisibleAlpha.UDF.VAData($B$634,CC$635,$B649,CC$637,$B$637,$B$636,$B$635)</f>
        <v>#NAME?</v>
      </c>
      <c r="CD649" s="223" t="e" cm="1">
        <f t="array" aca="1" ref="CD649" ca="1">_xll.VisibleAlpha.UDF.VAData($B$634,CD$635,$B649,CD$637,$B$637,$B$636,$B$635)</f>
        <v>#NAME?</v>
      </c>
      <c r="CE649"/>
      <c r="CF649" s="223" t="e" cm="1">
        <f t="array" aca="1" ref="CF649" ca="1">_xll.VisibleAlpha.UDF.VAData($B$634,CF$635,$B649,CF$637,$B$637,$B$636,$B$635)</f>
        <v>#NAME?</v>
      </c>
      <c r="CG649" s="223" t="e" cm="1">
        <f t="array" aca="1" ref="CG649" ca="1">_xll.VisibleAlpha.UDF.VAData($B$634,CG$635,$B649,CG$637,$B$637,$B$636,$B$635)</f>
        <v>#NAME?</v>
      </c>
      <c r="CH649" s="223" t="e" cm="1">
        <f t="array" aca="1" ref="CH649" ca="1">_xll.VisibleAlpha.UDF.VAData($B$634,CH$635,$B649,CH$637,$B$637,$B$636,$B$635)</f>
        <v>#NAME?</v>
      </c>
      <c r="CI649" s="223" t="e" cm="1">
        <f t="array" aca="1" ref="CI649" ca="1">_xll.VisibleAlpha.UDF.VAData($B$634,CI$635,$B649,CI$637,$B$637,$B$636,$B$635)</f>
        <v>#NAME?</v>
      </c>
      <c r="CJ649" s="223" t="e" cm="1">
        <f t="array" aca="1" ref="CJ649" ca="1">_xll.VisibleAlpha.UDF.VAData($B$634,CJ$635,$B649,CJ$637,$B$637,$B$636,$B$635)</f>
        <v>#NAME?</v>
      </c>
      <c r="CK649" s="223" t="e" cm="1">
        <f t="array" aca="1" ref="CK649" ca="1">_xll.VisibleAlpha.UDF.VAData($B$634,CK$635,$B649,CK$637,$B$637,$B$636,$B$635)</f>
        <v>#NAME?</v>
      </c>
      <c r="CL649" s="223" t="e" cm="1">
        <f t="array" aca="1" ref="CL649" ca="1">_xll.VisibleAlpha.UDF.VAData($B$634,CL$635,$B649,CL$637,$B$637,$B$636,$B$635)</f>
        <v>#NAME?</v>
      </c>
      <c r="CM649" s="223" t="e" cm="1">
        <f t="array" aca="1" ref="CM649" ca="1">_xll.VisibleAlpha.UDF.VAData($B$634,CM$635,$B649,CM$637,$B$637,$B$636,$B$635)</f>
        <v>#NAME?</v>
      </c>
      <c r="CN649" s="223" t="e" cm="1">
        <f t="array" aca="1" ref="CN649" ca="1">_xll.VisibleAlpha.UDF.VAData($B$634,CN$635,$B649,CN$637,$B$637,$B$636,$B$635)</f>
        <v>#NAME?</v>
      </c>
      <c r="CO649" s="224" t="e" cm="1">
        <f t="array" aca="1" ref="CO649" ca="1">_xll.VisibleAlpha.UDF.VAData($B$634,CO$635,$B649,CO$637,$B$637,$B$636,$B$635)</f>
        <v>#NAME?</v>
      </c>
      <c r="CP649" s="224" t="e" cm="1">
        <f t="array" aca="1" ref="CP649" ca="1">_xll.VisibleAlpha.UDF.VAData($B$634,CP$635,$B649,CP$637,$B$637,$B$636,$B$635)</f>
        <v>#NAME?</v>
      </c>
      <c r="CQ649" s="224" t="e" cm="1">
        <f t="array" aca="1" ref="CQ649" ca="1">_xll.VisibleAlpha.UDF.VAData($B$634,CQ$635,$B649,CQ$637,$B$637,$B$636,$B$635)</f>
        <v>#NAME?</v>
      </c>
      <c r="CR649" s="224" t="e" cm="1">
        <f t="array" aca="1" ref="CR649" ca="1">_xll.VisibleAlpha.UDF.VAData($B$634,CR$635,$B649,CR$637,$B$637,$B$636,$B$635)</f>
        <v>#NAME?</v>
      </c>
      <c r="CS649" s="224" t="e" cm="1">
        <f t="array" aca="1" ref="CS649" ca="1">_xll.VisibleAlpha.UDF.VAData($B$634,CS$635,$B649,CS$637,$B$637,$B$636,$B$635)</f>
        <v>#NAME?</v>
      </c>
      <c r="CT649" s="224" t="e" cm="1">
        <f t="array" aca="1" ref="CT649" ca="1">_xll.VisibleAlpha.UDF.VAData($B$634,CT$635,$B649,CT$637,$B$637,$B$636,$B$635)</f>
        <v>#NAME?</v>
      </c>
      <c r="CU649" s="224" t="e" cm="1">
        <f t="array" aca="1" ref="CU649" ca="1">_xll.VisibleAlpha.UDF.VAData($B$634,CU$635,$B649,CU$637,$B$637,$B$636,$B$635)</f>
        <v>#NAME?</v>
      </c>
      <c r="CV649" s="224" t="e" cm="1">
        <f t="array" aca="1" ref="CV649" ca="1">_xll.VisibleAlpha.UDF.VAData($B$634,CV$635,$B649,CV$637,$B$637,$B$636,$B$635)</f>
        <v>#NAME?</v>
      </c>
      <c r="CW649" s="224" t="e" cm="1">
        <f t="array" aca="1" ref="CW649" ca="1">_xll.VisibleAlpha.UDF.VAData($B$634,CW$635,$B649,CW$637,$B$637,$B$636,$B$635)</f>
        <v>#NAME?</v>
      </c>
      <c r="CX649" s="224" t="e" cm="1">
        <f t="array" aca="1" ref="CX649" ca="1">_xll.VisibleAlpha.UDF.VAData($B$634,CX$635,$B649,CX$637,$B$637,$B$636,$B$635)</f>
        <v>#NAME?</v>
      </c>
    </row>
    <row r="650" spans="1:102" s="84" customFormat="1" x14ac:dyDescent="0.25">
      <c r="A650" s="218"/>
      <c r="B650" s="219" t="s">
        <v>435</v>
      </c>
      <c r="C650" s="219"/>
      <c r="D650" s="219"/>
      <c r="E650" s="219"/>
      <c r="F650" s="219"/>
      <c r="G650" s="219"/>
      <c r="H650" s="219"/>
      <c r="I650" s="219"/>
      <c r="J650" s="219"/>
      <c r="K650" s="219"/>
      <c r="L650" s="219"/>
      <c r="M650" s="219"/>
      <c r="N650" s="219"/>
      <c r="O650" s="219"/>
      <c r="P650" s="219"/>
      <c r="Q650" s="219"/>
      <c r="R650" s="219"/>
      <c r="S650" s="86" t="s">
        <v>336</v>
      </c>
      <c r="T650" s="86" t="s">
        <v>336</v>
      </c>
      <c r="U650" s="86" t="s">
        <v>336</v>
      </c>
      <c r="V650" s="86" t="s">
        <v>336</v>
      </c>
      <c r="W650" s="86">
        <v>35.112122641286234</v>
      </c>
      <c r="X650" s="86">
        <v>49.568245561282403</v>
      </c>
      <c r="Y650" s="86">
        <v>74.033633825474368</v>
      </c>
      <c r="Z650" s="86">
        <v>43.493716638623667</v>
      </c>
      <c r="AA650" s="86">
        <v>36.025083328053348</v>
      </c>
      <c r="AB650" s="86">
        <v>38.743552371804398</v>
      </c>
      <c r="AC650" s="86">
        <v>66.184309745424272</v>
      </c>
      <c r="AD650" s="86">
        <v>42.145077177951215</v>
      </c>
      <c r="AE650" s="86">
        <v>22.006</v>
      </c>
      <c r="AF650" s="86">
        <v>43.654000000000003</v>
      </c>
      <c r="AG650" s="86">
        <v>66.471999999999994</v>
      </c>
      <c r="AH650" s="86">
        <v>25.765000000000001</v>
      </c>
      <c r="AI650" s="86">
        <v>43.301000000000002</v>
      </c>
      <c r="AJ650" s="86">
        <v>58.741</v>
      </c>
      <c r="AK650" s="86">
        <v>56.369</v>
      </c>
      <c r="AL650" s="86">
        <v>33.101999999999997</v>
      </c>
      <c r="AM650" s="86">
        <v>25.347000000000001</v>
      </c>
      <c r="AN650" s="86">
        <v>28.673999999999999</v>
      </c>
      <c r="AO650" s="86">
        <v>42.097000000000001</v>
      </c>
      <c r="AP650" s="86">
        <v>20.353999999999999</v>
      </c>
      <c r="AQ650" s="86">
        <v>37.889499999999998</v>
      </c>
      <c r="AR650" s="86">
        <v>33.927999999999997</v>
      </c>
      <c r="AS650" s="86">
        <v>50.874000000000002</v>
      </c>
      <c r="AT650" s="86">
        <v>15.289</v>
      </c>
      <c r="AU650" s="86">
        <v>25.597999999999999</v>
      </c>
      <c r="AV650" s="86">
        <v>28.145</v>
      </c>
      <c r="AW650" s="86">
        <v>29.593</v>
      </c>
      <c r="AX650" s="86">
        <v>45.581000000000003</v>
      </c>
      <c r="AY650" s="86">
        <v>19.408999999999999</v>
      </c>
      <c r="AZ650" s="86">
        <v>37.118000000000002</v>
      </c>
      <c r="BA650" s="86">
        <v>93.5</v>
      </c>
      <c r="BB650" s="86">
        <v>43.412999999999997</v>
      </c>
      <c r="BC650" s="86">
        <v>24.402000000000001</v>
      </c>
      <c r="BD650" s="86">
        <v>35.524000000000001</v>
      </c>
      <c r="BE650" s="86">
        <v>87.358999999999995</v>
      </c>
      <c r="BF650" s="86" t="e" cm="1">
        <f t="array" aca="1" ref="BF650" ca="1">_xll.VisibleAlpha.UDF.VAData($B$634,BF$635,$B650,BF$637,$B$637,$B$636,$B$635)</f>
        <v>#NAME?</v>
      </c>
      <c r="BG650" s="86" t="e" cm="1">
        <f t="array" aca="1" ref="BG650" ca="1">_xll.VisibleAlpha.UDF.VAData($B$634,BG$635,$B650,BG$637,$B$637,$B$636,$B$635)</f>
        <v>#NAME?</v>
      </c>
      <c r="BH650" s="220" t="e" cm="1">
        <f t="array" aca="1" ref="BH650" ca="1">_xll.VisibleAlpha.UDF.VAData($B$634,BH$635,$B650,BH$637,$B$637,$B$636,$B$635)</f>
        <v>#NAME?</v>
      </c>
      <c r="BI650" s="220" t="e" cm="1">
        <f t="array" aca="1" ref="BI650" ca="1">_xll.VisibleAlpha.UDF.VAData($B$634,BI$635,$B650,BI$637,$B$637,$B$636,$B$635)</f>
        <v>#NAME?</v>
      </c>
      <c r="BJ650" s="220" t="e" cm="1">
        <f t="array" aca="1" ref="BJ650" ca="1">_xll.VisibleAlpha.UDF.VAData($B$634,BJ$635,$B650,BJ$637,$B$637,$B$636,$B$635)</f>
        <v>#NAME?</v>
      </c>
      <c r="BK650" s="220" t="e" cm="1">
        <f t="array" aca="1" ref="BK650" ca="1">_xll.VisibleAlpha.UDF.VAData($B$634,BK$635,$B650,BK$637,$B$637,$B$636,$B$635)</f>
        <v>#NAME?</v>
      </c>
      <c r="BL650" s="220" t="e" cm="1">
        <f t="array" aca="1" ref="BL650" ca="1">_xll.VisibleAlpha.UDF.VAData($B$634,BL$635,$B650,BL$637,$B$637,$B$636,$B$635)</f>
        <v>#NAME?</v>
      </c>
      <c r="BM650" s="220" t="e" cm="1">
        <f t="array" aca="1" ref="BM650" ca="1">_xll.VisibleAlpha.UDF.VAData($B$634,BM$635,$B650,BM$637,$B$637,$B$636,$B$635)</f>
        <v>#NAME?</v>
      </c>
      <c r="BN650" s="220" t="e" cm="1">
        <f t="array" aca="1" ref="BN650" ca="1">_xll.VisibleAlpha.UDF.VAData($B$634,BN$635,$B650,BN$637,$B$637,$B$636,$B$635)</f>
        <v>#NAME?</v>
      </c>
      <c r="BO650" s="220" t="e" cm="1">
        <f t="array" aca="1" ref="BO650" ca="1">_xll.VisibleAlpha.UDF.VAData($B$634,BO$635,$B650,BO$637,$B$637,$B$636,$B$635)</f>
        <v>#NAME?</v>
      </c>
      <c r="BP650" s="220" t="e" cm="1">
        <f t="array" aca="1" ref="BP650" ca="1">_xll.VisibleAlpha.UDF.VAData($B$634,BP$635,$B650,BP$637,$B$637,$B$636,$B$635)</f>
        <v>#NAME?</v>
      </c>
      <c r="BQ650" s="220" t="e" cm="1">
        <f t="array" aca="1" ref="BQ650" ca="1">_xll.VisibleAlpha.UDF.VAData($B$634,BQ$635,$B650,BQ$637,$B$637,$B$636,$B$635)</f>
        <v>#NAME?</v>
      </c>
      <c r="BR650" s="220" t="e" cm="1">
        <f t="array" aca="1" ref="BR650" ca="1">_xll.VisibleAlpha.UDF.VAData($B$634,BR$635,$B650,BR$637,$B$637,$B$636,$B$635)</f>
        <v>#NAME?</v>
      </c>
      <c r="BS650" s="220" t="e" cm="1">
        <f t="array" aca="1" ref="BS650" ca="1">_xll.VisibleAlpha.UDF.VAData($B$634,BS$635,$B650,BS$637,$B$637,$B$636,$B$635)</f>
        <v>#NAME?</v>
      </c>
      <c r="BT650" s="220" t="e" cm="1">
        <f t="array" aca="1" ref="BT650" ca="1">_xll.VisibleAlpha.UDF.VAData($B$634,BT$635,$B650,BT$637,$B$637,$B$636,$B$635)</f>
        <v>#NAME?</v>
      </c>
      <c r="BU650" s="220" t="e" cm="1">
        <f t="array" aca="1" ref="BU650" ca="1">_xll.VisibleAlpha.UDF.VAData($B$634,BU$635,$B650,BU$637,$B$637,$B$636,$B$635)</f>
        <v>#NAME?</v>
      </c>
      <c r="BV650" s="220" t="e" cm="1">
        <f t="array" aca="1" ref="BV650" ca="1">_xll.VisibleAlpha.UDF.VAData($B$634,BV$635,$B650,BV$637,$B$637,$B$636,$B$635)</f>
        <v>#NAME?</v>
      </c>
      <c r="BW650" s="220" t="e" cm="1">
        <f t="array" aca="1" ref="BW650" ca="1">_xll.VisibleAlpha.UDF.VAData($B$634,BW$635,$B650,BW$637,$B$637,$B$636,$B$635)</f>
        <v>#NAME?</v>
      </c>
      <c r="BX650" s="220" t="e" cm="1">
        <f t="array" aca="1" ref="BX650" ca="1">_xll.VisibleAlpha.UDF.VAData($B$634,BX$635,$B650,BX$637,$B$637,$B$636,$B$635)</f>
        <v>#NAME?</v>
      </c>
      <c r="BY650" s="220" t="e" cm="1">
        <f t="array" aca="1" ref="BY650" ca="1">_xll.VisibleAlpha.UDF.VAData($B$634,BY$635,$B650,BY$637,$B$637,$B$636,$B$635)</f>
        <v>#NAME?</v>
      </c>
      <c r="BZ650" s="220" t="e" cm="1">
        <f t="array" aca="1" ref="BZ650" ca="1">_xll.VisibleAlpha.UDF.VAData($B$634,BZ$635,$B650,BZ$637,$B$637,$B$636,$B$635)</f>
        <v>#NAME?</v>
      </c>
      <c r="CA650" s="84" t="e" cm="1">
        <f t="array" aca="1" ref="CA650" ca="1">_xll.VisibleAlpha.UDF.VAData($B$634,CA$635,$B650,CA$637,$B$637,$B$636,$B$635)</f>
        <v>#NAME?</v>
      </c>
      <c r="CB650" s="86" t="e" cm="1">
        <f t="array" aca="1" ref="CB650" ca="1">_xll.VisibleAlpha.UDF.VAData($B$634,CB$635,$B650,CB$637,$B$637,$B$636,$B$635)</f>
        <v>#NAME?</v>
      </c>
      <c r="CC650" s="86" t="e" cm="1">
        <f t="array" aca="1" ref="CC650" ca="1">_xll.VisibleAlpha.UDF.VAData($B$634,CC$635,$B650,CC$637,$B$637,$B$636,$B$635)</f>
        <v>#NAME?</v>
      </c>
      <c r="CD650" s="86" t="e" cm="1">
        <f t="array" aca="1" ref="CD650" ca="1">_xll.VisibleAlpha.UDF.VAData($B$634,CD$635,$B650,CD$637,$B$637,$B$636,$B$635)</f>
        <v>#NAME?</v>
      </c>
      <c r="CE650"/>
      <c r="CF650" s="86" t="e" cm="1">
        <f t="array" aca="1" ref="CF650" ca="1">_xll.VisibleAlpha.UDF.VAData($B$634,CF$635,$B650,CF$637,$B$637,$B$636,$B$635)</f>
        <v>#NAME?</v>
      </c>
      <c r="CG650" s="86" t="e" cm="1">
        <f t="array" aca="1" ref="CG650" ca="1">_xll.VisibleAlpha.UDF.VAData($B$634,CG$635,$B650,CG$637,$B$637,$B$636,$B$635)</f>
        <v>#NAME?</v>
      </c>
      <c r="CH650" s="86" t="e" cm="1">
        <f t="array" aca="1" ref="CH650" ca="1">_xll.VisibleAlpha.UDF.VAData($B$634,CH$635,$B650,CH$637,$B$637,$B$636,$B$635)</f>
        <v>#NAME?</v>
      </c>
      <c r="CI650" s="86" t="e" cm="1">
        <f t="array" aca="1" ref="CI650" ca="1">_xll.VisibleAlpha.UDF.VAData($B$634,CI$635,$B650,CI$637,$B$637,$B$636,$B$635)</f>
        <v>#NAME?</v>
      </c>
      <c r="CJ650" s="86" t="e" cm="1">
        <f t="array" aca="1" ref="CJ650" ca="1">_xll.VisibleAlpha.UDF.VAData($B$634,CJ$635,$B650,CJ$637,$B$637,$B$636,$B$635)</f>
        <v>#NAME?</v>
      </c>
      <c r="CK650" s="86" t="e" cm="1">
        <f t="array" aca="1" ref="CK650" ca="1">_xll.VisibleAlpha.UDF.VAData($B$634,CK$635,$B650,CK$637,$B$637,$B$636,$B$635)</f>
        <v>#NAME?</v>
      </c>
      <c r="CL650" s="86" t="e" cm="1">
        <f t="array" aca="1" ref="CL650" ca="1">_xll.VisibleAlpha.UDF.VAData($B$634,CL$635,$B650,CL$637,$B$637,$B$636,$B$635)</f>
        <v>#NAME?</v>
      </c>
      <c r="CM650" s="86" t="e" cm="1">
        <f t="array" aca="1" ref="CM650" ca="1">_xll.VisibleAlpha.UDF.VAData($B$634,CM$635,$B650,CM$637,$B$637,$B$636,$B$635)</f>
        <v>#NAME?</v>
      </c>
      <c r="CN650" s="86" t="e" cm="1">
        <f t="array" aca="1" ref="CN650" ca="1">_xll.VisibleAlpha.UDF.VAData($B$634,CN$635,$B650,CN$637,$B$637,$B$636,$B$635)</f>
        <v>#NAME?</v>
      </c>
      <c r="CO650" s="220" t="e" cm="1">
        <f t="array" aca="1" ref="CO650" ca="1">_xll.VisibleAlpha.UDF.VAData($B$634,CO$635,$B650,CO$637,$B$637,$B$636,$B$635)</f>
        <v>#NAME?</v>
      </c>
      <c r="CP650" s="220" t="e" cm="1">
        <f t="array" aca="1" ref="CP650" ca="1">_xll.VisibleAlpha.UDF.VAData($B$634,CP$635,$B650,CP$637,$B$637,$B$636,$B$635)</f>
        <v>#NAME?</v>
      </c>
      <c r="CQ650" s="220" t="e" cm="1">
        <f t="array" aca="1" ref="CQ650" ca="1">_xll.VisibleAlpha.UDF.VAData($B$634,CQ$635,$B650,CQ$637,$B$637,$B$636,$B$635)</f>
        <v>#NAME?</v>
      </c>
      <c r="CR650" s="220" t="e" cm="1">
        <f t="array" aca="1" ref="CR650" ca="1">_xll.VisibleAlpha.UDF.VAData($B$634,CR$635,$B650,CR$637,$B$637,$B$636,$B$635)</f>
        <v>#NAME?</v>
      </c>
      <c r="CS650" s="220" t="e" cm="1">
        <f t="array" aca="1" ref="CS650" ca="1">_xll.VisibleAlpha.UDF.VAData($B$634,CS$635,$B650,CS$637,$B$637,$B$636,$B$635)</f>
        <v>#NAME?</v>
      </c>
      <c r="CT650" s="220" t="e" cm="1">
        <f t="array" aca="1" ref="CT650" ca="1">_xll.VisibleAlpha.UDF.VAData($B$634,CT$635,$B650,CT$637,$B$637,$B$636,$B$635)</f>
        <v>#NAME?</v>
      </c>
      <c r="CU650" s="220" t="e" cm="1">
        <f t="array" aca="1" ref="CU650" ca="1">_xll.VisibleAlpha.UDF.VAData($B$634,CU$635,$B650,CU$637,$B$637,$B$636,$B$635)</f>
        <v>#NAME?</v>
      </c>
      <c r="CV650" s="220" t="e" cm="1">
        <f t="array" aca="1" ref="CV650" ca="1">_xll.VisibleAlpha.UDF.VAData($B$634,CV$635,$B650,CV$637,$B$637,$B$636,$B$635)</f>
        <v>#NAME?</v>
      </c>
      <c r="CW650" s="220" t="e" cm="1">
        <f t="array" aca="1" ref="CW650" ca="1">_xll.VisibleAlpha.UDF.VAData($B$634,CW$635,$B650,CW$637,$B$637,$B$636,$B$635)</f>
        <v>#NAME?</v>
      </c>
      <c r="CX650" s="220" t="e" cm="1">
        <f t="array" aca="1" ref="CX650" ca="1">_xll.VisibleAlpha.UDF.VAData($B$634,CX$635,$B650,CX$637,$B$637,$B$636,$B$635)</f>
        <v>#NAME?</v>
      </c>
    </row>
    <row r="651" spans="1:102" s="84" customFormat="1" x14ac:dyDescent="0.25">
      <c r="A651" s="218"/>
      <c r="B651" s="219" t="s">
        <v>436</v>
      </c>
      <c r="C651" s="219"/>
      <c r="D651" s="219"/>
      <c r="E651" s="219"/>
      <c r="F651" s="219"/>
      <c r="G651" s="219"/>
      <c r="H651" s="219"/>
      <c r="I651" s="219"/>
      <c r="J651" s="219"/>
      <c r="K651" s="219"/>
      <c r="L651" s="219"/>
      <c r="M651" s="219"/>
      <c r="N651" s="219"/>
      <c r="O651" s="219"/>
      <c r="P651" s="219"/>
      <c r="Q651" s="219"/>
      <c r="R651" s="219"/>
      <c r="S651" s="86" t="s">
        <v>336</v>
      </c>
      <c r="T651" s="86" t="s">
        <v>336</v>
      </c>
      <c r="U651" s="86" t="s">
        <v>336</v>
      </c>
      <c r="V651" s="86" t="s">
        <v>336</v>
      </c>
      <c r="W651" s="86">
        <v>26.097456000000001</v>
      </c>
      <c r="X651" s="86">
        <v>20.506979999999999</v>
      </c>
      <c r="Y651" s="86">
        <v>47.375135999999998</v>
      </c>
      <c r="Z651" s="86">
        <v>42.097320000000003</v>
      </c>
      <c r="AA651" s="86">
        <v>43.031949648269666</v>
      </c>
      <c r="AB651" s="86">
        <v>41.543904292705264</v>
      </c>
      <c r="AC651" s="86">
        <v>65.856400860836729</v>
      </c>
      <c r="AD651" s="86">
        <v>68.818056483902595</v>
      </c>
      <c r="AE651" s="86">
        <v>55.6604907142857</v>
      </c>
      <c r="AF651" s="86">
        <v>77.089698785714276</v>
      </c>
      <c r="AG651" s="86">
        <v>101.040125</v>
      </c>
      <c r="AH651" s="86">
        <v>96.279612142857147</v>
      </c>
      <c r="AI651" s="86">
        <v>81.322674454285732</v>
      </c>
      <c r="AJ651" s="86">
        <v>95.475362227142853</v>
      </c>
      <c r="AK651" s="86">
        <v>142.13759479999999</v>
      </c>
      <c r="AL651" s="86">
        <v>102.13044041785714</v>
      </c>
      <c r="AM651" s="86">
        <v>66.051000000000002</v>
      </c>
      <c r="AN651" s="86">
        <v>82.93</v>
      </c>
      <c r="AO651" s="86">
        <v>130.602</v>
      </c>
      <c r="AP651" s="86">
        <v>96.837000000000003</v>
      </c>
      <c r="AQ651" s="86">
        <v>147.72999999999999</v>
      </c>
      <c r="AR651" s="86">
        <v>125.51300000000001</v>
      </c>
      <c r="AS651" s="86">
        <v>176.30799999999999</v>
      </c>
      <c r="AT651" s="86">
        <v>93.290999999999997</v>
      </c>
      <c r="AU651" s="86">
        <v>114.372</v>
      </c>
      <c r="AV651" s="86">
        <v>126.691</v>
      </c>
      <c r="AW651" s="86">
        <v>181.85900000000001</v>
      </c>
      <c r="AX651" s="86">
        <v>147.91999999999999</v>
      </c>
      <c r="AY651" s="86">
        <v>101.01900000000001</v>
      </c>
      <c r="AZ651" s="86">
        <v>144.54900000000001</v>
      </c>
      <c r="BA651" s="86">
        <v>244.786</v>
      </c>
      <c r="BB651" s="86">
        <v>170.57900000000001</v>
      </c>
      <c r="BC651" s="86">
        <v>153.39400000000001</v>
      </c>
      <c r="BD651" s="86">
        <v>200.98400000000001</v>
      </c>
      <c r="BE651" s="86">
        <v>282.822</v>
      </c>
      <c r="BF651" s="86" t="e" cm="1">
        <f t="array" aca="1" ref="BF651" ca="1">_xll.VisibleAlpha.UDF.VAData($B$634,BF$635,$B651,BF$637,$B$637,$B$636,$B$635)</f>
        <v>#NAME?</v>
      </c>
      <c r="BG651" s="86" t="e" cm="1">
        <f t="array" aca="1" ref="BG651" ca="1">_xll.VisibleAlpha.UDF.VAData($B$634,BG$635,$B651,BG$637,$B$637,$B$636,$B$635)</f>
        <v>#NAME?</v>
      </c>
      <c r="BH651" s="220" t="e" cm="1">
        <f t="array" aca="1" ref="BH651" ca="1">_xll.VisibleAlpha.UDF.VAData($B$634,BH$635,$B651,BH$637,$B$637,$B$636,$B$635)</f>
        <v>#NAME?</v>
      </c>
      <c r="BI651" s="220" t="e" cm="1">
        <f t="array" aca="1" ref="BI651" ca="1">_xll.VisibleAlpha.UDF.VAData($B$634,BI$635,$B651,BI$637,$B$637,$B$636,$B$635)</f>
        <v>#NAME?</v>
      </c>
      <c r="BJ651" s="220" t="e" cm="1">
        <f t="array" aca="1" ref="BJ651" ca="1">_xll.VisibleAlpha.UDF.VAData($B$634,BJ$635,$B651,BJ$637,$B$637,$B$636,$B$635)</f>
        <v>#NAME?</v>
      </c>
      <c r="BK651" s="220" t="e" cm="1">
        <f t="array" aca="1" ref="BK651" ca="1">_xll.VisibleAlpha.UDF.VAData($B$634,BK$635,$B651,BK$637,$B$637,$B$636,$B$635)</f>
        <v>#NAME?</v>
      </c>
      <c r="BL651" s="220" t="e" cm="1">
        <f t="array" aca="1" ref="BL651" ca="1">_xll.VisibleAlpha.UDF.VAData($B$634,BL$635,$B651,BL$637,$B$637,$B$636,$B$635)</f>
        <v>#NAME?</v>
      </c>
      <c r="BM651" s="220" t="e" cm="1">
        <f t="array" aca="1" ref="BM651" ca="1">_xll.VisibleAlpha.UDF.VAData($B$634,BM$635,$B651,BM$637,$B$637,$B$636,$B$635)</f>
        <v>#NAME?</v>
      </c>
      <c r="BN651" s="220" t="e" cm="1">
        <f t="array" aca="1" ref="BN651" ca="1">_xll.VisibleAlpha.UDF.VAData($B$634,BN$635,$B651,BN$637,$B$637,$B$636,$B$635)</f>
        <v>#NAME?</v>
      </c>
      <c r="BO651" s="220" t="e" cm="1">
        <f t="array" aca="1" ref="BO651" ca="1">_xll.VisibleAlpha.UDF.VAData($B$634,BO$635,$B651,BO$637,$B$637,$B$636,$B$635)</f>
        <v>#NAME?</v>
      </c>
      <c r="BP651" s="220" t="e" cm="1">
        <f t="array" aca="1" ref="BP651" ca="1">_xll.VisibleAlpha.UDF.VAData($B$634,BP$635,$B651,BP$637,$B$637,$B$636,$B$635)</f>
        <v>#NAME?</v>
      </c>
      <c r="BQ651" s="220" t="e" cm="1">
        <f t="array" aca="1" ref="BQ651" ca="1">_xll.VisibleAlpha.UDF.VAData($B$634,BQ$635,$B651,BQ$637,$B$637,$B$636,$B$635)</f>
        <v>#NAME?</v>
      </c>
      <c r="BR651" s="220" t="e" cm="1">
        <f t="array" aca="1" ref="BR651" ca="1">_xll.VisibleAlpha.UDF.VAData($B$634,BR$635,$B651,BR$637,$B$637,$B$636,$B$635)</f>
        <v>#NAME?</v>
      </c>
      <c r="BS651" s="220" t="e" cm="1">
        <f t="array" aca="1" ref="BS651" ca="1">_xll.VisibleAlpha.UDF.VAData($B$634,BS$635,$B651,BS$637,$B$637,$B$636,$B$635)</f>
        <v>#NAME?</v>
      </c>
      <c r="BT651" s="220" t="e" cm="1">
        <f t="array" aca="1" ref="BT651" ca="1">_xll.VisibleAlpha.UDF.VAData($B$634,BT$635,$B651,BT$637,$B$637,$B$636,$B$635)</f>
        <v>#NAME?</v>
      </c>
      <c r="BU651" s="220" t="e" cm="1">
        <f t="array" aca="1" ref="BU651" ca="1">_xll.VisibleAlpha.UDF.VAData($B$634,BU$635,$B651,BU$637,$B$637,$B$636,$B$635)</f>
        <v>#NAME?</v>
      </c>
      <c r="BV651" s="220" t="e" cm="1">
        <f t="array" aca="1" ref="BV651" ca="1">_xll.VisibleAlpha.UDF.VAData($B$634,BV$635,$B651,BV$637,$B$637,$B$636,$B$635)</f>
        <v>#NAME?</v>
      </c>
      <c r="BW651" s="220" t="e" cm="1">
        <f t="array" aca="1" ref="BW651" ca="1">_xll.VisibleAlpha.UDF.VAData($B$634,BW$635,$B651,BW$637,$B$637,$B$636,$B$635)</f>
        <v>#NAME?</v>
      </c>
      <c r="BX651" s="220" t="e" cm="1">
        <f t="array" aca="1" ref="BX651" ca="1">_xll.VisibleAlpha.UDF.VAData($B$634,BX$635,$B651,BX$637,$B$637,$B$636,$B$635)</f>
        <v>#NAME?</v>
      </c>
      <c r="BY651" s="220" t="e" cm="1">
        <f t="array" aca="1" ref="BY651" ca="1">_xll.VisibleAlpha.UDF.VAData($B$634,BY$635,$B651,BY$637,$B$637,$B$636,$B$635)</f>
        <v>#NAME?</v>
      </c>
      <c r="BZ651" s="220" t="e" cm="1">
        <f t="array" aca="1" ref="BZ651" ca="1">_xll.VisibleAlpha.UDF.VAData($B$634,BZ$635,$B651,BZ$637,$B$637,$B$636,$B$635)</f>
        <v>#NAME?</v>
      </c>
      <c r="CA651" s="84" t="e" cm="1">
        <f t="array" aca="1" ref="CA651" ca="1">_xll.VisibleAlpha.UDF.VAData($B$634,CA$635,$B651,CA$637,$B$637,$B$636,$B$635)</f>
        <v>#NAME?</v>
      </c>
      <c r="CB651" s="86" t="e" cm="1">
        <f t="array" aca="1" ref="CB651" ca="1">_xll.VisibleAlpha.UDF.VAData($B$634,CB$635,$B651,CB$637,$B$637,$B$636,$B$635)</f>
        <v>#NAME?</v>
      </c>
      <c r="CC651" s="86" t="e" cm="1">
        <f t="array" aca="1" ref="CC651" ca="1">_xll.VisibleAlpha.UDF.VAData($B$634,CC$635,$B651,CC$637,$B$637,$B$636,$B$635)</f>
        <v>#NAME?</v>
      </c>
      <c r="CD651" s="86" t="e" cm="1">
        <f t="array" aca="1" ref="CD651" ca="1">_xll.VisibleAlpha.UDF.VAData($B$634,CD$635,$B651,CD$637,$B$637,$B$636,$B$635)</f>
        <v>#NAME?</v>
      </c>
      <c r="CE651"/>
      <c r="CF651" s="86" t="e" cm="1">
        <f t="array" aca="1" ref="CF651" ca="1">_xll.VisibleAlpha.UDF.VAData($B$634,CF$635,$B651,CF$637,$B$637,$B$636,$B$635)</f>
        <v>#NAME?</v>
      </c>
      <c r="CG651" s="86" t="e" cm="1">
        <f t="array" aca="1" ref="CG651" ca="1">_xll.VisibleAlpha.UDF.VAData($B$634,CG$635,$B651,CG$637,$B$637,$B$636,$B$635)</f>
        <v>#NAME?</v>
      </c>
      <c r="CH651" s="86" t="e" cm="1">
        <f t="array" aca="1" ref="CH651" ca="1">_xll.VisibleAlpha.UDF.VAData($B$634,CH$635,$B651,CH$637,$B$637,$B$636,$B$635)</f>
        <v>#NAME?</v>
      </c>
      <c r="CI651" s="86" t="e" cm="1">
        <f t="array" aca="1" ref="CI651" ca="1">_xll.VisibleAlpha.UDF.VAData($B$634,CI$635,$B651,CI$637,$B$637,$B$636,$B$635)</f>
        <v>#NAME?</v>
      </c>
      <c r="CJ651" s="86" t="e" cm="1">
        <f t="array" aca="1" ref="CJ651" ca="1">_xll.VisibleAlpha.UDF.VAData($B$634,CJ$635,$B651,CJ$637,$B$637,$B$636,$B$635)</f>
        <v>#NAME?</v>
      </c>
      <c r="CK651" s="86" t="e" cm="1">
        <f t="array" aca="1" ref="CK651" ca="1">_xll.VisibleAlpha.UDF.VAData($B$634,CK$635,$B651,CK$637,$B$637,$B$636,$B$635)</f>
        <v>#NAME?</v>
      </c>
      <c r="CL651" s="86" t="e" cm="1">
        <f t="array" aca="1" ref="CL651" ca="1">_xll.VisibleAlpha.UDF.VAData($B$634,CL$635,$B651,CL$637,$B$637,$B$636,$B$635)</f>
        <v>#NAME?</v>
      </c>
      <c r="CM651" s="86" t="e" cm="1">
        <f t="array" aca="1" ref="CM651" ca="1">_xll.VisibleAlpha.UDF.VAData($B$634,CM$635,$B651,CM$637,$B$637,$B$636,$B$635)</f>
        <v>#NAME?</v>
      </c>
      <c r="CN651" s="86" t="e" cm="1">
        <f t="array" aca="1" ref="CN651" ca="1">_xll.VisibleAlpha.UDF.VAData($B$634,CN$635,$B651,CN$637,$B$637,$B$636,$B$635)</f>
        <v>#NAME?</v>
      </c>
      <c r="CO651" s="220" t="e" cm="1">
        <f t="array" aca="1" ref="CO651" ca="1">_xll.VisibleAlpha.UDF.VAData($B$634,CO$635,$B651,CO$637,$B$637,$B$636,$B$635)</f>
        <v>#NAME?</v>
      </c>
      <c r="CP651" s="220" t="e" cm="1">
        <f t="array" aca="1" ref="CP651" ca="1">_xll.VisibleAlpha.UDF.VAData($B$634,CP$635,$B651,CP$637,$B$637,$B$636,$B$635)</f>
        <v>#NAME?</v>
      </c>
      <c r="CQ651" s="220" t="e" cm="1">
        <f t="array" aca="1" ref="CQ651" ca="1">_xll.VisibleAlpha.UDF.VAData($B$634,CQ$635,$B651,CQ$637,$B$637,$B$636,$B$635)</f>
        <v>#NAME?</v>
      </c>
      <c r="CR651" s="220" t="e" cm="1">
        <f t="array" aca="1" ref="CR651" ca="1">_xll.VisibleAlpha.UDF.VAData($B$634,CR$635,$B651,CR$637,$B$637,$B$636,$B$635)</f>
        <v>#NAME?</v>
      </c>
      <c r="CS651" s="220" t="e" cm="1">
        <f t="array" aca="1" ref="CS651" ca="1">_xll.VisibleAlpha.UDF.VAData($B$634,CS$635,$B651,CS$637,$B$637,$B$636,$B$635)</f>
        <v>#NAME?</v>
      </c>
      <c r="CT651" s="220" t="e" cm="1">
        <f t="array" aca="1" ref="CT651" ca="1">_xll.VisibleAlpha.UDF.VAData($B$634,CT$635,$B651,CT$637,$B$637,$B$636,$B$635)</f>
        <v>#NAME?</v>
      </c>
      <c r="CU651" s="220" t="e" cm="1">
        <f t="array" aca="1" ref="CU651" ca="1">_xll.VisibleAlpha.UDF.VAData($B$634,CU$635,$B651,CU$637,$B$637,$B$636,$B$635)</f>
        <v>#NAME?</v>
      </c>
      <c r="CV651" s="220" t="e" cm="1">
        <f t="array" aca="1" ref="CV651" ca="1">_xll.VisibleAlpha.UDF.VAData($B$634,CV$635,$B651,CV$637,$B$637,$B$636,$B$635)</f>
        <v>#NAME?</v>
      </c>
      <c r="CW651" s="220" t="e" cm="1">
        <f t="array" aca="1" ref="CW651" ca="1">_xll.VisibleAlpha.UDF.VAData($B$634,CW$635,$B651,CW$637,$B$637,$B$636,$B$635)</f>
        <v>#NAME?</v>
      </c>
      <c r="CX651" s="220" t="e" cm="1">
        <f t="array" aca="1" ref="CX651" ca="1">_xll.VisibleAlpha.UDF.VAData($B$634,CX$635,$B651,CX$637,$B$637,$B$636,$B$635)</f>
        <v>#NAME?</v>
      </c>
    </row>
    <row r="652" spans="1:102" s="84" customFormat="1" x14ac:dyDescent="0.25">
      <c r="A652" s="218"/>
      <c r="B652" s="219" t="s">
        <v>437</v>
      </c>
      <c r="C652" s="219"/>
      <c r="D652" s="219"/>
      <c r="E652" s="219"/>
      <c r="F652" s="219"/>
      <c r="G652" s="219"/>
      <c r="H652" s="219"/>
      <c r="I652" s="219"/>
      <c r="J652" s="219"/>
      <c r="K652" s="219"/>
      <c r="L652" s="219"/>
      <c r="M652" s="219"/>
      <c r="N652" s="219"/>
      <c r="O652" s="219"/>
      <c r="P652" s="219"/>
      <c r="Q652" s="219"/>
      <c r="R652" s="219"/>
      <c r="S652" s="86" t="s">
        <v>336</v>
      </c>
      <c r="T652" s="86" t="s">
        <v>336</v>
      </c>
      <c r="U652" s="86" t="s">
        <v>336</v>
      </c>
      <c r="V652" s="86" t="s">
        <v>336</v>
      </c>
      <c r="W652" s="86">
        <v>54.724564000000001</v>
      </c>
      <c r="X652" s="86">
        <v>62.517976875000002</v>
      </c>
      <c r="Y652" s="86">
        <v>67.671110778750005</v>
      </c>
      <c r="Z652" s="86">
        <v>79.624502664999994</v>
      </c>
      <c r="AA652" s="86">
        <v>79.460373715505597</v>
      </c>
      <c r="AB652" s="86">
        <v>78.145686798822396</v>
      </c>
      <c r="AC652" s="86">
        <v>114.62204661406901</v>
      </c>
      <c r="AD652" s="86">
        <v>108.27910940731751</v>
      </c>
      <c r="AE652" s="86">
        <v>103.63510557142858</v>
      </c>
      <c r="AF652" s="86">
        <v>97.759440971428603</v>
      </c>
      <c r="AG652" s="86">
        <v>152.5187</v>
      </c>
      <c r="AH652" s="86">
        <v>158.96691028571419</v>
      </c>
      <c r="AI652" s="86">
        <v>159.88386043657141</v>
      </c>
      <c r="AJ652" s="86">
        <v>181.88631021828581</v>
      </c>
      <c r="AK652" s="86">
        <v>240.19572416</v>
      </c>
      <c r="AL652" s="86">
        <v>183.41144766571421</v>
      </c>
      <c r="AM652" s="86">
        <v>149.91300000000001</v>
      </c>
      <c r="AN652" s="86">
        <v>143.958</v>
      </c>
      <c r="AO652" s="86">
        <v>174.38</v>
      </c>
      <c r="AP652" s="86">
        <v>165.624</v>
      </c>
      <c r="AQ652" s="86">
        <v>246.90700000000001</v>
      </c>
      <c r="AR652" s="86">
        <v>171.547</v>
      </c>
      <c r="AS652" s="86">
        <v>256.48099999999999</v>
      </c>
      <c r="AT652" s="86">
        <v>236.875</v>
      </c>
      <c r="AU652" s="86">
        <v>206.06299999999999</v>
      </c>
      <c r="AV652" s="86">
        <v>188.167</v>
      </c>
      <c r="AW652" s="86">
        <v>250.42599999999999</v>
      </c>
      <c r="AX652" s="86">
        <v>208.96100000000001</v>
      </c>
      <c r="AY652" s="86">
        <v>184.82599999999999</v>
      </c>
      <c r="AZ652" s="86">
        <v>188.31</v>
      </c>
      <c r="BA652" s="86">
        <v>263.31700000000001</v>
      </c>
      <c r="BB652" s="86">
        <v>225.66</v>
      </c>
      <c r="BC652" s="86">
        <v>211.952</v>
      </c>
      <c r="BD652" s="86">
        <v>222.11199999999999</v>
      </c>
      <c r="BE652" s="86">
        <v>349.15899999999999</v>
      </c>
      <c r="BF652" s="86" t="e" cm="1">
        <f t="array" aca="1" ref="BF652" ca="1">_xll.VisibleAlpha.UDF.VAData($B$634,BF$635,$B652,BF$637,$B$637,$B$636,$B$635)</f>
        <v>#NAME?</v>
      </c>
      <c r="BG652" s="86" t="e" cm="1">
        <f t="array" aca="1" ref="BG652" ca="1">_xll.VisibleAlpha.UDF.VAData($B$634,BG$635,$B652,BG$637,$B$637,$B$636,$B$635)</f>
        <v>#NAME?</v>
      </c>
      <c r="BH652" s="220" t="e" cm="1">
        <f t="array" aca="1" ref="BH652" ca="1">_xll.VisibleAlpha.UDF.VAData($B$634,BH$635,$B652,BH$637,$B$637,$B$636,$B$635)</f>
        <v>#NAME?</v>
      </c>
      <c r="BI652" s="220" t="e" cm="1">
        <f t="array" aca="1" ref="BI652" ca="1">_xll.VisibleAlpha.UDF.VAData($B$634,BI$635,$B652,BI$637,$B$637,$B$636,$B$635)</f>
        <v>#NAME?</v>
      </c>
      <c r="BJ652" s="220" t="e" cm="1">
        <f t="array" aca="1" ref="BJ652" ca="1">_xll.VisibleAlpha.UDF.VAData($B$634,BJ$635,$B652,BJ$637,$B$637,$B$636,$B$635)</f>
        <v>#NAME?</v>
      </c>
      <c r="BK652" s="220" t="e" cm="1">
        <f t="array" aca="1" ref="BK652" ca="1">_xll.VisibleAlpha.UDF.VAData($B$634,BK$635,$B652,BK$637,$B$637,$B$636,$B$635)</f>
        <v>#NAME?</v>
      </c>
      <c r="BL652" s="220" t="e" cm="1">
        <f t="array" aca="1" ref="BL652" ca="1">_xll.VisibleAlpha.UDF.VAData($B$634,BL$635,$B652,BL$637,$B$637,$B$636,$B$635)</f>
        <v>#NAME?</v>
      </c>
      <c r="BM652" s="220" t="e" cm="1">
        <f t="array" aca="1" ref="BM652" ca="1">_xll.VisibleAlpha.UDF.VAData($B$634,BM$635,$B652,BM$637,$B$637,$B$636,$B$635)</f>
        <v>#NAME?</v>
      </c>
      <c r="BN652" s="220" t="e" cm="1">
        <f t="array" aca="1" ref="BN652" ca="1">_xll.VisibleAlpha.UDF.VAData($B$634,BN$635,$B652,BN$637,$B$637,$B$636,$B$635)</f>
        <v>#NAME?</v>
      </c>
      <c r="BO652" s="220" t="e" cm="1">
        <f t="array" aca="1" ref="BO652" ca="1">_xll.VisibleAlpha.UDF.VAData($B$634,BO$635,$B652,BO$637,$B$637,$B$636,$B$635)</f>
        <v>#NAME?</v>
      </c>
      <c r="BP652" s="220" t="e" cm="1">
        <f t="array" aca="1" ref="BP652" ca="1">_xll.VisibleAlpha.UDF.VAData($B$634,BP$635,$B652,BP$637,$B$637,$B$636,$B$635)</f>
        <v>#NAME?</v>
      </c>
      <c r="BQ652" s="220" t="e" cm="1">
        <f t="array" aca="1" ref="BQ652" ca="1">_xll.VisibleAlpha.UDF.VAData($B$634,BQ$635,$B652,BQ$637,$B$637,$B$636,$B$635)</f>
        <v>#NAME?</v>
      </c>
      <c r="BR652" s="220" t="e" cm="1">
        <f t="array" aca="1" ref="BR652" ca="1">_xll.VisibleAlpha.UDF.VAData($B$634,BR$635,$B652,BR$637,$B$637,$B$636,$B$635)</f>
        <v>#NAME?</v>
      </c>
      <c r="BS652" s="220" t="e" cm="1">
        <f t="array" aca="1" ref="BS652" ca="1">_xll.VisibleAlpha.UDF.VAData($B$634,BS$635,$B652,BS$637,$B$637,$B$636,$B$635)</f>
        <v>#NAME?</v>
      </c>
      <c r="BT652" s="220" t="e" cm="1">
        <f t="array" aca="1" ref="BT652" ca="1">_xll.VisibleAlpha.UDF.VAData($B$634,BT$635,$B652,BT$637,$B$637,$B$636,$B$635)</f>
        <v>#NAME?</v>
      </c>
      <c r="BU652" s="220" t="e" cm="1">
        <f t="array" aca="1" ref="BU652" ca="1">_xll.VisibleAlpha.UDF.VAData($B$634,BU$635,$B652,BU$637,$B$637,$B$636,$B$635)</f>
        <v>#NAME?</v>
      </c>
      <c r="BV652" s="220" t="e" cm="1">
        <f t="array" aca="1" ref="BV652" ca="1">_xll.VisibleAlpha.UDF.VAData($B$634,BV$635,$B652,BV$637,$B$637,$B$636,$B$635)</f>
        <v>#NAME?</v>
      </c>
      <c r="BW652" s="220" t="e" cm="1">
        <f t="array" aca="1" ref="BW652" ca="1">_xll.VisibleAlpha.UDF.VAData($B$634,BW$635,$B652,BW$637,$B$637,$B$636,$B$635)</f>
        <v>#NAME?</v>
      </c>
      <c r="BX652" s="220" t="e" cm="1">
        <f t="array" aca="1" ref="BX652" ca="1">_xll.VisibleAlpha.UDF.VAData($B$634,BX$635,$B652,BX$637,$B$637,$B$636,$B$635)</f>
        <v>#NAME?</v>
      </c>
      <c r="BY652" s="220" t="e" cm="1">
        <f t="array" aca="1" ref="BY652" ca="1">_xll.VisibleAlpha.UDF.VAData($B$634,BY$635,$B652,BY$637,$B$637,$B$636,$B$635)</f>
        <v>#NAME?</v>
      </c>
      <c r="BZ652" s="220" t="e" cm="1">
        <f t="array" aca="1" ref="BZ652" ca="1">_xll.VisibleAlpha.UDF.VAData($B$634,BZ$635,$B652,BZ$637,$B$637,$B$636,$B$635)</f>
        <v>#NAME?</v>
      </c>
      <c r="CA652" s="84" t="e" cm="1">
        <f t="array" aca="1" ref="CA652" ca="1">_xll.VisibleAlpha.UDF.VAData($B$634,CA$635,$B652,CA$637,$B$637,$B$636,$B$635)</f>
        <v>#NAME?</v>
      </c>
      <c r="CB652" s="86" t="e" cm="1">
        <f t="array" aca="1" ref="CB652" ca="1">_xll.VisibleAlpha.UDF.VAData($B$634,CB$635,$B652,CB$637,$B$637,$B$636,$B$635)</f>
        <v>#NAME?</v>
      </c>
      <c r="CC652" s="86" t="e" cm="1">
        <f t="array" aca="1" ref="CC652" ca="1">_xll.VisibleAlpha.UDF.VAData($B$634,CC$635,$B652,CC$637,$B$637,$B$636,$B$635)</f>
        <v>#NAME?</v>
      </c>
      <c r="CD652" s="86" t="e" cm="1">
        <f t="array" aca="1" ref="CD652" ca="1">_xll.VisibleAlpha.UDF.VAData($B$634,CD$635,$B652,CD$637,$B$637,$B$636,$B$635)</f>
        <v>#NAME?</v>
      </c>
      <c r="CE652"/>
      <c r="CF652" s="86" t="e" cm="1">
        <f t="array" aca="1" ref="CF652" ca="1">_xll.VisibleAlpha.UDF.VAData($B$634,CF$635,$B652,CF$637,$B$637,$B$636,$B$635)</f>
        <v>#NAME?</v>
      </c>
      <c r="CG652" s="86" t="e" cm="1">
        <f t="array" aca="1" ref="CG652" ca="1">_xll.VisibleAlpha.UDF.VAData($B$634,CG$635,$B652,CG$637,$B$637,$B$636,$B$635)</f>
        <v>#NAME?</v>
      </c>
      <c r="CH652" s="86" t="e" cm="1">
        <f t="array" aca="1" ref="CH652" ca="1">_xll.VisibleAlpha.UDF.VAData($B$634,CH$635,$B652,CH$637,$B$637,$B$636,$B$635)</f>
        <v>#NAME?</v>
      </c>
      <c r="CI652" s="86" t="e" cm="1">
        <f t="array" aca="1" ref="CI652" ca="1">_xll.VisibleAlpha.UDF.VAData($B$634,CI$635,$B652,CI$637,$B$637,$B$636,$B$635)</f>
        <v>#NAME?</v>
      </c>
      <c r="CJ652" s="86" t="e" cm="1">
        <f t="array" aca="1" ref="CJ652" ca="1">_xll.VisibleAlpha.UDF.VAData($B$634,CJ$635,$B652,CJ$637,$B$637,$B$636,$B$635)</f>
        <v>#NAME?</v>
      </c>
      <c r="CK652" s="86" t="e" cm="1">
        <f t="array" aca="1" ref="CK652" ca="1">_xll.VisibleAlpha.UDF.VAData($B$634,CK$635,$B652,CK$637,$B$637,$B$636,$B$635)</f>
        <v>#NAME?</v>
      </c>
      <c r="CL652" s="86" t="e" cm="1">
        <f t="array" aca="1" ref="CL652" ca="1">_xll.VisibleAlpha.UDF.VAData($B$634,CL$635,$B652,CL$637,$B$637,$B$636,$B$635)</f>
        <v>#NAME?</v>
      </c>
      <c r="CM652" s="86" t="e" cm="1">
        <f t="array" aca="1" ref="CM652" ca="1">_xll.VisibleAlpha.UDF.VAData($B$634,CM$635,$B652,CM$637,$B$637,$B$636,$B$635)</f>
        <v>#NAME?</v>
      </c>
      <c r="CN652" s="86" t="e" cm="1">
        <f t="array" aca="1" ref="CN652" ca="1">_xll.VisibleAlpha.UDF.VAData($B$634,CN$635,$B652,CN$637,$B$637,$B$636,$B$635)</f>
        <v>#NAME?</v>
      </c>
      <c r="CO652" s="220" t="e" cm="1">
        <f t="array" aca="1" ref="CO652" ca="1">_xll.VisibleAlpha.UDF.VAData($B$634,CO$635,$B652,CO$637,$B$637,$B$636,$B$635)</f>
        <v>#NAME?</v>
      </c>
      <c r="CP652" s="220" t="e" cm="1">
        <f t="array" aca="1" ref="CP652" ca="1">_xll.VisibleAlpha.UDF.VAData($B$634,CP$635,$B652,CP$637,$B$637,$B$636,$B$635)</f>
        <v>#NAME?</v>
      </c>
      <c r="CQ652" s="220" t="e" cm="1">
        <f t="array" aca="1" ref="CQ652" ca="1">_xll.VisibleAlpha.UDF.VAData($B$634,CQ$635,$B652,CQ$637,$B$637,$B$636,$B$635)</f>
        <v>#NAME?</v>
      </c>
      <c r="CR652" s="220" t="e" cm="1">
        <f t="array" aca="1" ref="CR652" ca="1">_xll.VisibleAlpha.UDF.VAData($B$634,CR$635,$B652,CR$637,$B$637,$B$636,$B$635)</f>
        <v>#NAME?</v>
      </c>
      <c r="CS652" s="220" t="e" cm="1">
        <f t="array" aca="1" ref="CS652" ca="1">_xll.VisibleAlpha.UDF.VAData($B$634,CS$635,$B652,CS$637,$B$637,$B$636,$B$635)</f>
        <v>#NAME?</v>
      </c>
      <c r="CT652" s="220" t="e" cm="1">
        <f t="array" aca="1" ref="CT652" ca="1">_xll.VisibleAlpha.UDF.VAData($B$634,CT$635,$B652,CT$637,$B$637,$B$636,$B$635)</f>
        <v>#NAME?</v>
      </c>
      <c r="CU652" s="220" t="e" cm="1">
        <f t="array" aca="1" ref="CU652" ca="1">_xll.VisibleAlpha.UDF.VAData($B$634,CU$635,$B652,CU$637,$B$637,$B$636,$B$635)</f>
        <v>#NAME?</v>
      </c>
      <c r="CV652" s="220" t="e" cm="1">
        <f t="array" aca="1" ref="CV652" ca="1">_xll.VisibleAlpha.UDF.VAData($B$634,CV$635,$B652,CV$637,$B$637,$B$636,$B$635)</f>
        <v>#NAME?</v>
      </c>
      <c r="CW652" s="220" t="e" cm="1">
        <f t="array" aca="1" ref="CW652" ca="1">_xll.VisibleAlpha.UDF.VAData($B$634,CW$635,$B652,CW$637,$B$637,$B$636,$B$635)</f>
        <v>#NAME?</v>
      </c>
      <c r="CX652" s="220" t="e" cm="1">
        <f t="array" aca="1" ref="CX652" ca="1">_xll.VisibleAlpha.UDF.VAData($B$634,CX$635,$B652,CX$637,$B$637,$B$636,$B$635)</f>
        <v>#NAME?</v>
      </c>
    </row>
    <row r="653" spans="1:102" s="84" customFormat="1" x14ac:dyDescent="0.25">
      <c r="A653" s="218"/>
      <c r="B653" s="219" t="s">
        <v>438</v>
      </c>
      <c r="C653" s="219"/>
      <c r="D653" s="219"/>
      <c r="E653" s="219"/>
      <c r="F653" s="219"/>
      <c r="G653" s="219"/>
      <c r="H653" s="219"/>
      <c r="I653" s="219"/>
      <c r="J653" s="219"/>
      <c r="K653" s="219"/>
      <c r="L653" s="219"/>
      <c r="M653" s="219"/>
      <c r="N653" s="219"/>
      <c r="O653" s="219"/>
      <c r="P653" s="219"/>
      <c r="Q653" s="219"/>
      <c r="R653" s="219"/>
      <c r="S653" s="86" t="s">
        <v>336</v>
      </c>
      <c r="T653" s="86" t="s">
        <v>336</v>
      </c>
      <c r="U653" s="86" t="s">
        <v>336</v>
      </c>
      <c r="V653" s="86" t="s">
        <v>336</v>
      </c>
      <c r="W653" s="86" t="s">
        <v>336</v>
      </c>
      <c r="X653" s="86" t="s">
        <v>336</v>
      </c>
      <c r="Y653" s="86" t="s">
        <v>336</v>
      </c>
      <c r="Z653" s="86" t="s">
        <v>336</v>
      </c>
      <c r="AA653" s="86" t="s">
        <v>336</v>
      </c>
      <c r="AB653" s="86" t="s">
        <v>336</v>
      </c>
      <c r="AC653" s="86" t="s">
        <v>336</v>
      </c>
      <c r="AD653" s="86" t="s">
        <v>336</v>
      </c>
      <c r="AE653" s="86" t="s">
        <v>336</v>
      </c>
      <c r="AF653" s="86" t="s">
        <v>336</v>
      </c>
      <c r="AG653" s="86" t="s">
        <v>336</v>
      </c>
      <c r="AH653" s="86" t="s">
        <v>336</v>
      </c>
      <c r="AI653" s="86" t="s">
        <v>336</v>
      </c>
      <c r="AJ653" s="86" t="s">
        <v>336</v>
      </c>
      <c r="AK653" s="86" t="s">
        <v>336</v>
      </c>
      <c r="AL653" s="86" t="s">
        <v>336</v>
      </c>
      <c r="AM653" s="86" t="s">
        <v>336</v>
      </c>
      <c r="AN653" s="86" t="s">
        <v>336</v>
      </c>
      <c r="AO653" s="86" t="s">
        <v>336</v>
      </c>
      <c r="AP653" s="86" t="s">
        <v>336</v>
      </c>
      <c r="AQ653" s="86" t="s">
        <v>336</v>
      </c>
      <c r="AR653" s="86" t="s">
        <v>336</v>
      </c>
      <c r="AS653" s="86" t="s">
        <v>336</v>
      </c>
      <c r="AT653" s="86" t="s">
        <v>336</v>
      </c>
      <c r="AU653" s="86">
        <v>13.936999999999999</v>
      </c>
      <c r="AV653" s="86">
        <v>10.145</v>
      </c>
      <c r="AW653" s="86">
        <v>19.594000000000001</v>
      </c>
      <c r="AX653" s="86">
        <v>24.047999999999998</v>
      </c>
      <c r="AY653" s="86">
        <v>13.936999999999999</v>
      </c>
      <c r="AZ653" s="86">
        <v>10.145</v>
      </c>
      <c r="BA653" s="86">
        <v>19.594000000000001</v>
      </c>
      <c r="BB653" s="86">
        <v>24.047999999999998</v>
      </c>
      <c r="BC653" s="86">
        <v>16.472999999999999</v>
      </c>
      <c r="BD653" s="86">
        <v>20.704999999999998</v>
      </c>
      <c r="BE653" s="86">
        <v>13.724</v>
      </c>
      <c r="BF653" s="86" t="e" cm="1">
        <f t="array" aca="1" ref="BF653" ca="1">_xll.VisibleAlpha.UDF.VAData($B$634,BF$635,$B653,BF$637,$B$637,$B$636,$B$635)</f>
        <v>#NAME?</v>
      </c>
      <c r="BG653" s="86" t="e" cm="1">
        <f t="array" aca="1" ref="BG653" ca="1">_xll.VisibleAlpha.UDF.VAData($B$634,BG$635,$B653,BG$637,$B$637,$B$636,$B$635)</f>
        <v>#NAME?</v>
      </c>
      <c r="BH653" s="220" t="e" cm="1">
        <f t="array" aca="1" ref="BH653" ca="1">_xll.VisibleAlpha.UDF.VAData($B$634,BH$635,$B653,BH$637,$B$637,$B$636,$B$635)</f>
        <v>#NAME?</v>
      </c>
      <c r="BI653" s="220" t="e" cm="1">
        <f t="array" aca="1" ref="BI653" ca="1">_xll.VisibleAlpha.UDF.VAData($B$634,BI$635,$B653,BI$637,$B$637,$B$636,$B$635)</f>
        <v>#NAME?</v>
      </c>
      <c r="BJ653" s="220" t="e" cm="1">
        <f t="array" aca="1" ref="BJ653" ca="1">_xll.VisibleAlpha.UDF.VAData($B$634,BJ$635,$B653,BJ$637,$B$637,$B$636,$B$635)</f>
        <v>#NAME?</v>
      </c>
      <c r="BK653" s="220" t="e" cm="1">
        <f t="array" aca="1" ref="BK653" ca="1">_xll.VisibleAlpha.UDF.VAData($B$634,BK$635,$B653,BK$637,$B$637,$B$636,$B$635)</f>
        <v>#NAME?</v>
      </c>
      <c r="BL653" s="220" t="e" cm="1">
        <f t="array" aca="1" ref="BL653" ca="1">_xll.VisibleAlpha.UDF.VAData($B$634,BL$635,$B653,BL$637,$B$637,$B$636,$B$635)</f>
        <v>#NAME?</v>
      </c>
      <c r="BM653" s="220" t="e" cm="1">
        <f t="array" aca="1" ref="BM653" ca="1">_xll.VisibleAlpha.UDF.VAData($B$634,BM$635,$B653,BM$637,$B$637,$B$636,$B$635)</f>
        <v>#NAME?</v>
      </c>
      <c r="BN653" s="220" t="e" cm="1">
        <f t="array" aca="1" ref="BN653" ca="1">_xll.VisibleAlpha.UDF.VAData($B$634,BN$635,$B653,BN$637,$B$637,$B$636,$B$635)</f>
        <v>#NAME?</v>
      </c>
      <c r="BO653" s="220" t="e" cm="1">
        <f t="array" aca="1" ref="BO653" ca="1">_xll.VisibleAlpha.UDF.VAData($B$634,BO$635,$B653,BO$637,$B$637,$B$636,$B$635)</f>
        <v>#NAME?</v>
      </c>
      <c r="BP653" s="220" t="e" cm="1">
        <f t="array" aca="1" ref="BP653" ca="1">_xll.VisibleAlpha.UDF.VAData($B$634,BP$635,$B653,BP$637,$B$637,$B$636,$B$635)</f>
        <v>#NAME?</v>
      </c>
      <c r="BQ653" s="220" t="e" cm="1">
        <f t="array" aca="1" ref="BQ653" ca="1">_xll.VisibleAlpha.UDF.VAData($B$634,BQ$635,$B653,BQ$637,$B$637,$B$636,$B$635)</f>
        <v>#NAME?</v>
      </c>
      <c r="BR653" s="220" t="e" cm="1">
        <f t="array" aca="1" ref="BR653" ca="1">_xll.VisibleAlpha.UDF.VAData($B$634,BR$635,$B653,BR$637,$B$637,$B$636,$B$635)</f>
        <v>#NAME?</v>
      </c>
      <c r="BS653" s="220" t="e" cm="1">
        <f t="array" aca="1" ref="BS653" ca="1">_xll.VisibleAlpha.UDF.VAData($B$634,BS$635,$B653,BS$637,$B$637,$B$636,$B$635)</f>
        <v>#NAME?</v>
      </c>
      <c r="BT653" s="220" t="e" cm="1">
        <f t="array" aca="1" ref="BT653" ca="1">_xll.VisibleAlpha.UDF.VAData($B$634,BT$635,$B653,BT$637,$B$637,$B$636,$B$635)</f>
        <v>#NAME?</v>
      </c>
      <c r="BU653" s="220" t="e" cm="1">
        <f t="array" aca="1" ref="BU653" ca="1">_xll.VisibleAlpha.UDF.VAData($B$634,BU$635,$B653,BU$637,$B$637,$B$636,$B$635)</f>
        <v>#NAME?</v>
      </c>
      <c r="BV653" s="220" t="e" cm="1">
        <f t="array" aca="1" ref="BV653" ca="1">_xll.VisibleAlpha.UDF.VAData($B$634,BV$635,$B653,BV$637,$B$637,$B$636,$B$635)</f>
        <v>#NAME?</v>
      </c>
      <c r="BW653" s="220" t="e" cm="1">
        <f t="array" aca="1" ref="BW653" ca="1">_xll.VisibleAlpha.UDF.VAData($B$634,BW$635,$B653,BW$637,$B$637,$B$636,$B$635)</f>
        <v>#NAME?</v>
      </c>
      <c r="BX653" s="220" t="e" cm="1">
        <f t="array" aca="1" ref="BX653" ca="1">_xll.VisibleAlpha.UDF.VAData($B$634,BX$635,$B653,BX$637,$B$637,$B$636,$B$635)</f>
        <v>#NAME?</v>
      </c>
      <c r="BY653" s="220" t="e" cm="1">
        <f t="array" aca="1" ref="BY653" ca="1">_xll.VisibleAlpha.UDF.VAData($B$634,BY$635,$B653,BY$637,$B$637,$B$636,$B$635)</f>
        <v>#NAME?</v>
      </c>
      <c r="BZ653" s="220" t="e" cm="1">
        <f t="array" aca="1" ref="BZ653" ca="1">_xll.VisibleAlpha.UDF.VAData($B$634,BZ$635,$B653,BZ$637,$B$637,$B$636,$B$635)</f>
        <v>#NAME?</v>
      </c>
      <c r="CA653" s="84" t="e" cm="1">
        <f t="array" aca="1" ref="CA653" ca="1">_xll.VisibleAlpha.UDF.VAData($B$634,CA$635,$B653,CA$637,$B$637,$B$636,$B$635)</f>
        <v>#NAME?</v>
      </c>
      <c r="CB653" s="86" t="e" cm="1">
        <f t="array" aca="1" ref="CB653" ca="1">_xll.VisibleAlpha.UDF.VAData($B$634,CB$635,$B653,CB$637,$B$637,$B$636,$B$635)</f>
        <v>#NAME?</v>
      </c>
      <c r="CC653" s="86" t="e" cm="1">
        <f t="array" aca="1" ref="CC653" ca="1">_xll.VisibleAlpha.UDF.VAData($B$634,CC$635,$B653,CC$637,$B$637,$B$636,$B$635)</f>
        <v>#NAME?</v>
      </c>
      <c r="CD653" s="86" t="e" cm="1">
        <f t="array" aca="1" ref="CD653" ca="1">_xll.VisibleAlpha.UDF.VAData($B$634,CD$635,$B653,CD$637,$B$637,$B$636,$B$635)</f>
        <v>#NAME?</v>
      </c>
      <c r="CE653"/>
      <c r="CF653" s="86" t="e" cm="1">
        <f t="array" aca="1" ref="CF653" ca="1">_xll.VisibleAlpha.UDF.VAData($B$634,CF$635,$B653,CF$637,$B$637,$B$636,$B$635)</f>
        <v>#NAME?</v>
      </c>
      <c r="CG653" s="86" t="e" cm="1">
        <f t="array" aca="1" ref="CG653" ca="1">_xll.VisibleAlpha.UDF.VAData($B$634,CG$635,$B653,CG$637,$B$637,$B$636,$B$635)</f>
        <v>#NAME?</v>
      </c>
      <c r="CH653" s="86" t="e" cm="1">
        <f t="array" aca="1" ref="CH653" ca="1">_xll.VisibleAlpha.UDF.VAData($B$634,CH$635,$B653,CH$637,$B$637,$B$636,$B$635)</f>
        <v>#NAME?</v>
      </c>
      <c r="CI653" s="86" t="e" cm="1">
        <f t="array" aca="1" ref="CI653" ca="1">_xll.VisibleAlpha.UDF.VAData($B$634,CI$635,$B653,CI$637,$B$637,$B$636,$B$635)</f>
        <v>#NAME?</v>
      </c>
      <c r="CJ653" s="86" t="e" cm="1">
        <f t="array" aca="1" ref="CJ653" ca="1">_xll.VisibleAlpha.UDF.VAData($B$634,CJ$635,$B653,CJ$637,$B$637,$B$636,$B$635)</f>
        <v>#NAME?</v>
      </c>
      <c r="CK653" s="86" t="e" cm="1">
        <f t="array" aca="1" ref="CK653" ca="1">_xll.VisibleAlpha.UDF.VAData($B$634,CK$635,$B653,CK$637,$B$637,$B$636,$B$635)</f>
        <v>#NAME?</v>
      </c>
      <c r="CL653" s="86" t="e" cm="1">
        <f t="array" aca="1" ref="CL653" ca="1">_xll.VisibleAlpha.UDF.VAData($B$634,CL$635,$B653,CL$637,$B$637,$B$636,$B$635)</f>
        <v>#NAME?</v>
      </c>
      <c r="CM653" s="86" t="e" cm="1">
        <f t="array" aca="1" ref="CM653" ca="1">_xll.VisibleAlpha.UDF.VAData($B$634,CM$635,$B653,CM$637,$B$637,$B$636,$B$635)</f>
        <v>#NAME?</v>
      </c>
      <c r="CN653" s="86" t="e" cm="1">
        <f t="array" aca="1" ref="CN653" ca="1">_xll.VisibleAlpha.UDF.VAData($B$634,CN$635,$B653,CN$637,$B$637,$B$636,$B$635)</f>
        <v>#NAME?</v>
      </c>
      <c r="CO653" s="220" t="e" cm="1">
        <f t="array" aca="1" ref="CO653" ca="1">_xll.VisibleAlpha.UDF.VAData($B$634,CO$635,$B653,CO$637,$B$637,$B$636,$B$635)</f>
        <v>#NAME?</v>
      </c>
      <c r="CP653" s="220" t="e" cm="1">
        <f t="array" aca="1" ref="CP653" ca="1">_xll.VisibleAlpha.UDF.VAData($B$634,CP$635,$B653,CP$637,$B$637,$B$636,$B$635)</f>
        <v>#NAME?</v>
      </c>
      <c r="CQ653" s="220" t="e" cm="1">
        <f t="array" aca="1" ref="CQ653" ca="1">_xll.VisibleAlpha.UDF.VAData($B$634,CQ$635,$B653,CQ$637,$B$637,$B$636,$B$635)</f>
        <v>#NAME?</v>
      </c>
      <c r="CR653" s="220" t="e" cm="1">
        <f t="array" aca="1" ref="CR653" ca="1">_xll.VisibleAlpha.UDF.VAData($B$634,CR$635,$B653,CR$637,$B$637,$B$636,$B$635)</f>
        <v>#NAME?</v>
      </c>
      <c r="CS653" s="220" t="e" cm="1">
        <f t="array" aca="1" ref="CS653" ca="1">_xll.VisibleAlpha.UDF.VAData($B$634,CS$635,$B653,CS$637,$B$637,$B$636,$B$635)</f>
        <v>#NAME?</v>
      </c>
      <c r="CT653" s="220" t="e" cm="1">
        <f t="array" aca="1" ref="CT653" ca="1">_xll.VisibleAlpha.UDF.VAData($B$634,CT$635,$B653,CT$637,$B$637,$B$636,$B$635)</f>
        <v>#NAME?</v>
      </c>
      <c r="CU653" s="220" t="e" cm="1">
        <f t="array" aca="1" ref="CU653" ca="1">_xll.VisibleAlpha.UDF.VAData($B$634,CU$635,$B653,CU$637,$B$637,$B$636,$B$635)</f>
        <v>#NAME?</v>
      </c>
      <c r="CV653" s="220" t="e" cm="1">
        <f t="array" aca="1" ref="CV653" ca="1">_xll.VisibleAlpha.UDF.VAData($B$634,CV$635,$B653,CV$637,$B$637,$B$636,$B$635)</f>
        <v>#NAME?</v>
      </c>
      <c r="CW653" s="220" t="e" cm="1">
        <f t="array" aca="1" ref="CW653" ca="1">_xll.VisibleAlpha.UDF.VAData($B$634,CW$635,$B653,CW$637,$B$637,$B$636,$B$635)</f>
        <v>#NAME?</v>
      </c>
      <c r="CX653" s="220" t="e" cm="1">
        <f t="array" aca="1" ref="CX653" ca="1">_xll.VisibleAlpha.UDF.VAData($B$634,CX$635,$B653,CX$637,$B$637,$B$636,$B$635)</f>
        <v>#NAME?</v>
      </c>
    </row>
    <row r="654" spans="1:102" s="84" customFormat="1" x14ac:dyDescent="0.25">
      <c r="A654" s="218"/>
      <c r="B654" s="219"/>
      <c r="C654" s="219"/>
      <c r="D654" s="219"/>
      <c r="E654" s="219"/>
      <c r="F654" s="219"/>
      <c r="G654" s="219"/>
      <c r="H654" s="219"/>
      <c r="I654" s="219"/>
      <c r="J654" s="219"/>
      <c r="K654" s="219"/>
      <c r="L654" s="219"/>
      <c r="M654" s="219"/>
      <c r="N654" s="219"/>
      <c r="O654" s="219"/>
      <c r="P654" s="219"/>
      <c r="Q654" s="219"/>
      <c r="R654" s="219"/>
      <c r="S654" s="86"/>
      <c r="T654" s="86"/>
      <c r="U654" s="86"/>
      <c r="V654" s="86"/>
      <c r="W654" s="86"/>
      <c r="X654" s="86"/>
      <c r="Y654" s="86"/>
      <c r="Z654" s="86"/>
      <c r="AA654" s="86"/>
      <c r="AB654" s="86"/>
      <c r="AC654" s="86"/>
      <c r="AD654" s="86"/>
      <c r="AE654" s="86"/>
      <c r="AF654" s="86"/>
      <c r="AG654" s="86"/>
      <c r="AH654" s="86"/>
      <c r="AI654" s="86"/>
      <c r="AJ654" s="86"/>
      <c r="AK654" s="86"/>
      <c r="AL654" s="86"/>
      <c r="AM654" s="86"/>
      <c r="AN654" s="86"/>
      <c r="AO654" s="86"/>
      <c r="AP654" s="86"/>
      <c r="AQ654" s="86"/>
      <c r="AR654" s="86"/>
      <c r="AS654" s="86"/>
      <c r="AT654" s="86"/>
      <c r="AU654" s="86"/>
      <c r="AV654" s="86"/>
      <c r="AW654" s="86"/>
      <c r="AX654" s="86"/>
      <c r="AY654" s="86"/>
      <c r="AZ654" s="86"/>
      <c r="BA654" s="86"/>
      <c r="BB654" s="86"/>
      <c r="BC654" s="86"/>
      <c r="BD654" s="207"/>
      <c r="BE654" s="207"/>
      <c r="BF654" s="207"/>
      <c r="BG654" s="207"/>
      <c r="BH654" s="207"/>
      <c r="BI654" s="207"/>
      <c r="BJ654" s="207"/>
      <c r="BK654" s="207"/>
      <c r="BL654" s="220"/>
      <c r="BM654" s="220"/>
      <c r="BN654" s="220"/>
      <c r="BO654" s="220"/>
      <c r="BP654" s="220"/>
      <c r="BQ654" s="220"/>
      <c r="BR654" s="220"/>
      <c r="BS654" s="220"/>
      <c r="BT654" s="220"/>
      <c r="BU654" s="220"/>
      <c r="BV654" s="220"/>
      <c r="BW654" s="220"/>
      <c r="BX654" s="220"/>
      <c r="BY654" s="220"/>
      <c r="BZ654" s="220"/>
      <c r="CB654" s="86"/>
      <c r="CC654" s="86"/>
      <c r="CD654" s="86"/>
      <c r="CE654"/>
      <c r="CF654" s="86"/>
      <c r="CG654" s="86"/>
      <c r="CH654" s="86"/>
      <c r="CI654" s="86"/>
      <c r="CJ654" s="86"/>
      <c r="CK654" s="86"/>
      <c r="CL654" s="86"/>
      <c r="CM654" s="86"/>
      <c r="CN654" s="86"/>
      <c r="CO654" s="220"/>
      <c r="CP654" s="220"/>
      <c r="CQ654" s="220"/>
      <c r="CR654" s="220"/>
      <c r="CS654" s="220"/>
      <c r="CT654" s="220"/>
      <c r="CU654" s="220"/>
      <c r="CV654" s="220"/>
      <c r="CW654" s="220"/>
      <c r="CX654" s="220"/>
    </row>
    <row r="655" spans="1:102" s="84" customFormat="1" x14ac:dyDescent="0.25">
      <c r="A655" s="218"/>
      <c r="B655" s="116" t="s">
        <v>439</v>
      </c>
      <c r="C655" s="116"/>
      <c r="D655" s="116"/>
      <c r="E655" s="116"/>
      <c r="F655" s="116"/>
      <c r="G655" s="116"/>
      <c r="H655" s="116"/>
      <c r="I655" s="116"/>
      <c r="J655" s="116"/>
      <c r="K655" s="116"/>
      <c r="L655" s="116"/>
      <c r="M655" s="116"/>
      <c r="N655" s="116"/>
      <c r="O655" s="116"/>
      <c r="P655" s="116"/>
      <c r="Q655" s="116"/>
      <c r="R655" s="116"/>
      <c r="S655" s="86" t="s">
        <v>336</v>
      </c>
      <c r="T655" s="86" t="s">
        <v>336</v>
      </c>
      <c r="U655" s="86" t="s">
        <v>336</v>
      </c>
      <c r="V655" s="86" t="s">
        <v>336</v>
      </c>
      <c r="W655" s="86">
        <v>13161</v>
      </c>
      <c r="X655" s="86">
        <v>15287.5</v>
      </c>
      <c r="Y655" s="86">
        <v>19321.75</v>
      </c>
      <c r="Z655" s="86">
        <v>20800</v>
      </c>
      <c r="AA655" s="86">
        <v>22670</v>
      </c>
      <c r="AB655" s="86">
        <v>23113.5</v>
      </c>
      <c r="AC655" s="86">
        <v>24923.75</v>
      </c>
      <c r="AD655" s="86">
        <v>26400</v>
      </c>
      <c r="AE655" s="86">
        <v>27295.200000000001</v>
      </c>
      <c r="AF655" s="86">
        <v>28487.200000000001</v>
      </c>
      <c r="AG655" s="86">
        <v>31488.5</v>
      </c>
      <c r="AH655" s="86">
        <v>34200</v>
      </c>
      <c r="AI655" s="86">
        <v>33900</v>
      </c>
      <c r="AJ655" s="86">
        <v>34300</v>
      </c>
      <c r="AK655" s="86">
        <v>36300</v>
      </c>
      <c r="AL655" s="86">
        <v>36400</v>
      </c>
      <c r="AM655" s="86">
        <v>36200</v>
      </c>
      <c r="AN655" s="86">
        <v>36900</v>
      </c>
      <c r="AO655" s="86">
        <v>38800</v>
      </c>
      <c r="AP655" s="86">
        <v>41500</v>
      </c>
      <c r="AQ655" s="86">
        <v>45000</v>
      </c>
      <c r="AR655" s="86">
        <v>45900</v>
      </c>
      <c r="AS655" s="86">
        <v>47400</v>
      </c>
      <c r="AT655" s="86">
        <v>47600</v>
      </c>
      <c r="AU655" s="86">
        <v>46300</v>
      </c>
      <c r="AV655" s="86">
        <v>47200</v>
      </c>
      <c r="AW655" s="86">
        <v>48000</v>
      </c>
      <c r="AX655" s="86">
        <v>47400</v>
      </c>
      <c r="AY655" s="86">
        <v>47300</v>
      </c>
      <c r="AZ655" s="86">
        <v>45400</v>
      </c>
      <c r="BA655" s="86">
        <v>46400</v>
      </c>
      <c r="BB655" s="86">
        <v>47400</v>
      </c>
      <c r="BC655" s="86">
        <v>47682.666666666664</v>
      </c>
      <c r="BD655" s="86">
        <v>47852.916666666664</v>
      </c>
      <c r="BE655" s="86">
        <v>46884</v>
      </c>
      <c r="BF655" s="86" t="e" cm="1">
        <f t="array" aca="1" ref="BF655" ca="1">_xll.VisibleAlpha.UDF.VAData($B$634,BF$635,$B655,BF$637,$B$637,$B$636,$B$635)</f>
        <v>#NAME?</v>
      </c>
      <c r="BG655" s="86" t="e" cm="1">
        <f t="array" aca="1" ref="BG655" ca="1">_xll.VisibleAlpha.UDF.VAData($B$634,BG$635,$B655,BG$637,$B$637,$B$636,$B$635)</f>
        <v>#NAME?</v>
      </c>
      <c r="BH655" s="220" t="e" cm="1">
        <f t="array" aca="1" ref="BH655" ca="1">_xll.VisibleAlpha.UDF.VAData($B$634,BH$635,$B655,BH$637,$B$637,$B$636,$B$635)</f>
        <v>#NAME?</v>
      </c>
      <c r="BI655" s="220" t="e" cm="1">
        <f t="array" aca="1" ref="BI655" ca="1">_xll.VisibleAlpha.UDF.VAData($B$634,BI$635,$B655,BI$637,$B$637,$B$636,$B$635)</f>
        <v>#NAME?</v>
      </c>
      <c r="BJ655" s="220" t="e" cm="1">
        <f t="array" aca="1" ref="BJ655" ca="1">_xll.VisibleAlpha.UDF.VAData($B$634,BJ$635,$B655,BJ$637,$B$637,$B$636,$B$635)</f>
        <v>#NAME?</v>
      </c>
      <c r="BK655" s="220" t="e" cm="1">
        <f t="array" aca="1" ref="BK655" ca="1">_xll.VisibleAlpha.UDF.VAData($B$634,BK$635,$B655,BK$637,$B$637,$B$636,$B$635)</f>
        <v>#NAME?</v>
      </c>
      <c r="BL655" s="220" t="e" cm="1">
        <f t="array" aca="1" ref="BL655" ca="1">_xll.VisibleAlpha.UDF.VAData($B$634,BL$635,$B655,BL$637,$B$637,$B$636,$B$635)</f>
        <v>#NAME?</v>
      </c>
      <c r="BM655" s="220" t="e" cm="1">
        <f t="array" aca="1" ref="BM655" ca="1">_xll.VisibleAlpha.UDF.VAData($B$634,BM$635,$B655,BM$637,$B$637,$B$636,$B$635)</f>
        <v>#NAME?</v>
      </c>
      <c r="BN655" s="220" t="e" cm="1">
        <f t="array" aca="1" ref="BN655" ca="1">_xll.VisibleAlpha.UDF.VAData($B$634,BN$635,$B655,BN$637,$B$637,$B$636,$B$635)</f>
        <v>#NAME?</v>
      </c>
      <c r="BO655" s="220" t="e" cm="1">
        <f t="array" aca="1" ref="BO655" ca="1">_xll.VisibleAlpha.UDF.VAData($B$634,BO$635,$B655,BO$637,$B$637,$B$636,$B$635)</f>
        <v>#NAME?</v>
      </c>
      <c r="BP655" s="220" t="e" cm="1">
        <f t="array" aca="1" ref="BP655" ca="1">_xll.VisibleAlpha.UDF.VAData($B$634,BP$635,$B655,BP$637,$B$637,$B$636,$B$635)</f>
        <v>#NAME?</v>
      </c>
      <c r="BQ655" s="220" t="e" cm="1">
        <f t="array" aca="1" ref="BQ655" ca="1">_xll.VisibleAlpha.UDF.VAData($B$634,BQ$635,$B655,BQ$637,$B$637,$B$636,$B$635)</f>
        <v>#NAME?</v>
      </c>
      <c r="BR655" s="220" t="e" cm="1">
        <f t="array" aca="1" ref="BR655" ca="1">_xll.VisibleAlpha.UDF.VAData($B$634,BR$635,$B655,BR$637,$B$637,$B$636,$B$635)</f>
        <v>#NAME?</v>
      </c>
      <c r="BS655" s="220" t="e" cm="1">
        <f t="array" aca="1" ref="BS655" ca="1">_xll.VisibleAlpha.UDF.VAData($B$634,BS$635,$B655,BS$637,$B$637,$B$636,$B$635)</f>
        <v>#NAME?</v>
      </c>
      <c r="BT655" s="220" t="e" cm="1">
        <f t="array" aca="1" ref="BT655" ca="1">_xll.VisibleAlpha.UDF.VAData($B$634,BT$635,$B655,BT$637,$B$637,$B$636,$B$635)</f>
        <v>#NAME?</v>
      </c>
      <c r="BU655" s="220" t="e" cm="1">
        <f t="array" aca="1" ref="BU655" ca="1">_xll.VisibleAlpha.UDF.VAData($B$634,BU$635,$B655,BU$637,$B$637,$B$636,$B$635)</f>
        <v>#NAME?</v>
      </c>
      <c r="BV655" s="220" t="e" cm="1">
        <f t="array" aca="1" ref="BV655" ca="1">_xll.VisibleAlpha.UDF.VAData($B$634,BV$635,$B655,BV$637,$B$637,$B$636,$B$635)</f>
        <v>#NAME?</v>
      </c>
      <c r="BW655" s="220" t="e" cm="1">
        <f t="array" aca="1" ref="BW655" ca="1">_xll.VisibleAlpha.UDF.VAData($B$634,BW$635,$B655,BW$637,$B$637,$B$636,$B$635)</f>
        <v>#NAME?</v>
      </c>
      <c r="BX655" s="220" t="e" cm="1">
        <f t="array" aca="1" ref="BX655" ca="1">_xll.VisibleAlpha.UDF.VAData($B$634,BX$635,$B655,BX$637,$B$637,$B$636,$B$635)</f>
        <v>#NAME?</v>
      </c>
      <c r="BY655" s="220" t="e" cm="1">
        <f t="array" aca="1" ref="BY655" ca="1">_xll.VisibleAlpha.UDF.VAData($B$634,BY$635,$B655,BY$637,$B$637,$B$636,$B$635)</f>
        <v>#NAME?</v>
      </c>
      <c r="BZ655" s="220" t="e" cm="1">
        <f t="array" aca="1" ref="BZ655" ca="1">_xll.VisibleAlpha.UDF.VAData($B$634,BZ$635,$B655,BZ$637,$B$637,$B$636,$B$635)</f>
        <v>#NAME?</v>
      </c>
      <c r="CA655" s="84" t="e" cm="1">
        <f t="array" aca="1" ref="CA655" ca="1">_xll.VisibleAlpha.UDF.VAData($B$634,CA$635,$B655,CA$637,$B$637,$B$636,$B$635)</f>
        <v>#NAME?</v>
      </c>
      <c r="CB655" s="86" t="e" cm="1">
        <f t="array" aca="1" ref="CB655" ca="1">_xll.VisibleAlpha.UDF.VAData($B$634,CB$635,$B655,CB$637,$B$637,$B$636,$B$635)</f>
        <v>#NAME?</v>
      </c>
      <c r="CC655" s="86" t="e" cm="1">
        <f t="array" aca="1" ref="CC655" ca="1">_xll.VisibleAlpha.UDF.VAData($B$634,CC$635,$B655,CC$637,$B$637,$B$636,$B$635)</f>
        <v>#NAME?</v>
      </c>
      <c r="CD655" s="86" t="e" cm="1">
        <f t="array" aca="1" ref="CD655" ca="1">_xll.VisibleAlpha.UDF.VAData($B$634,CD$635,$B655,CD$637,$B$637,$B$636,$B$635)</f>
        <v>#NAME?</v>
      </c>
      <c r="CE655"/>
      <c r="CF655" s="86" t="e" cm="1">
        <f t="array" aca="1" ref="CF655" ca="1">_xll.VisibleAlpha.UDF.VAData($B$634,CF$635,$B655,CF$637,$B$637,$B$636,$B$635)</f>
        <v>#NAME?</v>
      </c>
      <c r="CG655" s="86" t="e" cm="1">
        <f t="array" aca="1" ref="CG655" ca="1">_xll.VisibleAlpha.UDF.VAData($B$634,CG$635,$B655,CG$637,$B$637,$B$636,$B$635)</f>
        <v>#NAME?</v>
      </c>
      <c r="CH655" s="86" t="e" cm="1">
        <f t="array" aca="1" ref="CH655" ca="1">_xll.VisibleAlpha.UDF.VAData($B$634,CH$635,$B655,CH$637,$B$637,$B$636,$B$635)</f>
        <v>#NAME?</v>
      </c>
      <c r="CI655" s="86" t="e" cm="1">
        <f t="array" aca="1" ref="CI655" ca="1">_xll.VisibleAlpha.UDF.VAData($B$634,CI$635,$B655,CI$637,$B$637,$B$636,$B$635)</f>
        <v>#NAME?</v>
      </c>
      <c r="CJ655" s="86" t="e" cm="1">
        <f t="array" aca="1" ref="CJ655" ca="1">_xll.VisibleAlpha.UDF.VAData($B$634,CJ$635,$B655,CJ$637,$B$637,$B$636,$B$635)</f>
        <v>#NAME?</v>
      </c>
      <c r="CK655" s="86" t="e" cm="1">
        <f t="array" aca="1" ref="CK655" ca="1">_xll.VisibleAlpha.UDF.VAData($B$634,CK$635,$B655,CK$637,$B$637,$B$636,$B$635)</f>
        <v>#NAME?</v>
      </c>
      <c r="CL655" s="86" t="e" cm="1">
        <f t="array" aca="1" ref="CL655" ca="1">_xll.VisibleAlpha.UDF.VAData($B$634,CL$635,$B655,CL$637,$B$637,$B$636,$B$635)</f>
        <v>#NAME?</v>
      </c>
      <c r="CM655" s="86" t="e" cm="1">
        <f t="array" aca="1" ref="CM655" ca="1">_xll.VisibleAlpha.UDF.VAData($B$634,CM$635,$B655,CM$637,$B$637,$B$636,$B$635)</f>
        <v>#NAME?</v>
      </c>
      <c r="CN655" s="86" t="e" cm="1">
        <f t="array" aca="1" ref="CN655" ca="1">_xll.VisibleAlpha.UDF.VAData($B$634,CN$635,$B655,CN$637,$B$637,$B$636,$B$635)</f>
        <v>#NAME?</v>
      </c>
      <c r="CO655" s="220" t="e" cm="1">
        <f t="array" aca="1" ref="CO655" ca="1">_xll.VisibleAlpha.UDF.VAData($B$634,CO$635,$B655,CO$637,$B$637,$B$636,$B$635)</f>
        <v>#NAME?</v>
      </c>
      <c r="CP655" s="220" t="e" cm="1">
        <f t="array" aca="1" ref="CP655" ca="1">_xll.VisibleAlpha.UDF.VAData($B$634,CP$635,$B655,CP$637,$B$637,$B$636,$B$635)</f>
        <v>#NAME?</v>
      </c>
      <c r="CQ655" s="220" t="e" cm="1">
        <f t="array" aca="1" ref="CQ655" ca="1">_xll.VisibleAlpha.UDF.VAData($B$634,CQ$635,$B655,CQ$637,$B$637,$B$636,$B$635)</f>
        <v>#NAME?</v>
      </c>
      <c r="CR655" s="220" t="e" cm="1">
        <f t="array" aca="1" ref="CR655" ca="1">_xll.VisibleAlpha.UDF.VAData($B$634,CR$635,$B655,CR$637,$B$637,$B$636,$B$635)</f>
        <v>#NAME?</v>
      </c>
      <c r="CS655" s="220" t="e" cm="1">
        <f t="array" aca="1" ref="CS655" ca="1">_xll.VisibleAlpha.UDF.VAData($B$634,CS$635,$B655,CS$637,$B$637,$B$636,$B$635)</f>
        <v>#NAME?</v>
      </c>
      <c r="CT655" s="220" t="e" cm="1">
        <f t="array" aca="1" ref="CT655" ca="1">_xll.VisibleAlpha.UDF.VAData($B$634,CT$635,$B655,CT$637,$B$637,$B$636,$B$635)</f>
        <v>#NAME?</v>
      </c>
      <c r="CU655" s="220" t="e" cm="1">
        <f t="array" aca="1" ref="CU655" ca="1">_xll.VisibleAlpha.UDF.VAData($B$634,CU$635,$B655,CU$637,$B$637,$B$636,$B$635)</f>
        <v>#NAME?</v>
      </c>
      <c r="CV655" s="220" t="e" cm="1">
        <f t="array" aca="1" ref="CV655" ca="1">_xll.VisibleAlpha.UDF.VAData($B$634,CV$635,$B655,CV$637,$B$637,$B$636,$B$635)</f>
        <v>#NAME?</v>
      </c>
      <c r="CW655" s="220" t="e" cm="1">
        <f t="array" aca="1" ref="CW655" ca="1">_xll.VisibleAlpha.UDF.VAData($B$634,CW$635,$B655,CW$637,$B$637,$B$636,$B$635)</f>
        <v>#NAME?</v>
      </c>
      <c r="CX655" s="220" t="e" cm="1">
        <f t="array" aca="1" ref="CX655" ca="1">_xll.VisibleAlpha.UDF.VAData($B$634,CX$635,$B655,CX$637,$B$637,$B$636,$B$635)</f>
        <v>#NAME?</v>
      </c>
    </row>
    <row r="657" spans="1:102" ht="15" customHeight="1" x14ac:dyDescent="0.25">
      <c r="A657" s="1" t="s">
        <v>18</v>
      </c>
      <c r="B657" s="16" t="s">
        <v>440</v>
      </c>
      <c r="C657" s="17"/>
      <c r="D657" s="17"/>
      <c r="E657" s="17"/>
      <c r="F657" s="17"/>
      <c r="G657" s="17"/>
      <c r="H657" s="17"/>
      <c r="I657" s="17"/>
      <c r="J657" s="17"/>
      <c r="K657" s="17"/>
      <c r="L657" s="17"/>
      <c r="M657" s="17"/>
      <c r="N657" s="17"/>
      <c r="O657" s="17"/>
      <c r="P657" s="17"/>
      <c r="Q657" s="17"/>
      <c r="R657" s="17"/>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t="s">
        <v>423</v>
      </c>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B657" s="19" t="e">
        <f>+#REF!</f>
        <v>#REF!</v>
      </c>
      <c r="CC657" s="20"/>
      <c r="CD657" s="20"/>
      <c r="CF657" s="20"/>
      <c r="CG657" s="20"/>
      <c r="CH657" s="20"/>
      <c r="CI657" s="21" t="str">
        <f>+$B657</f>
        <v>7974_JP</v>
      </c>
      <c r="CJ657" s="20"/>
      <c r="CK657" s="20"/>
      <c r="CL657" s="20"/>
      <c r="CM657" s="20"/>
      <c r="CN657" s="20"/>
      <c r="CO657" s="20"/>
      <c r="CP657" s="20"/>
      <c r="CQ657" s="20"/>
      <c r="CR657" s="20"/>
      <c r="CS657" s="20"/>
      <c r="CT657" s="20"/>
      <c r="CU657" s="20"/>
      <c r="CV657" s="20"/>
      <c r="CW657" s="20"/>
      <c r="CX657" s="20"/>
    </row>
    <row r="658" spans="1:102" x14ac:dyDescent="0.25">
      <c r="A658" s="1"/>
      <c r="B658" s="216">
        <f ca="1">TODAY()</f>
        <v>45886</v>
      </c>
      <c r="C658" s="216"/>
      <c r="D658" s="216"/>
      <c r="E658" s="216"/>
      <c r="F658" s="216"/>
      <c r="G658" s="216"/>
      <c r="H658" s="216"/>
      <c r="I658" s="216"/>
      <c r="J658" s="216"/>
      <c r="K658" s="216"/>
      <c r="L658" s="216"/>
      <c r="M658" s="216"/>
      <c r="N658" s="216"/>
      <c r="O658" s="216"/>
      <c r="P658" s="216"/>
      <c r="Q658" s="216"/>
      <c r="R658" s="216"/>
      <c r="S658" s="9" t="str">
        <f t="shared" ref="S658:CD658" si="778">+MROUND(MONTH(EOMONTH(S$5,-3))/3,1)&amp;"Q-"&amp;TEXT(EOMONTH(S$5,9),"yy")</f>
        <v>1Q-15</v>
      </c>
      <c r="T658" s="9" t="str">
        <f t="shared" si="778"/>
        <v>2Q-15</v>
      </c>
      <c r="U658" s="9" t="str">
        <f t="shared" si="778"/>
        <v>3Q-15</v>
      </c>
      <c r="V658" s="9" t="str">
        <f t="shared" si="778"/>
        <v>4Q-15</v>
      </c>
      <c r="W658" s="9" t="str">
        <f t="shared" si="778"/>
        <v>1Q-16</v>
      </c>
      <c r="X658" s="9" t="str">
        <f t="shared" si="778"/>
        <v>2Q-16</v>
      </c>
      <c r="Y658" s="9" t="str">
        <f t="shared" si="778"/>
        <v>3Q-16</v>
      </c>
      <c r="Z658" s="9" t="str">
        <f t="shared" si="778"/>
        <v>4Q-16</v>
      </c>
      <c r="AA658" s="9" t="str">
        <f t="shared" si="778"/>
        <v>1Q-17</v>
      </c>
      <c r="AB658" s="9" t="str">
        <f t="shared" si="778"/>
        <v>2Q-17</v>
      </c>
      <c r="AC658" s="9" t="str">
        <f t="shared" si="778"/>
        <v>3Q-17</v>
      </c>
      <c r="AD658" s="9" t="str">
        <f t="shared" si="778"/>
        <v>4Q-17</v>
      </c>
      <c r="AE658" s="9" t="str">
        <f t="shared" si="778"/>
        <v>1Q-18</v>
      </c>
      <c r="AF658" s="9" t="str">
        <f t="shared" si="778"/>
        <v>2Q-18</v>
      </c>
      <c r="AG658" s="9" t="str">
        <f t="shared" si="778"/>
        <v>3Q-18</v>
      </c>
      <c r="AH658" s="9" t="str">
        <f t="shared" si="778"/>
        <v>4Q-18</v>
      </c>
      <c r="AI658" s="9" t="str">
        <f t="shared" si="778"/>
        <v>1Q-19</v>
      </c>
      <c r="AJ658" s="9" t="str">
        <f t="shared" si="778"/>
        <v>2Q-19</v>
      </c>
      <c r="AK658" s="9" t="str">
        <f t="shared" si="778"/>
        <v>3Q-19</v>
      </c>
      <c r="AL658" s="9" t="str">
        <f t="shared" si="778"/>
        <v>4Q-19</v>
      </c>
      <c r="AM658" s="9" t="str">
        <f t="shared" si="778"/>
        <v>1Q-20</v>
      </c>
      <c r="AN658" s="9" t="str">
        <f t="shared" si="778"/>
        <v>2Q-20</v>
      </c>
      <c r="AO658" s="9" t="str">
        <f t="shared" si="778"/>
        <v>3Q-20</v>
      </c>
      <c r="AP658" s="9" t="str">
        <f t="shared" si="778"/>
        <v>4Q-20</v>
      </c>
      <c r="AQ658" s="9" t="str">
        <f t="shared" si="778"/>
        <v>1Q-21</v>
      </c>
      <c r="AR658" s="9" t="str">
        <f t="shared" si="778"/>
        <v>2Q-21</v>
      </c>
      <c r="AS658" s="9" t="str">
        <f t="shared" si="778"/>
        <v>3Q-21</v>
      </c>
      <c r="AT658" s="9" t="str">
        <f t="shared" si="778"/>
        <v>4Q-21</v>
      </c>
      <c r="AU658" s="9" t="str">
        <f t="shared" si="778"/>
        <v>1Q-22</v>
      </c>
      <c r="AV658" s="9" t="str">
        <f t="shared" si="778"/>
        <v>2Q-22</v>
      </c>
      <c r="AW658" s="9" t="str">
        <f t="shared" si="778"/>
        <v>3Q-22</v>
      </c>
      <c r="AX658" s="9" t="str">
        <f t="shared" si="778"/>
        <v>4Q-22</v>
      </c>
      <c r="AY658" s="9" t="str">
        <f t="shared" si="778"/>
        <v>1Q-23</v>
      </c>
      <c r="AZ658" s="9" t="str">
        <f t="shared" si="778"/>
        <v>2Q-23</v>
      </c>
      <c r="BA658" s="9" t="str">
        <f t="shared" si="778"/>
        <v>3Q-23</v>
      </c>
      <c r="BB658" s="9" t="str">
        <f t="shared" si="778"/>
        <v>4Q-23</v>
      </c>
      <c r="BC658" s="9" t="str">
        <f t="shared" si="778"/>
        <v>1Q-24</v>
      </c>
      <c r="BD658" s="9" t="str">
        <f t="shared" si="778"/>
        <v>2Q-24</v>
      </c>
      <c r="BE658" s="9" t="str">
        <f t="shared" si="778"/>
        <v>3Q-24</v>
      </c>
      <c r="BF658" s="9" t="str">
        <f t="shared" si="778"/>
        <v>4Q-24</v>
      </c>
      <c r="BG658" s="9" t="str">
        <f t="shared" si="778"/>
        <v>1Q-25</v>
      </c>
      <c r="BH658" s="9" t="str">
        <f t="shared" si="778"/>
        <v>2Q-25</v>
      </c>
      <c r="BI658" s="9" t="str">
        <f t="shared" si="778"/>
        <v>3Q-25</v>
      </c>
      <c r="BJ658" s="9" t="str">
        <f t="shared" si="778"/>
        <v>4Q-25</v>
      </c>
      <c r="BK658" s="9" t="str">
        <f t="shared" si="778"/>
        <v>1Q-26</v>
      </c>
      <c r="BL658" s="9" t="str">
        <f t="shared" si="778"/>
        <v>2Q-26</v>
      </c>
      <c r="BM658" s="9" t="str">
        <f t="shared" si="778"/>
        <v>3Q-26</v>
      </c>
      <c r="BN658" s="9" t="str">
        <f t="shared" si="778"/>
        <v>4Q-26</v>
      </c>
      <c r="BO658" s="9" t="str">
        <f t="shared" si="778"/>
        <v>1Q-27</v>
      </c>
      <c r="BP658" s="9" t="str">
        <f t="shared" si="778"/>
        <v>2Q-27</v>
      </c>
      <c r="BQ658" s="9" t="str">
        <f t="shared" si="778"/>
        <v>3Q-27</v>
      </c>
      <c r="BR658" s="9" t="str">
        <f t="shared" si="778"/>
        <v>4Q-27</v>
      </c>
      <c r="BS658" s="9" t="str">
        <f t="shared" si="778"/>
        <v>1Q-28</v>
      </c>
      <c r="BT658" s="9" t="str">
        <f t="shared" si="778"/>
        <v>2Q-28</v>
      </c>
      <c r="BU658" s="9" t="str">
        <f t="shared" si="778"/>
        <v>3Q-28</v>
      </c>
      <c r="BV658" s="9" t="str">
        <f t="shared" si="778"/>
        <v>4Q-28</v>
      </c>
      <c r="BW658" s="9" t="str">
        <f t="shared" si="778"/>
        <v>1Q-29</v>
      </c>
      <c r="BX658" s="9" t="str">
        <f t="shared" si="778"/>
        <v>2Q-29</v>
      </c>
      <c r="BY658" s="9" t="str">
        <f t="shared" si="778"/>
        <v>3Q-29</v>
      </c>
      <c r="BZ658" s="9" t="str">
        <f t="shared" si="778"/>
        <v>4Q-29</v>
      </c>
      <c r="CA658" s="9" t="str">
        <f t="shared" si="778"/>
        <v>1Q-30</v>
      </c>
      <c r="CB658" s="9" t="str">
        <f t="shared" si="778"/>
        <v>2Q-30</v>
      </c>
      <c r="CC658" s="9" t="str">
        <f t="shared" si="778"/>
        <v>3Q-30</v>
      </c>
      <c r="CD658" s="9" t="str">
        <f t="shared" si="778"/>
        <v>4Q-30</v>
      </c>
      <c r="CF658" s="9" t="str">
        <f t="shared" ref="CF658:CL658" si="779">+"FY-"&amp;TEXT(CF$5,"yy")-1</f>
        <v>FY-10</v>
      </c>
      <c r="CG658" s="9" t="str">
        <f t="shared" si="779"/>
        <v>FY-11</v>
      </c>
      <c r="CH658" s="9" t="str">
        <f t="shared" si="779"/>
        <v>FY-12</v>
      </c>
      <c r="CI658" s="9" t="str">
        <f t="shared" si="779"/>
        <v>FY-13</v>
      </c>
      <c r="CJ658" s="9" t="str">
        <f t="shared" si="779"/>
        <v>FY-14</v>
      </c>
      <c r="CK658" s="9" t="str">
        <f t="shared" si="779"/>
        <v>FY-15</v>
      </c>
      <c r="CL658" s="9" t="str">
        <f t="shared" si="779"/>
        <v>FY-16</v>
      </c>
      <c r="CM658" s="9" t="str">
        <f>+"FY-"&amp;TEXT(CM$5,"yy")-1</f>
        <v>FY-17</v>
      </c>
      <c r="CN658" s="9" t="str">
        <f t="shared" ref="CN658:CX658" si="780">+"FY-"&amp;TEXT(CN$5,"yy")-1</f>
        <v>FY-18</v>
      </c>
      <c r="CO658" s="9" t="str">
        <f t="shared" si="780"/>
        <v>FY-19</v>
      </c>
      <c r="CP658" s="9" t="str">
        <f t="shared" si="780"/>
        <v>FY-20</v>
      </c>
      <c r="CQ658" s="9" t="str">
        <f t="shared" si="780"/>
        <v>FY-21</v>
      </c>
      <c r="CR658" s="9" t="str">
        <f t="shared" si="780"/>
        <v>FY-22</v>
      </c>
      <c r="CS658" s="9" t="str">
        <f t="shared" si="780"/>
        <v>FY-23</v>
      </c>
      <c r="CT658" s="9" t="str">
        <f t="shared" si="780"/>
        <v>FY-24</v>
      </c>
      <c r="CU658" s="9" t="str">
        <f t="shared" si="780"/>
        <v>FY-25</v>
      </c>
      <c r="CV658" s="9" t="str">
        <f t="shared" si="780"/>
        <v>FY-26</v>
      </c>
      <c r="CW658" s="9" t="str">
        <f t="shared" si="780"/>
        <v>FY-27</v>
      </c>
      <c r="CX658" s="9" t="str">
        <f t="shared" si="780"/>
        <v>FY-28</v>
      </c>
    </row>
    <row r="659" spans="1:102" x14ac:dyDescent="0.25">
      <c r="A659" s="1"/>
      <c r="B659" s="217" t="s">
        <v>424</v>
      </c>
      <c r="C659" s="217"/>
      <c r="D659" s="217"/>
      <c r="E659" s="217"/>
      <c r="F659" s="217"/>
      <c r="G659" s="217"/>
      <c r="H659" s="217"/>
      <c r="I659" s="217"/>
      <c r="J659" s="217"/>
      <c r="K659" s="217"/>
      <c r="L659" s="217"/>
      <c r="M659" s="217"/>
      <c r="N659" s="217"/>
      <c r="O659" s="217"/>
      <c r="P659" s="217"/>
      <c r="Q659" s="217"/>
      <c r="R659" s="217"/>
      <c r="S659" s="206" t="e" cm="1">
        <f t="array" aca="1" ref="S659" ca="1">_xll.VisibleAlpha.UDF.VADetail("ActualOrEstimate",$B$657,"Consensus",S$658)</f>
        <v>#NAME?</v>
      </c>
      <c r="T659" s="206" t="e" cm="1">
        <f t="array" aca="1" ref="T659" ca="1">_xll.VisibleAlpha.UDF.VADetail("ActualOrEstimate",$B$657,"Consensus",T$658)</f>
        <v>#NAME?</v>
      </c>
      <c r="U659" s="206" t="e" cm="1">
        <f t="array" aca="1" ref="U659" ca="1">_xll.VisibleAlpha.UDF.VADetail("ActualOrEstimate",$B$657,"Consensus",U$658)</f>
        <v>#NAME?</v>
      </c>
      <c r="V659" s="206" t="e" cm="1">
        <f t="array" aca="1" ref="V659" ca="1">_xll.VisibleAlpha.UDF.VADetail("ActualOrEstimate",$B$657,"Consensus",V$658)</f>
        <v>#NAME?</v>
      </c>
      <c r="W659" s="206" t="e" cm="1">
        <f t="array" aca="1" ref="W659" ca="1">_xll.VisibleAlpha.UDF.VADetail("ActualOrEstimate",$B$657,"Consensus",W$658)</f>
        <v>#NAME?</v>
      </c>
      <c r="X659" s="206" t="e" cm="1">
        <f t="array" aca="1" ref="X659" ca="1">_xll.VisibleAlpha.UDF.VADetail("ActualOrEstimate",$B$657,"Consensus",X$658)</f>
        <v>#NAME?</v>
      </c>
      <c r="Y659" s="206" t="e" cm="1">
        <f t="array" aca="1" ref="Y659" ca="1">_xll.VisibleAlpha.UDF.VADetail("ActualOrEstimate",$B$657,"Consensus",Y$658)</f>
        <v>#NAME?</v>
      </c>
      <c r="Z659" s="206" t="e" cm="1">
        <f t="array" aca="1" ref="Z659" ca="1">_xll.VisibleAlpha.UDF.VADetail("ActualOrEstimate",$B$657,"Consensus",Z$658)</f>
        <v>#NAME?</v>
      </c>
      <c r="AA659" s="206" t="e" cm="1">
        <f t="array" aca="1" ref="AA659" ca="1">_xll.VisibleAlpha.UDF.VADetail("ActualOrEstimate",$B$657,"Consensus",AA$658)</f>
        <v>#NAME?</v>
      </c>
      <c r="AB659" s="206" t="e" cm="1">
        <f t="array" aca="1" ref="AB659" ca="1">_xll.VisibleAlpha.UDF.VADetail("ActualOrEstimate",$B$657,"Consensus",AB$658)</f>
        <v>#NAME?</v>
      </c>
      <c r="AC659" s="206" t="e" cm="1">
        <f t="array" aca="1" ref="AC659" ca="1">_xll.VisibleAlpha.UDF.VADetail("ActualOrEstimate",$B$657,"Consensus",AC$658)</f>
        <v>#NAME?</v>
      </c>
      <c r="AD659" s="206" t="e" cm="1">
        <f t="array" aca="1" ref="AD659" ca="1">_xll.VisibleAlpha.UDF.VADetail("ActualOrEstimate",$B$657,"Consensus",AD$658)</f>
        <v>#NAME?</v>
      </c>
      <c r="AE659" s="206" t="e" cm="1">
        <f t="array" aca="1" ref="AE659" ca="1">_xll.VisibleAlpha.UDF.VADetail("ActualOrEstimate",$B$657,"Consensus",AE$658)</f>
        <v>#NAME?</v>
      </c>
      <c r="AF659" s="206" t="e" cm="1">
        <f t="array" aca="1" ref="AF659" ca="1">_xll.VisibleAlpha.UDF.VADetail("ActualOrEstimate",$B$657,"Consensus",AF$658)</f>
        <v>#NAME?</v>
      </c>
      <c r="AG659" s="206" t="e" cm="1">
        <f t="array" aca="1" ref="AG659" ca="1">_xll.VisibleAlpha.UDF.VADetail("ActualOrEstimate",$B$657,"Consensus",AG$658)</f>
        <v>#NAME?</v>
      </c>
      <c r="AH659" s="206" t="e" cm="1">
        <f t="array" aca="1" ref="AH659" ca="1">_xll.VisibleAlpha.UDF.VADetail("ActualOrEstimate",$B$657,"Consensus",AH$658)</f>
        <v>#NAME?</v>
      </c>
      <c r="AI659" s="206" t="e" cm="1">
        <f t="array" aca="1" ref="AI659" ca="1">_xll.VisibleAlpha.UDF.VADetail("ActualOrEstimate",$B$657,"Consensus",AI$658)</f>
        <v>#NAME?</v>
      </c>
      <c r="AJ659" s="206" t="e" cm="1">
        <f t="array" aca="1" ref="AJ659" ca="1">_xll.VisibleAlpha.UDF.VADetail("ActualOrEstimate",$B$657,"Consensus",AJ$658)</f>
        <v>#NAME?</v>
      </c>
      <c r="AK659" s="206" t="e" cm="1">
        <f t="array" aca="1" ref="AK659" ca="1">_xll.VisibleAlpha.UDF.VADetail("ActualOrEstimate",$B$657,"Consensus",AK$658)</f>
        <v>#NAME?</v>
      </c>
      <c r="AL659" s="206" t="e" cm="1">
        <f t="array" aca="1" ref="AL659" ca="1">_xll.VisibleAlpha.UDF.VADetail("ActualOrEstimate",$B$657,"Consensus",AL$658)</f>
        <v>#NAME?</v>
      </c>
      <c r="AM659" s="206" t="e" cm="1">
        <f t="array" aca="1" ref="AM659" ca="1">_xll.VisibleAlpha.UDF.VADetail("ActualOrEstimate",$B$657,"Consensus",AM$658)</f>
        <v>#NAME?</v>
      </c>
      <c r="AN659" s="206" t="e" cm="1">
        <f t="array" aca="1" ref="AN659" ca="1">_xll.VisibleAlpha.UDF.VADetail("ActualOrEstimate",$B$657,"Consensus",AN$658)</f>
        <v>#NAME?</v>
      </c>
      <c r="AO659" s="206" t="e" cm="1">
        <f t="array" aca="1" ref="AO659" ca="1">_xll.VisibleAlpha.UDF.VADetail("ActualOrEstimate",$B$657,"Consensus",AO$658)</f>
        <v>#NAME?</v>
      </c>
      <c r="AP659" s="206" t="e" cm="1">
        <f t="array" aca="1" ref="AP659" ca="1">_xll.VisibleAlpha.UDF.VADetail("ActualOrEstimate",$B$657,"Consensus",AP$658)</f>
        <v>#NAME?</v>
      </c>
      <c r="AQ659" s="206" t="e" cm="1">
        <f t="array" aca="1" ref="AQ659" ca="1">_xll.VisibleAlpha.UDF.VADetail("ActualOrEstimate",$B$657,"Consensus",AQ$658)</f>
        <v>#NAME?</v>
      </c>
      <c r="AR659" s="206" t="e" cm="1">
        <f t="array" aca="1" ref="AR659" ca="1">_xll.VisibleAlpha.UDF.VADetail("ActualOrEstimate",$B$657,"Consensus",AR$658)</f>
        <v>#NAME?</v>
      </c>
      <c r="AS659" s="206" t="e" cm="1">
        <f t="array" aca="1" ref="AS659" ca="1">_xll.VisibleAlpha.UDF.VADetail("ActualOrEstimate",$B$657,"Consensus",AS$658)</f>
        <v>#NAME?</v>
      </c>
      <c r="AT659" s="206" t="e" cm="1">
        <f t="array" aca="1" ref="AT659" ca="1">_xll.VisibleAlpha.UDF.VADetail("ActualOrEstimate",$B$657,"Consensus",AT$658)</f>
        <v>#NAME?</v>
      </c>
      <c r="AU659" s="206" t="e" cm="1">
        <f t="array" aca="1" ref="AU659" ca="1">_xll.VisibleAlpha.UDF.VADetail("ActualOrEstimate",$B$657,"Consensus",AU$658)</f>
        <v>#NAME?</v>
      </c>
      <c r="AV659" s="206" t="e" cm="1">
        <f t="array" aca="1" ref="AV659" ca="1">_xll.VisibleAlpha.UDF.VADetail("ActualOrEstimate",$B$657,"Consensus",AV$658)</f>
        <v>#NAME?</v>
      </c>
      <c r="AW659" s="206" t="e" cm="1">
        <f t="array" aca="1" ref="AW659" ca="1">_xll.VisibleAlpha.UDF.VADetail("ActualOrEstimate",$B$657,"Consensus",AW$658)</f>
        <v>#NAME?</v>
      </c>
      <c r="AX659" s="206" t="e" cm="1">
        <f t="array" aca="1" ref="AX659" ca="1">_xll.VisibleAlpha.UDF.VADetail("ActualOrEstimate",$B$657,"Consensus",AX$658)</f>
        <v>#NAME?</v>
      </c>
      <c r="AY659" s="206" t="e" cm="1">
        <f t="array" aca="1" ref="AY659" ca="1">_xll.VisibleAlpha.UDF.VADetail("ActualOrEstimate",$B$657,"Consensus",AY$658)</f>
        <v>#NAME?</v>
      </c>
      <c r="AZ659" s="206" t="e" cm="1">
        <f t="array" aca="1" ref="AZ659" ca="1">_xll.VisibleAlpha.UDF.VADetail("ActualOrEstimate",$B$657,"Consensus",AZ$658)</f>
        <v>#NAME?</v>
      </c>
      <c r="BA659" s="206" t="e" cm="1">
        <f t="array" aca="1" ref="BA659" ca="1">_xll.VisibleAlpha.UDF.VADetail("ActualOrEstimate",$B$657,"Consensus",BA$658)</f>
        <v>#NAME?</v>
      </c>
      <c r="BB659" s="206" t="e" cm="1">
        <f t="array" aca="1" ref="BB659" ca="1">_xll.VisibleAlpha.UDF.VADetail("ActualOrEstimate",$B$657,"Consensus",BB$658)</f>
        <v>#NAME?</v>
      </c>
      <c r="BC659" s="206" t="e" cm="1">
        <f t="array" aca="1" ref="BC659" ca="1">_xll.VisibleAlpha.UDF.VADetail("ActualOrEstimate",$B$657,"Consensus",BC$658)</f>
        <v>#NAME?</v>
      </c>
      <c r="BD659" s="206" t="e" cm="1">
        <f t="array" aca="1" ref="BD659" ca="1">_xll.VisibleAlpha.UDF.VADetail("ActualOrEstimate",$B$657,"Consensus",BD$658)</f>
        <v>#NAME?</v>
      </c>
      <c r="BE659" s="206" t="e" cm="1">
        <f t="array" aca="1" ref="BE659" ca="1">_xll.VisibleAlpha.UDF.VADetail("ActualOrEstimate",$B$657,"Consensus",BE$658)</f>
        <v>#NAME?</v>
      </c>
      <c r="BF659" s="206" t="e" cm="1">
        <f t="array" aca="1" ref="BF659" ca="1">_xll.VisibleAlpha.UDF.VADetail("ActualOrEstimate",$B$657,"Consensus",BF$658)</f>
        <v>#NAME?</v>
      </c>
      <c r="BG659" s="206" t="e" cm="1">
        <f t="array" aca="1" ref="BG659" ca="1">_xll.VisibleAlpha.UDF.VADetail("ActualOrEstimate",$B$657,"Consensus",BG$658)</f>
        <v>#NAME?</v>
      </c>
      <c r="BH659" s="206" t="e" cm="1">
        <f t="array" aca="1" ref="BH659" ca="1">_xll.VisibleAlpha.UDF.VADetail("ActualOrEstimate",$B$657,"Consensus",BH$658)</f>
        <v>#NAME?</v>
      </c>
      <c r="BI659" s="206" t="e" cm="1">
        <f t="array" aca="1" ref="BI659" ca="1">_xll.VisibleAlpha.UDF.VADetail("ActualOrEstimate",$B$657,"Consensus",BI$658)</f>
        <v>#NAME?</v>
      </c>
      <c r="BJ659" s="206" t="e" cm="1">
        <f t="array" aca="1" ref="BJ659" ca="1">_xll.VisibleAlpha.UDF.VADetail("ActualOrEstimate",$B$657,"Consensus",BJ$658)</f>
        <v>#NAME?</v>
      </c>
      <c r="BK659" s="206" t="e" cm="1">
        <f t="array" aca="1" ref="BK659" ca="1">_xll.VisibleAlpha.UDF.VADetail("ActualOrEstimate",$B$657,"Consensus",BK$658)</f>
        <v>#NAME?</v>
      </c>
      <c r="BL659" s="206" t="e" cm="1">
        <f t="array" aca="1" ref="BL659" ca="1">_xll.VisibleAlpha.UDF.VADetail("ActualOrEstimate",$B$657,"Consensus",BL$658)</f>
        <v>#NAME?</v>
      </c>
      <c r="BM659" s="206" t="e" cm="1">
        <f t="array" aca="1" ref="BM659" ca="1">_xll.VisibleAlpha.UDF.VADetail("ActualOrEstimate",$B$657,"Consensus",BM$658)</f>
        <v>#NAME?</v>
      </c>
      <c r="BN659" s="206" t="e" cm="1">
        <f t="array" aca="1" ref="BN659" ca="1">_xll.VisibleAlpha.UDF.VADetail("ActualOrEstimate",$B$657,"Consensus",BN$658)</f>
        <v>#NAME?</v>
      </c>
      <c r="BO659" s="206" t="e" cm="1">
        <f t="array" aca="1" ref="BO659" ca="1">_xll.VisibleAlpha.UDF.VADetail("ActualOrEstimate",$B$657,"Consensus",BO$658)</f>
        <v>#NAME?</v>
      </c>
      <c r="BP659" s="206" t="e" cm="1">
        <f t="array" aca="1" ref="BP659" ca="1">_xll.VisibleAlpha.UDF.VADetail("ActualOrEstimate",$B$657,"Consensus",BP$658)</f>
        <v>#NAME?</v>
      </c>
      <c r="BQ659" s="206" t="e" cm="1">
        <f t="array" aca="1" ref="BQ659" ca="1">_xll.VisibleAlpha.UDF.VADetail("ActualOrEstimate",$B$657,"Consensus",BQ$658)</f>
        <v>#NAME?</v>
      </c>
      <c r="BR659" s="206" t="e" cm="1">
        <f t="array" aca="1" ref="BR659" ca="1">_xll.VisibleAlpha.UDF.VADetail("ActualOrEstimate",$B$657,"Consensus",BR$658)</f>
        <v>#NAME?</v>
      </c>
      <c r="BS659" s="206" t="e" cm="1">
        <f t="array" aca="1" ref="BS659" ca="1">_xll.VisibleAlpha.UDF.VADetail("ActualOrEstimate",$B$657,"Consensus",BS$658)</f>
        <v>#NAME?</v>
      </c>
      <c r="BT659" s="206" t="e" cm="1">
        <f t="array" aca="1" ref="BT659" ca="1">_xll.VisibleAlpha.UDF.VADetail("ActualOrEstimate",$B$657,"Consensus",BT$658)</f>
        <v>#NAME?</v>
      </c>
      <c r="BU659" s="206" t="e" cm="1">
        <f t="array" aca="1" ref="BU659" ca="1">_xll.VisibleAlpha.UDF.VADetail("ActualOrEstimate",$B$657,"Consensus",BU$658)</f>
        <v>#NAME?</v>
      </c>
      <c r="BV659" s="206" t="e" cm="1">
        <f t="array" aca="1" ref="BV659" ca="1">_xll.VisibleAlpha.UDF.VADetail("ActualOrEstimate",$B$657,"Consensus",BV$658)</f>
        <v>#NAME?</v>
      </c>
      <c r="BW659" s="206" t="e" cm="1">
        <f t="array" aca="1" ref="BW659" ca="1">_xll.VisibleAlpha.UDF.VADetail("ActualOrEstimate",$B$657,"Consensus",BW$658)</f>
        <v>#NAME?</v>
      </c>
      <c r="BX659" s="206" t="e" cm="1">
        <f t="array" aca="1" ref="BX659" ca="1">_xll.VisibleAlpha.UDF.VADetail("ActualOrEstimate",$B$657,"Consensus",BX$658)</f>
        <v>#NAME?</v>
      </c>
      <c r="BY659" s="206" t="e" cm="1">
        <f t="array" aca="1" ref="BY659" ca="1">_xll.VisibleAlpha.UDF.VADetail("ActualOrEstimate",$B$657,"Consensus",BY$658)</f>
        <v>#NAME?</v>
      </c>
      <c r="BZ659" s="206" t="e" cm="1">
        <f t="array" aca="1" ref="BZ659" ca="1">_xll.VisibleAlpha.UDF.VADetail("ActualOrEstimate",$B$657,"Consensus",BZ$658)</f>
        <v>#NAME?</v>
      </c>
      <c r="CA659" s="206" t="e" cm="1">
        <f t="array" aca="1" ref="CA659" ca="1">_xll.VisibleAlpha.UDF.VADetail("ActualOrEstimate",$B$657,"Consensus",CA$658)</f>
        <v>#NAME?</v>
      </c>
      <c r="CB659" s="206" t="e" cm="1">
        <f t="array" aca="1" ref="CB659" ca="1">_xll.VisibleAlpha.UDF.VADetail("ActualOrEstimate",$B$657,"Consensus",CB$658)</f>
        <v>#NAME?</v>
      </c>
      <c r="CC659" s="206" t="e" cm="1">
        <f t="array" aca="1" ref="CC659" ca="1">_xll.VisibleAlpha.UDF.VADetail("ActualOrEstimate",$B$657,"Consensus",CC$658)</f>
        <v>#NAME?</v>
      </c>
      <c r="CD659" s="206" t="e" cm="1">
        <f t="array" aca="1" ref="CD659" ca="1">_xll.VisibleAlpha.UDF.VADetail("ActualOrEstimate",$B$657,"Consensus",CD$658)</f>
        <v>#NAME?</v>
      </c>
      <c r="CF659" s="206" t="e" cm="1">
        <f t="array" aca="1" ref="CF659" ca="1">_xll.VisibleAlpha.UDF.VADetail("ActualOrEstimate",$B$657,"Consensus",CF$658)</f>
        <v>#NAME?</v>
      </c>
      <c r="CG659" s="206" t="e" cm="1">
        <f t="array" aca="1" ref="CG659" ca="1">_xll.VisibleAlpha.UDF.VADetail("ActualOrEstimate",$B$657,"Consensus",CG$658)</f>
        <v>#NAME?</v>
      </c>
      <c r="CH659" s="206" t="e" cm="1">
        <f t="array" aca="1" ref="CH659" ca="1">_xll.VisibleAlpha.UDF.VADetail("ActualOrEstimate",$B$657,"Consensus",CH$658)</f>
        <v>#NAME?</v>
      </c>
      <c r="CI659" s="206" t="e" cm="1">
        <f t="array" aca="1" ref="CI659" ca="1">_xll.VisibleAlpha.UDF.VADetail("ActualOrEstimate",$B$657,"Consensus",CI$658)</f>
        <v>#NAME?</v>
      </c>
      <c r="CJ659" s="206" t="e" cm="1">
        <f t="array" aca="1" ref="CJ659" ca="1">_xll.VisibleAlpha.UDF.VADetail("ActualOrEstimate",$B$657,"Consensus",CJ$658)</f>
        <v>#NAME?</v>
      </c>
      <c r="CK659" s="206" t="e" cm="1">
        <f t="array" aca="1" ref="CK659" ca="1">_xll.VisibleAlpha.UDF.VADetail("ActualOrEstimate",$B$657,"Consensus",CK$658)</f>
        <v>#NAME?</v>
      </c>
      <c r="CL659" s="206" t="e" cm="1">
        <f t="array" aca="1" ref="CL659" ca="1">_xll.VisibleAlpha.UDF.VADetail("ActualOrEstimate",$B$657,"Consensus",CL$658)</f>
        <v>#NAME?</v>
      </c>
      <c r="CM659" s="206" t="e" cm="1">
        <f t="array" aca="1" ref="CM659" ca="1">_xll.VisibleAlpha.UDF.VADetail("ActualOrEstimate",$B$657,"Consensus",CM$658)</f>
        <v>#NAME?</v>
      </c>
      <c r="CN659" s="206" t="e" cm="1">
        <f t="array" aca="1" ref="CN659" ca="1">_xll.VisibleAlpha.UDF.VADetail("ActualOrEstimate",$B$657,"Consensus",CN$658)</f>
        <v>#NAME?</v>
      </c>
      <c r="CO659" s="206" t="e" cm="1">
        <f t="array" aca="1" ref="CO659" ca="1">_xll.VisibleAlpha.UDF.VADetail("ActualOrEstimate",$B$657,"Consensus",CO$658)</f>
        <v>#NAME?</v>
      </c>
      <c r="CP659" s="206" t="e" cm="1">
        <f t="array" aca="1" ref="CP659" ca="1">_xll.VisibleAlpha.UDF.VADetail("ActualOrEstimate",$B$657,"Consensus",CP$658)</f>
        <v>#NAME?</v>
      </c>
      <c r="CQ659" s="206" t="e" cm="1">
        <f t="array" aca="1" ref="CQ659" ca="1">_xll.VisibleAlpha.UDF.VADetail("ActualOrEstimate",$B$657,"Consensus",CQ$658)</f>
        <v>#NAME?</v>
      </c>
      <c r="CR659" s="206" t="e" cm="1">
        <f t="array" aca="1" ref="CR659" ca="1">_xll.VisibleAlpha.UDF.VADetail("ActualOrEstimate",$B$657,"Consensus",CR$658)</f>
        <v>#NAME?</v>
      </c>
      <c r="CS659" s="206" t="e" cm="1">
        <f t="array" aca="1" ref="CS659" ca="1">_xll.VisibleAlpha.UDF.VADetail("ActualOrEstimate",$B$657,"Consensus",CS$658)</f>
        <v>#NAME?</v>
      </c>
      <c r="CT659" s="206" t="e" cm="1">
        <f t="array" aca="1" ref="CT659" ca="1">_xll.VisibleAlpha.UDF.VADetail("ActualOrEstimate",$B$657,"Consensus",CT$658)</f>
        <v>#NAME?</v>
      </c>
      <c r="CU659" s="206" t="e" cm="1">
        <f t="array" aca="1" ref="CU659" ca="1">_xll.VisibleAlpha.UDF.VADetail("ActualOrEstimate",$B$657,"Consensus",CU$658)</f>
        <v>#NAME?</v>
      </c>
      <c r="CV659" s="206" t="e" cm="1">
        <f t="array" aca="1" ref="CV659" ca="1">_xll.VisibleAlpha.UDF.VADetail("ActualOrEstimate",$B$657,"Consensus",CV$658)</f>
        <v>#NAME?</v>
      </c>
      <c r="CW659" s="206" t="e" cm="1">
        <f t="array" aca="1" ref="CW659" ca="1">_xll.VisibleAlpha.UDF.VADetail("ActualOrEstimate",$B$657,"Consensus",CW$658)</f>
        <v>#NAME?</v>
      </c>
      <c r="CX659" s="206" t="e" cm="1">
        <f t="array" aca="1" ref="CX659" ca="1">_xll.VisibleAlpha.UDF.VADetail("ActualOrEstimate",$B$657,"Consensus",CX$658)</f>
        <v>#NAME?</v>
      </c>
    </row>
    <row r="660" spans="1:102" x14ac:dyDescent="0.25">
      <c r="A660" s="1"/>
      <c r="B660" s="217" t="s">
        <v>425</v>
      </c>
      <c r="C660" s="217"/>
      <c r="D660" s="217"/>
      <c r="E660" s="217"/>
      <c r="F660" s="217"/>
      <c r="G660" s="217"/>
      <c r="H660" s="217"/>
      <c r="I660" s="217"/>
      <c r="J660" s="217"/>
      <c r="K660" s="217"/>
      <c r="L660" s="217"/>
      <c r="M660" s="217"/>
      <c r="N660" s="217"/>
      <c r="O660" s="217"/>
      <c r="P660" s="217"/>
      <c r="Q660" s="217"/>
      <c r="R660" s="217"/>
      <c r="S660" s="165" t="e">
        <f t="shared" ref="S660:BZ660" ca="1" si="781">IF(S659="A","VA Actuals","Consensus")</f>
        <v>#NAME?</v>
      </c>
      <c r="T660" s="165" t="e">
        <f t="shared" ca="1" si="781"/>
        <v>#NAME?</v>
      </c>
      <c r="U660" s="165" t="e">
        <f t="shared" ca="1" si="781"/>
        <v>#NAME?</v>
      </c>
      <c r="V660" s="165" t="e">
        <f t="shared" ca="1" si="781"/>
        <v>#NAME?</v>
      </c>
      <c r="W660" s="165" t="e">
        <f t="shared" ca="1" si="781"/>
        <v>#NAME?</v>
      </c>
      <c r="X660" s="165" t="e">
        <f t="shared" ca="1" si="781"/>
        <v>#NAME?</v>
      </c>
      <c r="Y660" s="165" t="e">
        <f t="shared" ca="1" si="781"/>
        <v>#NAME?</v>
      </c>
      <c r="Z660" s="165" t="e">
        <f t="shared" ca="1" si="781"/>
        <v>#NAME?</v>
      </c>
      <c r="AA660" s="165" t="e">
        <f t="shared" ca="1" si="781"/>
        <v>#NAME?</v>
      </c>
      <c r="AB660" s="165" t="e">
        <f t="shared" ca="1" si="781"/>
        <v>#NAME?</v>
      </c>
      <c r="AC660" s="165" t="e">
        <f t="shared" ca="1" si="781"/>
        <v>#NAME?</v>
      </c>
      <c r="AD660" s="165" t="e">
        <f t="shared" ca="1" si="781"/>
        <v>#NAME?</v>
      </c>
      <c r="AE660" s="165" t="e">
        <f t="shared" ca="1" si="781"/>
        <v>#NAME?</v>
      </c>
      <c r="AF660" s="165" t="e">
        <f t="shared" ca="1" si="781"/>
        <v>#NAME?</v>
      </c>
      <c r="AG660" s="165" t="e">
        <f t="shared" ca="1" si="781"/>
        <v>#NAME?</v>
      </c>
      <c r="AH660" s="165" t="e">
        <f t="shared" ca="1" si="781"/>
        <v>#NAME?</v>
      </c>
      <c r="AI660" s="10" t="e">
        <f t="shared" ca="1" si="781"/>
        <v>#NAME?</v>
      </c>
      <c r="AJ660" s="10" t="e">
        <f t="shared" ca="1" si="781"/>
        <v>#NAME?</v>
      </c>
      <c r="AK660" s="10" t="e">
        <f t="shared" ca="1" si="781"/>
        <v>#NAME?</v>
      </c>
      <c r="AL660" s="10" t="e">
        <f t="shared" ca="1" si="781"/>
        <v>#NAME?</v>
      </c>
      <c r="AM660" s="10" t="e">
        <f t="shared" ca="1" si="781"/>
        <v>#NAME?</v>
      </c>
      <c r="AN660" s="10" t="e">
        <f t="shared" ca="1" si="781"/>
        <v>#NAME?</v>
      </c>
      <c r="AO660" s="10" t="e">
        <f t="shared" ca="1" si="781"/>
        <v>#NAME?</v>
      </c>
      <c r="AP660" s="10" t="e">
        <f t="shared" ca="1" si="781"/>
        <v>#NAME?</v>
      </c>
      <c r="AQ660" s="10" t="e">
        <f t="shared" ca="1" si="781"/>
        <v>#NAME?</v>
      </c>
      <c r="AR660" s="10" t="e">
        <f t="shared" ca="1" si="781"/>
        <v>#NAME?</v>
      </c>
      <c r="AS660" s="10" t="e">
        <f t="shared" ca="1" si="781"/>
        <v>#NAME?</v>
      </c>
      <c r="AT660" s="10" t="e">
        <f t="shared" ca="1" si="781"/>
        <v>#NAME?</v>
      </c>
      <c r="AU660" s="10" t="e">
        <f t="shared" ca="1" si="781"/>
        <v>#NAME?</v>
      </c>
      <c r="AV660" s="10" t="e">
        <f t="shared" ca="1" si="781"/>
        <v>#NAME?</v>
      </c>
      <c r="AW660" s="10" t="e">
        <f t="shared" ca="1" si="781"/>
        <v>#NAME?</v>
      </c>
      <c r="AX660" s="10" t="e">
        <f t="shared" ca="1" si="781"/>
        <v>#NAME?</v>
      </c>
      <c r="AY660" s="10" t="e">
        <f t="shared" ca="1" si="781"/>
        <v>#NAME?</v>
      </c>
      <c r="AZ660" s="10" t="e">
        <f t="shared" ca="1" si="781"/>
        <v>#NAME?</v>
      </c>
      <c r="BA660" s="10" t="e">
        <f t="shared" ca="1" si="781"/>
        <v>#NAME?</v>
      </c>
      <c r="BB660" s="10" t="e">
        <f t="shared" ca="1" si="781"/>
        <v>#NAME?</v>
      </c>
      <c r="BC660" s="10" t="e">
        <f t="shared" ca="1" si="781"/>
        <v>#NAME?</v>
      </c>
      <c r="BD660" s="10" t="e">
        <f t="shared" ca="1" si="781"/>
        <v>#NAME?</v>
      </c>
      <c r="BE660" s="10" t="e">
        <f t="shared" ca="1" si="781"/>
        <v>#NAME?</v>
      </c>
      <c r="BF660" s="10" t="e">
        <f t="shared" ca="1" si="781"/>
        <v>#NAME?</v>
      </c>
      <c r="BG660" s="10" t="e">
        <f t="shared" ca="1" si="781"/>
        <v>#NAME?</v>
      </c>
      <c r="BH660" s="10" t="e">
        <f t="shared" ca="1" si="781"/>
        <v>#NAME?</v>
      </c>
      <c r="BI660" s="10" t="e">
        <f t="shared" ca="1" si="781"/>
        <v>#NAME?</v>
      </c>
      <c r="BJ660" s="10" t="e">
        <f t="shared" ca="1" si="781"/>
        <v>#NAME?</v>
      </c>
      <c r="BK660" s="10" t="e">
        <f t="shared" ca="1" si="781"/>
        <v>#NAME?</v>
      </c>
      <c r="BL660" s="10" t="e">
        <f t="shared" ca="1" si="781"/>
        <v>#NAME?</v>
      </c>
      <c r="BM660" s="10" t="e">
        <f t="shared" ca="1" si="781"/>
        <v>#NAME?</v>
      </c>
      <c r="BN660" s="10" t="e">
        <f t="shared" ca="1" si="781"/>
        <v>#NAME?</v>
      </c>
      <c r="BO660" s="10" t="e">
        <f t="shared" ca="1" si="781"/>
        <v>#NAME?</v>
      </c>
      <c r="BP660" s="10" t="e">
        <f t="shared" ca="1" si="781"/>
        <v>#NAME?</v>
      </c>
      <c r="BQ660" s="10" t="e">
        <f t="shared" ca="1" si="781"/>
        <v>#NAME?</v>
      </c>
      <c r="BR660" s="10" t="e">
        <f t="shared" ca="1" si="781"/>
        <v>#NAME?</v>
      </c>
      <c r="BS660" s="10" t="e">
        <f t="shared" ca="1" si="781"/>
        <v>#NAME?</v>
      </c>
      <c r="BT660" s="10" t="e">
        <f t="shared" ca="1" si="781"/>
        <v>#NAME?</v>
      </c>
      <c r="BU660" s="10" t="e">
        <f t="shared" ca="1" si="781"/>
        <v>#NAME?</v>
      </c>
      <c r="BV660" s="10" t="e">
        <f t="shared" ca="1" si="781"/>
        <v>#NAME?</v>
      </c>
      <c r="BW660" s="10" t="e">
        <f t="shared" ca="1" si="781"/>
        <v>#NAME?</v>
      </c>
      <c r="BX660" s="10" t="e">
        <f t="shared" ca="1" si="781"/>
        <v>#NAME?</v>
      </c>
      <c r="BY660" s="10" t="e">
        <f t="shared" ca="1" si="781"/>
        <v>#NAME?</v>
      </c>
      <c r="BZ660" s="10" t="e">
        <f t="shared" ca="1" si="781"/>
        <v>#NAME?</v>
      </c>
      <c r="CB660" s="165" t="s">
        <v>333</v>
      </c>
      <c r="CC660" s="165" t="s">
        <v>333</v>
      </c>
      <c r="CD660" s="165" t="s">
        <v>333</v>
      </c>
      <c r="CF660" s="165" t="s">
        <v>333</v>
      </c>
      <c r="CG660" s="165" t="s">
        <v>333</v>
      </c>
      <c r="CH660" s="165" t="s">
        <v>333</v>
      </c>
      <c r="CI660" s="10" t="s">
        <v>333</v>
      </c>
      <c r="CJ660" s="10" t="s">
        <v>333</v>
      </c>
      <c r="CK660" s="10" t="s">
        <v>333</v>
      </c>
      <c r="CL660" s="10" t="s">
        <v>333</v>
      </c>
      <c r="CM660" s="10" t="s">
        <v>333</v>
      </c>
      <c r="CN660" s="10" t="s">
        <v>333</v>
      </c>
      <c r="CO660" s="10" t="e">
        <f t="shared" ref="CO660:CX660" ca="1" si="782">IF(CO659="A","VA Actuals","Consensus")</f>
        <v>#NAME?</v>
      </c>
      <c r="CP660" s="10" t="e">
        <f t="shared" ca="1" si="782"/>
        <v>#NAME?</v>
      </c>
      <c r="CQ660" s="10" t="e">
        <f t="shared" ca="1" si="782"/>
        <v>#NAME?</v>
      </c>
      <c r="CR660" s="10" t="e">
        <f t="shared" ca="1" si="782"/>
        <v>#NAME?</v>
      </c>
      <c r="CS660" s="10" t="e">
        <f t="shared" ca="1" si="782"/>
        <v>#NAME?</v>
      </c>
      <c r="CT660" s="10" t="e">
        <f t="shared" ca="1" si="782"/>
        <v>#NAME?</v>
      </c>
      <c r="CU660" s="10" t="e">
        <f t="shared" ca="1" si="782"/>
        <v>#NAME?</v>
      </c>
      <c r="CV660" s="10" t="e">
        <f t="shared" ca="1" si="782"/>
        <v>#NAME?</v>
      </c>
      <c r="CW660" s="10" t="e">
        <f t="shared" ca="1" si="782"/>
        <v>#NAME?</v>
      </c>
      <c r="CX660" s="10" t="e">
        <f t="shared" ca="1" si="782"/>
        <v>#NAME?</v>
      </c>
    </row>
    <row r="661" spans="1:102" x14ac:dyDescent="0.25">
      <c r="A661" s="1"/>
      <c r="S661" s="165"/>
      <c r="T661" s="165"/>
      <c r="U661" s="165"/>
      <c r="V661" s="165"/>
      <c r="W661" s="165"/>
      <c r="X661" s="165"/>
      <c r="Y661" s="165"/>
      <c r="Z661" s="165"/>
      <c r="AA661" s="165"/>
      <c r="AB661" s="165"/>
      <c r="AC661" s="165"/>
      <c r="AD661" s="165"/>
      <c r="AE661" s="165"/>
      <c r="AF661" s="165"/>
      <c r="AG661" s="165"/>
      <c r="AH661" s="165"/>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B661" s="165"/>
      <c r="CC661" s="165"/>
      <c r="CD661" s="165"/>
      <c r="CF661" s="165"/>
      <c r="CG661" s="165"/>
      <c r="CH661" s="165"/>
      <c r="CI661" s="10"/>
      <c r="CJ661" s="10"/>
      <c r="CK661" s="10"/>
      <c r="CL661" s="10"/>
      <c r="CM661" s="10"/>
      <c r="CN661" s="10"/>
      <c r="CO661" s="10"/>
      <c r="CP661" s="10"/>
      <c r="CQ661" s="10"/>
      <c r="CR661" s="10"/>
      <c r="CS661" s="10"/>
      <c r="CT661" s="10"/>
      <c r="CU661" s="10"/>
      <c r="CV661" s="10"/>
      <c r="CW661" s="10"/>
      <c r="CX661" s="10"/>
    </row>
    <row r="662" spans="1:102" s="225" customFormat="1" x14ac:dyDescent="0.25">
      <c r="A662" s="221"/>
      <c r="B662" s="222" t="s">
        <v>441</v>
      </c>
      <c r="C662" s="222"/>
      <c r="D662" s="222"/>
      <c r="E662" s="222"/>
      <c r="F662" s="222"/>
      <c r="G662" s="222"/>
      <c r="H662" s="222"/>
      <c r="I662" s="222"/>
      <c r="J662" s="222"/>
      <c r="K662" s="222"/>
      <c r="L662" s="222"/>
      <c r="M662" s="222"/>
      <c r="N662" s="222"/>
      <c r="O662" s="222"/>
      <c r="P662" s="222"/>
      <c r="Q662" s="222"/>
      <c r="R662" s="222"/>
      <c r="S662" s="224" t="e" cm="1">
        <f t="array" aca="1" ref="S662" ca="1">_xll.VisibleAlpha.UDF.VAData($B$657,S$658,$B662,S$660,$B$660,$B$659,$B$658)</f>
        <v>#NAME?</v>
      </c>
      <c r="T662" s="223" t="e" cm="1">
        <f t="array" aca="1" ref="T662" ca="1">_xll.VisibleAlpha.UDF.VAData($B$657,T$658,$B662,T$660,$B$660,$B$659,$B$658)</f>
        <v>#NAME?</v>
      </c>
      <c r="U662" s="223" t="e" cm="1">
        <f t="array" aca="1" ref="U662" ca="1">_xll.VisibleAlpha.UDF.VAData($B$657,U$658,$B662,U$660,$B$660,$B$659,$B$658)</f>
        <v>#NAME?</v>
      </c>
      <c r="V662" s="223" t="e" cm="1">
        <f t="array" aca="1" ref="V662" ca="1">_xll.VisibleAlpha.UDF.VAData($B$657,V$658,$B662,V$660,$B$660,$B$659,$B$658)</f>
        <v>#NAME?</v>
      </c>
      <c r="W662" s="223" t="e" cm="1">
        <f t="array" aca="1" ref="W662" ca="1">_xll.VisibleAlpha.UDF.VAData($B$657,W$658,$B662,W$660,$B$660,$B$659,$B$658)</f>
        <v>#NAME?</v>
      </c>
      <c r="X662" s="223" t="e" cm="1">
        <f t="array" aca="1" ref="X662" ca="1">_xll.VisibleAlpha.UDF.VAData($B$657,X$658,$B662,X$660,$B$660,$B$659,$B$658)</f>
        <v>#NAME?</v>
      </c>
      <c r="Y662" s="223" t="e" cm="1">
        <f t="array" aca="1" ref="Y662" ca="1">_xll.VisibleAlpha.UDF.VAData($B$657,Y$658,$B662,Y$660,$B$660,$B$659,$B$658)</f>
        <v>#NAME?</v>
      </c>
      <c r="Z662" s="223" t="e" cm="1">
        <f t="array" aca="1" ref="Z662" ca="1">_xll.VisibleAlpha.UDF.VAData($B$657,Z$658,$B662,Z$660,$B$660,$B$659,$B$658)</f>
        <v>#NAME?</v>
      </c>
      <c r="AA662" s="223" t="e" cm="1">
        <f t="array" aca="1" ref="AA662" ca="1">_xll.VisibleAlpha.UDF.VAData($B$657,AA$658,$B662,AA$660,$B$660,$B$659,$B$658)</f>
        <v>#NAME?</v>
      </c>
      <c r="AB662" s="223" t="e" cm="1">
        <f t="array" aca="1" ref="AB662" ca="1">_xll.VisibleAlpha.UDF.VAData($B$657,AB$658,$B662,AB$660,$B$660,$B$659,$B$658)</f>
        <v>#NAME?</v>
      </c>
      <c r="AC662" s="223" t="e" cm="1">
        <f t="array" aca="1" ref="AC662" ca="1">_xll.VisibleAlpha.UDF.VAData($B$657,AC$658,$B662,AC$660,$B$660,$B$659,$B$658)</f>
        <v>#NAME?</v>
      </c>
      <c r="AD662" s="223" t="e" cm="1">
        <f t="array" aca="1" ref="AD662" ca="1">_xll.VisibleAlpha.UDF.VAData($B$657,AD$658,$B662,AD$660,$B$660,$B$659,$B$658)</f>
        <v>#NAME?</v>
      </c>
      <c r="AE662" s="223" t="e" cm="1">
        <f t="array" aca="1" ref="AE662" ca="1">_xll.VisibleAlpha.UDF.VAData($B$657,AE$658,$B662,AE$660,$B$660,$B$659,$B$658)</f>
        <v>#NAME?</v>
      </c>
      <c r="AF662" s="223" t="e" cm="1">
        <f t="array" aca="1" ref="AF662" ca="1">_xll.VisibleAlpha.UDF.VAData($B$657,AF$658,$B662,AF$660,$B$660,$B$659,$B$658)</f>
        <v>#NAME?</v>
      </c>
      <c r="AG662" s="223" t="e" cm="1">
        <f t="array" aca="1" ref="AG662" ca="1">_xll.VisibleAlpha.UDF.VAData($B$657,AG$658,$B662,AG$660,$B$660,$B$659,$B$658)</f>
        <v>#NAME?</v>
      </c>
      <c r="AH662" s="223" t="e" cm="1">
        <f t="array" aca="1" ref="AH662" ca="1">_xll.VisibleAlpha.UDF.VAData($B$657,AH$658,$B662,AH$660,$B$660,$B$659,$B$658)</f>
        <v>#NAME?</v>
      </c>
      <c r="AI662" s="223" t="e" cm="1">
        <f t="array" aca="1" ref="AI662" ca="1">_xll.VisibleAlpha.UDF.VAData($B$657,AI$658,$B662,AI$660,$B$660,$B$659,$B$658)</f>
        <v>#NAME?</v>
      </c>
      <c r="AJ662" s="223" t="e" cm="1">
        <f t="array" aca="1" ref="AJ662" ca="1">_xll.VisibleAlpha.UDF.VAData($B$657,AJ$658,$B662,AJ$660,$B$660,$B$659,$B$658)</f>
        <v>#NAME?</v>
      </c>
      <c r="AK662" s="223" t="e" cm="1">
        <f t="array" aca="1" ref="AK662" ca="1">_xll.VisibleAlpha.UDF.VAData($B$657,AK$658,$B662,AK$660,$B$660,$B$659,$B$658)</f>
        <v>#NAME?</v>
      </c>
      <c r="AL662" s="223" t="e" cm="1">
        <f t="array" aca="1" ref="AL662" ca="1">_xll.VisibleAlpha.UDF.VAData($B$657,AL$658,$B662,AL$660,$B$660,$B$659,$B$658)</f>
        <v>#NAME?</v>
      </c>
      <c r="AM662" s="223" t="e" cm="1">
        <f t="array" aca="1" ref="AM662" ca="1">_xll.VisibleAlpha.UDF.VAData($B$657,AM$658,$B662,AM$660,$B$660,$B$659,$B$658)</f>
        <v>#NAME?</v>
      </c>
      <c r="AN662" s="223" t="e" cm="1">
        <f t="array" aca="1" ref="AN662" ca="1">_xll.VisibleAlpha.UDF.VAData($B$657,AN$658,$B662,AN$660,$B$660,$B$659,$B$658)</f>
        <v>#NAME?</v>
      </c>
      <c r="AO662" s="223" t="e" cm="1">
        <f t="array" aca="1" ref="AO662" ca="1">_xll.VisibleAlpha.UDF.VAData($B$657,AO$658,$B662,AO$660,$B$660,$B$659,$B$658)</f>
        <v>#NAME?</v>
      </c>
      <c r="AP662" s="223" t="e" cm="1">
        <f t="array" aca="1" ref="AP662" ca="1">_xll.VisibleAlpha.UDF.VAData($B$657,AP$658,$B662,AP$660,$B$660,$B$659,$B$658)</f>
        <v>#NAME?</v>
      </c>
      <c r="AQ662" s="223" t="e" cm="1">
        <f t="array" aca="1" ref="AQ662" ca="1">_xll.VisibleAlpha.UDF.VAData($B$657,AQ$658,$B662,AQ$660,$B$660,$B$659,$B$658)</f>
        <v>#NAME?</v>
      </c>
      <c r="AR662" s="223" t="e" cm="1">
        <f t="array" aca="1" ref="AR662" ca="1">_xll.VisibleAlpha.UDF.VAData($B$657,AR$658,$B662,AR$660,$B$660,$B$659,$B$658)</f>
        <v>#NAME?</v>
      </c>
      <c r="AS662" s="223" t="e" cm="1">
        <f t="array" aca="1" ref="AS662" ca="1">_xll.VisibleAlpha.UDF.VAData($B$657,AS$658,$B662,AS$660,$B$660,$B$659,$B$658)</f>
        <v>#NAME?</v>
      </c>
      <c r="AT662" s="223" t="e" cm="1">
        <f t="array" aca="1" ref="AT662" ca="1">_xll.VisibleAlpha.UDF.VAData($B$657,AT$658,$B662,AT$660,$B$660,$B$659,$B$658)</f>
        <v>#NAME?</v>
      </c>
      <c r="AU662" s="223" t="e" cm="1">
        <f t="array" aca="1" ref="AU662" ca="1">_xll.VisibleAlpha.UDF.VAData($B$657,AU$658,$B662,AU$660,$B$660,$B$659,$B$658)</f>
        <v>#NAME?</v>
      </c>
      <c r="AV662" s="223" t="e" cm="1">
        <f t="array" aca="1" ref="AV662" ca="1">_xll.VisibleAlpha.UDF.VAData($B$657,AV$658,$B662,AV$660,$B$660,$B$659,$B$658)</f>
        <v>#NAME?</v>
      </c>
      <c r="AW662" s="223" t="e" cm="1">
        <f t="array" aca="1" ref="AW662" ca="1">_xll.VisibleAlpha.UDF.VAData($B$657,AW$658,$B662,AW$660,$B$660,$B$659,$B$658)</f>
        <v>#NAME?</v>
      </c>
      <c r="AX662" s="223" t="e" cm="1">
        <f t="array" aca="1" ref="AX662" ca="1">_xll.VisibleAlpha.UDF.VAData($B$657,AX$658,$B662,AX$660,$B$660,$B$659,$B$658)</f>
        <v>#NAME?</v>
      </c>
      <c r="AY662" s="223" t="e" cm="1">
        <f t="array" aca="1" ref="AY662" ca="1">_xll.VisibleAlpha.UDF.VAData($B$657,AY$658,$B662,AY$660,$B$660,$B$659,$B$658)</f>
        <v>#NAME?</v>
      </c>
      <c r="AZ662" s="223" t="e" cm="1">
        <f t="array" aca="1" ref="AZ662" ca="1">_xll.VisibleAlpha.UDF.VAData($B$657,AZ$658,$B662,AZ$660,$B$660,$B$659,$B$658)</f>
        <v>#NAME?</v>
      </c>
      <c r="BA662" s="223" t="e" cm="1">
        <f t="array" aca="1" ref="BA662" ca="1">_xll.VisibleAlpha.UDF.VAData($B$657,BA$658,$B662,BA$660,$B$660,$B$659,$B$658)</f>
        <v>#NAME?</v>
      </c>
      <c r="BB662" s="223" t="e" cm="1">
        <f t="array" aca="1" ref="BB662" ca="1">_xll.VisibleAlpha.UDF.VAData($B$657,BB$658,$B662,BB$660,$B$660,$B$659,$B$658)</f>
        <v>#NAME?</v>
      </c>
      <c r="BC662" s="223" t="e" cm="1">
        <f t="array" aca="1" ref="BC662" ca="1">_xll.VisibleAlpha.UDF.VAData($B$657,BC$658,$B662,BC$660,$B$660,$B$659,$B$658)</f>
        <v>#NAME?</v>
      </c>
      <c r="BD662" s="223" t="e" cm="1">
        <f t="array" aca="1" ref="BD662" ca="1">_xll.VisibleAlpha.UDF.VAData($B$657,BD$658,$B662,BD$660,$B$660,$B$659,$B$658)</f>
        <v>#NAME?</v>
      </c>
      <c r="BE662" s="223" t="e" cm="1">
        <f t="array" aca="1" ref="BE662" ca="1">_xll.VisibleAlpha.UDF.VAData($B$657,BE$658,$B662,BE$660,$B$660,$B$659,$B$658)</f>
        <v>#NAME?</v>
      </c>
      <c r="BF662" s="223" t="e" cm="1">
        <f t="array" aca="1" ref="BF662" ca="1">_xll.VisibleAlpha.UDF.VAData($B$657,BF$658,$B662,BF$660,$B$660,$B$659,$B$658)</f>
        <v>#NAME?</v>
      </c>
      <c r="BG662" s="223" t="e" cm="1">
        <f t="array" aca="1" ref="BG662" ca="1">_xll.VisibleAlpha.UDF.VAData($B$657,BG$658,$B662,BG$660,$B$660,$B$659,$B$658)</f>
        <v>#NAME?</v>
      </c>
      <c r="BH662" s="224" t="e" cm="1">
        <f t="array" aca="1" ref="BH662" ca="1">_xll.VisibleAlpha.UDF.VAData($B$657,BH$658,$B662,BH$660,$B$660,$B$659,$B$658)</f>
        <v>#NAME?</v>
      </c>
      <c r="BI662" s="224" t="e" cm="1">
        <f t="array" aca="1" ref="BI662" ca="1">_xll.VisibleAlpha.UDF.VAData($B$657,BI$658,$B662,BI$660,$B$660,$B$659,$B$658)</f>
        <v>#NAME?</v>
      </c>
      <c r="BJ662" s="224" t="e" cm="1">
        <f t="array" aca="1" ref="BJ662" ca="1">_xll.VisibleAlpha.UDF.VAData($B$657,BJ$658,$B662,BJ$660,$B$660,$B$659,$B$658)</f>
        <v>#NAME?</v>
      </c>
      <c r="BK662" s="224" t="e" cm="1">
        <f t="array" aca="1" ref="BK662" ca="1">_xll.VisibleAlpha.UDF.VAData($B$657,BK$658,$B662,BK$660,$B$660,$B$659,$B$658)</f>
        <v>#NAME?</v>
      </c>
      <c r="BL662" s="224" t="e" cm="1">
        <f t="array" aca="1" ref="BL662" ca="1">_xll.VisibleAlpha.UDF.VAData($B$657,BL$658,$B662,BL$660,$B$660,$B$659,$B$658)</f>
        <v>#NAME?</v>
      </c>
      <c r="BM662" s="224" t="e" cm="1">
        <f t="array" aca="1" ref="BM662" ca="1">_xll.VisibleAlpha.UDF.VAData($B$657,BM$658,$B662,BM$660,$B$660,$B$659,$B$658)</f>
        <v>#NAME?</v>
      </c>
      <c r="BN662" s="224" t="e" cm="1">
        <f t="array" aca="1" ref="BN662" ca="1">_xll.VisibleAlpha.UDF.VAData($B$657,BN$658,$B662,BN$660,$B$660,$B$659,$B$658)</f>
        <v>#NAME?</v>
      </c>
      <c r="BO662" s="224" t="e" cm="1">
        <f t="array" aca="1" ref="BO662" ca="1">_xll.VisibleAlpha.UDF.VAData($B$657,BO$658,$B662,BO$660,$B$660,$B$659,$B$658)</f>
        <v>#NAME?</v>
      </c>
      <c r="BP662" s="224" t="e" cm="1">
        <f t="array" aca="1" ref="BP662" ca="1">_xll.VisibleAlpha.UDF.VAData($B$657,BP$658,$B662,BP$660,$B$660,$B$659,$B$658)</f>
        <v>#NAME?</v>
      </c>
      <c r="BQ662" s="224" t="e" cm="1">
        <f t="array" aca="1" ref="BQ662" ca="1">_xll.VisibleAlpha.UDF.VAData($B$657,BQ$658,$B662,BQ$660,$B$660,$B$659,$B$658)</f>
        <v>#NAME?</v>
      </c>
      <c r="BR662" s="224" t="e" cm="1">
        <f t="array" aca="1" ref="BR662" ca="1">_xll.VisibleAlpha.UDF.VAData($B$657,BR$658,$B662,BR$660,$B$660,$B$659,$B$658)</f>
        <v>#NAME?</v>
      </c>
      <c r="BS662" s="224" t="e" cm="1">
        <f t="array" aca="1" ref="BS662" ca="1">_xll.VisibleAlpha.UDF.VAData($B$657,BS$658,$B662,BS$660,$B$660,$B$659,$B$658)</f>
        <v>#NAME?</v>
      </c>
      <c r="BT662" s="224" t="e" cm="1">
        <f t="array" aca="1" ref="BT662" ca="1">_xll.VisibleAlpha.UDF.VAData($B$657,BT$658,$B662,BT$660,$B$660,$B$659,$B$658)</f>
        <v>#NAME?</v>
      </c>
      <c r="BU662" s="224" t="e" cm="1">
        <f t="array" aca="1" ref="BU662" ca="1">_xll.VisibleAlpha.UDF.VAData($B$657,BU$658,$B662,BU$660,$B$660,$B$659,$B$658)</f>
        <v>#NAME?</v>
      </c>
      <c r="BV662" s="224" t="e" cm="1">
        <f t="array" aca="1" ref="BV662" ca="1">_xll.VisibleAlpha.UDF.VAData($B$657,BV$658,$B662,BV$660,$B$660,$B$659,$B$658)</f>
        <v>#NAME?</v>
      </c>
      <c r="BW662" s="224" t="e" cm="1">
        <f t="array" aca="1" ref="BW662" ca="1">_xll.VisibleAlpha.UDF.VAData($B$657,BW$658,$B662,BW$660,$B$660,$B$659,$B$658)</f>
        <v>#NAME?</v>
      </c>
      <c r="BX662" s="224" t="e" cm="1">
        <f t="array" aca="1" ref="BX662" ca="1">_xll.VisibleAlpha.UDF.VAData($B$657,BX$658,$B662,BX$660,$B$660,$B$659,$B$658)</f>
        <v>#NAME?</v>
      </c>
      <c r="BY662" s="224" t="e" cm="1">
        <f t="array" aca="1" ref="BY662" ca="1">_xll.VisibleAlpha.UDF.VAData($B$657,BY$658,$B662,BY$660,$B$660,$B$659,$B$658)</f>
        <v>#NAME?</v>
      </c>
      <c r="BZ662" s="224" t="e" cm="1">
        <f t="array" aca="1" ref="BZ662" ca="1">_xll.VisibleAlpha.UDF.VAData($B$657,BZ$658,$B662,BZ$660,$B$660,$B$659,$B$658)</f>
        <v>#NAME?</v>
      </c>
      <c r="CA662" s="225" t="e" cm="1">
        <f t="array" aca="1" ref="CA662" ca="1">_xll.VisibleAlpha.UDF.VAData($B$657,CA$658,$B662,CA$660,$B$660,$B$659,$B$658)</f>
        <v>#NAME?</v>
      </c>
      <c r="CB662" s="223" t="e" cm="1">
        <f t="array" aca="1" ref="CB662" ca="1">_xll.VisibleAlpha.UDF.VAData($B$657,CB$658,$B662,CB$660,$B$660,$B$659,$B$658)</f>
        <v>#NAME?</v>
      </c>
      <c r="CC662" s="223" t="e" cm="1">
        <f t="array" aca="1" ref="CC662" ca="1">_xll.VisibleAlpha.UDF.VAData($B$657,CC$658,$B662,CC$660,$B$660,$B$659,$B$658)</f>
        <v>#NAME?</v>
      </c>
      <c r="CD662" s="223" t="e" cm="1">
        <f t="array" aca="1" ref="CD662" ca="1">_xll.VisibleAlpha.UDF.VAData($B$657,CD$658,$B662,CD$660,$B$660,$B$659,$B$658)</f>
        <v>#NAME?</v>
      </c>
      <c r="CE662"/>
      <c r="CF662" s="223" t="e" cm="1">
        <f t="array" aca="1" ref="CF662" ca="1">_xll.VisibleAlpha.UDF.VAData($B$657,CF$658,$B662,CF$660,$B$660,$B$659,$B$658)</f>
        <v>#NAME?</v>
      </c>
      <c r="CG662" s="223" t="e" cm="1">
        <f t="array" aca="1" ref="CG662" ca="1">_xll.VisibleAlpha.UDF.VAData($B$657,CG$658,$B662,CG$660,$B$660,$B$659,$B$658)</f>
        <v>#NAME?</v>
      </c>
      <c r="CH662" s="223" t="e" cm="1">
        <f t="array" aca="1" ref="CH662" ca="1">_xll.VisibleAlpha.UDF.VAData($B$657,CH$658,$B662,CH$660,$B$660,$B$659,$B$658)</f>
        <v>#NAME?</v>
      </c>
      <c r="CI662" s="223" t="e" cm="1">
        <f t="array" aca="1" ref="CI662" ca="1">_xll.VisibleAlpha.UDF.VAData($B$657,CI$658,$B662,CI$660,$B$660,$B$659,$B$658)</f>
        <v>#NAME?</v>
      </c>
      <c r="CJ662" s="223" t="e" cm="1">
        <f t="array" aca="1" ref="CJ662" ca="1">_xll.VisibleAlpha.UDF.VAData($B$657,CJ$658,$B662,CJ$660,$B$660,$B$659,$B$658)</f>
        <v>#NAME?</v>
      </c>
      <c r="CK662" s="223" t="e" cm="1">
        <f t="array" aca="1" ref="CK662" ca="1">_xll.VisibleAlpha.UDF.VAData($B$657,CK$658,$B662,CK$660,$B$660,$B$659,$B$658)</f>
        <v>#NAME?</v>
      </c>
      <c r="CL662" s="223" t="e" cm="1">
        <f t="array" aca="1" ref="CL662" ca="1">_xll.VisibleAlpha.UDF.VAData($B$657,CL$658,$B662,CL$660,$B$660,$B$659,$B$658)</f>
        <v>#NAME?</v>
      </c>
      <c r="CM662" s="223" t="e" cm="1">
        <f t="array" aca="1" ref="CM662" ca="1">_xll.VisibleAlpha.UDF.VAData($B$657,CM$658,$B662,CM$660,$B$660,$B$659,$B$658)</f>
        <v>#NAME?</v>
      </c>
      <c r="CN662" s="223" t="e" cm="1">
        <f t="array" aca="1" ref="CN662" ca="1">_xll.VisibleAlpha.UDF.VAData($B$657,CN$658,$B662,CN$660,$B$660,$B$659,$B$658)</f>
        <v>#NAME?</v>
      </c>
      <c r="CO662" s="224" t="e" cm="1">
        <f t="array" aca="1" ref="CO662" ca="1">_xll.VisibleAlpha.UDF.VAData($B$657,CO$658,$B662,CO$660,$B$660,$B$659,$B$658)</f>
        <v>#NAME?</v>
      </c>
      <c r="CP662" s="224" t="e" cm="1">
        <f t="array" aca="1" ref="CP662" ca="1">_xll.VisibleAlpha.UDF.VAData($B$657,CP$658,$B662,CP$660,$B$660,$B$659,$B$658)</f>
        <v>#NAME?</v>
      </c>
      <c r="CQ662" s="224" t="e" cm="1">
        <f t="array" aca="1" ref="CQ662" ca="1">_xll.VisibleAlpha.UDF.VAData($B$657,CQ$658,$B662,CQ$660,$B$660,$B$659,$B$658)</f>
        <v>#NAME?</v>
      </c>
      <c r="CR662" s="224" t="e" cm="1">
        <f t="array" aca="1" ref="CR662" ca="1">_xll.VisibleAlpha.UDF.VAData($B$657,CR$658,$B662,CR$660,$B$660,$B$659,$B$658)</f>
        <v>#NAME?</v>
      </c>
      <c r="CS662" s="224" t="e" cm="1">
        <f t="array" aca="1" ref="CS662" ca="1">_xll.VisibleAlpha.UDF.VAData($B$657,CS$658,$B662,CS$660,$B$660,$B$659,$B$658)</f>
        <v>#NAME?</v>
      </c>
      <c r="CT662" s="224" t="e" cm="1">
        <f t="array" aca="1" ref="CT662" ca="1">_xll.VisibleAlpha.UDF.VAData($B$657,CT$658,$B662,CT$660,$B$660,$B$659,$B$658)</f>
        <v>#NAME?</v>
      </c>
      <c r="CU662" s="224" t="e" cm="1">
        <f t="array" aca="1" ref="CU662" ca="1">_xll.VisibleAlpha.UDF.VAData($B$657,CU$658,$B662,CU$660,$B$660,$B$659,$B$658)</f>
        <v>#NAME?</v>
      </c>
      <c r="CV662" s="224" t="e" cm="1">
        <f t="array" aca="1" ref="CV662" ca="1">_xll.VisibleAlpha.UDF.VAData($B$657,CV$658,$B662,CV$660,$B$660,$B$659,$B$658)</f>
        <v>#NAME?</v>
      </c>
      <c r="CW662" s="224" t="e" cm="1">
        <f t="array" aca="1" ref="CW662" ca="1">_xll.VisibleAlpha.UDF.VAData($B$657,CW$658,$B662,CW$660,$B$660,$B$659,$B$658)</f>
        <v>#NAME?</v>
      </c>
      <c r="CX662" s="224" t="e" cm="1">
        <f t="array" aca="1" ref="CX662" ca="1">_xll.VisibleAlpha.UDF.VAData($B$657,CX$658,$B662,CX$660,$B$660,$B$659,$B$658)</f>
        <v>#NAME?</v>
      </c>
    </row>
    <row r="663" spans="1:102" s="84" customFormat="1" x14ac:dyDescent="0.25">
      <c r="A663" s="218"/>
      <c r="B663" s="219" t="s">
        <v>442</v>
      </c>
      <c r="C663" s="219"/>
      <c r="D663" s="219"/>
      <c r="E663" s="219"/>
      <c r="F663" s="219"/>
      <c r="G663" s="219"/>
      <c r="H663" s="219"/>
      <c r="I663" s="219"/>
      <c r="J663" s="219"/>
      <c r="K663" s="219"/>
      <c r="L663" s="219"/>
      <c r="M663" s="219"/>
      <c r="N663" s="219"/>
      <c r="O663" s="219"/>
      <c r="P663" s="219"/>
      <c r="Q663" s="219"/>
      <c r="R663" s="219"/>
      <c r="S663" s="220" t="e" cm="1">
        <f t="array" aca="1" ref="S663" ca="1">_xll.VisibleAlpha.UDF.VAData($B$657,S$658,$B663,S$660,$B$660,$B$659,$B$658)</f>
        <v>#NAME?</v>
      </c>
      <c r="T663" s="86" t="e" cm="1">
        <f t="array" aca="1" ref="T663" ca="1">_xll.VisibleAlpha.UDF.VAData($B$657,T$658,$B663,T$660,$B$660,$B$659,$B$658)</f>
        <v>#NAME?</v>
      </c>
      <c r="U663" s="86" t="e" cm="1">
        <f t="array" aca="1" ref="U663" ca="1">_xll.VisibleAlpha.UDF.VAData($B$657,U$658,$B663,U$660,$B$660,$B$659,$B$658)</f>
        <v>#NAME?</v>
      </c>
      <c r="V663" s="86" t="e" cm="1">
        <f t="array" aca="1" ref="V663" ca="1">_xll.VisibleAlpha.UDF.VAData($B$657,V$658,$B663,V$660,$B$660,$B$659,$B$658)</f>
        <v>#NAME?</v>
      </c>
      <c r="W663" s="86" t="e" cm="1">
        <f t="array" aca="1" ref="W663" ca="1">_xll.VisibleAlpha.UDF.VAData($B$657,W$658,$B663,W$660,$B$660,$B$659,$B$658)</f>
        <v>#NAME?</v>
      </c>
      <c r="X663" s="86" t="e" cm="1">
        <f t="array" aca="1" ref="X663" ca="1">_xll.VisibleAlpha.UDF.VAData($B$657,X$658,$B663,X$660,$B$660,$B$659,$B$658)</f>
        <v>#NAME?</v>
      </c>
      <c r="Y663" s="86" t="e" cm="1">
        <f t="array" aca="1" ref="Y663" ca="1">_xll.VisibleAlpha.UDF.VAData($B$657,Y$658,$B663,Y$660,$B$660,$B$659,$B$658)</f>
        <v>#NAME?</v>
      </c>
      <c r="Z663" s="86" t="e" cm="1">
        <f t="array" aca="1" ref="Z663" ca="1">_xll.VisibleAlpha.UDF.VAData($B$657,Z$658,$B663,Z$660,$B$660,$B$659,$B$658)</f>
        <v>#NAME?</v>
      </c>
      <c r="AA663" s="86" t="e" cm="1">
        <f t="array" aca="1" ref="AA663" ca="1">_xll.VisibleAlpha.UDF.VAData($B$657,AA$658,$B663,AA$660,$B$660,$B$659,$B$658)</f>
        <v>#NAME?</v>
      </c>
      <c r="AB663" s="86" t="e" cm="1">
        <f t="array" aca="1" ref="AB663" ca="1">_xll.VisibleAlpha.UDF.VAData($B$657,AB$658,$B663,AB$660,$B$660,$B$659,$B$658)</f>
        <v>#NAME?</v>
      </c>
      <c r="AC663" s="86" t="e" cm="1">
        <f t="array" aca="1" ref="AC663" ca="1">_xll.VisibleAlpha.UDF.VAData($B$657,AC$658,$B663,AC$660,$B$660,$B$659,$B$658)</f>
        <v>#NAME?</v>
      </c>
      <c r="AD663" s="86" t="e" cm="1">
        <f t="array" aca="1" ref="AD663" ca="1">_xll.VisibleAlpha.UDF.VAData($B$657,AD$658,$B663,AD$660,$B$660,$B$659,$B$658)</f>
        <v>#NAME?</v>
      </c>
      <c r="AE663" s="86" t="e" cm="1">
        <f t="array" aca="1" ref="AE663" ca="1">_xll.VisibleAlpha.UDF.VAData($B$657,AE$658,$B663,AE$660,$B$660,$B$659,$B$658)</f>
        <v>#NAME?</v>
      </c>
      <c r="AF663" s="86" t="e" cm="1">
        <f t="array" aca="1" ref="AF663" ca="1">_xll.VisibleAlpha.UDF.VAData($B$657,AF$658,$B663,AF$660,$B$660,$B$659,$B$658)</f>
        <v>#NAME?</v>
      </c>
      <c r="AG663" s="86" t="e" cm="1">
        <f t="array" aca="1" ref="AG663" ca="1">_xll.VisibleAlpha.UDF.VAData($B$657,AG$658,$B663,AG$660,$B$660,$B$659,$B$658)</f>
        <v>#NAME?</v>
      </c>
      <c r="AH663" s="86" t="e" cm="1">
        <f t="array" aca="1" ref="AH663" ca="1">_xll.VisibleAlpha.UDF.VAData($B$657,AH$658,$B663,AH$660,$B$660,$B$659,$B$658)</f>
        <v>#NAME?</v>
      </c>
      <c r="AI663" s="86" t="e" cm="1">
        <f t="array" aca="1" ref="AI663" ca="1">_xll.VisibleAlpha.UDF.VAData($B$657,AI$658,$B663,AI$660,$B$660,$B$659,$B$658)</f>
        <v>#NAME?</v>
      </c>
      <c r="AJ663" s="86" t="e" cm="1">
        <f t="array" aca="1" ref="AJ663" ca="1">_xll.VisibleAlpha.UDF.VAData($B$657,AJ$658,$B663,AJ$660,$B$660,$B$659,$B$658)</f>
        <v>#NAME?</v>
      </c>
      <c r="AK663" s="86" t="e" cm="1">
        <f t="array" aca="1" ref="AK663" ca="1">_xll.VisibleAlpha.UDF.VAData($B$657,AK$658,$B663,AK$660,$B$660,$B$659,$B$658)</f>
        <v>#NAME?</v>
      </c>
      <c r="AL663" s="86" t="e" cm="1">
        <f t="array" aca="1" ref="AL663" ca="1">_xll.VisibleAlpha.UDF.VAData($B$657,AL$658,$B663,AL$660,$B$660,$B$659,$B$658)</f>
        <v>#NAME?</v>
      </c>
      <c r="AM663" s="86" t="e" cm="1">
        <f t="array" aca="1" ref="AM663" ca="1">_xll.VisibleAlpha.UDF.VAData($B$657,AM$658,$B663,AM$660,$B$660,$B$659,$B$658)</f>
        <v>#NAME?</v>
      </c>
      <c r="AN663" s="86" t="e" cm="1">
        <f t="array" aca="1" ref="AN663" ca="1">_xll.VisibleAlpha.UDF.VAData($B$657,AN$658,$B663,AN$660,$B$660,$B$659,$B$658)</f>
        <v>#NAME?</v>
      </c>
      <c r="AO663" s="86" t="e" cm="1">
        <f t="array" aca="1" ref="AO663" ca="1">_xll.VisibleAlpha.UDF.VAData($B$657,AO$658,$B663,AO$660,$B$660,$B$659,$B$658)</f>
        <v>#NAME?</v>
      </c>
      <c r="AP663" s="86" t="e" cm="1">
        <f t="array" aca="1" ref="AP663" ca="1">_xll.VisibleAlpha.UDF.VAData($B$657,AP$658,$B663,AP$660,$B$660,$B$659,$B$658)</f>
        <v>#NAME?</v>
      </c>
      <c r="AQ663" s="86" t="e" cm="1">
        <f t="array" aca="1" ref="AQ663" ca="1">_xll.VisibleAlpha.UDF.VAData($B$657,AQ$658,$B663,AQ$660,$B$660,$B$659,$B$658)</f>
        <v>#NAME?</v>
      </c>
      <c r="AR663" s="86" t="e" cm="1">
        <f t="array" aca="1" ref="AR663" ca="1">_xll.VisibleAlpha.UDF.VAData($B$657,AR$658,$B663,AR$660,$B$660,$B$659,$B$658)</f>
        <v>#NAME?</v>
      </c>
      <c r="AS663" s="86" t="e" cm="1">
        <f t="array" aca="1" ref="AS663" ca="1">_xll.VisibleAlpha.UDF.VAData($B$657,AS$658,$B663,AS$660,$B$660,$B$659,$B$658)</f>
        <v>#NAME?</v>
      </c>
      <c r="AT663" s="86" t="e" cm="1">
        <f t="array" aca="1" ref="AT663" ca="1">_xll.VisibleAlpha.UDF.VAData($B$657,AT$658,$B663,AT$660,$B$660,$B$659,$B$658)</f>
        <v>#NAME?</v>
      </c>
      <c r="AU663" s="86" t="e" cm="1">
        <f t="array" aca="1" ref="AU663" ca="1">_xll.VisibleAlpha.UDF.VAData($B$657,AU$658,$B663,AU$660,$B$660,$B$659,$B$658)</f>
        <v>#NAME?</v>
      </c>
      <c r="AV663" s="86" t="e" cm="1">
        <f t="array" aca="1" ref="AV663" ca="1">_xll.VisibleAlpha.UDF.VAData($B$657,AV$658,$B663,AV$660,$B$660,$B$659,$B$658)</f>
        <v>#NAME?</v>
      </c>
      <c r="AW663" s="86" t="e" cm="1">
        <f t="array" aca="1" ref="AW663" ca="1">_xll.VisibleAlpha.UDF.VAData($B$657,AW$658,$B663,AW$660,$B$660,$B$659,$B$658)</f>
        <v>#NAME?</v>
      </c>
      <c r="AX663" s="86" t="e" cm="1">
        <f t="array" aca="1" ref="AX663" ca="1">_xll.VisibleAlpha.UDF.VAData($B$657,AX$658,$B663,AX$660,$B$660,$B$659,$B$658)</f>
        <v>#NAME?</v>
      </c>
      <c r="AY663" s="86" t="e" cm="1">
        <f t="array" aca="1" ref="AY663" ca="1">_xll.VisibleAlpha.UDF.VAData($B$657,AY$658,$B663,AY$660,$B$660,$B$659,$B$658)</f>
        <v>#NAME?</v>
      </c>
      <c r="AZ663" s="86" t="e" cm="1">
        <f t="array" aca="1" ref="AZ663" ca="1">_xll.VisibleAlpha.UDF.VAData($B$657,AZ$658,$B663,AZ$660,$B$660,$B$659,$B$658)</f>
        <v>#NAME?</v>
      </c>
      <c r="BA663" s="86" t="e" cm="1">
        <f t="array" aca="1" ref="BA663" ca="1">_xll.VisibleAlpha.UDF.VAData($B$657,BA$658,$B663,BA$660,$B$660,$B$659,$B$658)</f>
        <v>#NAME?</v>
      </c>
      <c r="BB663" s="86" t="e" cm="1">
        <f t="array" aca="1" ref="BB663" ca="1">_xll.VisibleAlpha.UDF.VAData($B$657,BB$658,$B663,BB$660,$B$660,$B$659,$B$658)</f>
        <v>#NAME?</v>
      </c>
      <c r="BC663" s="86" t="e" cm="1">
        <f t="array" aca="1" ref="BC663" ca="1">_xll.VisibleAlpha.UDF.VAData($B$657,BC$658,$B663,BC$660,$B$660,$B$659,$B$658)</f>
        <v>#NAME?</v>
      </c>
      <c r="BD663" s="86" t="e" cm="1">
        <f t="array" aca="1" ref="BD663" ca="1">_xll.VisibleAlpha.UDF.VAData($B$657,BD$658,$B663,BD$660,$B$660,$B$659,$B$658)</f>
        <v>#NAME?</v>
      </c>
      <c r="BE663" s="86" t="e" cm="1">
        <f t="array" aca="1" ref="BE663" ca="1">_xll.VisibleAlpha.UDF.VAData($B$657,BE$658,$B663,BE$660,$B$660,$B$659,$B$658)</f>
        <v>#NAME?</v>
      </c>
      <c r="BF663" s="86" t="e" cm="1">
        <f t="array" aca="1" ref="BF663" ca="1">_xll.VisibleAlpha.UDF.VAData($B$657,BF$658,$B663,BF$660,$B$660,$B$659,$B$658)</f>
        <v>#NAME?</v>
      </c>
      <c r="BG663" s="86" t="e" cm="1">
        <f t="array" aca="1" ref="BG663" ca="1">_xll.VisibleAlpha.UDF.VAData($B$657,BG$658,$B663,BG$660,$B$660,$B$659,$B$658)</f>
        <v>#NAME?</v>
      </c>
      <c r="BH663" s="220" t="e" cm="1">
        <f t="array" aca="1" ref="BH663" ca="1">_xll.VisibleAlpha.UDF.VAData($B$657,BH$658,$B663,BH$660,$B$660,$B$659,$B$658)</f>
        <v>#NAME?</v>
      </c>
      <c r="BI663" s="220" t="e" cm="1">
        <f t="array" aca="1" ref="BI663" ca="1">_xll.VisibleAlpha.UDF.VAData($B$657,BI$658,$B663,BI$660,$B$660,$B$659,$B$658)</f>
        <v>#NAME?</v>
      </c>
      <c r="BJ663" s="220" t="e" cm="1">
        <f t="array" aca="1" ref="BJ663" ca="1">_xll.VisibleAlpha.UDF.VAData($B$657,BJ$658,$B663,BJ$660,$B$660,$B$659,$B$658)</f>
        <v>#NAME?</v>
      </c>
      <c r="BK663" s="220" t="e" cm="1">
        <f t="array" aca="1" ref="BK663" ca="1">_xll.VisibleAlpha.UDF.VAData($B$657,BK$658,$B663,BK$660,$B$660,$B$659,$B$658)</f>
        <v>#NAME?</v>
      </c>
      <c r="BL663" s="220" t="e" cm="1">
        <f t="array" aca="1" ref="BL663" ca="1">_xll.VisibleAlpha.UDF.VAData($B$657,BL$658,$B663,BL$660,$B$660,$B$659,$B$658)</f>
        <v>#NAME?</v>
      </c>
      <c r="BM663" s="220" t="e" cm="1">
        <f t="array" aca="1" ref="BM663" ca="1">_xll.VisibleAlpha.UDF.VAData($B$657,BM$658,$B663,BM$660,$B$660,$B$659,$B$658)</f>
        <v>#NAME?</v>
      </c>
      <c r="BN663" s="220" t="e" cm="1">
        <f t="array" aca="1" ref="BN663" ca="1">_xll.VisibleAlpha.UDF.VAData($B$657,BN$658,$B663,BN$660,$B$660,$B$659,$B$658)</f>
        <v>#NAME?</v>
      </c>
      <c r="BO663" s="220" t="e" cm="1">
        <f t="array" aca="1" ref="BO663" ca="1">_xll.VisibleAlpha.UDF.VAData($B$657,BO$658,$B663,BO$660,$B$660,$B$659,$B$658)</f>
        <v>#NAME?</v>
      </c>
      <c r="BP663" s="220" t="e" cm="1">
        <f t="array" aca="1" ref="BP663" ca="1">_xll.VisibleAlpha.UDF.VAData($B$657,BP$658,$B663,BP$660,$B$660,$B$659,$B$658)</f>
        <v>#NAME?</v>
      </c>
      <c r="BQ663" s="220" t="e" cm="1">
        <f t="array" aca="1" ref="BQ663" ca="1">_xll.VisibleAlpha.UDF.VAData($B$657,BQ$658,$B663,BQ$660,$B$660,$B$659,$B$658)</f>
        <v>#NAME?</v>
      </c>
      <c r="BR663" s="220" t="e" cm="1">
        <f t="array" aca="1" ref="BR663" ca="1">_xll.VisibleAlpha.UDF.VAData($B$657,BR$658,$B663,BR$660,$B$660,$B$659,$B$658)</f>
        <v>#NAME?</v>
      </c>
      <c r="BS663" s="220" t="e" cm="1">
        <f t="array" aca="1" ref="BS663" ca="1">_xll.VisibleAlpha.UDF.VAData($B$657,BS$658,$B663,BS$660,$B$660,$B$659,$B$658)</f>
        <v>#NAME?</v>
      </c>
      <c r="BT663" s="220" t="e" cm="1">
        <f t="array" aca="1" ref="BT663" ca="1">_xll.VisibleAlpha.UDF.VAData($B$657,BT$658,$B663,BT$660,$B$660,$B$659,$B$658)</f>
        <v>#NAME?</v>
      </c>
      <c r="BU663" s="220" t="e" cm="1">
        <f t="array" aca="1" ref="BU663" ca="1">_xll.VisibleAlpha.UDF.VAData($B$657,BU$658,$B663,BU$660,$B$660,$B$659,$B$658)</f>
        <v>#NAME?</v>
      </c>
      <c r="BV663" s="220" t="e" cm="1">
        <f t="array" aca="1" ref="BV663" ca="1">_xll.VisibleAlpha.UDF.VAData($B$657,BV$658,$B663,BV$660,$B$660,$B$659,$B$658)</f>
        <v>#NAME?</v>
      </c>
      <c r="BW663" s="220" t="e" cm="1">
        <f t="array" aca="1" ref="BW663" ca="1">_xll.VisibleAlpha.UDF.VAData($B$657,BW$658,$B663,BW$660,$B$660,$B$659,$B$658)</f>
        <v>#NAME?</v>
      </c>
      <c r="BX663" s="220" t="e" cm="1">
        <f t="array" aca="1" ref="BX663" ca="1">_xll.VisibleAlpha.UDF.VAData($B$657,BX$658,$B663,BX$660,$B$660,$B$659,$B$658)</f>
        <v>#NAME?</v>
      </c>
      <c r="BY663" s="220" t="e" cm="1">
        <f t="array" aca="1" ref="BY663" ca="1">_xll.VisibleAlpha.UDF.VAData($B$657,BY$658,$B663,BY$660,$B$660,$B$659,$B$658)</f>
        <v>#NAME?</v>
      </c>
      <c r="BZ663" s="220" t="e" cm="1">
        <f t="array" aca="1" ref="BZ663" ca="1">_xll.VisibleAlpha.UDF.VAData($B$657,BZ$658,$B663,BZ$660,$B$660,$B$659,$B$658)</f>
        <v>#NAME?</v>
      </c>
      <c r="CA663" s="84" t="e" cm="1">
        <f t="array" aca="1" ref="CA663" ca="1">_xll.VisibleAlpha.UDF.VAData($B$657,CA$658,$B663,CA$660,$B$660,$B$659,$B$658)</f>
        <v>#NAME?</v>
      </c>
      <c r="CB663" s="86" t="e" cm="1">
        <f t="array" aca="1" ref="CB663" ca="1">_xll.VisibleAlpha.UDF.VAData($B$657,CB$658,$B663,CB$660,$B$660,$B$659,$B$658)</f>
        <v>#NAME?</v>
      </c>
      <c r="CC663" s="86" t="e" cm="1">
        <f t="array" aca="1" ref="CC663" ca="1">_xll.VisibleAlpha.UDF.VAData($B$657,CC$658,$B663,CC$660,$B$660,$B$659,$B$658)</f>
        <v>#NAME?</v>
      </c>
      <c r="CD663" s="86" t="e" cm="1">
        <f t="array" aca="1" ref="CD663" ca="1">_xll.VisibleAlpha.UDF.VAData($B$657,CD$658,$B663,CD$660,$B$660,$B$659,$B$658)</f>
        <v>#NAME?</v>
      </c>
      <c r="CE663"/>
      <c r="CF663" s="86" t="e" cm="1">
        <f t="array" aca="1" ref="CF663" ca="1">_xll.VisibleAlpha.UDF.VAData($B$657,CF$658,$B663,CF$660,$B$660,$B$659,$B$658)</f>
        <v>#NAME?</v>
      </c>
      <c r="CG663" s="86" t="e" cm="1">
        <f t="array" aca="1" ref="CG663" ca="1">_xll.VisibleAlpha.UDF.VAData($B$657,CG$658,$B663,CG$660,$B$660,$B$659,$B$658)</f>
        <v>#NAME?</v>
      </c>
      <c r="CH663" s="86" t="e" cm="1">
        <f t="array" aca="1" ref="CH663" ca="1">_xll.VisibleAlpha.UDF.VAData($B$657,CH$658,$B663,CH$660,$B$660,$B$659,$B$658)</f>
        <v>#NAME?</v>
      </c>
      <c r="CI663" s="86" t="e" cm="1">
        <f t="array" aca="1" ref="CI663" ca="1">_xll.VisibleAlpha.UDF.VAData($B$657,CI$658,$B663,CI$660,$B$660,$B$659,$B$658)</f>
        <v>#NAME?</v>
      </c>
      <c r="CJ663" s="86" t="e" cm="1">
        <f t="array" aca="1" ref="CJ663" ca="1">_xll.VisibleAlpha.UDF.VAData($B$657,CJ$658,$B663,CJ$660,$B$660,$B$659,$B$658)</f>
        <v>#NAME?</v>
      </c>
      <c r="CK663" s="86" t="e" cm="1">
        <f t="array" aca="1" ref="CK663" ca="1">_xll.VisibleAlpha.UDF.VAData($B$657,CK$658,$B663,CK$660,$B$660,$B$659,$B$658)</f>
        <v>#NAME?</v>
      </c>
      <c r="CL663" s="86" t="e" cm="1">
        <f t="array" aca="1" ref="CL663" ca="1">_xll.VisibleAlpha.UDF.VAData($B$657,CL$658,$B663,CL$660,$B$660,$B$659,$B$658)</f>
        <v>#NAME?</v>
      </c>
      <c r="CM663" s="86" t="e" cm="1">
        <f t="array" aca="1" ref="CM663" ca="1">_xll.VisibleAlpha.UDF.VAData($B$657,CM$658,$B663,CM$660,$B$660,$B$659,$B$658)</f>
        <v>#NAME?</v>
      </c>
      <c r="CN663" s="86" t="e" cm="1">
        <f t="array" aca="1" ref="CN663" ca="1">_xll.VisibleAlpha.UDF.VAData($B$657,CN$658,$B663,CN$660,$B$660,$B$659,$B$658)</f>
        <v>#NAME?</v>
      </c>
      <c r="CO663" s="220" t="e" cm="1">
        <f t="array" aca="1" ref="CO663" ca="1">_xll.VisibleAlpha.UDF.VAData($B$657,CO$658,$B663,CO$660,$B$660,$B$659,$B$658)</f>
        <v>#NAME?</v>
      </c>
      <c r="CP663" s="220" t="e" cm="1">
        <f t="array" aca="1" ref="CP663" ca="1">_xll.VisibleAlpha.UDF.VAData($B$657,CP$658,$B663,CP$660,$B$660,$B$659,$B$658)</f>
        <v>#NAME?</v>
      </c>
      <c r="CQ663" s="220" t="e" cm="1">
        <f t="array" aca="1" ref="CQ663" ca="1">_xll.VisibleAlpha.UDF.VAData($B$657,CQ$658,$B663,CQ$660,$B$660,$B$659,$B$658)</f>
        <v>#NAME?</v>
      </c>
      <c r="CR663" s="220" t="e" cm="1">
        <f t="array" aca="1" ref="CR663" ca="1">_xll.VisibleAlpha.UDF.VAData($B$657,CR$658,$B663,CR$660,$B$660,$B$659,$B$658)</f>
        <v>#NAME?</v>
      </c>
      <c r="CS663" s="220" t="e" cm="1">
        <f t="array" aca="1" ref="CS663" ca="1">_xll.VisibleAlpha.UDF.VAData($B$657,CS$658,$B663,CS$660,$B$660,$B$659,$B$658)</f>
        <v>#NAME?</v>
      </c>
      <c r="CT663" s="220" t="e" cm="1">
        <f t="array" aca="1" ref="CT663" ca="1">_xll.VisibleAlpha.UDF.VAData($B$657,CT$658,$B663,CT$660,$B$660,$B$659,$B$658)</f>
        <v>#NAME?</v>
      </c>
      <c r="CU663" s="220" t="e" cm="1">
        <f t="array" aca="1" ref="CU663" ca="1">_xll.VisibleAlpha.UDF.VAData($B$657,CU$658,$B663,CU$660,$B$660,$B$659,$B$658)</f>
        <v>#NAME?</v>
      </c>
      <c r="CV663" s="220" t="e" cm="1">
        <f t="array" aca="1" ref="CV663" ca="1">_xll.VisibleAlpha.UDF.VAData($B$657,CV$658,$B663,CV$660,$B$660,$B$659,$B$658)</f>
        <v>#NAME?</v>
      </c>
      <c r="CW663" s="220" t="e" cm="1">
        <f t="array" aca="1" ref="CW663" ca="1">_xll.VisibleAlpha.UDF.VAData($B$657,CW$658,$B663,CW$660,$B$660,$B$659,$B$658)</f>
        <v>#NAME?</v>
      </c>
      <c r="CX663" s="220" t="e" cm="1">
        <f t="array" aca="1" ref="CX663" ca="1">_xll.VisibleAlpha.UDF.VAData($B$657,CX$658,$B663,CX$660,$B$660,$B$659,$B$658)</f>
        <v>#NAME?</v>
      </c>
    </row>
    <row r="664" spans="1:102" s="84" customFormat="1" x14ac:dyDescent="0.25">
      <c r="A664" s="218"/>
      <c r="B664" s="219" t="s">
        <v>443</v>
      </c>
      <c r="C664" s="219"/>
      <c r="D664" s="219"/>
      <c r="E664" s="219"/>
      <c r="F664" s="219"/>
      <c r="G664" s="219"/>
      <c r="H664" s="219"/>
      <c r="I664" s="219"/>
      <c r="J664" s="219"/>
      <c r="K664" s="219"/>
      <c r="L664" s="219"/>
      <c r="M664" s="219"/>
      <c r="N664" s="219"/>
      <c r="O664" s="219"/>
      <c r="P664" s="219"/>
      <c r="Q664" s="219"/>
      <c r="R664" s="219"/>
      <c r="S664" s="220" t="e" cm="1">
        <f t="array" aca="1" ref="S664" ca="1">_xll.VisibleAlpha.UDF.VAData($B$657,S$658,$B664,S$660,$B$660,$B$659,$B$658)</f>
        <v>#NAME?</v>
      </c>
      <c r="T664" s="86" t="e" cm="1">
        <f t="array" aca="1" ref="T664" ca="1">_xll.VisibleAlpha.UDF.VAData($B$657,T$658,$B664,T$660,$B$660,$B$659,$B$658)</f>
        <v>#NAME?</v>
      </c>
      <c r="U664" s="86" t="e" cm="1">
        <f t="array" aca="1" ref="U664" ca="1">_xll.VisibleAlpha.UDF.VAData($B$657,U$658,$B664,U$660,$B$660,$B$659,$B$658)</f>
        <v>#NAME?</v>
      </c>
      <c r="V664" s="86" t="e" cm="1">
        <f t="array" aca="1" ref="V664" ca="1">_xll.VisibleAlpha.UDF.VAData($B$657,V$658,$B664,V$660,$B$660,$B$659,$B$658)</f>
        <v>#NAME?</v>
      </c>
      <c r="W664" s="86" t="e" cm="1">
        <f t="array" aca="1" ref="W664" ca="1">_xll.VisibleAlpha.UDF.VAData($B$657,W$658,$B664,W$660,$B$660,$B$659,$B$658)</f>
        <v>#NAME?</v>
      </c>
      <c r="X664" s="86" t="e" cm="1">
        <f t="array" aca="1" ref="X664" ca="1">_xll.VisibleAlpha.UDF.VAData($B$657,X$658,$B664,X$660,$B$660,$B$659,$B$658)</f>
        <v>#NAME?</v>
      </c>
      <c r="Y664" s="86" t="e" cm="1">
        <f t="array" aca="1" ref="Y664" ca="1">_xll.VisibleAlpha.UDF.VAData($B$657,Y$658,$B664,Y$660,$B$660,$B$659,$B$658)</f>
        <v>#NAME?</v>
      </c>
      <c r="Z664" s="86" t="e" cm="1">
        <f t="array" aca="1" ref="Z664" ca="1">_xll.VisibleAlpha.UDF.VAData($B$657,Z$658,$B664,Z$660,$B$660,$B$659,$B$658)</f>
        <v>#NAME?</v>
      </c>
      <c r="AA664" s="86" t="e" cm="1">
        <f t="array" aca="1" ref="AA664" ca="1">_xll.VisibleAlpha.UDF.VAData($B$657,AA$658,$B664,AA$660,$B$660,$B$659,$B$658)</f>
        <v>#NAME?</v>
      </c>
      <c r="AB664" s="86" t="e" cm="1">
        <f t="array" aca="1" ref="AB664" ca="1">_xll.VisibleAlpha.UDF.VAData($B$657,AB$658,$B664,AB$660,$B$660,$B$659,$B$658)</f>
        <v>#NAME?</v>
      </c>
      <c r="AC664" s="86" t="e" cm="1">
        <f t="array" aca="1" ref="AC664" ca="1">_xll.VisibleAlpha.UDF.VAData($B$657,AC$658,$B664,AC$660,$B$660,$B$659,$B$658)</f>
        <v>#NAME?</v>
      </c>
      <c r="AD664" s="86" t="e" cm="1">
        <f t="array" aca="1" ref="AD664" ca="1">_xll.VisibleAlpha.UDF.VAData($B$657,AD$658,$B664,AD$660,$B$660,$B$659,$B$658)</f>
        <v>#NAME?</v>
      </c>
      <c r="AE664" s="86" t="e" cm="1">
        <f t="array" aca="1" ref="AE664" ca="1">_xll.VisibleAlpha.UDF.VAData($B$657,AE$658,$B664,AE$660,$B$660,$B$659,$B$658)</f>
        <v>#NAME?</v>
      </c>
      <c r="AF664" s="86" t="e" cm="1">
        <f t="array" aca="1" ref="AF664" ca="1">_xll.VisibleAlpha.UDF.VAData($B$657,AF$658,$B664,AF$660,$B$660,$B$659,$B$658)</f>
        <v>#NAME?</v>
      </c>
      <c r="AG664" s="86" t="e" cm="1">
        <f t="array" aca="1" ref="AG664" ca="1">_xll.VisibleAlpha.UDF.VAData($B$657,AG$658,$B664,AG$660,$B$660,$B$659,$B$658)</f>
        <v>#NAME?</v>
      </c>
      <c r="AH664" s="86" t="e" cm="1">
        <f t="array" aca="1" ref="AH664" ca="1">_xll.VisibleAlpha.UDF.VAData($B$657,AH$658,$B664,AH$660,$B$660,$B$659,$B$658)</f>
        <v>#NAME?</v>
      </c>
      <c r="AI664" s="86" t="e" cm="1">
        <f t="array" aca="1" ref="AI664" ca="1">_xll.VisibleAlpha.UDF.VAData($B$657,AI$658,$B664,AI$660,$B$660,$B$659,$B$658)</f>
        <v>#NAME?</v>
      </c>
      <c r="AJ664" s="86" t="e" cm="1">
        <f t="array" aca="1" ref="AJ664" ca="1">_xll.VisibleAlpha.UDF.VAData($B$657,AJ$658,$B664,AJ$660,$B$660,$B$659,$B$658)</f>
        <v>#NAME?</v>
      </c>
      <c r="AK664" s="86" t="e" cm="1">
        <f t="array" aca="1" ref="AK664" ca="1">_xll.VisibleAlpha.UDF.VAData($B$657,AK$658,$B664,AK$660,$B$660,$B$659,$B$658)</f>
        <v>#NAME?</v>
      </c>
      <c r="AL664" s="86" t="e" cm="1">
        <f t="array" aca="1" ref="AL664" ca="1">_xll.VisibleAlpha.UDF.VAData($B$657,AL$658,$B664,AL$660,$B$660,$B$659,$B$658)</f>
        <v>#NAME?</v>
      </c>
      <c r="AM664" s="86" t="e" cm="1">
        <f t="array" aca="1" ref="AM664" ca="1">_xll.VisibleAlpha.UDF.VAData($B$657,AM$658,$B664,AM$660,$B$660,$B$659,$B$658)</f>
        <v>#NAME?</v>
      </c>
      <c r="AN664" s="86" t="e" cm="1">
        <f t="array" aca="1" ref="AN664" ca="1">_xll.VisibleAlpha.UDF.VAData($B$657,AN$658,$B664,AN$660,$B$660,$B$659,$B$658)</f>
        <v>#NAME?</v>
      </c>
      <c r="AO664" s="86" t="e" cm="1">
        <f t="array" aca="1" ref="AO664" ca="1">_xll.VisibleAlpha.UDF.VAData($B$657,AO$658,$B664,AO$660,$B$660,$B$659,$B$658)</f>
        <v>#NAME?</v>
      </c>
      <c r="AP664" s="86" t="e" cm="1">
        <f t="array" aca="1" ref="AP664" ca="1">_xll.VisibleAlpha.UDF.VAData($B$657,AP$658,$B664,AP$660,$B$660,$B$659,$B$658)</f>
        <v>#NAME?</v>
      </c>
      <c r="AQ664" s="86" t="e" cm="1">
        <f t="array" aca="1" ref="AQ664" ca="1">_xll.VisibleAlpha.UDF.VAData($B$657,AQ$658,$B664,AQ$660,$B$660,$B$659,$B$658)</f>
        <v>#NAME?</v>
      </c>
      <c r="AR664" s="86" t="e" cm="1">
        <f t="array" aca="1" ref="AR664" ca="1">_xll.VisibleAlpha.UDF.VAData($B$657,AR$658,$B664,AR$660,$B$660,$B$659,$B$658)</f>
        <v>#NAME?</v>
      </c>
      <c r="AS664" s="86" t="e" cm="1">
        <f t="array" aca="1" ref="AS664" ca="1">_xll.VisibleAlpha.UDF.VAData($B$657,AS$658,$B664,AS$660,$B$660,$B$659,$B$658)</f>
        <v>#NAME?</v>
      </c>
      <c r="AT664" s="86" t="e" cm="1">
        <f t="array" aca="1" ref="AT664" ca="1">_xll.VisibleAlpha.UDF.VAData($B$657,AT$658,$B664,AT$660,$B$660,$B$659,$B$658)</f>
        <v>#NAME?</v>
      </c>
      <c r="AU664" s="86" t="e" cm="1">
        <f t="array" aca="1" ref="AU664" ca="1">_xll.VisibleAlpha.UDF.VAData($B$657,AU$658,$B664,AU$660,$B$660,$B$659,$B$658)</f>
        <v>#NAME?</v>
      </c>
      <c r="AV664" s="86" t="e" cm="1">
        <f t="array" aca="1" ref="AV664" ca="1">_xll.VisibleAlpha.UDF.VAData($B$657,AV$658,$B664,AV$660,$B$660,$B$659,$B$658)</f>
        <v>#NAME?</v>
      </c>
      <c r="AW664" s="86" t="e" cm="1">
        <f t="array" aca="1" ref="AW664" ca="1">_xll.VisibleAlpha.UDF.VAData($B$657,AW$658,$B664,AW$660,$B$660,$B$659,$B$658)</f>
        <v>#NAME?</v>
      </c>
      <c r="AX664" s="86" t="e" cm="1">
        <f t="array" aca="1" ref="AX664" ca="1">_xll.VisibleAlpha.UDF.VAData($B$657,AX$658,$B664,AX$660,$B$660,$B$659,$B$658)</f>
        <v>#NAME?</v>
      </c>
      <c r="AY664" s="86" t="e" cm="1">
        <f t="array" aca="1" ref="AY664" ca="1">_xll.VisibleAlpha.UDF.VAData($B$657,AY$658,$B664,AY$660,$B$660,$B$659,$B$658)</f>
        <v>#NAME?</v>
      </c>
      <c r="AZ664" s="86" t="e" cm="1">
        <f t="array" aca="1" ref="AZ664" ca="1">_xll.VisibleAlpha.UDF.VAData($B$657,AZ$658,$B664,AZ$660,$B$660,$B$659,$B$658)</f>
        <v>#NAME?</v>
      </c>
      <c r="BA664" s="86" t="e" cm="1">
        <f t="array" aca="1" ref="BA664" ca="1">_xll.VisibleAlpha.UDF.VAData($B$657,BA$658,$B664,BA$660,$B$660,$B$659,$B$658)</f>
        <v>#NAME?</v>
      </c>
      <c r="BB664" s="86" t="e" cm="1">
        <f t="array" aca="1" ref="BB664" ca="1">_xll.VisibleAlpha.UDF.VAData($B$657,BB$658,$B664,BB$660,$B$660,$B$659,$B$658)</f>
        <v>#NAME?</v>
      </c>
      <c r="BC664" s="86" t="e" cm="1">
        <f t="array" aca="1" ref="BC664" ca="1">_xll.VisibleAlpha.UDF.VAData($B$657,BC$658,$B664,BC$660,$B$660,$B$659,$B$658)</f>
        <v>#NAME?</v>
      </c>
      <c r="BD664" s="86" t="e" cm="1">
        <f t="array" aca="1" ref="BD664" ca="1">_xll.VisibleAlpha.UDF.VAData($B$657,BD$658,$B664,BD$660,$B$660,$B$659,$B$658)</f>
        <v>#NAME?</v>
      </c>
      <c r="BE664" s="86" t="e" cm="1">
        <f t="array" aca="1" ref="BE664" ca="1">_xll.VisibleAlpha.UDF.VAData($B$657,BE$658,$B664,BE$660,$B$660,$B$659,$B$658)</f>
        <v>#NAME?</v>
      </c>
      <c r="BF664" s="86" t="e" cm="1">
        <f t="array" aca="1" ref="BF664" ca="1">_xll.VisibleAlpha.UDF.VAData($B$657,BF$658,$B664,BF$660,$B$660,$B$659,$B$658)</f>
        <v>#NAME?</v>
      </c>
      <c r="BG664" s="86" t="e" cm="1">
        <f t="array" aca="1" ref="BG664" ca="1">_xll.VisibleAlpha.UDF.VAData($B$657,BG$658,$B664,BG$660,$B$660,$B$659,$B$658)</f>
        <v>#NAME?</v>
      </c>
      <c r="BH664" s="220" t="e" cm="1">
        <f t="array" aca="1" ref="BH664" ca="1">_xll.VisibleAlpha.UDF.VAData($B$657,BH$658,$B664,BH$660,$B$660,$B$659,$B$658)</f>
        <v>#NAME?</v>
      </c>
      <c r="BI664" s="220" t="e" cm="1">
        <f t="array" aca="1" ref="BI664" ca="1">_xll.VisibleAlpha.UDF.VAData($B$657,BI$658,$B664,BI$660,$B$660,$B$659,$B$658)</f>
        <v>#NAME?</v>
      </c>
      <c r="BJ664" s="220" t="e" cm="1">
        <f t="array" aca="1" ref="BJ664" ca="1">_xll.VisibleAlpha.UDF.VAData($B$657,BJ$658,$B664,BJ$660,$B$660,$B$659,$B$658)</f>
        <v>#NAME?</v>
      </c>
      <c r="BK664" s="220" t="e" cm="1">
        <f t="array" aca="1" ref="BK664" ca="1">_xll.VisibleAlpha.UDF.VAData($B$657,BK$658,$B664,BK$660,$B$660,$B$659,$B$658)</f>
        <v>#NAME?</v>
      </c>
      <c r="BL664" s="220" t="e" cm="1">
        <f t="array" aca="1" ref="BL664" ca="1">_xll.VisibleAlpha.UDF.VAData($B$657,BL$658,$B664,BL$660,$B$660,$B$659,$B$658)</f>
        <v>#NAME?</v>
      </c>
      <c r="BM664" s="220" t="e" cm="1">
        <f t="array" aca="1" ref="BM664" ca="1">_xll.VisibleAlpha.UDF.VAData($B$657,BM$658,$B664,BM$660,$B$660,$B$659,$B$658)</f>
        <v>#NAME?</v>
      </c>
      <c r="BN664" s="220" t="e" cm="1">
        <f t="array" aca="1" ref="BN664" ca="1">_xll.VisibleAlpha.UDF.VAData($B$657,BN$658,$B664,BN$660,$B$660,$B$659,$B$658)</f>
        <v>#NAME?</v>
      </c>
      <c r="BO664" s="220" t="e" cm="1">
        <f t="array" aca="1" ref="BO664" ca="1">_xll.VisibleAlpha.UDF.VAData($B$657,BO$658,$B664,BO$660,$B$660,$B$659,$B$658)</f>
        <v>#NAME?</v>
      </c>
      <c r="BP664" s="220" t="e" cm="1">
        <f t="array" aca="1" ref="BP664" ca="1">_xll.VisibleAlpha.UDF.VAData($B$657,BP$658,$B664,BP$660,$B$660,$B$659,$B$658)</f>
        <v>#NAME?</v>
      </c>
      <c r="BQ664" s="220" t="e" cm="1">
        <f t="array" aca="1" ref="BQ664" ca="1">_xll.VisibleAlpha.UDF.VAData($B$657,BQ$658,$B664,BQ$660,$B$660,$B$659,$B$658)</f>
        <v>#NAME?</v>
      </c>
      <c r="BR664" s="220" t="e" cm="1">
        <f t="array" aca="1" ref="BR664" ca="1">_xll.VisibleAlpha.UDF.VAData($B$657,BR$658,$B664,BR$660,$B$660,$B$659,$B$658)</f>
        <v>#NAME?</v>
      </c>
      <c r="BS664" s="220" t="e" cm="1">
        <f t="array" aca="1" ref="BS664" ca="1">_xll.VisibleAlpha.UDF.VAData($B$657,BS$658,$B664,BS$660,$B$660,$B$659,$B$658)</f>
        <v>#NAME?</v>
      </c>
      <c r="BT664" s="220" t="e" cm="1">
        <f t="array" aca="1" ref="BT664" ca="1">_xll.VisibleAlpha.UDF.VAData($B$657,BT$658,$B664,BT$660,$B$660,$B$659,$B$658)</f>
        <v>#NAME?</v>
      </c>
      <c r="BU664" s="220" t="e" cm="1">
        <f t="array" aca="1" ref="BU664" ca="1">_xll.VisibleAlpha.UDF.VAData($B$657,BU$658,$B664,BU$660,$B$660,$B$659,$B$658)</f>
        <v>#NAME?</v>
      </c>
      <c r="BV664" s="220" t="e" cm="1">
        <f t="array" aca="1" ref="BV664" ca="1">_xll.VisibleAlpha.UDF.VAData($B$657,BV$658,$B664,BV$660,$B$660,$B$659,$B$658)</f>
        <v>#NAME?</v>
      </c>
      <c r="BW664" s="220" t="e" cm="1">
        <f t="array" aca="1" ref="BW664" ca="1">_xll.VisibleAlpha.UDF.VAData($B$657,BW$658,$B664,BW$660,$B$660,$B$659,$B$658)</f>
        <v>#NAME?</v>
      </c>
      <c r="BX664" s="220" t="e" cm="1">
        <f t="array" aca="1" ref="BX664" ca="1">_xll.VisibleAlpha.UDF.VAData($B$657,BX$658,$B664,BX$660,$B$660,$B$659,$B$658)</f>
        <v>#NAME?</v>
      </c>
      <c r="BY664" s="220" t="e" cm="1">
        <f t="array" aca="1" ref="BY664" ca="1">_xll.VisibleAlpha.UDF.VAData($B$657,BY$658,$B664,BY$660,$B$660,$B$659,$B$658)</f>
        <v>#NAME?</v>
      </c>
      <c r="BZ664" s="220" t="e" cm="1">
        <f t="array" aca="1" ref="BZ664" ca="1">_xll.VisibleAlpha.UDF.VAData($B$657,BZ$658,$B664,BZ$660,$B$660,$B$659,$B$658)</f>
        <v>#NAME?</v>
      </c>
      <c r="CA664" s="84" t="e" cm="1">
        <f t="array" aca="1" ref="CA664" ca="1">_xll.VisibleAlpha.UDF.VAData($B$657,CA$658,$B664,CA$660,$B$660,$B$659,$B$658)</f>
        <v>#NAME?</v>
      </c>
      <c r="CB664" s="86" t="e" cm="1">
        <f t="array" aca="1" ref="CB664" ca="1">_xll.VisibleAlpha.UDF.VAData($B$657,CB$658,$B664,CB$660,$B$660,$B$659,$B$658)</f>
        <v>#NAME?</v>
      </c>
      <c r="CC664" s="86" t="e" cm="1">
        <f t="array" aca="1" ref="CC664" ca="1">_xll.VisibleAlpha.UDF.VAData($B$657,CC$658,$B664,CC$660,$B$660,$B$659,$B$658)</f>
        <v>#NAME?</v>
      </c>
      <c r="CD664" s="86" t="e" cm="1">
        <f t="array" aca="1" ref="CD664" ca="1">_xll.VisibleAlpha.UDF.VAData($B$657,CD$658,$B664,CD$660,$B$660,$B$659,$B$658)</f>
        <v>#NAME?</v>
      </c>
      <c r="CE664"/>
      <c r="CF664" s="86" t="e" cm="1">
        <f t="array" aca="1" ref="CF664" ca="1">_xll.VisibleAlpha.UDF.VAData($B$657,CF$658,$B664,CF$660,$B$660,$B$659,$B$658)</f>
        <v>#NAME?</v>
      </c>
      <c r="CG664" s="86" t="e" cm="1">
        <f t="array" aca="1" ref="CG664" ca="1">_xll.VisibleAlpha.UDF.VAData($B$657,CG$658,$B664,CG$660,$B$660,$B$659,$B$658)</f>
        <v>#NAME?</v>
      </c>
      <c r="CH664" s="86" t="e" cm="1">
        <f t="array" aca="1" ref="CH664" ca="1">_xll.VisibleAlpha.UDF.VAData($B$657,CH$658,$B664,CH$660,$B$660,$B$659,$B$658)</f>
        <v>#NAME?</v>
      </c>
      <c r="CI664" s="86" t="e" cm="1">
        <f t="array" aca="1" ref="CI664" ca="1">_xll.VisibleAlpha.UDF.VAData($B$657,CI$658,$B664,CI$660,$B$660,$B$659,$B$658)</f>
        <v>#NAME?</v>
      </c>
      <c r="CJ664" s="86" t="e" cm="1">
        <f t="array" aca="1" ref="CJ664" ca="1">_xll.VisibleAlpha.UDF.VAData($B$657,CJ$658,$B664,CJ$660,$B$660,$B$659,$B$658)</f>
        <v>#NAME?</v>
      </c>
      <c r="CK664" s="86" t="e" cm="1">
        <f t="array" aca="1" ref="CK664" ca="1">_xll.VisibleAlpha.UDF.VAData($B$657,CK$658,$B664,CK$660,$B$660,$B$659,$B$658)</f>
        <v>#NAME?</v>
      </c>
      <c r="CL664" s="86" t="e" cm="1">
        <f t="array" aca="1" ref="CL664" ca="1">_xll.VisibleAlpha.UDF.VAData($B$657,CL$658,$B664,CL$660,$B$660,$B$659,$B$658)</f>
        <v>#NAME?</v>
      </c>
      <c r="CM664" s="86" t="e" cm="1">
        <f t="array" aca="1" ref="CM664" ca="1">_xll.VisibleAlpha.UDF.VAData($B$657,CM$658,$B664,CM$660,$B$660,$B$659,$B$658)</f>
        <v>#NAME?</v>
      </c>
      <c r="CN664" s="86" t="e" cm="1">
        <f t="array" aca="1" ref="CN664" ca="1">_xll.VisibleAlpha.UDF.VAData($B$657,CN$658,$B664,CN$660,$B$660,$B$659,$B$658)</f>
        <v>#NAME?</v>
      </c>
      <c r="CO664" s="220" t="e" cm="1">
        <f t="array" aca="1" ref="CO664" ca="1">_xll.VisibleAlpha.UDF.VAData($B$657,CO$658,$B664,CO$660,$B$660,$B$659,$B$658)</f>
        <v>#NAME?</v>
      </c>
      <c r="CP664" s="220" t="e" cm="1">
        <f t="array" aca="1" ref="CP664" ca="1">_xll.VisibleAlpha.UDF.VAData($B$657,CP$658,$B664,CP$660,$B$660,$B$659,$B$658)</f>
        <v>#NAME?</v>
      </c>
      <c r="CQ664" s="220" t="e" cm="1">
        <f t="array" aca="1" ref="CQ664" ca="1">_xll.VisibleAlpha.UDF.VAData($B$657,CQ$658,$B664,CQ$660,$B$660,$B$659,$B$658)</f>
        <v>#NAME?</v>
      </c>
      <c r="CR664" s="220" t="e" cm="1">
        <f t="array" aca="1" ref="CR664" ca="1">_xll.VisibleAlpha.UDF.VAData($B$657,CR$658,$B664,CR$660,$B$660,$B$659,$B$658)</f>
        <v>#NAME?</v>
      </c>
      <c r="CS664" s="220" t="e" cm="1">
        <f t="array" aca="1" ref="CS664" ca="1">_xll.VisibleAlpha.UDF.VAData($B$657,CS$658,$B664,CS$660,$B$660,$B$659,$B$658)</f>
        <v>#NAME?</v>
      </c>
      <c r="CT664" s="220" t="e" cm="1">
        <f t="array" aca="1" ref="CT664" ca="1">_xll.VisibleAlpha.UDF.VAData($B$657,CT$658,$B664,CT$660,$B$660,$B$659,$B$658)</f>
        <v>#NAME?</v>
      </c>
      <c r="CU664" s="220" t="e" cm="1">
        <f t="array" aca="1" ref="CU664" ca="1">_xll.VisibleAlpha.UDF.VAData($B$657,CU$658,$B664,CU$660,$B$660,$B$659,$B$658)</f>
        <v>#NAME?</v>
      </c>
      <c r="CV664" s="220" t="e" cm="1">
        <f t="array" aca="1" ref="CV664" ca="1">_xll.VisibleAlpha.UDF.VAData($B$657,CV$658,$B664,CV$660,$B$660,$B$659,$B$658)</f>
        <v>#NAME?</v>
      </c>
      <c r="CW664" s="220" t="e" cm="1">
        <f t="array" aca="1" ref="CW664" ca="1">_xll.VisibleAlpha.UDF.VAData($B$657,CW$658,$B664,CW$660,$B$660,$B$659,$B$658)</f>
        <v>#NAME?</v>
      </c>
      <c r="CX664" s="220" t="e" cm="1">
        <f t="array" aca="1" ref="CX664" ca="1">_xll.VisibleAlpha.UDF.VAData($B$657,CX$658,$B664,CX$660,$B$660,$B$659,$B$658)</f>
        <v>#NAME?</v>
      </c>
    </row>
    <row r="665" spans="1:102" s="84" customFormat="1" x14ac:dyDescent="0.25">
      <c r="A665" s="218"/>
      <c r="B665" s="219" t="s">
        <v>444</v>
      </c>
      <c r="C665" s="219"/>
      <c r="D665" s="219"/>
      <c r="E665" s="219"/>
      <c r="F665" s="219"/>
      <c r="G665" s="219"/>
      <c r="H665" s="219"/>
      <c r="I665" s="219"/>
      <c r="J665" s="219"/>
      <c r="K665" s="219"/>
      <c r="L665" s="219"/>
      <c r="M665" s="219"/>
      <c r="N665" s="219"/>
      <c r="O665" s="219"/>
      <c r="P665" s="219"/>
      <c r="Q665" s="219"/>
      <c r="R665" s="219"/>
      <c r="S665" s="220" t="e" cm="1">
        <f t="array" aca="1" ref="S665" ca="1">_xll.VisibleAlpha.UDF.VAData($B$657,S$658,$B665,S$660,$B$660,$B$659,$B$658)</f>
        <v>#NAME?</v>
      </c>
      <c r="T665" s="86" t="e" cm="1">
        <f t="array" aca="1" ref="T665" ca="1">_xll.VisibleAlpha.UDF.VAData($B$657,T$658,$B665,T$660,$B$660,$B$659,$B$658)</f>
        <v>#NAME?</v>
      </c>
      <c r="U665" s="86" t="e" cm="1">
        <f t="array" aca="1" ref="U665" ca="1">_xll.VisibleAlpha.UDF.VAData($B$657,U$658,$B665,U$660,$B$660,$B$659,$B$658)</f>
        <v>#NAME?</v>
      </c>
      <c r="V665" s="86" t="e" cm="1">
        <f t="array" aca="1" ref="V665" ca="1">_xll.VisibleAlpha.UDF.VAData($B$657,V$658,$B665,V$660,$B$660,$B$659,$B$658)</f>
        <v>#NAME?</v>
      </c>
      <c r="W665" s="86" t="e" cm="1">
        <f t="array" aca="1" ref="W665" ca="1">_xll.VisibleAlpha.UDF.VAData($B$657,W$658,$B665,W$660,$B$660,$B$659,$B$658)</f>
        <v>#NAME?</v>
      </c>
      <c r="X665" s="86" t="e" cm="1">
        <f t="array" aca="1" ref="X665" ca="1">_xll.VisibleAlpha.UDF.VAData($B$657,X$658,$B665,X$660,$B$660,$B$659,$B$658)</f>
        <v>#NAME?</v>
      </c>
      <c r="Y665" s="86" t="e" cm="1">
        <f t="array" aca="1" ref="Y665" ca="1">_xll.VisibleAlpha.UDF.VAData($B$657,Y$658,$B665,Y$660,$B$660,$B$659,$B$658)</f>
        <v>#NAME?</v>
      </c>
      <c r="Z665" s="86" t="e" cm="1">
        <f t="array" aca="1" ref="Z665" ca="1">_xll.VisibleAlpha.UDF.VAData($B$657,Z$658,$B665,Z$660,$B$660,$B$659,$B$658)</f>
        <v>#NAME?</v>
      </c>
      <c r="AA665" s="86" t="e" cm="1">
        <f t="array" aca="1" ref="AA665" ca="1">_xll.VisibleAlpha.UDF.VAData($B$657,AA$658,$B665,AA$660,$B$660,$B$659,$B$658)</f>
        <v>#NAME?</v>
      </c>
      <c r="AB665" s="86" t="e" cm="1">
        <f t="array" aca="1" ref="AB665" ca="1">_xll.VisibleAlpha.UDF.VAData($B$657,AB$658,$B665,AB$660,$B$660,$B$659,$B$658)</f>
        <v>#NAME?</v>
      </c>
      <c r="AC665" s="86" t="e" cm="1">
        <f t="array" aca="1" ref="AC665" ca="1">_xll.VisibleAlpha.UDF.VAData($B$657,AC$658,$B665,AC$660,$B$660,$B$659,$B$658)</f>
        <v>#NAME?</v>
      </c>
      <c r="AD665" s="86" t="e" cm="1">
        <f t="array" aca="1" ref="AD665" ca="1">_xll.VisibleAlpha.UDF.VAData($B$657,AD$658,$B665,AD$660,$B$660,$B$659,$B$658)</f>
        <v>#NAME?</v>
      </c>
      <c r="AE665" s="86" t="e" cm="1">
        <f t="array" aca="1" ref="AE665" ca="1">_xll.VisibleAlpha.UDF.VAData($B$657,AE$658,$B665,AE$660,$B$660,$B$659,$B$658)</f>
        <v>#NAME?</v>
      </c>
      <c r="AF665" s="86" t="e" cm="1">
        <f t="array" aca="1" ref="AF665" ca="1">_xll.VisibleAlpha.UDF.VAData($B$657,AF$658,$B665,AF$660,$B$660,$B$659,$B$658)</f>
        <v>#NAME?</v>
      </c>
      <c r="AG665" s="86" t="e" cm="1">
        <f t="array" aca="1" ref="AG665" ca="1">_xll.VisibleAlpha.UDF.VAData($B$657,AG$658,$B665,AG$660,$B$660,$B$659,$B$658)</f>
        <v>#NAME?</v>
      </c>
      <c r="AH665" s="86" t="e" cm="1">
        <f t="array" aca="1" ref="AH665" ca="1">_xll.VisibleAlpha.UDF.VAData($B$657,AH$658,$B665,AH$660,$B$660,$B$659,$B$658)</f>
        <v>#NAME?</v>
      </c>
      <c r="AI665" s="86" t="e" cm="1">
        <f t="array" aca="1" ref="AI665" ca="1">_xll.VisibleAlpha.UDF.VAData($B$657,AI$658,$B665,AI$660,$B$660,$B$659,$B$658)</f>
        <v>#NAME?</v>
      </c>
      <c r="AJ665" s="86" t="e" cm="1">
        <f t="array" aca="1" ref="AJ665" ca="1">_xll.VisibleAlpha.UDF.VAData($B$657,AJ$658,$B665,AJ$660,$B$660,$B$659,$B$658)</f>
        <v>#NAME?</v>
      </c>
      <c r="AK665" s="86" t="e" cm="1">
        <f t="array" aca="1" ref="AK665" ca="1">_xll.VisibleAlpha.UDF.VAData($B$657,AK$658,$B665,AK$660,$B$660,$B$659,$B$658)</f>
        <v>#NAME?</v>
      </c>
      <c r="AL665" s="86" t="e" cm="1">
        <f t="array" aca="1" ref="AL665" ca="1">_xll.VisibleAlpha.UDF.VAData($B$657,AL$658,$B665,AL$660,$B$660,$B$659,$B$658)</f>
        <v>#NAME?</v>
      </c>
      <c r="AM665" s="86" t="e" cm="1">
        <f t="array" aca="1" ref="AM665" ca="1">_xll.VisibleAlpha.UDF.VAData($B$657,AM$658,$B665,AM$660,$B$660,$B$659,$B$658)</f>
        <v>#NAME?</v>
      </c>
      <c r="AN665" s="86" t="e" cm="1">
        <f t="array" aca="1" ref="AN665" ca="1">_xll.VisibleAlpha.UDF.VAData($B$657,AN$658,$B665,AN$660,$B$660,$B$659,$B$658)</f>
        <v>#NAME?</v>
      </c>
      <c r="AO665" s="86" t="e" cm="1">
        <f t="array" aca="1" ref="AO665" ca="1">_xll.VisibleAlpha.UDF.VAData($B$657,AO$658,$B665,AO$660,$B$660,$B$659,$B$658)</f>
        <v>#NAME?</v>
      </c>
      <c r="AP665" s="86" t="e" cm="1">
        <f t="array" aca="1" ref="AP665" ca="1">_xll.VisibleAlpha.UDF.VAData($B$657,AP$658,$B665,AP$660,$B$660,$B$659,$B$658)</f>
        <v>#NAME?</v>
      </c>
      <c r="AQ665" s="86" t="e" cm="1">
        <f t="array" aca="1" ref="AQ665" ca="1">_xll.VisibleAlpha.UDF.VAData($B$657,AQ$658,$B665,AQ$660,$B$660,$B$659,$B$658)</f>
        <v>#NAME?</v>
      </c>
      <c r="AR665" s="86" t="e" cm="1">
        <f t="array" aca="1" ref="AR665" ca="1">_xll.VisibleAlpha.UDF.VAData($B$657,AR$658,$B665,AR$660,$B$660,$B$659,$B$658)</f>
        <v>#NAME?</v>
      </c>
      <c r="AS665" s="86" t="e" cm="1">
        <f t="array" aca="1" ref="AS665" ca="1">_xll.VisibleAlpha.UDF.VAData($B$657,AS$658,$B665,AS$660,$B$660,$B$659,$B$658)</f>
        <v>#NAME?</v>
      </c>
      <c r="AT665" s="86" t="e" cm="1">
        <f t="array" aca="1" ref="AT665" ca="1">_xll.VisibleAlpha.UDF.VAData($B$657,AT$658,$B665,AT$660,$B$660,$B$659,$B$658)</f>
        <v>#NAME?</v>
      </c>
      <c r="AU665" s="86" t="e" cm="1">
        <f t="array" aca="1" ref="AU665" ca="1">_xll.VisibleAlpha.UDF.VAData($B$657,AU$658,$B665,AU$660,$B$660,$B$659,$B$658)</f>
        <v>#NAME?</v>
      </c>
      <c r="AV665" s="86" t="e" cm="1">
        <f t="array" aca="1" ref="AV665" ca="1">_xll.VisibleAlpha.UDF.VAData($B$657,AV$658,$B665,AV$660,$B$660,$B$659,$B$658)</f>
        <v>#NAME?</v>
      </c>
      <c r="AW665" s="86" t="e" cm="1">
        <f t="array" aca="1" ref="AW665" ca="1">_xll.VisibleAlpha.UDF.VAData($B$657,AW$658,$B665,AW$660,$B$660,$B$659,$B$658)</f>
        <v>#NAME?</v>
      </c>
      <c r="AX665" s="86" t="e" cm="1">
        <f t="array" aca="1" ref="AX665" ca="1">_xll.VisibleAlpha.UDF.VAData($B$657,AX$658,$B665,AX$660,$B$660,$B$659,$B$658)</f>
        <v>#NAME?</v>
      </c>
      <c r="AY665" s="86" t="e" cm="1">
        <f t="array" aca="1" ref="AY665" ca="1">_xll.VisibleAlpha.UDF.VAData($B$657,AY$658,$B665,AY$660,$B$660,$B$659,$B$658)</f>
        <v>#NAME?</v>
      </c>
      <c r="AZ665" s="86" t="e" cm="1">
        <f t="array" aca="1" ref="AZ665" ca="1">_xll.VisibleAlpha.UDF.VAData($B$657,AZ$658,$B665,AZ$660,$B$660,$B$659,$B$658)</f>
        <v>#NAME?</v>
      </c>
      <c r="BA665" s="86" t="e" cm="1">
        <f t="array" aca="1" ref="BA665" ca="1">_xll.VisibleAlpha.UDF.VAData($B$657,BA$658,$B665,BA$660,$B$660,$B$659,$B$658)</f>
        <v>#NAME?</v>
      </c>
      <c r="BB665" s="86" t="e" cm="1">
        <f t="array" aca="1" ref="BB665" ca="1">_xll.VisibleAlpha.UDF.VAData($B$657,BB$658,$B665,BB$660,$B$660,$B$659,$B$658)</f>
        <v>#NAME?</v>
      </c>
      <c r="BC665" s="86" t="e" cm="1">
        <f t="array" aca="1" ref="BC665" ca="1">_xll.VisibleAlpha.UDF.VAData($B$657,BC$658,$B665,BC$660,$B$660,$B$659,$B$658)</f>
        <v>#NAME?</v>
      </c>
      <c r="BD665" s="86" t="e" cm="1">
        <f t="array" aca="1" ref="BD665" ca="1">_xll.VisibleAlpha.UDF.VAData($B$657,BD$658,$B665,BD$660,$B$660,$B$659,$B$658)</f>
        <v>#NAME?</v>
      </c>
      <c r="BE665" s="86" t="e" cm="1">
        <f t="array" aca="1" ref="BE665" ca="1">_xll.VisibleAlpha.UDF.VAData($B$657,BE$658,$B665,BE$660,$B$660,$B$659,$B$658)</f>
        <v>#NAME?</v>
      </c>
      <c r="BF665" s="86" t="e" cm="1">
        <f t="array" aca="1" ref="BF665" ca="1">_xll.VisibleAlpha.UDF.VAData($B$657,BF$658,$B665,BF$660,$B$660,$B$659,$B$658)</f>
        <v>#NAME?</v>
      </c>
      <c r="BG665" s="86" t="e" cm="1">
        <f t="array" aca="1" ref="BG665" ca="1">_xll.VisibleAlpha.UDF.VAData($B$657,BG$658,$B665,BG$660,$B$660,$B$659,$B$658)</f>
        <v>#NAME?</v>
      </c>
      <c r="BH665" s="220" t="e" cm="1">
        <f t="array" aca="1" ref="BH665" ca="1">_xll.VisibleAlpha.UDF.VAData($B$657,BH$658,$B665,BH$660,$B$660,$B$659,$B$658)</f>
        <v>#NAME?</v>
      </c>
      <c r="BI665" s="220" t="e" cm="1">
        <f t="array" aca="1" ref="BI665" ca="1">_xll.VisibleAlpha.UDF.VAData($B$657,BI$658,$B665,BI$660,$B$660,$B$659,$B$658)</f>
        <v>#NAME?</v>
      </c>
      <c r="BJ665" s="220" t="e" cm="1">
        <f t="array" aca="1" ref="BJ665" ca="1">_xll.VisibleAlpha.UDF.VAData($B$657,BJ$658,$B665,BJ$660,$B$660,$B$659,$B$658)</f>
        <v>#NAME?</v>
      </c>
      <c r="BK665" s="220" t="e" cm="1">
        <f t="array" aca="1" ref="BK665" ca="1">_xll.VisibleAlpha.UDF.VAData($B$657,BK$658,$B665,BK$660,$B$660,$B$659,$B$658)</f>
        <v>#NAME?</v>
      </c>
      <c r="BL665" s="220" t="e" cm="1">
        <f t="array" aca="1" ref="BL665" ca="1">_xll.VisibleAlpha.UDF.VAData($B$657,BL$658,$B665,BL$660,$B$660,$B$659,$B$658)</f>
        <v>#NAME?</v>
      </c>
      <c r="BM665" s="220" t="e" cm="1">
        <f t="array" aca="1" ref="BM665" ca="1">_xll.VisibleAlpha.UDF.VAData($B$657,BM$658,$B665,BM$660,$B$660,$B$659,$B$658)</f>
        <v>#NAME?</v>
      </c>
      <c r="BN665" s="220" t="e" cm="1">
        <f t="array" aca="1" ref="BN665" ca="1">_xll.VisibleAlpha.UDF.VAData($B$657,BN$658,$B665,BN$660,$B$660,$B$659,$B$658)</f>
        <v>#NAME?</v>
      </c>
      <c r="BO665" s="220" t="e" cm="1">
        <f t="array" aca="1" ref="BO665" ca="1">_xll.VisibleAlpha.UDF.VAData($B$657,BO$658,$B665,BO$660,$B$660,$B$659,$B$658)</f>
        <v>#NAME?</v>
      </c>
      <c r="BP665" s="220" t="e" cm="1">
        <f t="array" aca="1" ref="BP665" ca="1">_xll.VisibleAlpha.UDF.VAData($B$657,BP$658,$B665,BP$660,$B$660,$B$659,$B$658)</f>
        <v>#NAME?</v>
      </c>
      <c r="BQ665" s="220" t="e" cm="1">
        <f t="array" aca="1" ref="BQ665" ca="1">_xll.VisibleAlpha.UDF.VAData($B$657,BQ$658,$B665,BQ$660,$B$660,$B$659,$B$658)</f>
        <v>#NAME?</v>
      </c>
      <c r="BR665" s="220" t="e" cm="1">
        <f t="array" aca="1" ref="BR665" ca="1">_xll.VisibleAlpha.UDF.VAData($B$657,BR$658,$B665,BR$660,$B$660,$B$659,$B$658)</f>
        <v>#NAME?</v>
      </c>
      <c r="BS665" s="220" t="e" cm="1">
        <f t="array" aca="1" ref="BS665" ca="1">_xll.VisibleAlpha.UDF.VAData($B$657,BS$658,$B665,BS$660,$B$660,$B$659,$B$658)</f>
        <v>#NAME?</v>
      </c>
      <c r="BT665" s="220" t="e" cm="1">
        <f t="array" aca="1" ref="BT665" ca="1">_xll.VisibleAlpha.UDF.VAData($B$657,BT$658,$B665,BT$660,$B$660,$B$659,$B$658)</f>
        <v>#NAME?</v>
      </c>
      <c r="BU665" s="220" t="e" cm="1">
        <f t="array" aca="1" ref="BU665" ca="1">_xll.VisibleAlpha.UDF.VAData($B$657,BU$658,$B665,BU$660,$B$660,$B$659,$B$658)</f>
        <v>#NAME?</v>
      </c>
      <c r="BV665" s="220" t="e" cm="1">
        <f t="array" aca="1" ref="BV665" ca="1">_xll.VisibleAlpha.UDF.VAData($B$657,BV$658,$B665,BV$660,$B$660,$B$659,$B$658)</f>
        <v>#NAME?</v>
      </c>
      <c r="BW665" s="220" t="e" cm="1">
        <f t="array" aca="1" ref="BW665" ca="1">_xll.VisibleAlpha.UDF.VAData($B$657,BW$658,$B665,BW$660,$B$660,$B$659,$B$658)</f>
        <v>#NAME?</v>
      </c>
      <c r="BX665" s="220" t="e" cm="1">
        <f t="array" aca="1" ref="BX665" ca="1">_xll.VisibleAlpha.UDF.VAData($B$657,BX$658,$B665,BX$660,$B$660,$B$659,$B$658)</f>
        <v>#NAME?</v>
      </c>
      <c r="BY665" s="220" t="e" cm="1">
        <f t="array" aca="1" ref="BY665" ca="1">_xll.VisibleAlpha.UDF.VAData($B$657,BY$658,$B665,BY$660,$B$660,$B$659,$B$658)</f>
        <v>#NAME?</v>
      </c>
      <c r="BZ665" s="220" t="e" cm="1">
        <f t="array" aca="1" ref="BZ665" ca="1">_xll.VisibleAlpha.UDF.VAData($B$657,BZ$658,$B665,BZ$660,$B$660,$B$659,$B$658)</f>
        <v>#NAME?</v>
      </c>
      <c r="CA665" s="84" t="e" cm="1">
        <f t="array" aca="1" ref="CA665" ca="1">_xll.VisibleAlpha.UDF.VAData($B$657,CA$658,$B665,CA$660,$B$660,$B$659,$B$658)</f>
        <v>#NAME?</v>
      </c>
      <c r="CB665" s="86" t="e" cm="1">
        <f t="array" aca="1" ref="CB665" ca="1">_xll.VisibleAlpha.UDF.VAData($B$657,CB$658,$B665,CB$660,$B$660,$B$659,$B$658)</f>
        <v>#NAME?</v>
      </c>
      <c r="CC665" s="86" t="e" cm="1">
        <f t="array" aca="1" ref="CC665" ca="1">_xll.VisibleAlpha.UDF.VAData($B$657,CC$658,$B665,CC$660,$B$660,$B$659,$B$658)</f>
        <v>#NAME?</v>
      </c>
      <c r="CD665" s="86" t="e" cm="1">
        <f t="array" aca="1" ref="CD665" ca="1">_xll.VisibleAlpha.UDF.VAData($B$657,CD$658,$B665,CD$660,$B$660,$B$659,$B$658)</f>
        <v>#NAME?</v>
      </c>
      <c r="CE665"/>
      <c r="CF665" s="86" t="e" cm="1">
        <f t="array" aca="1" ref="CF665" ca="1">_xll.VisibleAlpha.UDF.VAData($B$657,CF$658,$B665,CF$660,$B$660,$B$659,$B$658)</f>
        <v>#NAME?</v>
      </c>
      <c r="CG665" s="86" t="e" cm="1">
        <f t="array" aca="1" ref="CG665" ca="1">_xll.VisibleAlpha.UDF.VAData($B$657,CG$658,$B665,CG$660,$B$660,$B$659,$B$658)</f>
        <v>#NAME?</v>
      </c>
      <c r="CH665" s="86" t="e" cm="1">
        <f t="array" aca="1" ref="CH665" ca="1">_xll.VisibleAlpha.UDF.VAData($B$657,CH$658,$B665,CH$660,$B$660,$B$659,$B$658)</f>
        <v>#NAME?</v>
      </c>
      <c r="CI665" s="86" t="e" cm="1">
        <f t="array" aca="1" ref="CI665" ca="1">_xll.VisibleAlpha.UDF.VAData($B$657,CI$658,$B665,CI$660,$B$660,$B$659,$B$658)</f>
        <v>#NAME?</v>
      </c>
      <c r="CJ665" s="86" t="e" cm="1">
        <f t="array" aca="1" ref="CJ665" ca="1">_xll.VisibleAlpha.UDF.VAData($B$657,CJ$658,$B665,CJ$660,$B$660,$B$659,$B$658)</f>
        <v>#NAME?</v>
      </c>
      <c r="CK665" s="86" t="e" cm="1">
        <f t="array" aca="1" ref="CK665" ca="1">_xll.VisibleAlpha.UDF.VAData($B$657,CK$658,$B665,CK$660,$B$660,$B$659,$B$658)</f>
        <v>#NAME?</v>
      </c>
      <c r="CL665" s="86" t="e" cm="1">
        <f t="array" aca="1" ref="CL665" ca="1">_xll.VisibleAlpha.UDF.VAData($B$657,CL$658,$B665,CL$660,$B$660,$B$659,$B$658)</f>
        <v>#NAME?</v>
      </c>
      <c r="CM665" s="86" t="e" cm="1">
        <f t="array" aca="1" ref="CM665" ca="1">_xll.VisibleAlpha.UDF.VAData($B$657,CM$658,$B665,CM$660,$B$660,$B$659,$B$658)</f>
        <v>#NAME?</v>
      </c>
      <c r="CN665" s="86" t="e" cm="1">
        <f t="array" aca="1" ref="CN665" ca="1">_xll.VisibleAlpha.UDF.VAData($B$657,CN$658,$B665,CN$660,$B$660,$B$659,$B$658)</f>
        <v>#NAME?</v>
      </c>
      <c r="CO665" s="220" t="e" cm="1">
        <f t="array" aca="1" ref="CO665" ca="1">_xll.VisibleAlpha.UDF.VAData($B$657,CO$658,$B665,CO$660,$B$660,$B$659,$B$658)</f>
        <v>#NAME?</v>
      </c>
      <c r="CP665" s="220" t="e" cm="1">
        <f t="array" aca="1" ref="CP665" ca="1">_xll.VisibleAlpha.UDF.VAData($B$657,CP$658,$B665,CP$660,$B$660,$B$659,$B$658)</f>
        <v>#NAME?</v>
      </c>
      <c r="CQ665" s="220" t="e" cm="1">
        <f t="array" aca="1" ref="CQ665" ca="1">_xll.VisibleAlpha.UDF.VAData($B$657,CQ$658,$B665,CQ$660,$B$660,$B$659,$B$658)</f>
        <v>#NAME?</v>
      </c>
      <c r="CR665" s="220" t="e" cm="1">
        <f t="array" aca="1" ref="CR665" ca="1">_xll.VisibleAlpha.UDF.VAData($B$657,CR$658,$B665,CR$660,$B$660,$B$659,$B$658)</f>
        <v>#NAME?</v>
      </c>
      <c r="CS665" s="220" t="e" cm="1">
        <f t="array" aca="1" ref="CS665" ca="1">_xll.VisibleAlpha.UDF.VAData($B$657,CS$658,$B665,CS$660,$B$660,$B$659,$B$658)</f>
        <v>#NAME?</v>
      </c>
      <c r="CT665" s="220" t="e" cm="1">
        <f t="array" aca="1" ref="CT665" ca="1">_xll.VisibleAlpha.UDF.VAData($B$657,CT$658,$B665,CT$660,$B$660,$B$659,$B$658)</f>
        <v>#NAME?</v>
      </c>
      <c r="CU665" s="220" t="e" cm="1">
        <f t="array" aca="1" ref="CU665" ca="1">_xll.VisibleAlpha.UDF.VAData($B$657,CU$658,$B665,CU$660,$B$660,$B$659,$B$658)</f>
        <v>#NAME?</v>
      </c>
      <c r="CV665" s="220" t="e" cm="1">
        <f t="array" aca="1" ref="CV665" ca="1">_xll.VisibleAlpha.UDF.VAData($B$657,CV$658,$B665,CV$660,$B$660,$B$659,$B$658)</f>
        <v>#NAME?</v>
      </c>
      <c r="CW665" s="220" t="e" cm="1">
        <f t="array" aca="1" ref="CW665" ca="1">_xll.VisibleAlpha.UDF.VAData($B$657,CW$658,$B665,CW$660,$B$660,$B$659,$B$658)</f>
        <v>#NAME?</v>
      </c>
      <c r="CX665" s="220" t="e" cm="1">
        <f t="array" aca="1" ref="CX665" ca="1">_xll.VisibleAlpha.UDF.VAData($B$657,CX$658,$B665,CX$660,$B$660,$B$659,$B$658)</f>
        <v>#NAME?</v>
      </c>
    </row>
    <row r="666" spans="1:102" s="84" customFormat="1" x14ac:dyDescent="0.25">
      <c r="A666" s="218"/>
      <c r="B666" s="219" t="s">
        <v>445</v>
      </c>
      <c r="C666" s="219"/>
      <c r="D666" s="219"/>
      <c r="E666" s="219"/>
      <c r="F666" s="219"/>
      <c r="G666" s="219"/>
      <c r="H666" s="219"/>
      <c r="I666" s="219"/>
      <c r="J666" s="219"/>
      <c r="K666" s="219"/>
      <c r="L666" s="219"/>
      <c r="M666" s="219"/>
      <c r="N666" s="219"/>
      <c r="O666" s="219"/>
      <c r="P666" s="219"/>
      <c r="Q666" s="219"/>
      <c r="R666" s="219"/>
      <c r="S666" s="220" t="e" cm="1">
        <f t="array" aca="1" ref="S666" ca="1">_xll.VisibleAlpha.UDF.VAData($B$657,S$658,$B666,S$660,$B$660,$B$659,$B$658)</f>
        <v>#NAME?</v>
      </c>
      <c r="T666" s="86" t="e" cm="1">
        <f t="array" aca="1" ref="T666" ca="1">_xll.VisibleAlpha.UDF.VAData($B$657,T$658,$B666,T$660,$B$660,$B$659,$B$658)</f>
        <v>#NAME?</v>
      </c>
      <c r="U666" s="86" t="e" cm="1">
        <f t="array" aca="1" ref="U666" ca="1">_xll.VisibleAlpha.UDF.VAData($B$657,U$658,$B666,U$660,$B$660,$B$659,$B$658)</f>
        <v>#NAME?</v>
      </c>
      <c r="V666" s="86" t="e" cm="1">
        <f t="array" aca="1" ref="V666" ca="1">_xll.VisibleAlpha.UDF.VAData($B$657,V$658,$B666,V$660,$B$660,$B$659,$B$658)</f>
        <v>#NAME?</v>
      </c>
      <c r="W666" s="86" t="e" cm="1">
        <f t="array" aca="1" ref="W666" ca="1">_xll.VisibleAlpha.UDF.VAData($B$657,W$658,$B666,W$660,$B$660,$B$659,$B$658)</f>
        <v>#NAME?</v>
      </c>
      <c r="X666" s="86" t="e" cm="1">
        <f t="array" aca="1" ref="X666" ca="1">_xll.VisibleAlpha.UDF.VAData($B$657,X$658,$B666,X$660,$B$660,$B$659,$B$658)</f>
        <v>#NAME?</v>
      </c>
      <c r="Y666" s="86" t="e" cm="1">
        <f t="array" aca="1" ref="Y666" ca="1">_xll.VisibleAlpha.UDF.VAData($B$657,Y$658,$B666,Y$660,$B$660,$B$659,$B$658)</f>
        <v>#NAME?</v>
      </c>
      <c r="Z666" s="86" t="e" cm="1">
        <f t="array" aca="1" ref="Z666" ca="1">_xll.VisibleAlpha.UDF.VAData($B$657,Z$658,$B666,Z$660,$B$660,$B$659,$B$658)</f>
        <v>#NAME?</v>
      </c>
      <c r="AA666" s="86" t="e" cm="1">
        <f t="array" aca="1" ref="AA666" ca="1">_xll.VisibleAlpha.UDF.VAData($B$657,AA$658,$B666,AA$660,$B$660,$B$659,$B$658)</f>
        <v>#NAME?</v>
      </c>
      <c r="AB666" s="86" t="e" cm="1">
        <f t="array" aca="1" ref="AB666" ca="1">_xll.VisibleAlpha.UDF.VAData($B$657,AB$658,$B666,AB$660,$B$660,$B$659,$B$658)</f>
        <v>#NAME?</v>
      </c>
      <c r="AC666" s="86" t="e" cm="1">
        <f t="array" aca="1" ref="AC666" ca="1">_xll.VisibleAlpha.UDF.VAData($B$657,AC$658,$B666,AC$660,$B$660,$B$659,$B$658)</f>
        <v>#NAME?</v>
      </c>
      <c r="AD666" s="86" t="e" cm="1">
        <f t="array" aca="1" ref="AD666" ca="1">_xll.VisibleAlpha.UDF.VAData($B$657,AD$658,$B666,AD$660,$B$660,$B$659,$B$658)</f>
        <v>#NAME?</v>
      </c>
      <c r="AE666" s="86" t="e" cm="1">
        <f t="array" aca="1" ref="AE666" ca="1">_xll.VisibleAlpha.UDF.VAData($B$657,AE$658,$B666,AE$660,$B$660,$B$659,$B$658)</f>
        <v>#NAME?</v>
      </c>
      <c r="AF666" s="86" t="e" cm="1">
        <f t="array" aca="1" ref="AF666" ca="1">_xll.VisibleAlpha.UDF.VAData($B$657,AF$658,$B666,AF$660,$B$660,$B$659,$B$658)</f>
        <v>#NAME?</v>
      </c>
      <c r="AG666" s="86" t="e" cm="1">
        <f t="array" aca="1" ref="AG666" ca="1">_xll.VisibleAlpha.UDF.VAData($B$657,AG$658,$B666,AG$660,$B$660,$B$659,$B$658)</f>
        <v>#NAME?</v>
      </c>
      <c r="AH666" s="86" t="e" cm="1">
        <f t="array" aca="1" ref="AH666" ca="1">_xll.VisibleAlpha.UDF.VAData($B$657,AH$658,$B666,AH$660,$B$660,$B$659,$B$658)</f>
        <v>#NAME?</v>
      </c>
      <c r="AI666" s="86" t="e" cm="1">
        <f t="array" aca="1" ref="AI666" ca="1">_xll.VisibleAlpha.UDF.VAData($B$657,AI$658,$B666,AI$660,$B$660,$B$659,$B$658)</f>
        <v>#NAME?</v>
      </c>
      <c r="AJ666" s="86" t="e" cm="1">
        <f t="array" aca="1" ref="AJ666" ca="1">_xll.VisibleAlpha.UDF.VAData($B$657,AJ$658,$B666,AJ$660,$B$660,$B$659,$B$658)</f>
        <v>#NAME?</v>
      </c>
      <c r="AK666" s="86" t="e" cm="1">
        <f t="array" aca="1" ref="AK666" ca="1">_xll.VisibleAlpha.UDF.VAData($B$657,AK$658,$B666,AK$660,$B$660,$B$659,$B$658)</f>
        <v>#NAME?</v>
      </c>
      <c r="AL666" s="86" t="e" cm="1">
        <f t="array" aca="1" ref="AL666" ca="1">_xll.VisibleAlpha.UDF.VAData($B$657,AL$658,$B666,AL$660,$B$660,$B$659,$B$658)</f>
        <v>#NAME?</v>
      </c>
      <c r="AM666" s="86" t="e" cm="1">
        <f t="array" aca="1" ref="AM666" ca="1">_xll.VisibleAlpha.UDF.VAData($B$657,AM$658,$B666,AM$660,$B$660,$B$659,$B$658)</f>
        <v>#NAME?</v>
      </c>
      <c r="AN666" s="86" t="e" cm="1">
        <f t="array" aca="1" ref="AN666" ca="1">_xll.VisibleAlpha.UDF.VAData($B$657,AN$658,$B666,AN$660,$B$660,$B$659,$B$658)</f>
        <v>#NAME?</v>
      </c>
      <c r="AO666" s="86" t="e" cm="1">
        <f t="array" aca="1" ref="AO666" ca="1">_xll.VisibleAlpha.UDF.VAData($B$657,AO$658,$B666,AO$660,$B$660,$B$659,$B$658)</f>
        <v>#NAME?</v>
      </c>
      <c r="AP666" s="86" t="e" cm="1">
        <f t="array" aca="1" ref="AP666" ca="1">_xll.VisibleAlpha.UDF.VAData($B$657,AP$658,$B666,AP$660,$B$660,$B$659,$B$658)</f>
        <v>#NAME?</v>
      </c>
      <c r="AQ666" s="86" t="e" cm="1">
        <f t="array" aca="1" ref="AQ666" ca="1">_xll.VisibleAlpha.UDF.VAData($B$657,AQ$658,$B666,AQ$660,$B$660,$B$659,$B$658)</f>
        <v>#NAME?</v>
      </c>
      <c r="AR666" s="86" t="e" cm="1">
        <f t="array" aca="1" ref="AR666" ca="1">_xll.VisibleAlpha.UDF.VAData($B$657,AR$658,$B666,AR$660,$B$660,$B$659,$B$658)</f>
        <v>#NAME?</v>
      </c>
      <c r="AS666" s="86" t="e" cm="1">
        <f t="array" aca="1" ref="AS666" ca="1">_xll.VisibleAlpha.UDF.VAData($B$657,AS$658,$B666,AS$660,$B$660,$B$659,$B$658)</f>
        <v>#NAME?</v>
      </c>
      <c r="AT666" s="86" t="e" cm="1">
        <f t="array" aca="1" ref="AT666" ca="1">_xll.VisibleAlpha.UDF.VAData($B$657,AT$658,$B666,AT$660,$B$660,$B$659,$B$658)</f>
        <v>#NAME?</v>
      </c>
      <c r="AU666" s="86" t="e" cm="1">
        <f t="array" aca="1" ref="AU666" ca="1">_xll.VisibleAlpha.UDF.VAData($B$657,AU$658,$B666,AU$660,$B$660,$B$659,$B$658)</f>
        <v>#NAME?</v>
      </c>
      <c r="AV666" s="86" t="e" cm="1">
        <f t="array" aca="1" ref="AV666" ca="1">_xll.VisibleAlpha.UDF.VAData($B$657,AV$658,$B666,AV$660,$B$660,$B$659,$B$658)</f>
        <v>#NAME?</v>
      </c>
      <c r="AW666" s="86" t="e" cm="1">
        <f t="array" aca="1" ref="AW666" ca="1">_xll.VisibleAlpha.UDF.VAData($B$657,AW$658,$B666,AW$660,$B$660,$B$659,$B$658)</f>
        <v>#NAME?</v>
      </c>
      <c r="AX666" s="86" t="e" cm="1">
        <f t="array" aca="1" ref="AX666" ca="1">_xll.VisibleAlpha.UDF.VAData($B$657,AX$658,$B666,AX$660,$B$660,$B$659,$B$658)</f>
        <v>#NAME?</v>
      </c>
      <c r="AY666" s="86" t="e" cm="1">
        <f t="array" aca="1" ref="AY666" ca="1">_xll.VisibleAlpha.UDF.VAData($B$657,AY$658,$B666,AY$660,$B$660,$B$659,$B$658)</f>
        <v>#NAME?</v>
      </c>
      <c r="AZ666" s="86" t="e" cm="1">
        <f t="array" aca="1" ref="AZ666" ca="1">_xll.VisibleAlpha.UDF.VAData($B$657,AZ$658,$B666,AZ$660,$B$660,$B$659,$B$658)</f>
        <v>#NAME?</v>
      </c>
      <c r="BA666" s="86" t="e" cm="1">
        <f t="array" aca="1" ref="BA666" ca="1">_xll.VisibleAlpha.UDF.VAData($B$657,BA$658,$B666,BA$660,$B$660,$B$659,$B$658)</f>
        <v>#NAME?</v>
      </c>
      <c r="BB666" s="86" t="e" cm="1">
        <f t="array" aca="1" ref="BB666" ca="1">_xll.VisibleAlpha.UDF.VAData($B$657,BB$658,$B666,BB$660,$B$660,$B$659,$B$658)</f>
        <v>#NAME?</v>
      </c>
      <c r="BC666" s="86" t="e" cm="1">
        <f t="array" aca="1" ref="BC666" ca="1">_xll.VisibleAlpha.UDF.VAData($B$657,BC$658,$B666,BC$660,$B$660,$B$659,$B$658)</f>
        <v>#NAME?</v>
      </c>
      <c r="BD666" s="86" t="e" cm="1">
        <f t="array" aca="1" ref="BD666" ca="1">_xll.VisibleAlpha.UDF.VAData($B$657,BD$658,$B666,BD$660,$B$660,$B$659,$B$658)</f>
        <v>#NAME?</v>
      </c>
      <c r="BE666" s="86" t="e" cm="1">
        <f t="array" aca="1" ref="BE666" ca="1">_xll.VisibleAlpha.UDF.VAData($B$657,BE$658,$B666,BE$660,$B$660,$B$659,$B$658)</f>
        <v>#NAME?</v>
      </c>
      <c r="BF666" s="86" t="e" cm="1">
        <f t="array" aca="1" ref="BF666" ca="1">_xll.VisibleAlpha.UDF.VAData($B$657,BF$658,$B666,BF$660,$B$660,$B$659,$B$658)</f>
        <v>#NAME?</v>
      </c>
      <c r="BG666" s="86" t="e" cm="1">
        <f t="array" aca="1" ref="BG666" ca="1">_xll.VisibleAlpha.UDF.VAData($B$657,BG$658,$B666,BG$660,$B$660,$B$659,$B$658)</f>
        <v>#NAME?</v>
      </c>
      <c r="BH666" s="220" t="e" cm="1">
        <f t="array" aca="1" ref="BH666" ca="1">_xll.VisibleAlpha.UDF.VAData($B$657,BH$658,$B666,BH$660,$B$660,$B$659,$B$658)</f>
        <v>#NAME?</v>
      </c>
      <c r="BI666" s="220" t="e" cm="1">
        <f t="array" aca="1" ref="BI666" ca="1">_xll.VisibleAlpha.UDF.VAData($B$657,BI$658,$B666,BI$660,$B$660,$B$659,$B$658)</f>
        <v>#NAME?</v>
      </c>
      <c r="BJ666" s="220" t="e" cm="1">
        <f t="array" aca="1" ref="BJ666" ca="1">_xll.VisibleAlpha.UDF.VAData($B$657,BJ$658,$B666,BJ$660,$B$660,$B$659,$B$658)</f>
        <v>#NAME?</v>
      </c>
      <c r="BK666" s="220" t="e" cm="1">
        <f t="array" aca="1" ref="BK666" ca="1">_xll.VisibleAlpha.UDF.VAData($B$657,BK$658,$B666,BK$660,$B$660,$B$659,$B$658)</f>
        <v>#NAME?</v>
      </c>
      <c r="BL666" s="220" t="e" cm="1">
        <f t="array" aca="1" ref="BL666" ca="1">_xll.VisibleAlpha.UDF.VAData($B$657,BL$658,$B666,BL$660,$B$660,$B$659,$B$658)</f>
        <v>#NAME?</v>
      </c>
      <c r="BM666" s="220" t="e" cm="1">
        <f t="array" aca="1" ref="BM666" ca="1">_xll.VisibleAlpha.UDF.VAData($B$657,BM$658,$B666,BM$660,$B$660,$B$659,$B$658)</f>
        <v>#NAME?</v>
      </c>
      <c r="BN666" s="220" t="e" cm="1">
        <f t="array" aca="1" ref="BN666" ca="1">_xll.VisibleAlpha.UDF.VAData($B$657,BN$658,$B666,BN$660,$B$660,$B$659,$B$658)</f>
        <v>#NAME?</v>
      </c>
      <c r="BO666" s="220" t="e" cm="1">
        <f t="array" aca="1" ref="BO666" ca="1">_xll.VisibleAlpha.UDF.VAData($B$657,BO$658,$B666,BO$660,$B$660,$B$659,$B$658)</f>
        <v>#NAME?</v>
      </c>
      <c r="BP666" s="220" t="e" cm="1">
        <f t="array" aca="1" ref="BP666" ca="1">_xll.VisibleAlpha.UDF.VAData($B$657,BP$658,$B666,BP$660,$B$660,$B$659,$B$658)</f>
        <v>#NAME?</v>
      </c>
      <c r="BQ666" s="220" t="e" cm="1">
        <f t="array" aca="1" ref="BQ666" ca="1">_xll.VisibleAlpha.UDF.VAData($B$657,BQ$658,$B666,BQ$660,$B$660,$B$659,$B$658)</f>
        <v>#NAME?</v>
      </c>
      <c r="BR666" s="220" t="e" cm="1">
        <f t="array" aca="1" ref="BR666" ca="1">_xll.VisibleAlpha.UDF.VAData($B$657,BR$658,$B666,BR$660,$B$660,$B$659,$B$658)</f>
        <v>#NAME?</v>
      </c>
      <c r="BS666" s="220" t="e" cm="1">
        <f t="array" aca="1" ref="BS666" ca="1">_xll.VisibleAlpha.UDF.VAData($B$657,BS$658,$B666,BS$660,$B$660,$B$659,$B$658)</f>
        <v>#NAME?</v>
      </c>
      <c r="BT666" s="220" t="e" cm="1">
        <f t="array" aca="1" ref="BT666" ca="1">_xll.VisibleAlpha.UDF.VAData($B$657,BT$658,$B666,BT$660,$B$660,$B$659,$B$658)</f>
        <v>#NAME?</v>
      </c>
      <c r="BU666" s="220" t="e" cm="1">
        <f t="array" aca="1" ref="BU666" ca="1">_xll.VisibleAlpha.UDF.VAData($B$657,BU$658,$B666,BU$660,$B$660,$B$659,$B$658)</f>
        <v>#NAME?</v>
      </c>
      <c r="BV666" s="220" t="e" cm="1">
        <f t="array" aca="1" ref="BV666" ca="1">_xll.VisibleAlpha.UDF.VAData($B$657,BV$658,$B666,BV$660,$B$660,$B$659,$B$658)</f>
        <v>#NAME?</v>
      </c>
      <c r="BW666" s="220" t="e" cm="1">
        <f t="array" aca="1" ref="BW666" ca="1">_xll.VisibleAlpha.UDF.VAData($B$657,BW$658,$B666,BW$660,$B$660,$B$659,$B$658)</f>
        <v>#NAME?</v>
      </c>
      <c r="BX666" s="220" t="e" cm="1">
        <f t="array" aca="1" ref="BX666" ca="1">_xll.VisibleAlpha.UDF.VAData($B$657,BX$658,$B666,BX$660,$B$660,$B$659,$B$658)</f>
        <v>#NAME?</v>
      </c>
      <c r="BY666" s="220" t="e" cm="1">
        <f t="array" aca="1" ref="BY666" ca="1">_xll.VisibleAlpha.UDF.VAData($B$657,BY$658,$B666,BY$660,$B$660,$B$659,$B$658)</f>
        <v>#NAME?</v>
      </c>
      <c r="BZ666" s="220" t="e" cm="1">
        <f t="array" aca="1" ref="BZ666" ca="1">_xll.VisibleAlpha.UDF.VAData($B$657,BZ$658,$B666,BZ$660,$B$660,$B$659,$B$658)</f>
        <v>#NAME?</v>
      </c>
      <c r="CA666" s="84" t="e" cm="1">
        <f t="array" aca="1" ref="CA666" ca="1">_xll.VisibleAlpha.UDF.VAData($B$657,CA$658,$B666,CA$660,$B$660,$B$659,$B$658)</f>
        <v>#NAME?</v>
      </c>
      <c r="CB666" s="86" t="e" cm="1">
        <f t="array" aca="1" ref="CB666" ca="1">_xll.VisibleAlpha.UDF.VAData($B$657,CB$658,$B666,CB$660,$B$660,$B$659,$B$658)</f>
        <v>#NAME?</v>
      </c>
      <c r="CC666" s="86" t="e" cm="1">
        <f t="array" aca="1" ref="CC666" ca="1">_xll.VisibleAlpha.UDF.VAData($B$657,CC$658,$B666,CC$660,$B$660,$B$659,$B$658)</f>
        <v>#NAME?</v>
      </c>
      <c r="CD666" s="86" t="e" cm="1">
        <f t="array" aca="1" ref="CD666" ca="1">_xll.VisibleAlpha.UDF.VAData($B$657,CD$658,$B666,CD$660,$B$660,$B$659,$B$658)</f>
        <v>#NAME?</v>
      </c>
      <c r="CE666"/>
      <c r="CF666" s="86" t="e" cm="1">
        <f t="array" aca="1" ref="CF666" ca="1">_xll.VisibleAlpha.UDF.VAData($B$657,CF$658,$B666,CF$660,$B$660,$B$659,$B$658)</f>
        <v>#NAME?</v>
      </c>
      <c r="CG666" s="86" t="e" cm="1">
        <f t="array" aca="1" ref="CG666" ca="1">_xll.VisibleAlpha.UDF.VAData($B$657,CG$658,$B666,CG$660,$B$660,$B$659,$B$658)</f>
        <v>#NAME?</v>
      </c>
      <c r="CH666" s="86" t="e" cm="1">
        <f t="array" aca="1" ref="CH666" ca="1">_xll.VisibleAlpha.UDF.VAData($B$657,CH$658,$B666,CH$660,$B$660,$B$659,$B$658)</f>
        <v>#NAME?</v>
      </c>
      <c r="CI666" s="86" t="e" cm="1">
        <f t="array" aca="1" ref="CI666" ca="1">_xll.VisibleAlpha.UDF.VAData($B$657,CI$658,$B666,CI$660,$B$660,$B$659,$B$658)</f>
        <v>#NAME?</v>
      </c>
      <c r="CJ666" s="86" t="e" cm="1">
        <f t="array" aca="1" ref="CJ666" ca="1">_xll.VisibleAlpha.UDF.VAData($B$657,CJ$658,$B666,CJ$660,$B$660,$B$659,$B$658)</f>
        <v>#NAME?</v>
      </c>
      <c r="CK666" s="86" t="e" cm="1">
        <f t="array" aca="1" ref="CK666" ca="1">_xll.VisibleAlpha.UDF.VAData($B$657,CK$658,$B666,CK$660,$B$660,$B$659,$B$658)</f>
        <v>#NAME?</v>
      </c>
      <c r="CL666" s="86" t="e" cm="1">
        <f t="array" aca="1" ref="CL666" ca="1">_xll.VisibleAlpha.UDF.VAData($B$657,CL$658,$B666,CL$660,$B$660,$B$659,$B$658)</f>
        <v>#NAME?</v>
      </c>
      <c r="CM666" s="86" t="e" cm="1">
        <f t="array" aca="1" ref="CM666" ca="1">_xll.VisibleAlpha.UDF.VAData($B$657,CM$658,$B666,CM$660,$B$660,$B$659,$B$658)</f>
        <v>#NAME?</v>
      </c>
      <c r="CN666" s="86" t="e" cm="1">
        <f t="array" aca="1" ref="CN666" ca="1">_xll.VisibleAlpha.UDF.VAData($B$657,CN$658,$B666,CN$660,$B$660,$B$659,$B$658)</f>
        <v>#NAME?</v>
      </c>
      <c r="CO666" s="220" t="e" cm="1">
        <f t="array" aca="1" ref="CO666" ca="1">_xll.VisibleAlpha.UDF.VAData($B$657,CO$658,$B666,CO$660,$B$660,$B$659,$B$658)</f>
        <v>#NAME?</v>
      </c>
      <c r="CP666" s="220" t="e" cm="1">
        <f t="array" aca="1" ref="CP666" ca="1">_xll.VisibleAlpha.UDF.VAData($B$657,CP$658,$B666,CP$660,$B$660,$B$659,$B$658)</f>
        <v>#NAME?</v>
      </c>
      <c r="CQ666" s="220" t="e" cm="1">
        <f t="array" aca="1" ref="CQ666" ca="1">_xll.VisibleAlpha.UDF.VAData($B$657,CQ$658,$B666,CQ$660,$B$660,$B$659,$B$658)</f>
        <v>#NAME?</v>
      </c>
      <c r="CR666" s="220" t="e" cm="1">
        <f t="array" aca="1" ref="CR666" ca="1">_xll.VisibleAlpha.UDF.VAData($B$657,CR$658,$B666,CR$660,$B$660,$B$659,$B$658)</f>
        <v>#NAME?</v>
      </c>
      <c r="CS666" s="220" t="e" cm="1">
        <f t="array" aca="1" ref="CS666" ca="1">_xll.VisibleAlpha.UDF.VAData($B$657,CS$658,$B666,CS$660,$B$660,$B$659,$B$658)</f>
        <v>#NAME?</v>
      </c>
      <c r="CT666" s="220" t="e" cm="1">
        <f t="array" aca="1" ref="CT666" ca="1">_xll.VisibleAlpha.UDF.VAData($B$657,CT$658,$B666,CT$660,$B$660,$B$659,$B$658)</f>
        <v>#NAME?</v>
      </c>
      <c r="CU666" s="220" t="e" cm="1">
        <f t="array" aca="1" ref="CU666" ca="1">_xll.VisibleAlpha.UDF.VAData($B$657,CU$658,$B666,CU$660,$B$660,$B$659,$B$658)</f>
        <v>#NAME?</v>
      </c>
      <c r="CV666" s="220" t="e" cm="1">
        <f t="array" aca="1" ref="CV666" ca="1">_xll.VisibleAlpha.UDF.VAData($B$657,CV$658,$B666,CV$660,$B$660,$B$659,$B$658)</f>
        <v>#NAME?</v>
      </c>
      <c r="CW666" s="220" t="e" cm="1">
        <f t="array" aca="1" ref="CW666" ca="1">_xll.VisibleAlpha.UDF.VAData($B$657,CW$658,$B666,CW$660,$B$660,$B$659,$B$658)</f>
        <v>#NAME?</v>
      </c>
      <c r="CX666" s="220" t="e" cm="1">
        <f t="array" aca="1" ref="CX666" ca="1">_xll.VisibleAlpha.UDF.VAData($B$657,CX$658,$B666,CX$660,$B$660,$B$659,$B$658)</f>
        <v>#NAME?</v>
      </c>
    </row>
    <row r="668" spans="1:102" s="84" customFormat="1" x14ac:dyDescent="0.25">
      <c r="A668" s="218"/>
      <c r="B668" s="219" t="s">
        <v>446</v>
      </c>
      <c r="C668" s="219"/>
      <c r="D668" s="219"/>
      <c r="E668" s="219"/>
      <c r="F668" s="219"/>
      <c r="G668" s="219"/>
      <c r="H668" s="219"/>
      <c r="I668" s="219"/>
      <c r="J668" s="219"/>
      <c r="K668" s="219"/>
      <c r="L668" s="219"/>
      <c r="M668" s="219"/>
      <c r="N668" s="219"/>
      <c r="O668" s="219"/>
      <c r="P668" s="219"/>
      <c r="Q668" s="219"/>
      <c r="R668" s="219"/>
      <c r="S668" s="220" t="e" cm="1">
        <f t="array" aca="1" ref="S668" ca="1">_xll.VisibleAlpha.UDF.VAData($B$657,S$658,$B668,S$660,$B$660,$B$659,$B$658)</f>
        <v>#NAME?</v>
      </c>
      <c r="T668" s="86" t="e" cm="1">
        <f t="array" aca="1" ref="T668" ca="1">_xll.VisibleAlpha.UDF.VAData($B$657,T$658,$B668,T$660,$B$660,$B$659,$B$658)</f>
        <v>#NAME?</v>
      </c>
      <c r="U668" s="86" t="e" cm="1">
        <f t="array" aca="1" ref="U668" ca="1">_xll.VisibleAlpha.UDF.VAData($B$657,U$658,$B668,U$660,$B$660,$B$659,$B$658)</f>
        <v>#NAME?</v>
      </c>
      <c r="V668" s="86" t="e" cm="1">
        <f t="array" aca="1" ref="V668" ca="1">_xll.VisibleAlpha.UDF.VAData($B$657,V$658,$B668,V$660,$B$660,$B$659,$B$658)</f>
        <v>#NAME?</v>
      </c>
      <c r="W668" s="86" t="e" cm="1">
        <f t="array" aca="1" ref="W668" ca="1">_xll.VisibleAlpha.UDF.VAData($B$657,W$658,$B668,W$660,$B$660,$B$659,$B$658)</f>
        <v>#NAME?</v>
      </c>
      <c r="X668" s="86" t="e" cm="1">
        <f t="array" aca="1" ref="X668" ca="1">_xll.VisibleAlpha.UDF.VAData($B$657,X$658,$B668,X$660,$B$660,$B$659,$B$658)</f>
        <v>#NAME?</v>
      </c>
      <c r="Y668" s="86" t="e" cm="1">
        <f t="array" aca="1" ref="Y668" ca="1">_xll.VisibleAlpha.UDF.VAData($B$657,Y$658,$B668,Y$660,$B$660,$B$659,$B$658)</f>
        <v>#NAME?</v>
      </c>
      <c r="Z668" s="86" t="e" cm="1">
        <f t="array" aca="1" ref="Z668" ca="1">_xll.VisibleAlpha.UDF.VAData($B$657,Z$658,$B668,Z$660,$B$660,$B$659,$B$658)</f>
        <v>#NAME?</v>
      </c>
      <c r="AA668" s="86" t="e" cm="1">
        <f t="array" aca="1" ref="AA668" ca="1">_xll.VisibleAlpha.UDF.VAData($B$657,AA$658,$B668,AA$660,$B$660,$B$659,$B$658)</f>
        <v>#NAME?</v>
      </c>
      <c r="AB668" s="86" t="e" cm="1">
        <f t="array" aca="1" ref="AB668" ca="1">_xll.VisibleAlpha.UDF.VAData($B$657,AB$658,$B668,AB$660,$B$660,$B$659,$B$658)</f>
        <v>#NAME?</v>
      </c>
      <c r="AC668" s="86" t="e" cm="1">
        <f t="array" aca="1" ref="AC668" ca="1">_xll.VisibleAlpha.UDF.VAData($B$657,AC$658,$B668,AC$660,$B$660,$B$659,$B$658)</f>
        <v>#NAME?</v>
      </c>
      <c r="AD668" s="86" t="e" cm="1">
        <f t="array" aca="1" ref="AD668" ca="1">_xll.VisibleAlpha.UDF.VAData($B$657,AD$658,$B668,AD$660,$B$660,$B$659,$B$658)</f>
        <v>#NAME?</v>
      </c>
      <c r="AE668" s="86" t="e" cm="1">
        <f t="array" aca="1" ref="AE668" ca="1">_xll.VisibleAlpha.UDF.VAData($B$657,AE$658,$B668,AE$660,$B$660,$B$659,$B$658)</f>
        <v>#NAME?</v>
      </c>
      <c r="AF668" s="86" t="e" cm="1">
        <f t="array" aca="1" ref="AF668" ca="1">_xll.VisibleAlpha.UDF.VAData($B$657,AF$658,$B668,AF$660,$B$660,$B$659,$B$658)</f>
        <v>#NAME?</v>
      </c>
      <c r="AG668" s="86" t="e" cm="1">
        <f t="array" aca="1" ref="AG668" ca="1">_xll.VisibleAlpha.UDF.VAData($B$657,AG$658,$B668,AG$660,$B$660,$B$659,$B$658)</f>
        <v>#NAME?</v>
      </c>
      <c r="AH668" s="86" t="e" cm="1">
        <f t="array" aca="1" ref="AH668" ca="1">_xll.VisibleAlpha.UDF.VAData($B$657,AH$658,$B668,AH$660,$B$660,$B$659,$B$658)</f>
        <v>#NAME?</v>
      </c>
      <c r="AI668" s="86" t="e" cm="1">
        <f t="array" aca="1" ref="AI668" ca="1">_xll.VisibleAlpha.UDF.VAData($B$657,AI$658,$B668,AI$660,$B$660,$B$659,$B$658)</f>
        <v>#NAME?</v>
      </c>
      <c r="AJ668" s="86" t="e" cm="1">
        <f t="array" aca="1" ref="AJ668" ca="1">_xll.VisibleAlpha.UDF.VAData($B$657,AJ$658,$B668,AJ$660,$B$660,$B$659,$B$658)</f>
        <v>#NAME?</v>
      </c>
      <c r="AK668" s="86" t="e" cm="1">
        <f t="array" aca="1" ref="AK668" ca="1">_xll.VisibleAlpha.UDF.VAData($B$657,AK$658,$B668,AK$660,$B$660,$B$659,$B$658)</f>
        <v>#NAME?</v>
      </c>
      <c r="AL668" s="86" t="e" cm="1">
        <f t="array" aca="1" ref="AL668" ca="1">_xll.VisibleAlpha.UDF.VAData($B$657,AL$658,$B668,AL$660,$B$660,$B$659,$B$658)</f>
        <v>#NAME?</v>
      </c>
      <c r="AM668" s="86" t="e" cm="1">
        <f t="array" aca="1" ref="AM668" ca="1">_xll.VisibleAlpha.UDF.VAData($B$657,AM$658,$B668,AM$660,$B$660,$B$659,$B$658)</f>
        <v>#NAME?</v>
      </c>
      <c r="AN668" s="86" t="e" cm="1">
        <f t="array" aca="1" ref="AN668" ca="1">_xll.VisibleAlpha.UDF.VAData($B$657,AN$658,$B668,AN$660,$B$660,$B$659,$B$658)</f>
        <v>#NAME?</v>
      </c>
      <c r="AO668" s="86" t="e" cm="1">
        <f t="array" aca="1" ref="AO668" ca="1">_xll.VisibleAlpha.UDF.VAData($B$657,AO$658,$B668,AO$660,$B$660,$B$659,$B$658)</f>
        <v>#NAME?</v>
      </c>
      <c r="AP668" s="86" t="e" cm="1">
        <f t="array" aca="1" ref="AP668" ca="1">_xll.VisibleAlpha.UDF.VAData($B$657,AP$658,$B668,AP$660,$B$660,$B$659,$B$658)</f>
        <v>#NAME?</v>
      </c>
      <c r="AQ668" s="86" t="e" cm="1">
        <f t="array" aca="1" ref="AQ668" ca="1">_xll.VisibleAlpha.UDF.VAData($B$657,AQ$658,$B668,AQ$660,$B$660,$B$659,$B$658)</f>
        <v>#NAME?</v>
      </c>
      <c r="AR668" s="86" t="e" cm="1">
        <f t="array" aca="1" ref="AR668" ca="1">_xll.VisibleAlpha.UDF.VAData($B$657,AR$658,$B668,AR$660,$B$660,$B$659,$B$658)</f>
        <v>#NAME?</v>
      </c>
      <c r="AS668" s="86" t="e" cm="1">
        <f t="array" aca="1" ref="AS668" ca="1">_xll.VisibleAlpha.UDF.VAData($B$657,AS$658,$B668,AS$660,$B$660,$B$659,$B$658)</f>
        <v>#NAME?</v>
      </c>
      <c r="AT668" s="86" t="e" cm="1">
        <f t="array" aca="1" ref="AT668" ca="1">_xll.VisibleAlpha.UDF.VAData($B$657,AT$658,$B668,AT$660,$B$660,$B$659,$B$658)</f>
        <v>#NAME?</v>
      </c>
      <c r="AU668" s="86" t="e" cm="1">
        <f t="array" aca="1" ref="AU668" ca="1">_xll.VisibleAlpha.UDF.VAData($B$657,AU$658,$B668,AU$660,$B$660,$B$659,$B$658)</f>
        <v>#NAME?</v>
      </c>
      <c r="AV668" s="86" t="e" cm="1">
        <f t="array" aca="1" ref="AV668" ca="1">_xll.VisibleAlpha.UDF.VAData($B$657,AV$658,$B668,AV$660,$B$660,$B$659,$B$658)</f>
        <v>#NAME?</v>
      </c>
      <c r="AW668" s="86" t="e" cm="1">
        <f t="array" aca="1" ref="AW668" ca="1">_xll.VisibleAlpha.UDF.VAData($B$657,AW$658,$B668,AW$660,$B$660,$B$659,$B$658)</f>
        <v>#NAME?</v>
      </c>
      <c r="AX668" s="86" t="e" cm="1">
        <f t="array" aca="1" ref="AX668" ca="1">_xll.VisibleAlpha.UDF.VAData($B$657,AX$658,$B668,AX$660,$B$660,$B$659,$B$658)</f>
        <v>#NAME?</v>
      </c>
      <c r="AY668" s="86" t="e" cm="1">
        <f t="array" aca="1" ref="AY668" ca="1">_xll.VisibleAlpha.UDF.VAData($B$657,AY$658,$B668,AY$660,$B$660,$B$659,$B$658)</f>
        <v>#NAME?</v>
      </c>
      <c r="AZ668" s="86" t="e" cm="1">
        <f t="array" aca="1" ref="AZ668" ca="1">_xll.VisibleAlpha.UDF.VAData($B$657,AZ$658,$B668,AZ$660,$B$660,$B$659,$B$658)</f>
        <v>#NAME?</v>
      </c>
      <c r="BA668" s="86" t="e" cm="1">
        <f t="array" aca="1" ref="BA668" ca="1">_xll.VisibleAlpha.UDF.VAData($B$657,BA$658,$B668,BA$660,$B$660,$B$659,$B$658)</f>
        <v>#NAME?</v>
      </c>
      <c r="BB668" s="86" t="e" cm="1">
        <f t="array" aca="1" ref="BB668" ca="1">_xll.VisibleAlpha.UDF.VAData($B$657,BB$658,$B668,BB$660,$B$660,$B$659,$B$658)</f>
        <v>#NAME?</v>
      </c>
      <c r="BC668" s="86" t="e" cm="1">
        <f t="array" aca="1" ref="BC668" ca="1">_xll.VisibleAlpha.UDF.VAData($B$657,BC$658,$B668,BC$660,$B$660,$B$659,$B$658)</f>
        <v>#NAME?</v>
      </c>
      <c r="BD668" s="86" t="e" cm="1">
        <f t="array" aca="1" ref="BD668" ca="1">_xll.VisibleAlpha.UDF.VAData($B$657,BD$658,$B668,BD$660,$B$660,$B$659,$B$658)</f>
        <v>#NAME?</v>
      </c>
      <c r="BE668" s="86" t="e" cm="1">
        <f t="array" aca="1" ref="BE668" ca="1">_xll.VisibleAlpha.UDF.VAData($B$657,BE$658,$B668,BE$660,$B$660,$B$659,$B$658)</f>
        <v>#NAME?</v>
      </c>
      <c r="BF668" s="86" t="e" cm="1">
        <f t="array" aca="1" ref="BF668" ca="1">_xll.VisibleAlpha.UDF.VAData($B$657,BF$658,$B668,BF$660,$B$660,$B$659,$B$658)</f>
        <v>#NAME?</v>
      </c>
      <c r="BG668" s="86" t="e" cm="1">
        <f t="array" aca="1" ref="BG668" ca="1">_xll.VisibleAlpha.UDF.VAData($B$657,BG$658,$B668,BG$660,$B$660,$B$659,$B$658)</f>
        <v>#NAME?</v>
      </c>
      <c r="BH668" s="220" t="e" cm="1">
        <f t="array" aca="1" ref="BH668" ca="1">_xll.VisibleAlpha.UDF.VAData($B$657,BH$658,$B668,BH$660,$B$660,$B$659,$B$658)</f>
        <v>#NAME?</v>
      </c>
      <c r="BI668" s="220" t="e" cm="1">
        <f t="array" aca="1" ref="BI668" ca="1">_xll.VisibleAlpha.UDF.VAData($B$657,BI$658,$B668,BI$660,$B$660,$B$659,$B$658)</f>
        <v>#NAME?</v>
      </c>
      <c r="BJ668" s="220" t="e" cm="1">
        <f t="array" aca="1" ref="BJ668" ca="1">_xll.VisibleAlpha.UDF.VAData($B$657,BJ$658,$B668,BJ$660,$B$660,$B$659,$B$658)</f>
        <v>#NAME?</v>
      </c>
      <c r="BK668" s="220" t="e" cm="1">
        <f t="array" aca="1" ref="BK668" ca="1">_xll.VisibleAlpha.UDF.VAData($B$657,BK$658,$B668,BK$660,$B$660,$B$659,$B$658)</f>
        <v>#NAME?</v>
      </c>
      <c r="BL668" s="220" t="e" cm="1">
        <f t="array" aca="1" ref="BL668" ca="1">_xll.VisibleAlpha.UDF.VAData($B$657,BL$658,$B668,BL$660,$B$660,$B$659,$B$658)</f>
        <v>#NAME?</v>
      </c>
      <c r="BM668" s="220" t="e" cm="1">
        <f t="array" aca="1" ref="BM668" ca="1">_xll.VisibleAlpha.UDF.VAData($B$657,BM$658,$B668,BM$660,$B$660,$B$659,$B$658)</f>
        <v>#NAME?</v>
      </c>
      <c r="BN668" s="220" t="e" cm="1">
        <f t="array" aca="1" ref="BN668" ca="1">_xll.VisibleAlpha.UDF.VAData($B$657,BN$658,$B668,BN$660,$B$660,$B$659,$B$658)</f>
        <v>#NAME?</v>
      </c>
      <c r="BO668" s="220" t="e" cm="1">
        <f t="array" aca="1" ref="BO668" ca="1">_xll.VisibleAlpha.UDF.VAData($B$657,BO$658,$B668,BO$660,$B$660,$B$659,$B$658)</f>
        <v>#NAME?</v>
      </c>
      <c r="BP668" s="220" t="e" cm="1">
        <f t="array" aca="1" ref="BP668" ca="1">_xll.VisibleAlpha.UDF.VAData($B$657,BP$658,$B668,BP$660,$B$660,$B$659,$B$658)</f>
        <v>#NAME?</v>
      </c>
      <c r="BQ668" s="220" t="e" cm="1">
        <f t="array" aca="1" ref="BQ668" ca="1">_xll.VisibleAlpha.UDF.VAData($B$657,BQ$658,$B668,BQ$660,$B$660,$B$659,$B$658)</f>
        <v>#NAME?</v>
      </c>
      <c r="BR668" s="220" t="e" cm="1">
        <f t="array" aca="1" ref="BR668" ca="1">_xll.VisibleAlpha.UDF.VAData($B$657,BR$658,$B668,BR$660,$B$660,$B$659,$B$658)</f>
        <v>#NAME?</v>
      </c>
      <c r="BS668" s="220" t="e" cm="1">
        <f t="array" aca="1" ref="BS668" ca="1">_xll.VisibleAlpha.UDF.VAData($B$657,BS$658,$B668,BS$660,$B$660,$B$659,$B$658)</f>
        <v>#NAME?</v>
      </c>
      <c r="BT668" s="220" t="e" cm="1">
        <f t="array" aca="1" ref="BT668" ca="1">_xll.VisibleAlpha.UDF.VAData($B$657,BT$658,$B668,BT$660,$B$660,$B$659,$B$658)</f>
        <v>#NAME?</v>
      </c>
      <c r="BU668" s="220" t="e" cm="1">
        <f t="array" aca="1" ref="BU668" ca="1">_xll.VisibleAlpha.UDF.VAData($B$657,BU$658,$B668,BU$660,$B$660,$B$659,$B$658)</f>
        <v>#NAME?</v>
      </c>
      <c r="BV668" s="220" t="e" cm="1">
        <f t="array" aca="1" ref="BV668" ca="1">_xll.VisibleAlpha.UDF.VAData($B$657,BV$658,$B668,BV$660,$B$660,$B$659,$B$658)</f>
        <v>#NAME?</v>
      </c>
      <c r="BW668" s="220" t="e" cm="1">
        <f t="array" aca="1" ref="BW668" ca="1">_xll.VisibleAlpha.UDF.VAData($B$657,BW$658,$B668,BW$660,$B$660,$B$659,$B$658)</f>
        <v>#NAME?</v>
      </c>
      <c r="BX668" s="220" t="e" cm="1">
        <f t="array" aca="1" ref="BX668" ca="1">_xll.VisibleAlpha.UDF.VAData($B$657,BX$658,$B668,BX$660,$B$660,$B$659,$B$658)</f>
        <v>#NAME?</v>
      </c>
      <c r="BY668" s="220" t="e" cm="1">
        <f t="array" aca="1" ref="BY668" ca="1">_xll.VisibleAlpha.UDF.VAData($B$657,BY$658,$B668,BY$660,$B$660,$B$659,$B$658)</f>
        <v>#NAME?</v>
      </c>
      <c r="BZ668" s="220" t="e" cm="1">
        <f t="array" aca="1" ref="BZ668" ca="1">_xll.VisibleAlpha.UDF.VAData($B$657,BZ$658,$B668,BZ$660,$B$660,$B$659,$B$658)</f>
        <v>#NAME?</v>
      </c>
      <c r="CA668" s="84" t="e" cm="1">
        <f t="array" aca="1" ref="CA668" ca="1">_xll.VisibleAlpha.UDF.VAData($B$657,CA$658,$B668,CA$660,$B$660,$B$659,$B$658)</f>
        <v>#NAME?</v>
      </c>
      <c r="CB668" s="86" t="e" cm="1">
        <f t="array" aca="1" ref="CB668" ca="1">_xll.VisibleAlpha.UDF.VAData($B$657,CB$658,$B668,CB$660,$B$660,$B$659,$B$658)</f>
        <v>#NAME?</v>
      </c>
      <c r="CC668" s="86" t="e" cm="1">
        <f t="array" aca="1" ref="CC668" ca="1">_xll.VisibleAlpha.UDF.VAData($B$657,CC$658,$B668,CC$660,$B$660,$B$659,$B$658)</f>
        <v>#NAME?</v>
      </c>
      <c r="CD668" s="86" t="e" cm="1">
        <f t="array" aca="1" ref="CD668" ca="1">_xll.VisibleAlpha.UDF.VAData($B$657,CD$658,$B668,CD$660,$B$660,$B$659,$B$658)</f>
        <v>#NAME?</v>
      </c>
      <c r="CE668"/>
      <c r="CF668" s="86" t="e" cm="1">
        <f t="array" aca="1" ref="CF668" ca="1">_xll.VisibleAlpha.UDF.VAData($B$657,CF$658,$B668,CF$660,$B$660,$B$659,$B$658)</f>
        <v>#NAME?</v>
      </c>
      <c r="CG668" s="86" t="e" cm="1">
        <f t="array" aca="1" ref="CG668" ca="1">_xll.VisibleAlpha.UDF.VAData($B$657,CG$658,$B668,CG$660,$B$660,$B$659,$B$658)</f>
        <v>#NAME?</v>
      </c>
      <c r="CH668" s="86" t="e" cm="1">
        <f t="array" aca="1" ref="CH668" ca="1">_xll.VisibleAlpha.UDF.VAData($B$657,CH$658,$B668,CH$660,$B$660,$B$659,$B$658)</f>
        <v>#NAME?</v>
      </c>
      <c r="CI668" s="86" t="e" cm="1">
        <f t="array" aca="1" ref="CI668" ca="1">_xll.VisibleAlpha.UDF.VAData($B$657,CI$658,$B668,CI$660,$B$660,$B$659,$B$658)</f>
        <v>#NAME?</v>
      </c>
      <c r="CJ668" s="86" t="e" cm="1">
        <f t="array" aca="1" ref="CJ668" ca="1">_xll.VisibleAlpha.UDF.VAData($B$657,CJ$658,$B668,CJ$660,$B$660,$B$659,$B$658)</f>
        <v>#NAME?</v>
      </c>
      <c r="CK668" s="86" t="e" cm="1">
        <f t="array" aca="1" ref="CK668" ca="1">_xll.VisibleAlpha.UDF.VAData($B$657,CK$658,$B668,CK$660,$B$660,$B$659,$B$658)</f>
        <v>#NAME?</v>
      </c>
      <c r="CL668" s="86" t="e" cm="1">
        <f t="array" aca="1" ref="CL668" ca="1">_xll.VisibleAlpha.UDF.VAData($B$657,CL$658,$B668,CL$660,$B$660,$B$659,$B$658)</f>
        <v>#NAME?</v>
      </c>
      <c r="CM668" s="86" t="e" cm="1">
        <f t="array" aca="1" ref="CM668" ca="1">_xll.VisibleAlpha.UDF.VAData($B$657,CM$658,$B668,CM$660,$B$660,$B$659,$B$658)</f>
        <v>#NAME?</v>
      </c>
      <c r="CN668" s="86" t="e" cm="1">
        <f t="array" aca="1" ref="CN668" ca="1">_xll.VisibleAlpha.UDF.VAData($B$657,CN$658,$B668,CN$660,$B$660,$B$659,$B$658)</f>
        <v>#NAME?</v>
      </c>
      <c r="CO668" s="220" t="e" cm="1">
        <f t="array" aca="1" ref="CO668" ca="1">_xll.VisibleAlpha.UDF.VAData($B$657,CO$658,$B668,CO$660,$B$660,$B$659,$B$658)</f>
        <v>#NAME?</v>
      </c>
      <c r="CP668" s="220" t="e" cm="1">
        <f t="array" aca="1" ref="CP668" ca="1">_xll.VisibleAlpha.UDF.VAData($B$657,CP$658,$B668,CP$660,$B$660,$B$659,$B$658)</f>
        <v>#NAME?</v>
      </c>
      <c r="CQ668" s="220" t="e" cm="1">
        <f t="array" aca="1" ref="CQ668" ca="1">_xll.VisibleAlpha.UDF.VAData($B$657,CQ$658,$B668,CQ$660,$B$660,$B$659,$B$658)</f>
        <v>#NAME?</v>
      </c>
      <c r="CR668" s="220" t="e" cm="1">
        <f t="array" aca="1" ref="CR668" ca="1">_xll.VisibleAlpha.UDF.VAData($B$657,CR$658,$B668,CR$660,$B$660,$B$659,$B$658)</f>
        <v>#NAME?</v>
      </c>
      <c r="CS668" s="220" t="e" cm="1">
        <f t="array" aca="1" ref="CS668" ca="1">_xll.VisibleAlpha.UDF.VAData($B$657,CS$658,$B668,CS$660,$B$660,$B$659,$B$658)</f>
        <v>#NAME?</v>
      </c>
      <c r="CT668" s="220" t="e" cm="1">
        <f t="array" aca="1" ref="CT668" ca="1">_xll.VisibleAlpha.UDF.VAData($B$657,CT$658,$B668,CT$660,$B$660,$B$659,$B$658)</f>
        <v>#NAME?</v>
      </c>
      <c r="CU668" s="220" t="e" cm="1">
        <f t="array" aca="1" ref="CU668" ca="1">_xll.VisibleAlpha.UDF.VAData($B$657,CU$658,$B668,CU$660,$B$660,$B$659,$B$658)</f>
        <v>#NAME?</v>
      </c>
      <c r="CV668" s="220" t="e" cm="1">
        <f t="array" aca="1" ref="CV668" ca="1">_xll.VisibleAlpha.UDF.VAData($B$657,CV$658,$B668,CV$660,$B$660,$B$659,$B$658)</f>
        <v>#NAME?</v>
      </c>
      <c r="CW668" s="220" t="e" cm="1">
        <f t="array" aca="1" ref="CW668" ca="1">_xll.VisibleAlpha.UDF.VAData($B$657,CW$658,$B668,CW$660,$B$660,$B$659,$B$658)</f>
        <v>#NAME?</v>
      </c>
      <c r="CX668" s="220" t="e" cm="1">
        <f t="array" aca="1" ref="CX668" ca="1">_xll.VisibleAlpha.UDF.VAData($B$657,CX$658,$B668,CX$660,$B$660,$B$659,$B$658)</f>
        <v>#NAME?</v>
      </c>
    </row>
    <row r="671" spans="1:102" ht="15" customHeight="1" x14ac:dyDescent="0.25">
      <c r="A671" s="1" t="s">
        <v>18</v>
      </c>
      <c r="B671" s="16" t="s">
        <v>447</v>
      </c>
      <c r="C671" s="17"/>
      <c r="D671" s="17"/>
      <c r="E671" s="17"/>
      <c r="F671" s="17"/>
      <c r="G671" s="17"/>
      <c r="H671" s="17"/>
      <c r="I671" s="17"/>
      <c r="J671" s="17"/>
      <c r="K671" s="17"/>
      <c r="L671" s="17"/>
      <c r="M671" s="17"/>
      <c r="N671" s="17"/>
      <c r="O671" s="17"/>
      <c r="P671" s="17"/>
      <c r="Q671" s="17"/>
      <c r="R671" s="17"/>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t="s">
        <v>423</v>
      </c>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B671" s="19" t="e">
        <f>+#REF!</f>
        <v>#REF!</v>
      </c>
      <c r="CC671" s="20"/>
      <c r="CD671" s="20"/>
      <c r="CF671" s="20"/>
      <c r="CG671" s="20"/>
      <c r="CH671" s="20"/>
      <c r="CI671" s="21" t="str">
        <f>+$B671</f>
        <v>MSFT</v>
      </c>
      <c r="CJ671" s="20"/>
      <c r="CK671" s="20"/>
      <c r="CL671" s="20"/>
      <c r="CM671" s="20"/>
      <c r="CN671" s="20"/>
      <c r="CO671" s="20"/>
      <c r="CP671" s="20"/>
      <c r="CQ671" s="20"/>
      <c r="CR671" s="20"/>
      <c r="CS671" s="20"/>
      <c r="CT671" s="20"/>
      <c r="CU671" s="20"/>
      <c r="CV671" s="20"/>
      <c r="CW671" s="20"/>
      <c r="CX671" s="20"/>
    </row>
    <row r="672" spans="1:102" x14ac:dyDescent="0.25">
      <c r="A672" s="1"/>
      <c r="B672" s="216">
        <f ca="1">TODAY()</f>
        <v>45886</v>
      </c>
      <c r="C672" s="216"/>
      <c r="D672" s="216"/>
      <c r="E672" s="216"/>
      <c r="F672" s="216"/>
      <c r="G672" s="216"/>
      <c r="H672" s="216"/>
      <c r="I672" s="216"/>
      <c r="J672" s="216"/>
      <c r="K672" s="216"/>
      <c r="L672" s="216"/>
      <c r="M672" s="216"/>
      <c r="N672" s="216"/>
      <c r="O672" s="216"/>
      <c r="P672" s="216"/>
      <c r="Q672" s="216"/>
      <c r="R672" s="216"/>
      <c r="S672" s="9" t="str">
        <f t="shared" ref="S672:CD672" si="783">+MROUND(MONTH(EOMONTH(S$5,-6))/3,1)&amp;"Q-"&amp;TEXT(EOMONTH(S$5,9),"yy")</f>
        <v>4Q-15</v>
      </c>
      <c r="T672" s="9" t="str">
        <f t="shared" si="783"/>
        <v>1Q-15</v>
      </c>
      <c r="U672" s="9" t="str">
        <f t="shared" si="783"/>
        <v>2Q-15</v>
      </c>
      <c r="V672" s="9" t="str">
        <f t="shared" si="783"/>
        <v>3Q-15</v>
      </c>
      <c r="W672" s="9" t="str">
        <f t="shared" si="783"/>
        <v>4Q-16</v>
      </c>
      <c r="X672" s="9" t="str">
        <f t="shared" si="783"/>
        <v>1Q-16</v>
      </c>
      <c r="Y672" s="9" t="str">
        <f t="shared" si="783"/>
        <v>2Q-16</v>
      </c>
      <c r="Z672" s="9" t="str">
        <f t="shared" si="783"/>
        <v>3Q-16</v>
      </c>
      <c r="AA672" s="9" t="str">
        <f t="shared" si="783"/>
        <v>4Q-17</v>
      </c>
      <c r="AB672" s="9" t="str">
        <f t="shared" si="783"/>
        <v>1Q-17</v>
      </c>
      <c r="AC672" s="9" t="str">
        <f t="shared" si="783"/>
        <v>2Q-17</v>
      </c>
      <c r="AD672" s="9" t="str">
        <f t="shared" si="783"/>
        <v>3Q-17</v>
      </c>
      <c r="AE672" s="9" t="str">
        <f t="shared" si="783"/>
        <v>4Q-18</v>
      </c>
      <c r="AF672" s="9" t="str">
        <f t="shared" si="783"/>
        <v>1Q-18</v>
      </c>
      <c r="AG672" s="9" t="str">
        <f t="shared" si="783"/>
        <v>2Q-18</v>
      </c>
      <c r="AH672" s="9" t="str">
        <f t="shared" si="783"/>
        <v>3Q-18</v>
      </c>
      <c r="AI672" s="9" t="str">
        <f t="shared" si="783"/>
        <v>4Q-19</v>
      </c>
      <c r="AJ672" s="9" t="str">
        <f t="shared" si="783"/>
        <v>1Q-19</v>
      </c>
      <c r="AK672" s="9" t="str">
        <f t="shared" si="783"/>
        <v>2Q-19</v>
      </c>
      <c r="AL672" s="9" t="str">
        <f t="shared" si="783"/>
        <v>3Q-19</v>
      </c>
      <c r="AM672" s="9" t="str">
        <f t="shared" si="783"/>
        <v>4Q-20</v>
      </c>
      <c r="AN672" s="9" t="str">
        <f t="shared" si="783"/>
        <v>1Q-20</v>
      </c>
      <c r="AO672" s="9" t="str">
        <f t="shared" si="783"/>
        <v>2Q-20</v>
      </c>
      <c r="AP672" s="9" t="str">
        <f t="shared" si="783"/>
        <v>3Q-20</v>
      </c>
      <c r="AQ672" s="9" t="str">
        <f t="shared" si="783"/>
        <v>4Q-21</v>
      </c>
      <c r="AR672" s="9" t="str">
        <f t="shared" si="783"/>
        <v>1Q-21</v>
      </c>
      <c r="AS672" s="9" t="str">
        <f t="shared" si="783"/>
        <v>2Q-21</v>
      </c>
      <c r="AT672" s="9" t="str">
        <f t="shared" si="783"/>
        <v>3Q-21</v>
      </c>
      <c r="AU672" s="9" t="str">
        <f t="shared" si="783"/>
        <v>4Q-22</v>
      </c>
      <c r="AV672" s="9" t="str">
        <f t="shared" si="783"/>
        <v>1Q-22</v>
      </c>
      <c r="AW672" s="9" t="str">
        <f t="shared" si="783"/>
        <v>2Q-22</v>
      </c>
      <c r="AX672" s="9" t="str">
        <f t="shared" si="783"/>
        <v>3Q-22</v>
      </c>
      <c r="AY672" s="9" t="str">
        <f t="shared" si="783"/>
        <v>4Q-23</v>
      </c>
      <c r="AZ672" s="9" t="str">
        <f t="shared" si="783"/>
        <v>1Q-23</v>
      </c>
      <c r="BA672" s="9" t="str">
        <f t="shared" si="783"/>
        <v>2Q-23</v>
      </c>
      <c r="BB672" s="9" t="str">
        <f t="shared" si="783"/>
        <v>3Q-23</v>
      </c>
      <c r="BC672" s="9" t="str">
        <f t="shared" si="783"/>
        <v>4Q-24</v>
      </c>
      <c r="BD672" s="9" t="str">
        <f t="shared" si="783"/>
        <v>1Q-24</v>
      </c>
      <c r="BE672" s="9" t="str">
        <f t="shared" si="783"/>
        <v>2Q-24</v>
      </c>
      <c r="BF672" s="9" t="str">
        <f t="shared" si="783"/>
        <v>3Q-24</v>
      </c>
      <c r="BG672" s="9" t="str">
        <f t="shared" si="783"/>
        <v>4Q-25</v>
      </c>
      <c r="BH672" s="9" t="str">
        <f t="shared" si="783"/>
        <v>1Q-25</v>
      </c>
      <c r="BI672" s="9" t="str">
        <f t="shared" si="783"/>
        <v>2Q-25</v>
      </c>
      <c r="BJ672" s="9" t="str">
        <f t="shared" si="783"/>
        <v>3Q-25</v>
      </c>
      <c r="BK672" s="9" t="str">
        <f t="shared" si="783"/>
        <v>4Q-26</v>
      </c>
      <c r="BL672" s="9" t="str">
        <f t="shared" si="783"/>
        <v>1Q-26</v>
      </c>
      <c r="BM672" s="9" t="str">
        <f t="shared" si="783"/>
        <v>2Q-26</v>
      </c>
      <c r="BN672" s="9" t="str">
        <f t="shared" si="783"/>
        <v>3Q-26</v>
      </c>
      <c r="BO672" s="9" t="str">
        <f t="shared" si="783"/>
        <v>4Q-27</v>
      </c>
      <c r="BP672" s="9" t="str">
        <f t="shared" si="783"/>
        <v>1Q-27</v>
      </c>
      <c r="BQ672" s="9" t="str">
        <f t="shared" si="783"/>
        <v>2Q-27</v>
      </c>
      <c r="BR672" s="9" t="str">
        <f t="shared" si="783"/>
        <v>3Q-27</v>
      </c>
      <c r="BS672" s="9" t="str">
        <f t="shared" si="783"/>
        <v>4Q-28</v>
      </c>
      <c r="BT672" s="9" t="str">
        <f t="shared" si="783"/>
        <v>1Q-28</v>
      </c>
      <c r="BU672" s="9" t="str">
        <f t="shared" si="783"/>
        <v>2Q-28</v>
      </c>
      <c r="BV672" s="9" t="str">
        <f t="shared" si="783"/>
        <v>3Q-28</v>
      </c>
      <c r="BW672" s="9" t="str">
        <f t="shared" si="783"/>
        <v>4Q-29</v>
      </c>
      <c r="BX672" s="9" t="str">
        <f t="shared" si="783"/>
        <v>1Q-29</v>
      </c>
      <c r="BY672" s="9" t="str">
        <f t="shared" si="783"/>
        <v>2Q-29</v>
      </c>
      <c r="BZ672" s="9" t="str">
        <f t="shared" si="783"/>
        <v>3Q-29</v>
      </c>
      <c r="CA672" s="9" t="str">
        <f t="shared" si="783"/>
        <v>4Q-30</v>
      </c>
      <c r="CB672" s="9" t="str">
        <f t="shared" si="783"/>
        <v>1Q-30</v>
      </c>
      <c r="CC672" s="9" t="str">
        <f t="shared" si="783"/>
        <v>2Q-30</v>
      </c>
      <c r="CD672" s="9" t="str">
        <f t="shared" si="783"/>
        <v>3Q-30</v>
      </c>
      <c r="CF672" s="9" t="str">
        <f t="shared" ref="CF672:CL672" si="784">+"FY-"&amp;TEXT(CF$5,"yy")-1</f>
        <v>FY-10</v>
      </c>
      <c r="CG672" s="9" t="str">
        <f t="shared" si="784"/>
        <v>FY-11</v>
      </c>
      <c r="CH672" s="9" t="str">
        <f t="shared" si="784"/>
        <v>FY-12</v>
      </c>
      <c r="CI672" s="9" t="str">
        <f t="shared" si="784"/>
        <v>FY-13</v>
      </c>
      <c r="CJ672" s="9" t="str">
        <f t="shared" si="784"/>
        <v>FY-14</v>
      </c>
      <c r="CK672" s="9" t="str">
        <f t="shared" si="784"/>
        <v>FY-15</v>
      </c>
      <c r="CL672" s="9" t="str">
        <f t="shared" si="784"/>
        <v>FY-16</v>
      </c>
      <c r="CM672" s="9" t="str">
        <f>+"FY-"&amp;TEXT(CM$5,"yy")-1</f>
        <v>FY-17</v>
      </c>
      <c r="CN672" s="9" t="str">
        <f t="shared" ref="CN672:CX672" si="785">+"FY-"&amp;TEXT(CN$5,"yy")-1</f>
        <v>FY-18</v>
      </c>
      <c r="CO672" s="9" t="str">
        <f t="shared" si="785"/>
        <v>FY-19</v>
      </c>
      <c r="CP672" s="9" t="str">
        <f t="shared" si="785"/>
        <v>FY-20</v>
      </c>
      <c r="CQ672" s="9" t="str">
        <f t="shared" si="785"/>
        <v>FY-21</v>
      </c>
      <c r="CR672" s="9" t="str">
        <f t="shared" si="785"/>
        <v>FY-22</v>
      </c>
      <c r="CS672" s="9" t="str">
        <f t="shared" si="785"/>
        <v>FY-23</v>
      </c>
      <c r="CT672" s="9" t="str">
        <f t="shared" si="785"/>
        <v>FY-24</v>
      </c>
      <c r="CU672" s="9" t="str">
        <f t="shared" si="785"/>
        <v>FY-25</v>
      </c>
      <c r="CV672" s="9" t="str">
        <f t="shared" si="785"/>
        <v>FY-26</v>
      </c>
      <c r="CW672" s="9" t="str">
        <f t="shared" si="785"/>
        <v>FY-27</v>
      </c>
      <c r="CX672" s="9" t="str">
        <f t="shared" si="785"/>
        <v>FY-28</v>
      </c>
    </row>
    <row r="673" spans="1:102" x14ac:dyDescent="0.25">
      <c r="A673" s="1"/>
      <c r="B673" s="217" t="s">
        <v>424</v>
      </c>
      <c r="C673" s="217"/>
      <c r="D673" s="217"/>
      <c r="E673" s="217"/>
      <c r="F673" s="217"/>
      <c r="G673" s="217"/>
      <c r="H673" s="217"/>
      <c r="I673" s="217"/>
      <c r="J673" s="217"/>
      <c r="K673" s="217"/>
      <c r="L673" s="217"/>
      <c r="M673" s="217"/>
      <c r="N673" s="217"/>
      <c r="O673" s="217"/>
      <c r="P673" s="217"/>
      <c r="Q673" s="217"/>
      <c r="R673" s="217"/>
      <c r="S673" s="206" t="e" cm="1">
        <f t="array" aca="1" ref="S673" ca="1">_xll.VisibleAlpha.UDF.VADetail("ActualOrEstimate",$B$671,"Consensus",S$672)</f>
        <v>#NAME?</v>
      </c>
      <c r="T673" s="206" t="e" cm="1">
        <f t="array" aca="1" ref="T673" ca="1">_xll.VisibleAlpha.UDF.VADetail("ActualOrEstimate",$B$671,"Consensus",T$672)</f>
        <v>#NAME?</v>
      </c>
      <c r="U673" s="206" t="e" cm="1">
        <f t="array" aca="1" ref="U673" ca="1">_xll.VisibleAlpha.UDF.VADetail("ActualOrEstimate",$B$671,"Consensus",U$672)</f>
        <v>#NAME?</v>
      </c>
      <c r="V673" s="206" t="e" cm="1">
        <f t="array" aca="1" ref="V673" ca="1">_xll.VisibleAlpha.UDF.VADetail("ActualOrEstimate",$B$671,"Consensus",V$672)</f>
        <v>#NAME?</v>
      </c>
      <c r="W673" s="206" t="e" cm="1">
        <f t="array" aca="1" ref="W673" ca="1">_xll.VisibleAlpha.UDF.VADetail("ActualOrEstimate",$B$671,"Consensus",W$672)</f>
        <v>#NAME?</v>
      </c>
      <c r="X673" s="206" t="e" cm="1">
        <f t="array" aca="1" ref="X673" ca="1">_xll.VisibleAlpha.UDF.VADetail("ActualOrEstimate",$B$671,"Consensus",X$672)</f>
        <v>#NAME?</v>
      </c>
      <c r="Y673" s="206" t="e" cm="1">
        <f t="array" aca="1" ref="Y673" ca="1">_xll.VisibleAlpha.UDF.VADetail("ActualOrEstimate",$B$671,"Consensus",Y$672)</f>
        <v>#NAME?</v>
      </c>
      <c r="Z673" s="206" t="e" cm="1">
        <f t="array" aca="1" ref="Z673" ca="1">_xll.VisibleAlpha.UDF.VADetail("ActualOrEstimate",$B$671,"Consensus",Z$672)</f>
        <v>#NAME?</v>
      </c>
      <c r="AA673" s="206" t="e" cm="1">
        <f t="array" aca="1" ref="AA673" ca="1">_xll.VisibleAlpha.UDF.VADetail("ActualOrEstimate",$B$671,"Consensus",AA$672)</f>
        <v>#NAME?</v>
      </c>
      <c r="AB673" s="206" t="e" cm="1">
        <f t="array" aca="1" ref="AB673" ca="1">_xll.VisibleAlpha.UDF.VADetail("ActualOrEstimate",$B$671,"Consensus",AB$672)</f>
        <v>#NAME?</v>
      </c>
      <c r="AC673" s="206" t="e" cm="1">
        <f t="array" aca="1" ref="AC673" ca="1">_xll.VisibleAlpha.UDF.VADetail("ActualOrEstimate",$B$671,"Consensus",AC$672)</f>
        <v>#NAME?</v>
      </c>
      <c r="AD673" s="206" t="e" cm="1">
        <f t="array" aca="1" ref="AD673" ca="1">_xll.VisibleAlpha.UDF.VADetail("ActualOrEstimate",$B$671,"Consensus",AD$672)</f>
        <v>#NAME?</v>
      </c>
      <c r="AE673" s="206" t="e" cm="1">
        <f t="array" aca="1" ref="AE673" ca="1">_xll.VisibleAlpha.UDF.VADetail("ActualOrEstimate",$B$671,"Consensus",AE$672)</f>
        <v>#NAME?</v>
      </c>
      <c r="AF673" s="206" t="e" cm="1">
        <f t="array" aca="1" ref="AF673" ca="1">_xll.VisibleAlpha.UDF.VADetail("ActualOrEstimate",$B$671,"Consensus",AF$672)</f>
        <v>#NAME?</v>
      </c>
      <c r="AG673" s="206" t="e" cm="1">
        <f t="array" aca="1" ref="AG673" ca="1">_xll.VisibleAlpha.UDF.VADetail("ActualOrEstimate",$B$671,"Consensus",AG$672)</f>
        <v>#NAME?</v>
      </c>
      <c r="AH673" s="206" t="e" cm="1">
        <f t="array" aca="1" ref="AH673" ca="1">_xll.VisibleAlpha.UDF.VADetail("ActualOrEstimate",$B$671,"Consensus",AH$672)</f>
        <v>#NAME?</v>
      </c>
      <c r="AI673" s="206" t="e" cm="1">
        <f t="array" aca="1" ref="AI673" ca="1">_xll.VisibleAlpha.UDF.VADetail("ActualOrEstimate",$B$671,"Consensus",AI$672)</f>
        <v>#NAME?</v>
      </c>
      <c r="AJ673" s="206" t="e" cm="1">
        <f t="array" aca="1" ref="AJ673" ca="1">_xll.VisibleAlpha.UDF.VADetail("ActualOrEstimate",$B$671,"Consensus",AJ$672)</f>
        <v>#NAME?</v>
      </c>
      <c r="AK673" s="206" t="e" cm="1">
        <f t="array" aca="1" ref="AK673" ca="1">_xll.VisibleAlpha.UDF.VADetail("ActualOrEstimate",$B$671,"Consensus",AK$672)</f>
        <v>#NAME?</v>
      </c>
      <c r="AL673" s="206" t="e" cm="1">
        <f t="array" aca="1" ref="AL673" ca="1">_xll.VisibleAlpha.UDF.VADetail("ActualOrEstimate",$B$671,"Consensus",AL$672)</f>
        <v>#NAME?</v>
      </c>
      <c r="AM673" s="206" t="e" cm="1">
        <f t="array" aca="1" ref="AM673" ca="1">_xll.VisibleAlpha.UDF.VADetail("ActualOrEstimate",$B$671,"Consensus",AM$672)</f>
        <v>#NAME?</v>
      </c>
      <c r="AN673" s="206" t="e" cm="1">
        <f t="array" aca="1" ref="AN673" ca="1">_xll.VisibleAlpha.UDF.VADetail("ActualOrEstimate",$B$671,"Consensus",AN$672)</f>
        <v>#NAME?</v>
      </c>
      <c r="AO673" s="206" t="e" cm="1">
        <f t="array" aca="1" ref="AO673" ca="1">_xll.VisibleAlpha.UDF.VADetail("ActualOrEstimate",$B$671,"Consensus",AO$672)</f>
        <v>#NAME?</v>
      </c>
      <c r="AP673" s="206" t="e" cm="1">
        <f t="array" aca="1" ref="AP673" ca="1">_xll.VisibleAlpha.UDF.VADetail("ActualOrEstimate",$B$671,"Consensus",AP$672)</f>
        <v>#NAME?</v>
      </c>
      <c r="AQ673" s="206" t="e" cm="1">
        <f t="array" aca="1" ref="AQ673" ca="1">_xll.VisibleAlpha.UDF.VADetail("ActualOrEstimate",$B$671,"Consensus",AQ$672)</f>
        <v>#NAME?</v>
      </c>
      <c r="AR673" s="206" t="e" cm="1">
        <f t="array" aca="1" ref="AR673" ca="1">_xll.VisibleAlpha.UDF.VADetail("ActualOrEstimate",$B$671,"Consensus",AR$672)</f>
        <v>#NAME?</v>
      </c>
      <c r="AS673" s="206" t="e" cm="1">
        <f t="array" aca="1" ref="AS673" ca="1">_xll.VisibleAlpha.UDF.VADetail("ActualOrEstimate",$B$671,"Consensus",AS$672)</f>
        <v>#NAME?</v>
      </c>
      <c r="AT673" s="206" t="e" cm="1">
        <f t="array" aca="1" ref="AT673" ca="1">_xll.VisibleAlpha.UDF.VADetail("ActualOrEstimate",$B$671,"Consensus",AT$672)</f>
        <v>#NAME?</v>
      </c>
      <c r="AU673" s="206" t="e" cm="1">
        <f t="array" aca="1" ref="AU673" ca="1">_xll.VisibleAlpha.UDF.VADetail("ActualOrEstimate",$B$671,"Consensus",AU$672)</f>
        <v>#NAME?</v>
      </c>
      <c r="AV673" s="206" t="e" cm="1">
        <f t="array" aca="1" ref="AV673" ca="1">_xll.VisibleAlpha.UDF.VADetail("ActualOrEstimate",$B$671,"Consensus",AV$672)</f>
        <v>#NAME?</v>
      </c>
      <c r="AW673" s="206" t="e" cm="1">
        <f t="array" aca="1" ref="AW673" ca="1">_xll.VisibleAlpha.UDF.VADetail("ActualOrEstimate",$B$671,"Consensus",AW$672)</f>
        <v>#NAME?</v>
      </c>
      <c r="AX673" s="206" t="e" cm="1">
        <f t="array" aca="1" ref="AX673" ca="1">_xll.VisibleAlpha.UDF.VADetail("ActualOrEstimate",$B$671,"Consensus",AX$672)</f>
        <v>#NAME?</v>
      </c>
      <c r="AY673" s="206" t="e" cm="1">
        <f t="array" aca="1" ref="AY673" ca="1">_xll.VisibleAlpha.UDF.VADetail("ActualOrEstimate",$B$671,"Consensus",AY$672)</f>
        <v>#NAME?</v>
      </c>
      <c r="AZ673" s="206" t="e" cm="1">
        <f t="array" aca="1" ref="AZ673" ca="1">_xll.VisibleAlpha.UDF.VADetail("ActualOrEstimate",$B$671,"Consensus",AZ$672)</f>
        <v>#NAME?</v>
      </c>
      <c r="BA673" s="206" t="e" cm="1">
        <f t="array" aca="1" ref="BA673" ca="1">_xll.VisibleAlpha.UDF.VADetail("ActualOrEstimate",$B$671,"Consensus",BA$672)</f>
        <v>#NAME?</v>
      </c>
      <c r="BB673" s="206" t="e" cm="1">
        <f t="array" aca="1" ref="BB673" ca="1">_xll.VisibleAlpha.UDF.VADetail("ActualOrEstimate",$B$671,"Consensus",BB$672)</f>
        <v>#NAME?</v>
      </c>
      <c r="BC673" s="206" t="e" cm="1">
        <f t="array" aca="1" ref="BC673" ca="1">_xll.VisibleAlpha.UDF.VADetail("ActualOrEstimate",$B$671,"Consensus",BC$672)</f>
        <v>#NAME?</v>
      </c>
      <c r="BD673" s="206" t="e" cm="1">
        <f t="array" aca="1" ref="BD673" ca="1">_xll.VisibleAlpha.UDF.VADetail("ActualOrEstimate",$B$671,"Consensus",BD$672)</f>
        <v>#NAME?</v>
      </c>
      <c r="BE673" s="206" t="e" cm="1">
        <f t="array" aca="1" ref="BE673" ca="1">_xll.VisibleAlpha.UDF.VADetail("ActualOrEstimate",$B$671,"Consensus",BE$672)</f>
        <v>#NAME?</v>
      </c>
      <c r="BF673" s="206" t="e" cm="1">
        <f t="array" aca="1" ref="BF673" ca="1">_xll.VisibleAlpha.UDF.VADetail("ActualOrEstimate",$B$671,"Consensus",BF$672)</f>
        <v>#NAME?</v>
      </c>
      <c r="BG673" s="206" t="e" cm="1">
        <f t="array" aca="1" ref="BG673" ca="1">_xll.VisibleAlpha.UDF.VADetail("ActualOrEstimate",$B$671,"Consensus",BG$672)</f>
        <v>#NAME?</v>
      </c>
      <c r="BH673" s="206" t="e" cm="1">
        <f t="array" aca="1" ref="BH673" ca="1">_xll.VisibleAlpha.UDF.VADetail("ActualOrEstimate",$B$671,"Consensus",BH$672)</f>
        <v>#NAME?</v>
      </c>
      <c r="BI673" s="206" t="e" cm="1">
        <f t="array" aca="1" ref="BI673" ca="1">_xll.VisibleAlpha.UDF.VADetail("ActualOrEstimate",$B$671,"Consensus",BI$672)</f>
        <v>#NAME?</v>
      </c>
      <c r="BJ673" s="206" t="e" cm="1">
        <f t="array" aca="1" ref="BJ673" ca="1">_xll.VisibleAlpha.UDF.VADetail("ActualOrEstimate",$B$671,"Consensus",BJ$672)</f>
        <v>#NAME?</v>
      </c>
      <c r="BK673" s="206" t="e" cm="1">
        <f t="array" aca="1" ref="BK673" ca="1">_xll.VisibleAlpha.UDF.VADetail("ActualOrEstimate",$B$671,"Consensus",BK$672)</f>
        <v>#NAME?</v>
      </c>
      <c r="BL673" s="206" t="e" cm="1">
        <f t="array" aca="1" ref="BL673" ca="1">_xll.VisibleAlpha.UDF.VADetail("ActualOrEstimate",$B$671,"Consensus",BL$672)</f>
        <v>#NAME?</v>
      </c>
      <c r="BM673" s="206" t="e" cm="1">
        <f t="array" aca="1" ref="BM673" ca="1">_xll.VisibleAlpha.UDF.VADetail("ActualOrEstimate",$B$671,"Consensus",BM$672)</f>
        <v>#NAME?</v>
      </c>
      <c r="BN673" s="206" t="e" cm="1">
        <f t="array" aca="1" ref="BN673" ca="1">_xll.VisibleAlpha.UDF.VADetail("ActualOrEstimate",$B$671,"Consensus",BN$672)</f>
        <v>#NAME?</v>
      </c>
      <c r="BO673" s="206" t="e" cm="1">
        <f t="array" aca="1" ref="BO673" ca="1">_xll.VisibleAlpha.UDF.VADetail("ActualOrEstimate",$B$671,"Consensus",BO$672)</f>
        <v>#NAME?</v>
      </c>
      <c r="BP673" s="206" t="e" cm="1">
        <f t="array" aca="1" ref="BP673" ca="1">_xll.VisibleAlpha.UDF.VADetail("ActualOrEstimate",$B$671,"Consensus",BP$672)</f>
        <v>#NAME?</v>
      </c>
      <c r="BQ673" s="206" t="e" cm="1">
        <f t="array" aca="1" ref="BQ673" ca="1">_xll.VisibleAlpha.UDF.VADetail("ActualOrEstimate",$B$671,"Consensus",BQ$672)</f>
        <v>#NAME?</v>
      </c>
      <c r="BR673" s="206" t="e" cm="1">
        <f t="array" aca="1" ref="BR673" ca="1">_xll.VisibleAlpha.UDF.VADetail("ActualOrEstimate",$B$671,"Consensus",BR$672)</f>
        <v>#NAME?</v>
      </c>
      <c r="BS673" s="206" t="e" cm="1">
        <f t="array" aca="1" ref="BS673" ca="1">_xll.VisibleAlpha.UDF.VADetail("ActualOrEstimate",$B$671,"Consensus",BS$672)</f>
        <v>#NAME?</v>
      </c>
      <c r="BT673" s="206" t="e" cm="1">
        <f t="array" aca="1" ref="BT673" ca="1">_xll.VisibleAlpha.UDF.VADetail("ActualOrEstimate",$B$671,"Consensus",BT$672)</f>
        <v>#NAME?</v>
      </c>
      <c r="BU673" s="206" t="e" cm="1">
        <f t="array" aca="1" ref="BU673" ca="1">_xll.VisibleAlpha.UDF.VADetail("ActualOrEstimate",$B$671,"Consensus",BU$672)</f>
        <v>#NAME?</v>
      </c>
      <c r="BV673" s="206" t="e" cm="1">
        <f t="array" aca="1" ref="BV673" ca="1">_xll.VisibleAlpha.UDF.VADetail("ActualOrEstimate",$B$671,"Consensus",BV$672)</f>
        <v>#NAME?</v>
      </c>
      <c r="BW673" s="206" t="e" cm="1">
        <f t="array" aca="1" ref="BW673" ca="1">_xll.VisibleAlpha.UDF.VADetail("ActualOrEstimate",$B$671,"Consensus",BW$672)</f>
        <v>#NAME?</v>
      </c>
      <c r="BX673" s="206" t="e" cm="1">
        <f t="array" aca="1" ref="BX673" ca="1">_xll.VisibleAlpha.UDF.VADetail("ActualOrEstimate",$B$671,"Consensus",BX$672)</f>
        <v>#NAME?</v>
      </c>
      <c r="BY673" s="206" t="e" cm="1">
        <f t="array" aca="1" ref="BY673" ca="1">_xll.VisibleAlpha.UDF.VADetail("ActualOrEstimate",$B$671,"Consensus",BY$672)</f>
        <v>#NAME?</v>
      </c>
      <c r="BZ673" s="206" t="e" cm="1">
        <f t="array" aca="1" ref="BZ673" ca="1">_xll.VisibleAlpha.UDF.VADetail("ActualOrEstimate",$B$671,"Consensus",BZ$672)</f>
        <v>#NAME?</v>
      </c>
      <c r="CA673" s="206" t="e" cm="1">
        <f t="array" aca="1" ref="CA673" ca="1">_xll.VisibleAlpha.UDF.VADetail("ActualOrEstimate",$B$671,"Consensus",CA$672)</f>
        <v>#NAME?</v>
      </c>
      <c r="CB673" s="206" t="e" cm="1">
        <f t="array" aca="1" ref="CB673" ca="1">_xll.VisibleAlpha.UDF.VADetail("ActualOrEstimate",$B$671,"Consensus",CB$672)</f>
        <v>#NAME?</v>
      </c>
      <c r="CC673" s="206" t="e" cm="1">
        <f t="array" aca="1" ref="CC673" ca="1">_xll.VisibleAlpha.UDF.VADetail("ActualOrEstimate",$B$671,"Consensus",CC$672)</f>
        <v>#NAME?</v>
      </c>
      <c r="CD673" s="206" t="e" cm="1">
        <f t="array" aca="1" ref="CD673" ca="1">_xll.VisibleAlpha.UDF.VADetail("ActualOrEstimate",$B$671,"Consensus",CD$672)</f>
        <v>#NAME?</v>
      </c>
      <c r="CF673" s="206" t="e" cm="1">
        <f t="array" aca="1" ref="CF673" ca="1">_xll.VisibleAlpha.UDF.VADetail("ActualOrEstimate",$B$671,"Consensus",CF$672)</f>
        <v>#NAME?</v>
      </c>
      <c r="CG673" s="206" t="e" cm="1">
        <f t="array" aca="1" ref="CG673" ca="1">_xll.VisibleAlpha.UDF.VADetail("ActualOrEstimate",$B$671,"Consensus",CG$672)</f>
        <v>#NAME?</v>
      </c>
      <c r="CH673" s="206" t="e" cm="1">
        <f t="array" aca="1" ref="CH673" ca="1">_xll.VisibleAlpha.UDF.VADetail("ActualOrEstimate",$B$671,"Consensus",CH$672)</f>
        <v>#NAME?</v>
      </c>
      <c r="CI673" s="206" t="e" cm="1">
        <f t="array" aca="1" ref="CI673" ca="1">_xll.VisibleAlpha.UDF.VADetail("ActualOrEstimate",$B$671,"Consensus",CI$672)</f>
        <v>#NAME?</v>
      </c>
      <c r="CJ673" s="206" t="e" cm="1">
        <f t="array" aca="1" ref="CJ673" ca="1">_xll.VisibleAlpha.UDF.VADetail("ActualOrEstimate",$B$671,"Consensus",CJ$672)</f>
        <v>#NAME?</v>
      </c>
      <c r="CK673" s="206" t="e" cm="1">
        <f t="array" aca="1" ref="CK673" ca="1">_xll.VisibleAlpha.UDF.VADetail("ActualOrEstimate",$B$671,"Consensus",CK$672)</f>
        <v>#NAME?</v>
      </c>
      <c r="CL673" s="206" t="e" cm="1">
        <f t="array" aca="1" ref="CL673" ca="1">_xll.VisibleAlpha.UDF.VADetail("ActualOrEstimate",$B$671,"Consensus",CL$672)</f>
        <v>#NAME?</v>
      </c>
      <c r="CM673" s="206" t="e" cm="1">
        <f t="array" aca="1" ref="CM673" ca="1">_xll.VisibleAlpha.UDF.VADetail("ActualOrEstimate",$B$671,"Consensus",CM$672)</f>
        <v>#NAME?</v>
      </c>
      <c r="CN673" s="206" t="e" cm="1">
        <f t="array" aca="1" ref="CN673" ca="1">_xll.VisibleAlpha.UDF.VADetail("ActualOrEstimate",$B$671,"Consensus",CN$672)</f>
        <v>#NAME?</v>
      </c>
      <c r="CO673" s="206" t="e" cm="1">
        <f t="array" aca="1" ref="CO673" ca="1">_xll.VisibleAlpha.UDF.VADetail("ActualOrEstimate",$B$671,"Consensus",CO$672)</f>
        <v>#NAME?</v>
      </c>
      <c r="CP673" s="206" t="e" cm="1">
        <f t="array" aca="1" ref="CP673" ca="1">_xll.VisibleAlpha.UDF.VADetail("ActualOrEstimate",$B$671,"Consensus",CP$672)</f>
        <v>#NAME?</v>
      </c>
      <c r="CQ673" s="206" t="e" cm="1">
        <f t="array" aca="1" ref="CQ673" ca="1">_xll.VisibleAlpha.UDF.VADetail("ActualOrEstimate",$B$671,"Consensus",CQ$672)</f>
        <v>#NAME?</v>
      </c>
      <c r="CR673" s="206" t="e" cm="1">
        <f t="array" aca="1" ref="CR673" ca="1">_xll.VisibleAlpha.UDF.VADetail("ActualOrEstimate",$B$671,"Consensus",CR$672)</f>
        <v>#NAME?</v>
      </c>
      <c r="CS673" s="206" t="e" cm="1">
        <f t="array" aca="1" ref="CS673" ca="1">_xll.VisibleAlpha.UDF.VADetail("ActualOrEstimate",$B$671,"Consensus",CS$672)</f>
        <v>#NAME?</v>
      </c>
      <c r="CT673" s="206" t="e" cm="1">
        <f t="array" aca="1" ref="CT673" ca="1">_xll.VisibleAlpha.UDF.VADetail("ActualOrEstimate",$B$671,"Consensus",CT$672)</f>
        <v>#NAME?</v>
      </c>
      <c r="CU673" s="206" t="e" cm="1">
        <f t="array" aca="1" ref="CU673" ca="1">_xll.VisibleAlpha.UDF.VADetail("ActualOrEstimate",$B$671,"Consensus",CU$672)</f>
        <v>#NAME?</v>
      </c>
      <c r="CV673" s="206" t="e" cm="1">
        <f t="array" aca="1" ref="CV673" ca="1">_xll.VisibleAlpha.UDF.VADetail("ActualOrEstimate",$B$671,"Consensus",CV$672)</f>
        <v>#NAME?</v>
      </c>
      <c r="CW673" s="206" t="e" cm="1">
        <f t="array" aca="1" ref="CW673" ca="1">_xll.VisibleAlpha.UDF.VADetail("ActualOrEstimate",$B$671,"Consensus",CW$672)</f>
        <v>#NAME?</v>
      </c>
      <c r="CX673" s="206" t="e" cm="1">
        <f t="array" aca="1" ref="CX673" ca="1">_xll.VisibleAlpha.UDF.VADetail("ActualOrEstimate",$B$671,"Consensus",CX$672)</f>
        <v>#NAME?</v>
      </c>
    </row>
    <row r="674" spans="1:102" x14ac:dyDescent="0.25">
      <c r="A674" s="1"/>
      <c r="B674" s="217" t="s">
        <v>425</v>
      </c>
      <c r="C674" s="217"/>
      <c r="D674" s="217"/>
      <c r="E674" s="217"/>
      <c r="F674" s="217"/>
      <c r="G674" s="217"/>
      <c r="H674" s="217"/>
      <c r="I674" s="217"/>
      <c r="J674" s="217"/>
      <c r="K674" s="217"/>
      <c r="L674" s="217"/>
      <c r="M674" s="217"/>
      <c r="N674" s="217"/>
      <c r="O674" s="217"/>
      <c r="P674" s="217"/>
      <c r="Q674" s="217"/>
      <c r="R674" s="217"/>
      <c r="S674" s="165" t="e">
        <f t="shared" ref="S674:BZ674" ca="1" si="786">IF(S673="A","VA Actuals","Consensus")</f>
        <v>#NAME?</v>
      </c>
      <c r="T674" s="165" t="e">
        <f t="shared" ca="1" si="786"/>
        <v>#NAME?</v>
      </c>
      <c r="U674" s="165" t="e">
        <f t="shared" ca="1" si="786"/>
        <v>#NAME?</v>
      </c>
      <c r="V674" s="165" t="e">
        <f t="shared" ca="1" si="786"/>
        <v>#NAME?</v>
      </c>
      <c r="W674" s="165" t="e">
        <f t="shared" ca="1" si="786"/>
        <v>#NAME?</v>
      </c>
      <c r="X674" s="165" t="e">
        <f t="shared" ca="1" si="786"/>
        <v>#NAME?</v>
      </c>
      <c r="Y674" s="165" t="e">
        <f t="shared" ca="1" si="786"/>
        <v>#NAME?</v>
      </c>
      <c r="Z674" s="165" t="e">
        <f t="shared" ca="1" si="786"/>
        <v>#NAME?</v>
      </c>
      <c r="AA674" s="165" t="e">
        <f t="shared" ca="1" si="786"/>
        <v>#NAME?</v>
      </c>
      <c r="AB674" s="165" t="e">
        <f t="shared" ca="1" si="786"/>
        <v>#NAME?</v>
      </c>
      <c r="AC674" s="165" t="e">
        <f t="shared" ca="1" si="786"/>
        <v>#NAME?</v>
      </c>
      <c r="AD674" s="165" t="e">
        <f t="shared" ca="1" si="786"/>
        <v>#NAME?</v>
      </c>
      <c r="AE674" s="165" t="e">
        <f t="shared" ca="1" si="786"/>
        <v>#NAME?</v>
      </c>
      <c r="AF674" s="165" t="e">
        <f t="shared" ca="1" si="786"/>
        <v>#NAME?</v>
      </c>
      <c r="AG674" s="165" t="e">
        <f t="shared" ca="1" si="786"/>
        <v>#NAME?</v>
      </c>
      <c r="AH674" s="165" t="e">
        <f t="shared" ca="1" si="786"/>
        <v>#NAME?</v>
      </c>
      <c r="AI674" s="10" t="e">
        <f t="shared" ca="1" si="786"/>
        <v>#NAME?</v>
      </c>
      <c r="AJ674" s="10" t="e">
        <f t="shared" ca="1" si="786"/>
        <v>#NAME?</v>
      </c>
      <c r="AK674" s="10" t="e">
        <f t="shared" ca="1" si="786"/>
        <v>#NAME?</v>
      </c>
      <c r="AL674" s="10" t="e">
        <f t="shared" ca="1" si="786"/>
        <v>#NAME?</v>
      </c>
      <c r="AM674" s="10" t="e">
        <f t="shared" ca="1" si="786"/>
        <v>#NAME?</v>
      </c>
      <c r="AN674" s="10" t="e">
        <f t="shared" ca="1" si="786"/>
        <v>#NAME?</v>
      </c>
      <c r="AO674" s="10" t="e">
        <f t="shared" ca="1" si="786"/>
        <v>#NAME?</v>
      </c>
      <c r="AP674" s="10" t="e">
        <f t="shared" ca="1" si="786"/>
        <v>#NAME?</v>
      </c>
      <c r="AQ674" s="10" t="e">
        <f t="shared" ca="1" si="786"/>
        <v>#NAME?</v>
      </c>
      <c r="AR674" s="10" t="e">
        <f t="shared" ca="1" si="786"/>
        <v>#NAME?</v>
      </c>
      <c r="AS674" s="10" t="e">
        <f t="shared" ca="1" si="786"/>
        <v>#NAME?</v>
      </c>
      <c r="AT674" s="10" t="e">
        <f t="shared" ca="1" si="786"/>
        <v>#NAME?</v>
      </c>
      <c r="AU674" s="10" t="e">
        <f t="shared" ca="1" si="786"/>
        <v>#NAME?</v>
      </c>
      <c r="AV674" s="10" t="e">
        <f t="shared" ca="1" si="786"/>
        <v>#NAME?</v>
      </c>
      <c r="AW674" s="10" t="e">
        <f t="shared" ca="1" si="786"/>
        <v>#NAME?</v>
      </c>
      <c r="AX674" s="10" t="e">
        <f t="shared" ca="1" si="786"/>
        <v>#NAME?</v>
      </c>
      <c r="AY674" s="10" t="e">
        <f t="shared" ca="1" si="786"/>
        <v>#NAME?</v>
      </c>
      <c r="AZ674" s="10" t="e">
        <f t="shared" ca="1" si="786"/>
        <v>#NAME?</v>
      </c>
      <c r="BA674" s="10" t="e">
        <f t="shared" ca="1" si="786"/>
        <v>#NAME?</v>
      </c>
      <c r="BB674" s="10" t="e">
        <f t="shared" ca="1" si="786"/>
        <v>#NAME?</v>
      </c>
      <c r="BC674" s="10" t="e">
        <f t="shared" ca="1" si="786"/>
        <v>#NAME?</v>
      </c>
      <c r="BD674" s="10" t="e">
        <f t="shared" ca="1" si="786"/>
        <v>#NAME?</v>
      </c>
      <c r="BE674" s="10" t="e">
        <f t="shared" ca="1" si="786"/>
        <v>#NAME?</v>
      </c>
      <c r="BF674" s="10" t="e">
        <f t="shared" ca="1" si="786"/>
        <v>#NAME?</v>
      </c>
      <c r="BG674" s="10" t="e">
        <f t="shared" ca="1" si="786"/>
        <v>#NAME?</v>
      </c>
      <c r="BH674" s="10" t="e">
        <f t="shared" ca="1" si="786"/>
        <v>#NAME?</v>
      </c>
      <c r="BI674" s="10" t="e">
        <f t="shared" ca="1" si="786"/>
        <v>#NAME?</v>
      </c>
      <c r="BJ674" s="10" t="e">
        <f t="shared" ca="1" si="786"/>
        <v>#NAME?</v>
      </c>
      <c r="BK674" s="10" t="e">
        <f t="shared" ca="1" si="786"/>
        <v>#NAME?</v>
      </c>
      <c r="BL674" s="10" t="e">
        <f t="shared" ca="1" si="786"/>
        <v>#NAME?</v>
      </c>
      <c r="BM674" s="10" t="e">
        <f t="shared" ca="1" si="786"/>
        <v>#NAME?</v>
      </c>
      <c r="BN674" s="10" t="e">
        <f t="shared" ca="1" si="786"/>
        <v>#NAME?</v>
      </c>
      <c r="BO674" s="10" t="e">
        <f t="shared" ca="1" si="786"/>
        <v>#NAME?</v>
      </c>
      <c r="BP674" s="10" t="e">
        <f t="shared" ca="1" si="786"/>
        <v>#NAME?</v>
      </c>
      <c r="BQ674" s="10" t="e">
        <f t="shared" ca="1" si="786"/>
        <v>#NAME?</v>
      </c>
      <c r="BR674" s="10" t="e">
        <f t="shared" ca="1" si="786"/>
        <v>#NAME?</v>
      </c>
      <c r="BS674" s="10" t="e">
        <f t="shared" ca="1" si="786"/>
        <v>#NAME?</v>
      </c>
      <c r="BT674" s="10" t="e">
        <f t="shared" ca="1" si="786"/>
        <v>#NAME?</v>
      </c>
      <c r="BU674" s="10" t="e">
        <f t="shared" ca="1" si="786"/>
        <v>#NAME?</v>
      </c>
      <c r="BV674" s="10" t="e">
        <f t="shared" ca="1" si="786"/>
        <v>#NAME?</v>
      </c>
      <c r="BW674" s="10" t="e">
        <f t="shared" ca="1" si="786"/>
        <v>#NAME?</v>
      </c>
      <c r="BX674" s="10" t="e">
        <f t="shared" ca="1" si="786"/>
        <v>#NAME?</v>
      </c>
      <c r="BY674" s="10" t="e">
        <f t="shared" ca="1" si="786"/>
        <v>#NAME?</v>
      </c>
      <c r="BZ674" s="10" t="e">
        <f t="shared" ca="1" si="786"/>
        <v>#NAME?</v>
      </c>
      <c r="CB674" s="165" t="s">
        <v>333</v>
      </c>
      <c r="CC674" s="165" t="s">
        <v>333</v>
      </c>
      <c r="CD674" s="165" t="s">
        <v>333</v>
      </c>
      <c r="CF674" s="165" t="s">
        <v>333</v>
      </c>
      <c r="CG674" s="165" t="s">
        <v>333</v>
      </c>
      <c r="CH674" s="165" t="s">
        <v>333</v>
      </c>
      <c r="CI674" s="10" t="s">
        <v>333</v>
      </c>
      <c r="CJ674" s="10" t="s">
        <v>333</v>
      </c>
      <c r="CK674" s="10" t="s">
        <v>333</v>
      </c>
      <c r="CL674" s="10" t="s">
        <v>333</v>
      </c>
      <c r="CM674" s="10" t="s">
        <v>333</v>
      </c>
      <c r="CN674" s="10" t="s">
        <v>333</v>
      </c>
      <c r="CO674" s="10" t="e">
        <f t="shared" ref="CO674:CX674" ca="1" si="787">IF(CO673="A","VA Actuals","Consensus")</f>
        <v>#NAME?</v>
      </c>
      <c r="CP674" s="10" t="e">
        <f t="shared" ca="1" si="787"/>
        <v>#NAME?</v>
      </c>
      <c r="CQ674" s="10" t="e">
        <f t="shared" ca="1" si="787"/>
        <v>#NAME?</v>
      </c>
      <c r="CR674" s="10" t="e">
        <f t="shared" ca="1" si="787"/>
        <v>#NAME?</v>
      </c>
      <c r="CS674" s="10" t="e">
        <f t="shared" ca="1" si="787"/>
        <v>#NAME?</v>
      </c>
      <c r="CT674" s="10" t="e">
        <f t="shared" ca="1" si="787"/>
        <v>#NAME?</v>
      </c>
      <c r="CU674" s="10" t="e">
        <f t="shared" ca="1" si="787"/>
        <v>#NAME?</v>
      </c>
      <c r="CV674" s="10" t="e">
        <f t="shared" ca="1" si="787"/>
        <v>#NAME?</v>
      </c>
      <c r="CW674" s="10" t="e">
        <f t="shared" ca="1" si="787"/>
        <v>#NAME?</v>
      </c>
      <c r="CX674" s="10" t="e">
        <f t="shared" ca="1" si="787"/>
        <v>#NAME?</v>
      </c>
    </row>
    <row r="675" spans="1:102" x14ac:dyDescent="0.25">
      <c r="A675" s="1"/>
      <c r="S675" s="165"/>
      <c r="T675" s="165"/>
      <c r="U675" s="165"/>
      <c r="V675" s="165"/>
      <c r="W675" s="165"/>
      <c r="X675" s="165"/>
      <c r="Y675" s="165"/>
      <c r="Z675" s="165"/>
      <c r="AA675" s="165"/>
      <c r="AB675" s="165"/>
      <c r="AC675" s="165"/>
      <c r="AD675" s="165"/>
      <c r="AE675" s="165"/>
      <c r="AF675" s="165"/>
      <c r="AG675" s="165"/>
      <c r="AH675" s="165"/>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B675" s="165"/>
      <c r="CC675" s="165"/>
      <c r="CD675" s="165"/>
      <c r="CF675" s="165"/>
      <c r="CG675" s="165"/>
      <c r="CH675" s="165"/>
      <c r="CI675" s="10"/>
      <c r="CJ675" s="10"/>
      <c r="CK675" s="10"/>
      <c r="CL675" s="10"/>
      <c r="CM675" s="10"/>
      <c r="CN675" s="10"/>
      <c r="CO675" s="10"/>
      <c r="CP675" s="10"/>
      <c r="CQ675" s="10"/>
      <c r="CR675" s="10"/>
      <c r="CS675" s="10"/>
      <c r="CT675" s="10"/>
      <c r="CU675" s="10"/>
      <c r="CV675" s="10"/>
      <c r="CW675" s="10"/>
      <c r="CX675" s="10"/>
    </row>
    <row r="676" spans="1:102" s="84" customFormat="1" x14ac:dyDescent="0.25">
      <c r="A676" s="218"/>
      <c r="B676" s="116" t="s">
        <v>448</v>
      </c>
      <c r="C676" s="116"/>
      <c r="D676" s="116"/>
      <c r="E676" s="116"/>
      <c r="F676" s="116"/>
      <c r="G676" s="116"/>
      <c r="H676" s="116"/>
      <c r="I676" s="116"/>
      <c r="J676" s="116"/>
      <c r="K676" s="116"/>
      <c r="L676" s="116"/>
      <c r="M676" s="116"/>
      <c r="N676" s="116"/>
      <c r="O676" s="116"/>
      <c r="P676" s="116"/>
      <c r="Q676" s="116"/>
      <c r="R676" s="116"/>
      <c r="S676" s="86" t="e" cm="1">
        <f t="array" aca="1" ref="S676" ca="1">_xll.VisibleAlpha.UDF.VAData($B$671,S$672,$B676,S$674,$B$674,$B$673,$B$672)</f>
        <v>#NAME?</v>
      </c>
      <c r="T676" s="86" t="e" cm="1">
        <f t="array" aca="1" ref="T676" ca="1">_xll.VisibleAlpha.UDF.VAData($B$671,T$672,$B676,T$674,$B$674,$B$673,$B$672)</f>
        <v>#NAME?</v>
      </c>
      <c r="U676" s="86" t="e" cm="1">
        <f t="array" aca="1" ref="U676" ca="1">_xll.VisibleAlpha.UDF.VAData($B$671,U$672,$B676,U$674,$B$674,$B$673,$B$672)</f>
        <v>#NAME?</v>
      </c>
      <c r="V676" s="86" t="e" cm="1">
        <f t="array" aca="1" ref="V676" ca="1">_xll.VisibleAlpha.UDF.VAData($B$671,V$672,$B676,V$674,$B$674,$B$673,$B$672)</f>
        <v>#NAME?</v>
      </c>
      <c r="W676" s="86" t="e" cm="1">
        <f t="array" aca="1" ref="W676" ca="1">_xll.VisibleAlpha.UDF.VAData($B$671,W$672,$B676,W$674,$B$674,$B$673,$B$672)</f>
        <v>#NAME?</v>
      </c>
      <c r="X676" s="86" t="e" cm="1">
        <f t="array" aca="1" ref="X676" ca="1">_xll.VisibleAlpha.UDF.VAData($B$671,X$672,$B676,X$674,$B$674,$B$673,$B$672)</f>
        <v>#NAME?</v>
      </c>
      <c r="Y676" s="86" t="e" cm="1">
        <f t="array" aca="1" ref="Y676" ca="1">_xll.VisibleAlpha.UDF.VAData($B$671,Y$672,$B676,Y$674,$B$674,$B$673,$B$672)</f>
        <v>#NAME?</v>
      </c>
      <c r="Z676" s="86" t="e" cm="1">
        <f t="array" aca="1" ref="Z676" ca="1">_xll.VisibleAlpha.UDF.VAData($B$671,Z$672,$B676,Z$674,$B$674,$B$673,$B$672)</f>
        <v>#NAME?</v>
      </c>
      <c r="AA676" s="86" t="e" cm="1">
        <f t="array" aca="1" ref="AA676" ca="1">_xll.VisibleAlpha.UDF.VAData($B$671,AA$672,$B676,AA$674,$B$674,$B$673,$B$672)</f>
        <v>#NAME?</v>
      </c>
      <c r="AB676" s="86" t="e" cm="1">
        <f t="array" aca="1" ref="AB676" ca="1">_xll.VisibleAlpha.UDF.VAData($B$671,AB$672,$B676,AB$674,$B$674,$B$673,$B$672)</f>
        <v>#NAME?</v>
      </c>
      <c r="AC676" s="86" t="e" cm="1">
        <f t="array" aca="1" ref="AC676" ca="1">_xll.VisibleAlpha.UDF.VAData($B$671,AC$672,$B676,AC$674,$B$674,$B$673,$B$672)</f>
        <v>#NAME?</v>
      </c>
      <c r="AD676" s="86" t="e" cm="1">
        <f t="array" aca="1" ref="AD676" ca="1">_xll.VisibleAlpha.UDF.VAData($B$671,AD$672,$B676,AD$674,$B$674,$B$673,$B$672)</f>
        <v>#NAME?</v>
      </c>
      <c r="AE676" s="86" t="e" cm="1">
        <f t="array" aca="1" ref="AE676" ca="1">_xll.VisibleAlpha.UDF.VAData($B$671,AE$672,$B676,AE$674,$B$674,$B$673,$B$672)</f>
        <v>#NAME?</v>
      </c>
      <c r="AF676" s="86" t="e" cm="1">
        <f t="array" aca="1" ref="AF676" ca="1">_xll.VisibleAlpha.UDF.VAData($B$671,AF$672,$B676,AF$674,$B$674,$B$673,$B$672)</f>
        <v>#NAME?</v>
      </c>
      <c r="AG676" s="86" t="e" cm="1">
        <f t="array" aca="1" ref="AG676" ca="1">_xll.VisibleAlpha.UDF.VAData($B$671,AG$672,$B676,AG$674,$B$674,$B$673,$B$672)</f>
        <v>#NAME?</v>
      </c>
      <c r="AH676" s="86" t="e" cm="1">
        <f t="array" aca="1" ref="AH676" ca="1">_xll.VisibleAlpha.UDF.VAData($B$671,AH$672,$B676,AH$674,$B$674,$B$673,$B$672)</f>
        <v>#NAME?</v>
      </c>
      <c r="AI676" s="86" t="e" cm="1">
        <f t="array" aca="1" ref="AI676" ca="1">_xll.VisibleAlpha.UDF.VAData($B$671,AI$672,$B676,AI$674,$B$674,$B$673,$B$672)</f>
        <v>#NAME?</v>
      </c>
      <c r="AJ676" s="86" t="e" cm="1">
        <f t="array" aca="1" ref="AJ676" ca="1">_xll.VisibleAlpha.UDF.VAData($B$671,AJ$672,$B676,AJ$674,$B$674,$B$673,$B$672)</f>
        <v>#NAME?</v>
      </c>
      <c r="AK676" s="86" t="e" cm="1">
        <f t="array" aca="1" ref="AK676" ca="1">_xll.VisibleAlpha.UDF.VAData($B$671,AK$672,$B676,AK$674,$B$674,$B$673,$B$672)</f>
        <v>#NAME?</v>
      </c>
      <c r="AL676" s="86" t="e" cm="1">
        <f t="array" aca="1" ref="AL676" ca="1">_xll.VisibleAlpha.UDF.VAData($B$671,AL$672,$B676,AL$674,$B$674,$B$673,$B$672)</f>
        <v>#NAME?</v>
      </c>
      <c r="AM676" s="86" t="e" cm="1">
        <f t="array" aca="1" ref="AM676" ca="1">_xll.VisibleAlpha.UDF.VAData($B$671,AM$672,$B676,AM$674,$B$674,$B$673,$B$672)</f>
        <v>#NAME?</v>
      </c>
      <c r="AN676" s="86" t="e" cm="1">
        <f t="array" aca="1" ref="AN676" ca="1">_xll.VisibleAlpha.UDF.VAData($B$671,AN$672,$B676,AN$674,$B$674,$B$673,$B$672)</f>
        <v>#NAME?</v>
      </c>
      <c r="AO676" s="86" t="e" cm="1">
        <f t="array" aca="1" ref="AO676" ca="1">_xll.VisibleAlpha.UDF.VAData($B$671,AO$672,$B676,AO$674,$B$674,$B$673,$B$672)</f>
        <v>#NAME?</v>
      </c>
      <c r="AP676" s="86" t="e" cm="1">
        <f t="array" aca="1" ref="AP676" ca="1">_xll.VisibleAlpha.UDF.VAData($B$671,AP$672,$B676,AP$674,$B$674,$B$673,$B$672)</f>
        <v>#NAME?</v>
      </c>
      <c r="AQ676" s="86" t="e" cm="1">
        <f t="array" aca="1" ref="AQ676" ca="1">_xll.VisibleAlpha.UDF.VAData($B$671,AQ$672,$B676,AQ$674,$B$674,$B$673,$B$672)</f>
        <v>#NAME?</v>
      </c>
      <c r="AR676" s="86" t="e" cm="1">
        <f t="array" aca="1" ref="AR676" ca="1">_xll.VisibleAlpha.UDF.VAData($B$671,AR$672,$B676,AR$674,$B$674,$B$673,$B$672)</f>
        <v>#NAME?</v>
      </c>
      <c r="AS676" s="86" t="e" cm="1">
        <f t="array" aca="1" ref="AS676" ca="1">_xll.VisibleAlpha.UDF.VAData($B$671,AS$672,$B676,AS$674,$B$674,$B$673,$B$672)</f>
        <v>#NAME?</v>
      </c>
      <c r="AT676" s="86" t="e" cm="1">
        <f t="array" aca="1" ref="AT676" ca="1">_xll.VisibleAlpha.UDF.VAData($B$671,AT$672,$B676,AT$674,$B$674,$B$673,$B$672)</f>
        <v>#NAME?</v>
      </c>
      <c r="AU676" s="86" t="e" cm="1">
        <f t="array" aca="1" ref="AU676" ca="1">_xll.VisibleAlpha.UDF.VAData($B$671,AU$672,$B676,AU$674,$B$674,$B$673,$B$672)</f>
        <v>#NAME?</v>
      </c>
      <c r="AV676" s="86" t="e" cm="1">
        <f t="array" aca="1" ref="AV676" ca="1">_xll.VisibleAlpha.UDF.VAData($B$671,AV$672,$B676,AV$674,$B$674,$B$673,$B$672)</f>
        <v>#NAME?</v>
      </c>
      <c r="AW676" s="86" t="e" cm="1">
        <f t="array" aca="1" ref="AW676" ca="1">_xll.VisibleAlpha.UDF.VAData($B$671,AW$672,$B676,AW$674,$B$674,$B$673,$B$672)</f>
        <v>#NAME?</v>
      </c>
      <c r="AX676" s="86" t="e" cm="1">
        <f t="array" aca="1" ref="AX676" ca="1">_xll.VisibleAlpha.UDF.VAData($B$671,AX$672,$B676,AX$674,$B$674,$B$673,$B$672)</f>
        <v>#NAME?</v>
      </c>
      <c r="AY676" s="86" t="e" cm="1">
        <f t="array" aca="1" ref="AY676" ca="1">_xll.VisibleAlpha.UDF.VAData($B$671,AY$672,$B676,AY$674,$B$674,$B$673,$B$672)</f>
        <v>#NAME?</v>
      </c>
      <c r="AZ676" s="86" t="e" cm="1">
        <f t="array" aca="1" ref="AZ676" ca="1">_xll.VisibleAlpha.UDF.VAData($B$671,AZ$672,$B676,AZ$674,$B$674,$B$673,$B$672)</f>
        <v>#NAME?</v>
      </c>
      <c r="BA676" s="86" t="e" cm="1">
        <f t="array" aca="1" ref="BA676" ca="1">_xll.VisibleAlpha.UDF.VAData($B$671,BA$672,$B676,BA$674,$B$674,$B$673,$B$672)</f>
        <v>#NAME?</v>
      </c>
      <c r="BB676" s="86" t="e" cm="1">
        <f t="array" aca="1" ref="BB676" ca="1">_xll.VisibleAlpha.UDF.VAData($B$671,BB$672,$B676,BB$674,$B$674,$B$673,$B$672)</f>
        <v>#NAME?</v>
      </c>
      <c r="BC676" s="86" t="e" cm="1">
        <f t="array" aca="1" ref="BC676" ca="1">_xll.VisibleAlpha.UDF.VAData($B$671,BC$672,$B676,BC$674,$B$674,$B$673,$B$672)</f>
        <v>#NAME?</v>
      </c>
      <c r="BD676" s="86" t="e" cm="1">
        <f t="array" aca="1" ref="BD676" ca="1">_xll.VisibleAlpha.UDF.VAData($B$671,BD$672,$B676,BD$674,$B$674,$B$673,$B$672)</f>
        <v>#NAME?</v>
      </c>
      <c r="BE676" s="86" t="e" cm="1">
        <f t="array" aca="1" ref="BE676" ca="1">_xll.VisibleAlpha.UDF.VAData($B$671,BE$672,$B676,BE$674,$B$674,$B$673,$B$672)</f>
        <v>#NAME?</v>
      </c>
      <c r="BF676" s="86" t="e" cm="1">
        <f t="array" aca="1" ref="BF676" ca="1">_xll.VisibleAlpha.UDF.VAData($B$671,BF$672,$B676,BF$674,$B$674,$B$673,$B$672)</f>
        <v>#NAME?</v>
      </c>
      <c r="BG676" s="86" t="e" cm="1">
        <f t="array" aca="1" ref="BG676" ca="1">_xll.VisibleAlpha.UDF.VAData($B$671,BG$672,$B676,BG$674,$B$674,$B$673,$B$672)</f>
        <v>#NAME?</v>
      </c>
      <c r="BH676" s="220" t="e" cm="1">
        <f t="array" aca="1" ref="BH676" ca="1">_xll.VisibleAlpha.UDF.VAData($B$671,BH$672,$B676,BH$674,$B$674,$B$673,$B$672)</f>
        <v>#NAME?</v>
      </c>
      <c r="BI676" s="220" t="e" cm="1">
        <f t="array" aca="1" ref="BI676" ca="1">_xll.VisibleAlpha.UDF.VAData($B$671,BI$672,$B676,BI$674,$B$674,$B$673,$B$672)</f>
        <v>#NAME?</v>
      </c>
      <c r="BJ676" s="220" t="e" cm="1">
        <f t="array" aca="1" ref="BJ676" ca="1">_xll.VisibleAlpha.UDF.VAData($B$671,BJ$672,$B676,BJ$674,$B$674,$B$673,$B$672)</f>
        <v>#NAME?</v>
      </c>
      <c r="BK676" s="220" t="e" cm="1">
        <f t="array" aca="1" ref="BK676" ca="1">_xll.VisibleAlpha.UDF.VAData($B$671,BK$672,$B676,BK$674,$B$674,$B$673,$B$672)</f>
        <v>#NAME?</v>
      </c>
      <c r="BL676" s="220" t="e" cm="1">
        <f t="array" aca="1" ref="BL676" ca="1">_xll.VisibleAlpha.UDF.VAData($B$671,BL$672,$B676,BL$674,$B$674,$B$673,$B$672)</f>
        <v>#NAME?</v>
      </c>
      <c r="BM676" s="220" t="e" cm="1">
        <f t="array" aca="1" ref="BM676" ca="1">_xll.VisibleAlpha.UDF.VAData($B$671,BM$672,$B676,BM$674,$B$674,$B$673,$B$672)</f>
        <v>#NAME?</v>
      </c>
      <c r="BN676" s="220" t="e" cm="1">
        <f t="array" aca="1" ref="BN676" ca="1">_xll.VisibleAlpha.UDF.VAData($B$671,BN$672,$B676,BN$674,$B$674,$B$673,$B$672)</f>
        <v>#NAME?</v>
      </c>
      <c r="BO676" s="220" t="e" cm="1">
        <f t="array" aca="1" ref="BO676" ca="1">_xll.VisibleAlpha.UDF.VAData($B$671,BO$672,$B676,BO$674,$B$674,$B$673,$B$672)</f>
        <v>#NAME?</v>
      </c>
      <c r="BP676" s="220" t="e" cm="1">
        <f t="array" aca="1" ref="BP676" ca="1">_xll.VisibleAlpha.UDF.VAData($B$671,BP$672,$B676,BP$674,$B$674,$B$673,$B$672)</f>
        <v>#NAME?</v>
      </c>
      <c r="BQ676" s="220" t="e" cm="1">
        <f t="array" aca="1" ref="BQ676" ca="1">_xll.VisibleAlpha.UDF.VAData($B$671,BQ$672,$B676,BQ$674,$B$674,$B$673,$B$672)</f>
        <v>#NAME?</v>
      </c>
      <c r="BR676" s="220" t="e" cm="1">
        <f t="array" aca="1" ref="BR676" ca="1">_xll.VisibleAlpha.UDF.VAData($B$671,BR$672,$B676,BR$674,$B$674,$B$673,$B$672)</f>
        <v>#NAME?</v>
      </c>
      <c r="BS676" s="220" t="e" cm="1">
        <f t="array" aca="1" ref="BS676" ca="1">_xll.VisibleAlpha.UDF.VAData($B$671,BS$672,$B676,BS$674,$B$674,$B$673,$B$672)</f>
        <v>#NAME?</v>
      </c>
      <c r="BT676" s="220" t="e" cm="1">
        <f t="array" aca="1" ref="BT676" ca="1">_xll.VisibleAlpha.UDF.VAData($B$671,BT$672,$B676,BT$674,$B$674,$B$673,$B$672)</f>
        <v>#NAME?</v>
      </c>
      <c r="BU676" s="220" t="e" cm="1">
        <f t="array" aca="1" ref="BU676" ca="1">_xll.VisibleAlpha.UDF.VAData($B$671,BU$672,$B676,BU$674,$B$674,$B$673,$B$672)</f>
        <v>#NAME?</v>
      </c>
      <c r="BV676" s="220" t="e" cm="1">
        <f t="array" aca="1" ref="BV676" ca="1">_xll.VisibleAlpha.UDF.VAData($B$671,BV$672,$B676,BV$674,$B$674,$B$673,$B$672)</f>
        <v>#NAME?</v>
      </c>
      <c r="BW676" s="220" t="e" cm="1">
        <f t="array" aca="1" ref="BW676" ca="1">_xll.VisibleAlpha.UDF.VAData($B$671,BW$672,$B676,BW$674,$B$674,$B$673,$B$672)</f>
        <v>#NAME?</v>
      </c>
      <c r="BX676" s="220" t="e" cm="1">
        <f t="array" aca="1" ref="BX676" ca="1">_xll.VisibleAlpha.UDF.VAData($B$671,BX$672,$B676,BX$674,$B$674,$B$673,$B$672)</f>
        <v>#NAME?</v>
      </c>
      <c r="BY676" s="220" t="e" cm="1">
        <f t="array" aca="1" ref="BY676" ca="1">_xll.VisibleAlpha.UDF.VAData($B$671,BY$672,$B676,BY$674,$B$674,$B$673,$B$672)</f>
        <v>#NAME?</v>
      </c>
      <c r="BZ676" s="220" t="e" cm="1">
        <f t="array" aca="1" ref="BZ676" ca="1">_xll.VisibleAlpha.UDF.VAData($B$671,BZ$672,$B676,BZ$674,$B$674,$B$673,$B$672)</f>
        <v>#NAME?</v>
      </c>
      <c r="CA676" s="84" t="e" cm="1">
        <f t="array" aca="1" ref="CA676" ca="1">_xll.VisibleAlpha.UDF.VAData($B$671,CA$672,$B676,CA$674,$B$674,$B$673,$B$672)</f>
        <v>#NAME?</v>
      </c>
      <c r="CB676" s="86" t="e" cm="1">
        <f t="array" aca="1" ref="CB676" ca="1">_xll.VisibleAlpha.UDF.VAData($B$671,CB$672,$B676,CB$674,$B$674,$B$673,$B$672)</f>
        <v>#NAME?</v>
      </c>
      <c r="CC676" s="86" t="e" cm="1">
        <f t="array" aca="1" ref="CC676" ca="1">_xll.VisibleAlpha.UDF.VAData($B$671,CC$672,$B676,CC$674,$B$674,$B$673,$B$672)</f>
        <v>#NAME?</v>
      </c>
      <c r="CD676" s="86" t="e" cm="1">
        <f t="array" aca="1" ref="CD676" ca="1">_xll.VisibleAlpha.UDF.VAData($B$671,CD$672,$B676,CD$674,$B$674,$B$673,$B$672)</f>
        <v>#NAME?</v>
      </c>
      <c r="CE676"/>
      <c r="CF676" s="86" t="e" cm="1">
        <f t="array" aca="1" ref="CF676" ca="1">_xll.VisibleAlpha.UDF.VAData($B$671,CF$672,$B676,CF$674,$B$674,$B$673,$B$672)</f>
        <v>#NAME?</v>
      </c>
      <c r="CG676" s="86" t="e" cm="1">
        <f t="array" aca="1" ref="CG676" ca="1">_xll.VisibleAlpha.UDF.VAData($B$671,CG$672,$B676,CG$674,$B$674,$B$673,$B$672)</f>
        <v>#NAME?</v>
      </c>
      <c r="CH676" s="86" t="e" cm="1">
        <f t="array" aca="1" ref="CH676" ca="1">_xll.VisibleAlpha.UDF.VAData($B$671,CH$672,$B676,CH$674,$B$674,$B$673,$B$672)</f>
        <v>#NAME?</v>
      </c>
      <c r="CI676" s="86" t="e" cm="1">
        <f t="array" aca="1" ref="CI676" ca="1">_xll.VisibleAlpha.UDF.VAData($B$671,CI$672,$B676,CI$674,$B$674,$B$673,$B$672)</f>
        <v>#NAME?</v>
      </c>
      <c r="CJ676" s="86" t="e" cm="1">
        <f t="array" aca="1" ref="CJ676" ca="1">_xll.VisibleAlpha.UDF.VAData($B$671,CJ$672,$B676,CJ$674,$B$674,$B$673,$B$672)</f>
        <v>#NAME?</v>
      </c>
      <c r="CK676" s="86" t="e" cm="1">
        <f t="array" aca="1" ref="CK676" ca="1">_xll.VisibleAlpha.UDF.VAData($B$671,CK$672,$B676,CK$674,$B$674,$B$673,$B$672)</f>
        <v>#NAME?</v>
      </c>
      <c r="CL676" s="86" t="e" cm="1">
        <f t="array" aca="1" ref="CL676" ca="1">_xll.VisibleAlpha.UDF.VAData($B$671,CL$672,$B676,CL$674,$B$674,$B$673,$B$672)</f>
        <v>#NAME?</v>
      </c>
      <c r="CM676" s="86" t="e" cm="1">
        <f t="array" aca="1" ref="CM676" ca="1">_xll.VisibleAlpha.UDF.VAData($B$671,CM$672,$B676,CM$674,$B$674,$B$673,$B$672)</f>
        <v>#NAME?</v>
      </c>
      <c r="CN676" s="86" t="e" cm="1">
        <f t="array" aca="1" ref="CN676" ca="1">_xll.VisibleAlpha.UDF.VAData($B$671,CN$672,$B676,CN$674,$B$674,$B$673,$B$672)</f>
        <v>#NAME?</v>
      </c>
      <c r="CO676" s="220" t="e" cm="1">
        <f t="array" aca="1" ref="CO676" ca="1">_xll.VisibleAlpha.UDF.VAData($B$671,CO$672,$B676,CO$674,$B$674,$B$673,$B$672)</f>
        <v>#NAME?</v>
      </c>
      <c r="CP676" s="220" t="e" cm="1">
        <f t="array" aca="1" ref="CP676" ca="1">_xll.VisibleAlpha.UDF.VAData($B$671,CP$672,$B676,CP$674,$B$674,$B$673,$B$672)</f>
        <v>#NAME?</v>
      </c>
      <c r="CQ676" s="220" t="e" cm="1">
        <f t="array" aca="1" ref="CQ676" ca="1">_xll.VisibleAlpha.UDF.VAData($B$671,CQ$672,$B676,CQ$674,$B$674,$B$673,$B$672)</f>
        <v>#NAME?</v>
      </c>
      <c r="CR676" s="220" t="e" cm="1">
        <f t="array" aca="1" ref="CR676" ca="1">_xll.VisibleAlpha.UDF.VAData($B$671,CR$672,$B676,CR$674,$B$674,$B$673,$B$672)</f>
        <v>#NAME?</v>
      </c>
      <c r="CS676" s="220" t="e" cm="1">
        <f t="array" aca="1" ref="CS676" ca="1">_xll.VisibleAlpha.UDF.VAData($B$671,CS$672,$B676,CS$674,$B$674,$B$673,$B$672)</f>
        <v>#NAME?</v>
      </c>
      <c r="CT676" s="220" t="e" cm="1">
        <f t="array" aca="1" ref="CT676" ca="1">_xll.VisibleAlpha.UDF.VAData($B$671,CT$672,$B676,CT$674,$B$674,$B$673,$B$672)</f>
        <v>#NAME?</v>
      </c>
      <c r="CU676" s="220" t="e" cm="1">
        <f t="array" aca="1" ref="CU676" ca="1">_xll.VisibleAlpha.UDF.VAData($B$671,CU$672,$B676,CU$674,$B$674,$B$673,$B$672)</f>
        <v>#NAME?</v>
      </c>
      <c r="CV676" s="220" t="e" cm="1">
        <f t="array" aca="1" ref="CV676" ca="1">_xll.VisibleAlpha.UDF.VAData($B$671,CV$672,$B676,CV$674,$B$674,$B$673,$B$672)</f>
        <v>#NAME?</v>
      </c>
      <c r="CW676" s="220" t="e" cm="1">
        <f t="array" aca="1" ref="CW676" ca="1">_xll.VisibleAlpha.UDF.VAData($B$671,CW$672,$B676,CW$674,$B$674,$B$673,$B$672)</f>
        <v>#NAME?</v>
      </c>
      <c r="CX676" s="220" t="e" cm="1">
        <f t="array" aca="1" ref="CX676" ca="1">_xll.VisibleAlpha.UDF.VAData($B$671,CX$672,$B676,CX$674,$B$674,$B$673,$B$672)</f>
        <v>#NAME?</v>
      </c>
    </row>
    <row r="678" spans="1:102" ht="15.75" thickBot="1" x14ac:dyDescent="0.3">
      <c r="A678" s="1" t="s">
        <v>18</v>
      </c>
      <c r="B678" s="34" t="s">
        <v>72</v>
      </c>
      <c r="C678" s="34"/>
      <c r="D678" s="34"/>
      <c r="E678" s="34"/>
      <c r="F678" s="34"/>
      <c r="G678" s="34"/>
      <c r="H678" s="34"/>
      <c r="I678" s="34"/>
      <c r="J678" s="34"/>
      <c r="K678" s="34"/>
      <c r="L678" s="34"/>
      <c r="M678" s="34"/>
      <c r="N678" s="34"/>
      <c r="O678" s="34"/>
      <c r="P678" s="34"/>
      <c r="Q678" s="34"/>
      <c r="R678" s="34"/>
      <c r="S678" s="35"/>
      <c r="T678" s="35"/>
      <c r="U678" s="35"/>
      <c r="V678" s="35"/>
      <c r="W678" s="35"/>
      <c r="X678" s="35"/>
      <c r="Y678" s="35"/>
      <c r="Z678" s="35"/>
      <c r="AA678" s="35"/>
      <c r="AB678" s="35"/>
      <c r="AC678" s="35"/>
      <c r="AD678" s="35"/>
      <c r="AE678" s="35"/>
      <c r="AF678" s="35"/>
      <c r="AG678" s="35"/>
      <c r="AH678" s="35"/>
      <c r="AI678" s="35"/>
      <c r="AJ678" s="35"/>
      <c r="AK678" s="35"/>
      <c r="AL678" s="35"/>
      <c r="AM678" s="35"/>
      <c r="AN678" s="35"/>
      <c r="AO678" s="35"/>
      <c r="AP678" s="35"/>
      <c r="AQ678" s="35"/>
      <c r="AR678" s="35"/>
      <c r="AS678" s="35"/>
      <c r="AT678" s="35"/>
      <c r="AU678" s="35"/>
      <c r="AV678" s="35"/>
      <c r="AW678" s="35"/>
      <c r="AX678" s="35"/>
      <c r="AY678" s="35"/>
      <c r="AZ678" s="35"/>
      <c r="BA678" s="35"/>
      <c r="BB678" s="35"/>
      <c r="BC678" s="35"/>
      <c r="BD678" s="35"/>
      <c r="BE678" s="35"/>
      <c r="BF678" s="35"/>
      <c r="BG678" s="35"/>
      <c r="BH678" s="35"/>
      <c r="BI678" s="35"/>
      <c r="BJ678" s="35"/>
      <c r="BK678" s="35"/>
      <c r="BL678" s="35"/>
      <c r="BM678" s="35"/>
      <c r="BN678" s="35"/>
      <c r="BO678" s="35"/>
      <c r="BP678" s="35"/>
      <c r="BQ678" s="35"/>
      <c r="BR678" s="35"/>
      <c r="BS678" s="35"/>
      <c r="BT678" s="35"/>
      <c r="BU678" s="35"/>
      <c r="BV678" s="35"/>
      <c r="BW678" s="35"/>
      <c r="BX678" s="35"/>
      <c r="BY678" s="35"/>
      <c r="BZ678" s="35"/>
      <c r="CA678" s="35"/>
      <c r="CB678" s="35"/>
      <c r="CC678" s="35"/>
      <c r="CD678" s="35"/>
      <c r="CF678" s="35"/>
      <c r="CG678" s="35"/>
      <c r="CH678" s="35"/>
      <c r="CI678" s="35"/>
      <c r="CJ678" s="35"/>
      <c r="CK678" s="35"/>
      <c r="CL678" s="35"/>
      <c r="CM678" s="35"/>
      <c r="CN678" s="35"/>
      <c r="CO678" s="35"/>
      <c r="CP678" s="35"/>
      <c r="CQ678" s="35"/>
      <c r="CR678" s="35"/>
      <c r="CS678" s="35"/>
      <c r="CT678" s="35"/>
      <c r="CU678" s="35"/>
      <c r="CV678" s="35"/>
      <c r="CW678" s="35"/>
      <c r="CX678" s="35"/>
    </row>
    <row r="679" spans="1:102" x14ac:dyDescent="0.25">
      <c r="B679" t="s">
        <v>201</v>
      </c>
      <c r="AW679" t="s">
        <v>18</v>
      </c>
    </row>
    <row r="680" spans="1:102" x14ac:dyDescent="0.25">
      <c r="B680" s="42" t="s">
        <v>151</v>
      </c>
      <c r="C680" s="42"/>
      <c r="D680" s="42"/>
      <c r="E680" s="42"/>
      <c r="F680" s="42"/>
      <c r="G680" s="42"/>
      <c r="H680" s="42"/>
      <c r="I680" s="42"/>
      <c r="J680" s="42"/>
      <c r="K680" s="42"/>
      <c r="L680" s="42"/>
      <c r="M680" s="42"/>
      <c r="N680" s="42"/>
      <c r="O680" s="42"/>
      <c r="P680" s="42"/>
      <c r="Q680" s="42"/>
      <c r="R680" s="42"/>
      <c r="AW680" s="226" t="s">
        <v>449</v>
      </c>
      <c r="AX680" s="226" t="s">
        <v>449</v>
      </c>
    </row>
    <row r="681" spans="1:102" x14ac:dyDescent="0.25">
      <c r="B681" s="37" t="s">
        <v>171</v>
      </c>
      <c r="C681" s="37"/>
      <c r="D681" s="37"/>
      <c r="E681" s="37"/>
      <c r="F681" s="37"/>
      <c r="G681" s="37"/>
      <c r="H681" s="37"/>
      <c r="I681" s="37"/>
      <c r="J681" s="37"/>
      <c r="K681" s="37"/>
      <c r="L681" s="37"/>
      <c r="M681" s="37"/>
      <c r="N681" s="37"/>
      <c r="O681" s="37"/>
      <c r="P681" s="37"/>
      <c r="Q681" s="37"/>
      <c r="R681" s="37"/>
      <c r="AF681" s="39">
        <v>3</v>
      </c>
      <c r="AJ681" s="227" t="s">
        <v>18</v>
      </c>
      <c r="AK681" s="103">
        <v>7.3</v>
      </c>
      <c r="AW681" t="s">
        <v>18</v>
      </c>
    </row>
    <row r="682" spans="1:102" x14ac:dyDescent="0.25">
      <c r="B682" s="37" t="s">
        <v>182</v>
      </c>
      <c r="C682" s="37"/>
      <c r="D682" s="37"/>
      <c r="E682" s="37"/>
      <c r="F682" s="37"/>
      <c r="G682" s="37"/>
      <c r="H682" s="37"/>
      <c r="I682" s="37"/>
      <c r="J682" s="37"/>
      <c r="K682" s="37"/>
      <c r="L682" s="37"/>
      <c r="M682" s="37"/>
      <c r="N682" s="37"/>
      <c r="O682" s="37"/>
      <c r="P682" s="37"/>
      <c r="Q682" s="37"/>
      <c r="R682" s="37"/>
      <c r="AK682" s="103">
        <f>4+2</f>
        <v>6</v>
      </c>
    </row>
  </sheetData>
  <pageMargins left="0.7" right="0.7" top="0.75" bottom="0.75" header="0.3" footer="0.3"/>
  <pageSetup scale="38" orientation="portrait" r:id="rId1"/>
  <colBreaks count="1" manualBreakCount="1">
    <brk id="59" max="222"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E1085-2A55-45F0-ADAE-7D845872C4E1}">
  <dimension ref="B2:J56"/>
  <sheetViews>
    <sheetView zoomScaleNormal="100" workbookViewId="0">
      <pane ySplit="2" topLeftCell="A8" activePane="bottomLeft" state="frozen"/>
      <selection activeCell="B2" sqref="B2"/>
      <selection pane="bottomLeft" activeCell="B2" sqref="B2"/>
    </sheetView>
  </sheetViews>
  <sheetFormatPr defaultRowHeight="15" x14ac:dyDescent="0.25"/>
  <cols>
    <col min="1" max="1" width="3.7109375" customWidth="1"/>
    <col min="2" max="2" width="18.140625" customWidth="1"/>
    <col min="3" max="3" width="18.140625" bestFit="1" customWidth="1"/>
    <col min="4" max="4" width="12.7109375" style="232" customWidth="1"/>
    <col min="5" max="5" width="12.7109375" customWidth="1"/>
  </cols>
  <sheetData>
    <row r="2" spans="2:10" ht="15.75" thickBot="1" x14ac:dyDescent="0.3">
      <c r="B2" s="10" t="s">
        <v>450</v>
      </c>
      <c r="C2" s="10" t="s">
        <v>451</v>
      </c>
      <c r="D2" s="228" t="s">
        <v>452</v>
      </c>
      <c r="E2" s="229" t="s">
        <v>171</v>
      </c>
      <c r="F2" s="229" t="s">
        <v>453</v>
      </c>
      <c r="G2" s="229" t="s">
        <v>454</v>
      </c>
      <c r="H2" s="229" t="s">
        <v>177</v>
      </c>
    </row>
    <row r="3" spans="2:10" x14ac:dyDescent="0.25">
      <c r="B3" t="s">
        <v>154</v>
      </c>
      <c r="C3" t="s">
        <v>455</v>
      </c>
      <c r="D3" s="230">
        <v>40813</v>
      </c>
      <c r="E3">
        <v>10</v>
      </c>
    </row>
    <row r="4" spans="2:10" x14ac:dyDescent="0.25">
      <c r="B4" t="s">
        <v>154</v>
      </c>
      <c r="C4" s="231" t="s">
        <v>456</v>
      </c>
      <c r="D4" s="230">
        <v>41261</v>
      </c>
    </row>
    <row r="5" spans="2:10" x14ac:dyDescent="0.25">
      <c r="B5" t="s">
        <v>154</v>
      </c>
      <c r="C5" s="231" t="s">
        <v>457</v>
      </c>
      <c r="D5" s="230">
        <v>41177</v>
      </c>
      <c r="E5">
        <v>14.5</v>
      </c>
    </row>
    <row r="6" spans="2:10" x14ac:dyDescent="0.25">
      <c r="B6" t="s">
        <v>154</v>
      </c>
      <c r="C6" s="231" t="s">
        <v>458</v>
      </c>
      <c r="D6" s="230">
        <v>41541</v>
      </c>
    </row>
    <row r="7" spans="2:10" x14ac:dyDescent="0.25">
      <c r="B7" t="s">
        <v>154</v>
      </c>
      <c r="C7" s="231" t="s">
        <v>459</v>
      </c>
      <c r="D7" s="230">
        <v>41753</v>
      </c>
    </row>
    <row r="8" spans="2:10" x14ac:dyDescent="0.25">
      <c r="B8" t="s">
        <v>154</v>
      </c>
      <c r="C8" s="231" t="s">
        <v>62</v>
      </c>
      <c r="D8" s="230">
        <v>41905</v>
      </c>
      <c r="E8">
        <v>13</v>
      </c>
    </row>
    <row r="9" spans="2:10" x14ac:dyDescent="0.25">
      <c r="B9" t="s">
        <v>154</v>
      </c>
      <c r="C9" s="231" t="s">
        <v>64</v>
      </c>
      <c r="D9" s="230">
        <v>42269</v>
      </c>
    </row>
    <row r="10" spans="2:10" x14ac:dyDescent="0.25">
      <c r="B10" t="s">
        <v>154</v>
      </c>
      <c r="C10" s="231" t="s">
        <v>65</v>
      </c>
      <c r="D10" s="230">
        <v>42640</v>
      </c>
    </row>
    <row r="11" spans="2:10" x14ac:dyDescent="0.25">
      <c r="B11" t="s">
        <v>154</v>
      </c>
      <c r="C11" s="231" t="s">
        <v>67</v>
      </c>
      <c r="D11" s="230">
        <v>43001</v>
      </c>
      <c r="E11">
        <v>24</v>
      </c>
    </row>
    <row r="12" spans="2:10" x14ac:dyDescent="0.25">
      <c r="B12" t="s">
        <v>154</v>
      </c>
      <c r="C12" s="231" t="s">
        <v>69</v>
      </c>
      <c r="D12" s="230">
        <v>43371</v>
      </c>
      <c r="E12">
        <v>20</v>
      </c>
    </row>
    <row r="13" spans="2:10" x14ac:dyDescent="0.25">
      <c r="B13" t="s">
        <v>154</v>
      </c>
      <c r="C13" s="231" t="s">
        <v>33</v>
      </c>
      <c r="D13" s="230">
        <v>43736</v>
      </c>
      <c r="E13">
        <v>30</v>
      </c>
    </row>
    <row r="14" spans="2:10" x14ac:dyDescent="0.25">
      <c r="B14" t="s">
        <v>154</v>
      </c>
      <c r="C14" s="231" t="s">
        <v>35</v>
      </c>
      <c r="D14" s="230">
        <v>44113</v>
      </c>
      <c r="E14">
        <v>25</v>
      </c>
    </row>
    <row r="15" spans="2:10" x14ac:dyDescent="0.25">
      <c r="B15" t="s">
        <v>154</v>
      </c>
      <c r="C15" s="231" t="s">
        <v>37</v>
      </c>
      <c r="D15" s="230">
        <v>44470</v>
      </c>
    </row>
    <row r="16" spans="2:10" x14ac:dyDescent="0.25">
      <c r="B16" t="s">
        <v>154</v>
      </c>
      <c r="C16" s="231" t="s">
        <v>51</v>
      </c>
      <c r="D16" s="230">
        <v>44831</v>
      </c>
      <c r="E16">
        <v>30</v>
      </c>
      <c r="J16" t="s">
        <v>460</v>
      </c>
    </row>
    <row r="17" spans="2:5" x14ac:dyDescent="0.25">
      <c r="B17" t="s">
        <v>154</v>
      </c>
      <c r="C17" s="231" t="s">
        <v>38</v>
      </c>
      <c r="D17" s="230">
        <v>45198</v>
      </c>
    </row>
    <row r="18" spans="2:5" x14ac:dyDescent="0.25">
      <c r="B18" t="s">
        <v>154</v>
      </c>
      <c r="C18" s="231" t="s">
        <v>461</v>
      </c>
    </row>
    <row r="19" spans="2:5" x14ac:dyDescent="0.25">
      <c r="C19" s="231"/>
    </row>
    <row r="20" spans="2:5" x14ac:dyDescent="0.25">
      <c r="B20" t="s">
        <v>72</v>
      </c>
      <c r="C20" t="s">
        <v>74</v>
      </c>
      <c r="D20" s="232">
        <v>42664</v>
      </c>
      <c r="E20" s="38" t="s">
        <v>462</v>
      </c>
    </row>
    <row r="21" spans="2:5" x14ac:dyDescent="0.25">
      <c r="B21" t="s">
        <v>72</v>
      </c>
      <c r="C21" t="s">
        <v>463</v>
      </c>
      <c r="D21" s="232">
        <v>40841</v>
      </c>
      <c r="E21">
        <v>15</v>
      </c>
    </row>
    <row r="22" spans="2:5" x14ac:dyDescent="0.25">
      <c r="B22" t="s">
        <v>72</v>
      </c>
      <c r="C22" t="s">
        <v>75</v>
      </c>
      <c r="D22" s="232">
        <v>43347</v>
      </c>
      <c r="E22">
        <v>7.3</v>
      </c>
    </row>
    <row r="23" spans="2:5" x14ac:dyDescent="0.25">
      <c r="B23" t="s">
        <v>72</v>
      </c>
      <c r="C23" t="s">
        <v>43</v>
      </c>
      <c r="D23" s="232">
        <v>44519</v>
      </c>
      <c r="E23" s="38">
        <v>6</v>
      </c>
    </row>
    <row r="25" spans="2:5" x14ac:dyDescent="0.25">
      <c r="B25" t="s">
        <v>135</v>
      </c>
      <c r="C25" t="s">
        <v>464</v>
      </c>
      <c r="D25" s="232">
        <v>43784</v>
      </c>
      <c r="E25">
        <v>10</v>
      </c>
    </row>
    <row r="26" spans="2:5" x14ac:dyDescent="0.25">
      <c r="B26" t="s">
        <v>135</v>
      </c>
      <c r="C26" t="s">
        <v>465</v>
      </c>
    </row>
    <row r="27" spans="2:5" x14ac:dyDescent="0.25">
      <c r="B27" t="s">
        <v>135</v>
      </c>
      <c r="C27" t="s">
        <v>466</v>
      </c>
      <c r="D27" s="230">
        <v>40890</v>
      </c>
      <c r="E27">
        <v>2</v>
      </c>
    </row>
    <row r="28" spans="2:5" x14ac:dyDescent="0.25">
      <c r="B28" t="s">
        <v>135</v>
      </c>
      <c r="C28" t="s">
        <v>467</v>
      </c>
      <c r="D28" s="232">
        <v>43012</v>
      </c>
      <c r="E28">
        <v>7.5</v>
      </c>
    </row>
    <row r="29" spans="2:5" x14ac:dyDescent="0.25">
      <c r="B29" t="s">
        <v>135</v>
      </c>
      <c r="C29" t="s">
        <v>468</v>
      </c>
      <c r="D29" s="232">
        <v>42325</v>
      </c>
      <c r="E29">
        <v>14</v>
      </c>
    </row>
    <row r="30" spans="2:5" x14ac:dyDescent="0.25">
      <c r="B30" t="s">
        <v>135</v>
      </c>
      <c r="C30" t="s">
        <v>469</v>
      </c>
      <c r="D30" s="232">
        <v>45044</v>
      </c>
    </row>
    <row r="32" spans="2:5" x14ac:dyDescent="0.25">
      <c r="B32" t="s">
        <v>139</v>
      </c>
      <c r="C32" t="s">
        <v>470</v>
      </c>
      <c r="D32" s="232">
        <v>43777</v>
      </c>
      <c r="E32">
        <v>4</v>
      </c>
    </row>
    <row r="33" spans="2:8" x14ac:dyDescent="0.25">
      <c r="B33" t="s">
        <v>139</v>
      </c>
      <c r="C33" t="s">
        <v>471</v>
      </c>
    </row>
    <row r="34" spans="2:8" x14ac:dyDescent="0.25">
      <c r="B34" t="s">
        <v>139</v>
      </c>
      <c r="C34" t="s">
        <v>472</v>
      </c>
    </row>
    <row r="35" spans="2:8" x14ac:dyDescent="0.25">
      <c r="B35" t="s">
        <v>139</v>
      </c>
      <c r="C35" t="s">
        <v>473</v>
      </c>
      <c r="H35">
        <v>1</v>
      </c>
    </row>
    <row r="36" spans="2:8" x14ac:dyDescent="0.25">
      <c r="B36" t="s">
        <v>139</v>
      </c>
      <c r="C36" t="s">
        <v>474</v>
      </c>
      <c r="D36" s="232">
        <v>42311</v>
      </c>
    </row>
    <row r="38" spans="2:8" x14ac:dyDescent="0.25">
      <c r="B38" t="s">
        <v>132</v>
      </c>
      <c r="C38" t="s">
        <v>475</v>
      </c>
      <c r="D38" s="232">
        <v>42815</v>
      </c>
    </row>
    <row r="39" spans="2:8" x14ac:dyDescent="0.25">
      <c r="B39" t="s">
        <v>132</v>
      </c>
      <c r="C39" t="s">
        <v>476</v>
      </c>
      <c r="D39" s="232">
        <v>40974</v>
      </c>
      <c r="E39">
        <v>6</v>
      </c>
    </row>
    <row r="41" spans="2:8" x14ac:dyDescent="0.25">
      <c r="B41" t="s">
        <v>477</v>
      </c>
      <c r="C41" t="s">
        <v>478</v>
      </c>
      <c r="D41" s="232">
        <v>41709</v>
      </c>
      <c r="E41">
        <v>7</v>
      </c>
    </row>
    <row r="42" spans="2:8" x14ac:dyDescent="0.25">
      <c r="B42" t="s">
        <v>477</v>
      </c>
      <c r="C42" t="s">
        <v>479</v>
      </c>
      <c r="D42" s="232">
        <v>42671</v>
      </c>
      <c r="E42">
        <v>10</v>
      </c>
    </row>
    <row r="44" spans="2:8" x14ac:dyDescent="0.25">
      <c r="B44" t="s">
        <v>111</v>
      </c>
      <c r="C44" s="231" t="s">
        <v>480</v>
      </c>
      <c r="D44" s="232">
        <v>40785</v>
      </c>
      <c r="E44">
        <v>5</v>
      </c>
    </row>
    <row r="45" spans="2:8" x14ac:dyDescent="0.25">
      <c r="B45" t="s">
        <v>111</v>
      </c>
      <c r="C45" s="231" t="s">
        <v>481</v>
      </c>
      <c r="D45" s="232">
        <v>41231</v>
      </c>
    </row>
    <row r="46" spans="2:8" x14ac:dyDescent="0.25">
      <c r="B46" t="s">
        <v>111</v>
      </c>
      <c r="C46" s="231" t="s">
        <v>482</v>
      </c>
      <c r="D46" s="232">
        <v>41513</v>
      </c>
    </row>
    <row r="47" spans="2:8" x14ac:dyDescent="0.25">
      <c r="B47" t="s">
        <v>111</v>
      </c>
      <c r="C47" s="231" t="s">
        <v>483</v>
      </c>
      <c r="D47" s="232">
        <v>41877</v>
      </c>
    </row>
    <row r="48" spans="2:8" x14ac:dyDescent="0.25">
      <c r="B48" t="s">
        <v>111</v>
      </c>
      <c r="C48" s="231" t="s">
        <v>484</v>
      </c>
      <c r="D48" s="232">
        <v>42241</v>
      </c>
    </row>
    <row r="49" spans="2:4" x14ac:dyDescent="0.25">
      <c r="B49" t="s">
        <v>111</v>
      </c>
      <c r="C49" s="231" t="s">
        <v>485</v>
      </c>
      <c r="D49" s="232">
        <v>42605</v>
      </c>
    </row>
    <row r="50" spans="2:4" x14ac:dyDescent="0.25">
      <c r="B50" t="s">
        <v>111</v>
      </c>
      <c r="C50" s="231" t="s">
        <v>486</v>
      </c>
      <c r="D50" s="232">
        <v>42969</v>
      </c>
    </row>
    <row r="51" spans="2:4" x14ac:dyDescent="0.25">
      <c r="B51" t="s">
        <v>111</v>
      </c>
      <c r="C51" s="231" t="s">
        <v>487</v>
      </c>
      <c r="D51" s="232">
        <v>43322</v>
      </c>
    </row>
    <row r="52" spans="2:4" x14ac:dyDescent="0.25">
      <c r="B52" t="s">
        <v>111</v>
      </c>
      <c r="C52" s="231" t="s">
        <v>488</v>
      </c>
      <c r="D52" s="232">
        <v>43679</v>
      </c>
    </row>
    <row r="53" spans="2:4" x14ac:dyDescent="0.25">
      <c r="B53" t="s">
        <v>111</v>
      </c>
      <c r="C53" s="231" t="s">
        <v>489</v>
      </c>
      <c r="D53" s="232">
        <v>44147</v>
      </c>
    </row>
    <row r="54" spans="2:4" x14ac:dyDescent="0.25">
      <c r="B54" t="s">
        <v>111</v>
      </c>
      <c r="C54" s="231" t="s">
        <v>490</v>
      </c>
      <c r="D54" s="232">
        <v>44428</v>
      </c>
    </row>
    <row r="55" spans="2:4" x14ac:dyDescent="0.25">
      <c r="B55" t="s">
        <v>111</v>
      </c>
      <c r="C55" s="231" t="s">
        <v>491</v>
      </c>
      <c r="D55" s="232">
        <v>44792</v>
      </c>
    </row>
    <row r="56" spans="2:4" x14ac:dyDescent="0.25">
      <c r="B56" t="s">
        <v>111</v>
      </c>
      <c r="C56" s="231" t="s">
        <v>492</v>
      </c>
      <c r="D56" s="232">
        <v>45156</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AC44-669D-4A20-85F8-4A280E6B5867}">
  <dimension ref="B3:N66"/>
  <sheetViews>
    <sheetView showGridLines="0" zoomScaleNormal="100" workbookViewId="0">
      <selection activeCell="B2" sqref="B2"/>
    </sheetView>
  </sheetViews>
  <sheetFormatPr defaultRowHeight="15" x14ac:dyDescent="0.25"/>
  <cols>
    <col min="1" max="1" width="3.7109375" customWidth="1"/>
    <col min="8" max="8" width="9.140625" customWidth="1"/>
    <col min="9" max="9" width="3.7109375" customWidth="1"/>
    <col min="10" max="10" width="45.28515625" bestFit="1" customWidth="1"/>
  </cols>
  <sheetData>
    <row r="3" spans="2:10" x14ac:dyDescent="0.25">
      <c r="B3" s="233" t="s">
        <v>493</v>
      </c>
      <c r="C3" s="233"/>
      <c r="D3" s="233"/>
      <c r="E3" s="233"/>
      <c r="F3" s="233"/>
      <c r="G3" s="233"/>
      <c r="H3" s="233"/>
      <c r="J3" s="234" t="s">
        <v>494</v>
      </c>
    </row>
    <row r="4" spans="2:10" x14ac:dyDescent="0.25">
      <c r="E4" s="235" t="s">
        <v>495</v>
      </c>
      <c r="F4" s="235" t="s">
        <v>496</v>
      </c>
      <c r="G4" s="236" t="s">
        <v>497</v>
      </c>
      <c r="H4" s="235" t="s">
        <v>498</v>
      </c>
    </row>
    <row r="5" spans="2:10" x14ac:dyDescent="0.25">
      <c r="B5" s="214" t="s">
        <v>171</v>
      </c>
      <c r="C5" s="214"/>
      <c r="G5" s="237"/>
    </row>
    <row r="6" spans="2:10" x14ac:dyDescent="0.25">
      <c r="B6" s="37" t="s">
        <v>499</v>
      </c>
      <c r="C6" s="37"/>
      <c r="E6" s="162">
        <v>2.5</v>
      </c>
      <c r="F6" s="162">
        <v>3</v>
      </c>
      <c r="G6" s="238">
        <v>4</v>
      </c>
      <c r="H6" s="162">
        <v>0.5</v>
      </c>
      <c r="J6" s="5" t="s">
        <v>500</v>
      </c>
    </row>
    <row r="7" spans="2:10" x14ac:dyDescent="0.25">
      <c r="B7" s="37" t="s">
        <v>501</v>
      </c>
      <c r="C7" s="37"/>
      <c r="E7" s="162">
        <v>2</v>
      </c>
      <c r="F7" s="162">
        <v>3</v>
      </c>
      <c r="G7" s="238">
        <f t="shared" ref="G7" si="0">+G6</f>
        <v>4</v>
      </c>
      <c r="H7" s="162">
        <v>0.5</v>
      </c>
    </row>
    <row r="8" spans="2:10" x14ac:dyDescent="0.25">
      <c r="B8" s="65" t="s">
        <v>502</v>
      </c>
      <c r="C8" s="65"/>
      <c r="E8" s="239">
        <f>SUM(E6:E7)</f>
        <v>4.5</v>
      </c>
      <c r="F8" s="239">
        <f t="shared" ref="F8:H8" si="1">SUM(F6:F7)</f>
        <v>6</v>
      </c>
      <c r="G8" s="240">
        <f t="shared" si="1"/>
        <v>8</v>
      </c>
      <c r="H8" s="241">
        <f t="shared" si="1"/>
        <v>1</v>
      </c>
      <c r="J8" s="5" t="s">
        <v>503</v>
      </c>
    </row>
    <row r="9" spans="2:10" x14ac:dyDescent="0.25">
      <c r="G9" s="237"/>
    </row>
    <row r="10" spans="2:10" x14ac:dyDescent="0.25">
      <c r="B10" s="214" t="s">
        <v>169</v>
      </c>
      <c r="C10" s="214"/>
      <c r="G10" s="237"/>
    </row>
    <row r="11" spans="2:10" x14ac:dyDescent="0.25">
      <c r="B11" s="37" t="s">
        <v>499</v>
      </c>
      <c r="C11" s="37"/>
      <c r="E11" s="242">
        <v>99</v>
      </c>
      <c r="F11" s="242">
        <v>99</v>
      </c>
      <c r="G11" s="243">
        <v>99</v>
      </c>
      <c r="H11" s="242">
        <v>99</v>
      </c>
      <c r="J11" s="244" t="s">
        <v>504</v>
      </c>
    </row>
    <row r="12" spans="2:10" x14ac:dyDescent="0.25">
      <c r="B12" s="37" t="s">
        <v>505</v>
      </c>
      <c r="C12" s="37"/>
      <c r="E12" s="242">
        <v>70</v>
      </c>
      <c r="F12" s="242">
        <v>70</v>
      </c>
      <c r="G12" s="243">
        <v>70</v>
      </c>
      <c r="H12" s="242">
        <v>70</v>
      </c>
      <c r="J12" s="244" t="s">
        <v>504</v>
      </c>
    </row>
    <row r="13" spans="2:10" x14ac:dyDescent="0.25">
      <c r="B13" s="65" t="s">
        <v>506</v>
      </c>
      <c r="C13" s="65"/>
      <c r="E13" s="245">
        <f>+E19/E8/0.7</f>
        <v>86.111111111111114</v>
      </c>
      <c r="F13" s="245">
        <f t="shared" ref="F13:H13" si="2">+F19/F8/0.7</f>
        <v>84.5</v>
      </c>
      <c r="G13" s="246">
        <f t="shared" si="2"/>
        <v>84.5</v>
      </c>
      <c r="H13" s="245">
        <f t="shared" si="2"/>
        <v>84.5</v>
      </c>
    </row>
    <row r="14" spans="2:10" x14ac:dyDescent="0.25">
      <c r="B14" s="37" t="s">
        <v>507</v>
      </c>
      <c r="C14" s="65"/>
      <c r="E14" s="247">
        <v>0.3</v>
      </c>
      <c r="F14" s="247">
        <v>0.3</v>
      </c>
      <c r="G14" s="248">
        <v>0.3</v>
      </c>
      <c r="H14" s="247">
        <v>0.3</v>
      </c>
    </row>
    <row r="15" spans="2:10" x14ac:dyDescent="0.25">
      <c r="G15" s="237"/>
    </row>
    <row r="16" spans="2:10" x14ac:dyDescent="0.25">
      <c r="B16" s="214" t="s">
        <v>508</v>
      </c>
      <c r="C16" s="214"/>
      <c r="G16" s="237"/>
    </row>
    <row r="17" spans="2:12" x14ac:dyDescent="0.25">
      <c r="B17" s="37" t="s">
        <v>499</v>
      </c>
      <c r="C17" s="37"/>
      <c r="E17" s="242">
        <f>+E6*E11*0.7</f>
        <v>173.25</v>
      </c>
      <c r="F17" s="242">
        <f t="shared" ref="F17:H18" si="3">+F6*F11*0.7</f>
        <v>207.89999999999998</v>
      </c>
      <c r="G17" s="243">
        <f t="shared" si="3"/>
        <v>277.2</v>
      </c>
      <c r="H17" s="242">
        <f t="shared" si="3"/>
        <v>34.65</v>
      </c>
    </row>
    <row r="18" spans="2:12" x14ac:dyDescent="0.25">
      <c r="B18" s="37" t="s">
        <v>505</v>
      </c>
      <c r="C18" s="37"/>
      <c r="E18" s="242">
        <f>+E7*E12*0.7</f>
        <v>98</v>
      </c>
      <c r="F18" s="242">
        <f t="shared" si="3"/>
        <v>147</v>
      </c>
      <c r="G18" s="243">
        <f t="shared" si="3"/>
        <v>196</v>
      </c>
      <c r="H18" s="242">
        <f t="shared" si="3"/>
        <v>24.5</v>
      </c>
    </row>
    <row r="19" spans="2:12" x14ac:dyDescent="0.25">
      <c r="B19" s="65" t="s">
        <v>502</v>
      </c>
      <c r="C19" s="65"/>
      <c r="E19" s="245">
        <f>SUM(E17:E18)</f>
        <v>271.25</v>
      </c>
      <c r="F19" s="245">
        <f t="shared" ref="F19:H19" si="4">SUM(F17:F18)</f>
        <v>354.9</v>
      </c>
      <c r="G19" s="246">
        <f t="shared" si="4"/>
        <v>473.2</v>
      </c>
      <c r="H19" s="245">
        <f t="shared" si="4"/>
        <v>59.15</v>
      </c>
      <c r="J19" s="5" t="s">
        <v>509</v>
      </c>
    </row>
    <row r="20" spans="2:12" x14ac:dyDescent="0.25">
      <c r="B20" s="37" t="s">
        <v>510</v>
      </c>
      <c r="C20" s="65"/>
      <c r="E20" s="249" t="e">
        <f t="shared" ref="E20:H20" si="5">+E19/E21</f>
        <v>#NAME?</v>
      </c>
      <c r="F20" s="249" t="e">
        <f t="shared" si="5"/>
        <v>#NAME?</v>
      </c>
      <c r="G20" s="250" t="e">
        <f t="shared" si="5"/>
        <v>#NAME?</v>
      </c>
      <c r="H20" s="249" t="e">
        <f t="shared" si="5"/>
        <v>#NAME?</v>
      </c>
      <c r="J20" s="5"/>
    </row>
    <row r="21" spans="2:12" x14ac:dyDescent="0.25">
      <c r="B21" t="s">
        <v>511</v>
      </c>
      <c r="E21" s="251" t="e">
        <v>#NAME?</v>
      </c>
      <c r="F21" s="251" t="e">
        <v>#NAME?</v>
      </c>
      <c r="G21" s="251" t="e">
        <v>#NAME?</v>
      </c>
      <c r="H21" s="252" t="e">
        <v>#NAME?</v>
      </c>
      <c r="J21" s="5" t="s">
        <v>512</v>
      </c>
    </row>
    <row r="22" spans="2:12" x14ac:dyDescent="0.25">
      <c r="B22" t="s">
        <v>513</v>
      </c>
      <c r="E22" s="171"/>
      <c r="F22" s="171"/>
      <c r="G22" s="253"/>
      <c r="H22" s="254">
        <v>7271.8503020636463</v>
      </c>
    </row>
    <row r="23" spans="2:12" x14ac:dyDescent="0.25">
      <c r="B23" s="37" t="s">
        <v>221</v>
      </c>
      <c r="E23" s="166"/>
      <c r="F23" s="166"/>
      <c r="G23" s="255"/>
      <c r="H23" s="191" t="e">
        <f t="shared" ref="H23" si="6">+H22/H21-1</f>
        <v>#NAME?</v>
      </c>
    </row>
    <row r="24" spans="2:12" x14ac:dyDescent="0.25">
      <c r="G24" s="237"/>
    </row>
    <row r="25" spans="2:12" x14ac:dyDescent="0.25">
      <c r="B25" s="37" t="s">
        <v>514</v>
      </c>
      <c r="E25" s="256">
        <v>0.75</v>
      </c>
      <c r="F25" s="256">
        <v>0.75</v>
      </c>
      <c r="G25" s="257">
        <v>0.75</v>
      </c>
      <c r="H25" s="256">
        <v>0.75</v>
      </c>
      <c r="J25" s="258" t="s">
        <v>515</v>
      </c>
    </row>
    <row r="26" spans="2:12" x14ac:dyDescent="0.25">
      <c r="B26" s="10" t="s">
        <v>516</v>
      </c>
      <c r="E26" s="245">
        <f>+E25*E19</f>
        <v>203.4375</v>
      </c>
      <c r="F26" s="245">
        <f>+F25*F19</f>
        <v>266.17499999999995</v>
      </c>
      <c r="G26" s="246">
        <f>+G25*G19</f>
        <v>354.9</v>
      </c>
      <c r="H26" s="245">
        <f>+H25*H19</f>
        <v>44.362499999999997</v>
      </c>
    </row>
    <row r="27" spans="2:12" x14ac:dyDescent="0.25">
      <c r="B27" s="37" t="s">
        <v>517</v>
      </c>
      <c r="E27" s="242">
        <v>100</v>
      </c>
      <c r="F27" s="242">
        <v>100</v>
      </c>
      <c r="G27" s="243">
        <v>100</v>
      </c>
      <c r="H27" s="242"/>
    </row>
    <row r="28" spans="2:12" x14ac:dyDescent="0.25">
      <c r="B28" s="37" t="s">
        <v>518</v>
      </c>
      <c r="E28" s="90">
        <v>0.19</v>
      </c>
      <c r="F28" s="90">
        <v>0.19</v>
      </c>
      <c r="G28" s="259">
        <v>0.19</v>
      </c>
      <c r="H28" s="90">
        <v>0.19</v>
      </c>
      <c r="J28" t="s">
        <v>519</v>
      </c>
    </row>
    <row r="29" spans="2:12" x14ac:dyDescent="0.25">
      <c r="B29" s="37" t="s">
        <v>520</v>
      </c>
      <c r="E29" s="2" t="e">
        <v>#NAME?</v>
      </c>
      <c r="F29" s="2" t="e">
        <v>#NAME?</v>
      </c>
      <c r="G29" s="260" t="e">
        <v>#NAME?</v>
      </c>
      <c r="H29" s="2" t="e">
        <v>#NAME?</v>
      </c>
    </row>
    <row r="30" spans="2:12" x14ac:dyDescent="0.25">
      <c r="B30" s="10" t="s">
        <v>521</v>
      </c>
      <c r="E30" s="169" t="e">
        <f>+(E26-E27)*(1-E28)/E29</f>
        <v>#NAME?</v>
      </c>
      <c r="F30" s="169" t="e">
        <f>+(F26-F27)*(1-F28)/F29</f>
        <v>#NAME?</v>
      </c>
      <c r="G30" s="261" t="e">
        <f>+(G26-G27)*(1-G28)/G29</f>
        <v>#NAME?</v>
      </c>
      <c r="H30" s="169" t="e">
        <f>+(H26-H27)*(1-H28)/H29</f>
        <v>#NAME?</v>
      </c>
    </row>
    <row r="31" spans="2:12" x14ac:dyDescent="0.25">
      <c r="B31" s="37" t="s">
        <v>221</v>
      </c>
      <c r="E31" s="262" t="e">
        <f>+E30/E56</f>
        <v>#NAME?</v>
      </c>
      <c r="F31" s="262" t="e">
        <f>+F30/F56</f>
        <v>#NAME?</v>
      </c>
      <c r="G31" s="263" t="e">
        <f>+G30/G56</f>
        <v>#NAME?</v>
      </c>
      <c r="H31" s="262" t="e">
        <f>+H30/H56</f>
        <v>#NAME?</v>
      </c>
      <c r="K31" s="80" t="e">
        <f>+H30*3</f>
        <v>#NAME?</v>
      </c>
      <c r="L31" s="80" t="e">
        <f>+(H30+H52)*3</f>
        <v>#NAME?</v>
      </c>
    </row>
    <row r="32" spans="2:12" x14ac:dyDescent="0.25">
      <c r="K32" s="166" t="e">
        <f>+H31*3</f>
        <v>#NAME?</v>
      </c>
      <c r="L32" s="166" t="e">
        <f>+(H31+H53)*3</f>
        <v>#NAME?</v>
      </c>
    </row>
    <row r="33" spans="2:14" x14ac:dyDescent="0.25">
      <c r="B33" s="233" t="s">
        <v>522</v>
      </c>
      <c r="C33" s="233"/>
      <c r="D33" s="233"/>
      <c r="E33" s="233"/>
      <c r="F33" s="233"/>
      <c r="G33" s="233"/>
      <c r="H33" s="233"/>
    </row>
    <row r="34" spans="2:14" x14ac:dyDescent="0.25">
      <c r="D34" s="264" t="s">
        <v>523</v>
      </c>
      <c r="E34" s="265"/>
      <c r="F34" s="264" t="s">
        <v>524</v>
      </c>
      <c r="G34" s="266"/>
      <c r="H34" s="175"/>
    </row>
    <row r="35" spans="2:14" x14ac:dyDescent="0.25">
      <c r="B35" s="189" t="s">
        <v>525</v>
      </c>
      <c r="D35" s="267" t="s">
        <v>156</v>
      </c>
      <c r="E35" s="267" t="s">
        <v>111</v>
      </c>
      <c r="F35" s="267" t="s">
        <v>156</v>
      </c>
      <c r="G35" s="268" t="s">
        <v>111</v>
      </c>
      <c r="H35" s="175"/>
    </row>
    <row r="36" spans="2:14" x14ac:dyDescent="0.25">
      <c r="B36" s="37" t="s">
        <v>526</v>
      </c>
      <c r="D36" s="269">
        <v>0</v>
      </c>
      <c r="E36" s="269">
        <f>Model!BG156</f>
        <v>0.55204040160000001</v>
      </c>
      <c r="F36" s="86">
        <f t="shared" ref="F36:F39" si="7">+D36</f>
        <v>0</v>
      </c>
      <c r="G36" s="270">
        <f t="shared" ref="G36:G39" si="8">-D36*0.4+E36</f>
        <v>0.55204040160000001</v>
      </c>
    </row>
    <row r="37" spans="2:14" x14ac:dyDescent="0.25">
      <c r="B37" s="37" t="s">
        <v>527</v>
      </c>
      <c r="D37" s="269">
        <v>3</v>
      </c>
      <c r="E37" s="269">
        <f>Model!BH156</f>
        <v>3</v>
      </c>
      <c r="F37" s="86">
        <f t="shared" si="7"/>
        <v>3</v>
      </c>
      <c r="G37" s="270">
        <f t="shared" si="8"/>
        <v>1.7999999999999998</v>
      </c>
      <c r="H37" s="175"/>
      <c r="L37">
        <v>100</v>
      </c>
      <c r="M37">
        <v>100</v>
      </c>
      <c r="N37">
        <f>SUM(L37:M37)</f>
        <v>200</v>
      </c>
    </row>
    <row r="38" spans="2:14" x14ac:dyDescent="0.25">
      <c r="B38" s="37" t="s">
        <v>528</v>
      </c>
      <c r="D38" s="269">
        <v>2</v>
      </c>
      <c r="E38" s="269">
        <f>Model!BI156</f>
        <v>3</v>
      </c>
      <c r="F38" s="86">
        <f t="shared" si="7"/>
        <v>2</v>
      </c>
      <c r="G38" s="270">
        <f t="shared" si="8"/>
        <v>2.2000000000000002</v>
      </c>
      <c r="H38" s="175"/>
      <c r="L38">
        <v>75</v>
      </c>
      <c r="M38">
        <v>75</v>
      </c>
      <c r="N38">
        <f>SUM(L38:M38)</f>
        <v>150</v>
      </c>
    </row>
    <row r="39" spans="2:14" x14ac:dyDescent="0.25">
      <c r="B39" s="37" t="s">
        <v>529</v>
      </c>
      <c r="D39" s="269">
        <v>1</v>
      </c>
      <c r="E39" s="269">
        <f>Model!BJ156</f>
        <v>1</v>
      </c>
      <c r="F39" s="86">
        <f t="shared" si="7"/>
        <v>1</v>
      </c>
      <c r="G39" s="270">
        <f t="shared" si="8"/>
        <v>0.6</v>
      </c>
      <c r="H39" s="175"/>
      <c r="L39" s="40">
        <f>+L38/L37</f>
        <v>0.75</v>
      </c>
      <c r="M39" s="40">
        <f t="shared" ref="M39:N39" si="9">+M38/M37</f>
        <v>0.75</v>
      </c>
      <c r="N39" s="40">
        <f t="shared" si="9"/>
        <v>0.75</v>
      </c>
    </row>
    <row r="40" spans="2:14" x14ac:dyDescent="0.25">
      <c r="B40" s="271" t="s">
        <v>502</v>
      </c>
      <c r="C40" s="272"/>
      <c r="D40" s="273">
        <f>SUM(D36:D39)</f>
        <v>6</v>
      </c>
      <c r="E40" s="273">
        <f>SUM(E36:E39)</f>
        <v>7.5520404016000002</v>
      </c>
      <c r="F40" s="273">
        <f>SUM(F36:F39)</f>
        <v>6</v>
      </c>
      <c r="G40" s="274">
        <f>SUM(G36:G39)</f>
        <v>5.1520404015999999</v>
      </c>
      <c r="H40" s="175"/>
    </row>
    <row r="41" spans="2:14" x14ac:dyDescent="0.25">
      <c r="B41" s="275" t="s">
        <v>530</v>
      </c>
      <c r="D41" s="86"/>
      <c r="E41" s="86"/>
      <c r="F41" s="86"/>
      <c r="G41" s="270"/>
      <c r="H41" s="175"/>
    </row>
    <row r="42" spans="2:14" x14ac:dyDescent="0.25">
      <c r="B42" s="275" t="s">
        <v>531</v>
      </c>
      <c r="E42" s="85"/>
      <c r="F42" s="85"/>
      <c r="G42" s="276"/>
      <c r="H42" s="175"/>
    </row>
    <row r="43" spans="2:14" x14ac:dyDescent="0.25">
      <c r="B43" s="275"/>
      <c r="E43" s="175"/>
      <c r="F43" s="175"/>
      <c r="G43" s="276"/>
      <c r="H43" s="175"/>
    </row>
    <row r="44" spans="2:14" x14ac:dyDescent="0.25">
      <c r="B44" s="42" t="s">
        <v>532</v>
      </c>
      <c r="E44" s="86">
        <f>+F44-F8+E8</f>
        <v>12.052040401599999</v>
      </c>
      <c r="F44" s="86">
        <f>+SUM(D40:E40)</f>
        <v>13.552040401599999</v>
      </c>
      <c r="G44" s="270">
        <f>+F44+G8-F8</f>
        <v>15.552040401599999</v>
      </c>
      <c r="H44" s="224"/>
    </row>
    <row r="45" spans="2:14" x14ac:dyDescent="0.25">
      <c r="B45" s="42" t="s">
        <v>533</v>
      </c>
      <c r="E45" s="86">
        <f>-E8*0.4</f>
        <v>-1.8</v>
      </c>
      <c r="F45" s="86">
        <f>-F8*0.4</f>
        <v>-2.4000000000000004</v>
      </c>
      <c r="G45" s="270">
        <f>-G8*0.4</f>
        <v>-3.2</v>
      </c>
      <c r="H45" s="223">
        <f>-H8*0.4</f>
        <v>-0.4</v>
      </c>
      <c r="J45" s="275" t="s">
        <v>534</v>
      </c>
    </row>
    <row r="46" spans="2:14" x14ac:dyDescent="0.25">
      <c r="B46" s="42" t="s">
        <v>535</v>
      </c>
      <c r="E46" s="86">
        <f>+E45+E44</f>
        <v>10.252040401599999</v>
      </c>
      <c r="F46" s="86">
        <f>+SUM(F40:G40)</f>
        <v>11.152040401600001</v>
      </c>
      <c r="G46" s="270">
        <f>+G45+G44</f>
        <v>12.3520404016</v>
      </c>
      <c r="H46" s="224"/>
    </row>
    <row r="47" spans="2:14" x14ac:dyDescent="0.25">
      <c r="B47" s="275"/>
      <c r="E47" s="175"/>
      <c r="F47" s="175"/>
      <c r="G47" s="276"/>
      <c r="H47" s="175"/>
    </row>
    <row r="48" spans="2:14" x14ac:dyDescent="0.25">
      <c r="B48" s="37" t="s">
        <v>514</v>
      </c>
      <c r="E48" s="256">
        <v>0.75</v>
      </c>
      <c r="F48" s="256">
        <v>0.75</v>
      </c>
      <c r="G48" s="257">
        <v>0.75</v>
      </c>
      <c r="H48" s="256">
        <v>0.75</v>
      </c>
    </row>
    <row r="49" spans="2:10" x14ac:dyDescent="0.25">
      <c r="B49" s="10" t="s">
        <v>516</v>
      </c>
      <c r="E49" s="245">
        <f t="shared" ref="E49:H49" si="10">+E48*E45*E13*(1-E14)</f>
        <v>-81.375</v>
      </c>
      <c r="F49" s="245">
        <f t="shared" si="10"/>
        <v>-106.47000000000001</v>
      </c>
      <c r="G49" s="246">
        <f t="shared" si="10"/>
        <v>-141.96</v>
      </c>
      <c r="H49" s="245">
        <f t="shared" si="10"/>
        <v>-17.745000000000001</v>
      </c>
    </row>
    <row r="50" spans="2:10" x14ac:dyDescent="0.25">
      <c r="B50" s="37" t="s">
        <v>518</v>
      </c>
      <c r="E50" s="90">
        <v>0.19</v>
      </c>
      <c r="F50" s="90">
        <v>0.19</v>
      </c>
      <c r="G50" s="259">
        <v>0.19</v>
      </c>
      <c r="H50" s="90">
        <v>0.19</v>
      </c>
      <c r="J50" s="5" t="s">
        <v>519</v>
      </c>
    </row>
    <row r="51" spans="2:10" x14ac:dyDescent="0.25">
      <c r="B51" s="37" t="s">
        <v>520</v>
      </c>
      <c r="E51" s="2" t="e">
        <v>#NAME?</v>
      </c>
      <c r="F51" s="2" t="e">
        <v>#NAME?</v>
      </c>
      <c r="G51" s="260" t="e">
        <v>#NAME?</v>
      </c>
      <c r="H51" s="2" t="e">
        <v>#NAME?</v>
      </c>
    </row>
    <row r="52" spans="2:10" x14ac:dyDescent="0.25">
      <c r="B52" s="10" t="s">
        <v>536</v>
      </c>
      <c r="E52" s="169" t="e">
        <f t="shared" ref="E52:H52" si="11">+(E49*(1-E50))/E51</f>
        <v>#NAME?</v>
      </c>
      <c r="F52" s="169" t="e">
        <f t="shared" si="11"/>
        <v>#NAME?</v>
      </c>
      <c r="G52" s="261" t="e">
        <f t="shared" si="11"/>
        <v>#NAME?</v>
      </c>
      <c r="H52" s="169" t="e">
        <f t="shared" si="11"/>
        <v>#NAME?</v>
      </c>
    </row>
    <row r="53" spans="2:10" x14ac:dyDescent="0.25">
      <c r="B53" s="37" t="s">
        <v>221</v>
      </c>
      <c r="E53" s="262" t="e">
        <f>+E52/E56</f>
        <v>#NAME?</v>
      </c>
      <c r="F53" s="262" t="e">
        <f>+F52/F56</f>
        <v>#NAME?</v>
      </c>
      <c r="G53" s="263" t="e">
        <f>+G52/G56</f>
        <v>#NAME?</v>
      </c>
      <c r="H53" s="262" t="e">
        <f>+H52/H56</f>
        <v>#NAME?</v>
      </c>
    </row>
    <row r="54" spans="2:10" x14ac:dyDescent="0.25">
      <c r="B54" s="275"/>
      <c r="E54" s="175"/>
      <c r="F54" s="175"/>
      <c r="G54" s="276"/>
      <c r="H54" s="175"/>
    </row>
    <row r="55" spans="2:10" x14ac:dyDescent="0.25">
      <c r="B55" s="275"/>
      <c r="E55" s="175"/>
      <c r="F55" s="175"/>
      <c r="G55" s="276"/>
      <c r="H55" s="175"/>
    </row>
    <row r="56" spans="2:10" x14ac:dyDescent="0.25">
      <c r="B56" t="s">
        <v>537</v>
      </c>
      <c r="E56" s="175" t="e">
        <v>#NAME?</v>
      </c>
      <c r="F56" s="175" t="e">
        <v>#NAME?</v>
      </c>
      <c r="G56" s="276" t="e">
        <v>#NAME?</v>
      </c>
      <c r="H56" s="175" t="e">
        <v>#NAME?</v>
      </c>
    </row>
    <row r="57" spans="2:10" x14ac:dyDescent="0.25">
      <c r="B57" t="s">
        <v>538</v>
      </c>
      <c r="E57" s="171"/>
      <c r="F57" s="171"/>
      <c r="G57" s="253"/>
      <c r="H57" s="171">
        <v>6.8309684852487447</v>
      </c>
    </row>
    <row r="58" spans="2:10" x14ac:dyDescent="0.25">
      <c r="B58" s="37" t="s">
        <v>221</v>
      </c>
      <c r="E58" s="166"/>
      <c r="F58" s="166"/>
      <c r="G58" s="255"/>
      <c r="H58" s="191" t="e">
        <f>+H57/H56-1</f>
        <v>#NAME?</v>
      </c>
    </row>
    <row r="59" spans="2:10" x14ac:dyDescent="0.25">
      <c r="E59" s="175"/>
      <c r="F59" s="175"/>
      <c r="G59" s="175"/>
      <c r="H59" s="175"/>
    </row>
    <row r="60" spans="2:10" x14ac:dyDescent="0.25">
      <c r="E60" s="175"/>
      <c r="F60" s="175"/>
      <c r="G60" s="175"/>
      <c r="H60" s="175"/>
    </row>
    <row r="62" spans="2:10" x14ac:dyDescent="0.25">
      <c r="B62" t="s">
        <v>238</v>
      </c>
      <c r="G62" s="237"/>
    </row>
    <row r="63" spans="2:10" x14ac:dyDescent="0.25">
      <c r="B63" s="37" t="s">
        <v>539</v>
      </c>
      <c r="C63" s="37"/>
      <c r="E63">
        <v>11.5</v>
      </c>
      <c r="F63">
        <v>11.5</v>
      </c>
      <c r="G63" s="237">
        <v>11.5</v>
      </c>
      <c r="J63" s="5" t="s">
        <v>540</v>
      </c>
    </row>
    <row r="64" spans="2:10" x14ac:dyDescent="0.25">
      <c r="B64" s="37" t="s">
        <v>541</v>
      </c>
      <c r="C64" s="37"/>
      <c r="E64" s="242">
        <v>600</v>
      </c>
      <c r="F64" s="242">
        <v>600</v>
      </c>
      <c r="G64" s="243">
        <v>600</v>
      </c>
      <c r="H64" s="242"/>
      <c r="J64" s="5" t="s">
        <v>540</v>
      </c>
    </row>
    <row r="65" spans="2:8" x14ac:dyDescent="0.25">
      <c r="B65" s="10" t="s">
        <v>542</v>
      </c>
      <c r="E65" s="277">
        <f>+E64*E63/10^3</f>
        <v>6.9</v>
      </c>
      <c r="F65" s="277">
        <f t="shared" ref="F65:G65" si="12">+F64*F63/10^3</f>
        <v>6.9</v>
      </c>
      <c r="G65" s="278">
        <f t="shared" si="12"/>
        <v>6.9</v>
      </c>
      <c r="H65" s="277"/>
    </row>
    <row r="66" spans="2:8" x14ac:dyDescent="0.25">
      <c r="G66" s="237"/>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3BF6-830A-47BF-A865-BDB5509DF4F9}">
  <dimension ref="A1:AX1031"/>
  <sheetViews>
    <sheetView showGridLines="0" zoomScale="115" zoomScaleNormal="115" workbookViewId="0">
      <selection activeCell="B2" sqref="B2"/>
    </sheetView>
  </sheetViews>
  <sheetFormatPr defaultRowHeight="15" x14ac:dyDescent="0.25"/>
  <cols>
    <col min="1" max="1" width="3.7109375" customWidth="1"/>
    <col min="2" max="2" width="24.42578125" customWidth="1"/>
    <col min="3" max="3" width="14.7109375" style="279" bestFit="1" customWidth="1"/>
    <col min="4" max="5" width="20.7109375" customWidth="1"/>
    <col min="8" max="43" width="9.7109375" customWidth="1"/>
  </cols>
  <sheetData>
    <row r="1" spans="1:50" x14ac:dyDescent="0.25">
      <c r="E1" s="279"/>
    </row>
    <row r="2" spans="1:50" x14ac:dyDescent="0.25">
      <c r="B2" s="10" t="s">
        <v>543</v>
      </c>
      <c r="E2" s="279"/>
      <c r="I2" s="137"/>
      <c r="J2" s="137"/>
      <c r="K2" s="137"/>
      <c r="L2" s="137"/>
      <c r="M2" s="137"/>
      <c r="N2" s="137"/>
      <c r="O2" s="137"/>
      <c r="P2" s="137"/>
      <c r="Q2" s="137"/>
    </row>
    <row r="3" spans="1:50" s="10" customFormat="1" x14ac:dyDescent="0.25">
      <c r="B3" s="280" t="s">
        <v>451</v>
      </c>
      <c r="C3" s="281" t="s">
        <v>544</v>
      </c>
      <c r="D3" s="280" t="s">
        <v>545</v>
      </c>
      <c r="E3" s="280" t="s">
        <v>546</v>
      </c>
      <c r="I3"/>
      <c r="J3"/>
      <c r="K3"/>
      <c r="L3"/>
      <c r="M3"/>
      <c r="N3"/>
      <c r="O3"/>
      <c r="P3"/>
      <c r="Q3"/>
    </row>
    <row r="4" spans="1:50" x14ac:dyDescent="0.25">
      <c r="A4" s="279"/>
      <c r="B4" t="s">
        <v>547</v>
      </c>
      <c r="C4" s="279" t="s">
        <v>548</v>
      </c>
      <c r="D4" t="s">
        <v>548</v>
      </c>
      <c r="E4" t="s">
        <v>549</v>
      </c>
      <c r="H4" s="282">
        <v>41820</v>
      </c>
      <c r="I4" s="282">
        <f t="shared" ref="I4:AX4" si="0">+EOMONTH(H4,3)</f>
        <v>41912</v>
      </c>
      <c r="J4" s="282">
        <f t="shared" si="0"/>
        <v>42004</v>
      </c>
      <c r="K4" s="282">
        <f t="shared" si="0"/>
        <v>42094</v>
      </c>
      <c r="L4" s="282">
        <f t="shared" si="0"/>
        <v>42185</v>
      </c>
      <c r="M4" s="282">
        <f t="shared" si="0"/>
        <v>42277</v>
      </c>
      <c r="N4" s="282">
        <f t="shared" si="0"/>
        <v>42369</v>
      </c>
      <c r="O4" s="282">
        <f t="shared" si="0"/>
        <v>42460</v>
      </c>
      <c r="P4" s="282">
        <f t="shared" si="0"/>
        <v>42551</v>
      </c>
      <c r="Q4" s="282">
        <f t="shared" si="0"/>
        <v>42643</v>
      </c>
      <c r="R4" s="282">
        <f t="shared" si="0"/>
        <v>42735</v>
      </c>
      <c r="S4" s="282">
        <f t="shared" si="0"/>
        <v>42825</v>
      </c>
      <c r="T4" s="282">
        <f t="shared" si="0"/>
        <v>42916</v>
      </c>
      <c r="U4" s="282">
        <f t="shared" si="0"/>
        <v>43008</v>
      </c>
      <c r="V4" s="282">
        <f t="shared" si="0"/>
        <v>43100</v>
      </c>
      <c r="W4" s="282">
        <f t="shared" si="0"/>
        <v>43190</v>
      </c>
      <c r="X4" s="282">
        <f t="shared" si="0"/>
        <v>43281</v>
      </c>
      <c r="Y4" s="282">
        <f t="shared" si="0"/>
        <v>43373</v>
      </c>
      <c r="Z4" s="282">
        <f t="shared" si="0"/>
        <v>43465</v>
      </c>
      <c r="AA4" s="282">
        <f t="shared" si="0"/>
        <v>43555</v>
      </c>
      <c r="AB4" s="282">
        <f t="shared" si="0"/>
        <v>43646</v>
      </c>
      <c r="AC4" s="282">
        <f t="shared" si="0"/>
        <v>43738</v>
      </c>
      <c r="AD4" s="282">
        <f t="shared" si="0"/>
        <v>43830</v>
      </c>
      <c r="AE4" s="282">
        <f t="shared" si="0"/>
        <v>43921</v>
      </c>
      <c r="AF4" s="282">
        <f t="shared" si="0"/>
        <v>44012</v>
      </c>
      <c r="AG4" s="282">
        <f t="shared" si="0"/>
        <v>44104</v>
      </c>
      <c r="AH4" s="282">
        <f t="shared" si="0"/>
        <v>44196</v>
      </c>
      <c r="AI4" s="282">
        <f t="shared" si="0"/>
        <v>44286</v>
      </c>
      <c r="AJ4" s="282">
        <f t="shared" si="0"/>
        <v>44377</v>
      </c>
      <c r="AK4" s="282">
        <f t="shared" si="0"/>
        <v>44469</v>
      </c>
      <c r="AL4" s="282">
        <f t="shared" si="0"/>
        <v>44561</v>
      </c>
      <c r="AM4" s="282">
        <f t="shared" si="0"/>
        <v>44651</v>
      </c>
      <c r="AN4" s="282">
        <f t="shared" si="0"/>
        <v>44742</v>
      </c>
      <c r="AO4" s="282">
        <f t="shared" si="0"/>
        <v>44834</v>
      </c>
      <c r="AP4" s="282">
        <f t="shared" si="0"/>
        <v>44926</v>
      </c>
      <c r="AQ4" s="282">
        <f t="shared" si="0"/>
        <v>45016</v>
      </c>
      <c r="AR4" s="282">
        <f t="shared" si="0"/>
        <v>45107</v>
      </c>
      <c r="AS4" s="282">
        <f t="shared" si="0"/>
        <v>45199</v>
      </c>
      <c r="AT4" s="282">
        <f t="shared" si="0"/>
        <v>45291</v>
      </c>
      <c r="AU4" s="282">
        <f t="shared" si="0"/>
        <v>45382</v>
      </c>
      <c r="AV4" s="282">
        <f t="shared" si="0"/>
        <v>45473</v>
      </c>
      <c r="AW4" s="282">
        <f t="shared" si="0"/>
        <v>45565</v>
      </c>
      <c r="AX4" s="282">
        <f t="shared" si="0"/>
        <v>45657</v>
      </c>
    </row>
    <row r="5" spans="1:50" x14ac:dyDescent="0.25">
      <c r="A5" s="279"/>
      <c r="B5" t="s">
        <v>550</v>
      </c>
      <c r="C5" s="279" t="s">
        <v>548</v>
      </c>
      <c r="D5" t="s">
        <v>548</v>
      </c>
      <c r="E5" t="s">
        <v>549</v>
      </c>
      <c r="I5" s="279" t="str" cm="1">
        <f t="array" ref="I5:I11">_xlfn._xlws.SORT(_xlfn.CHOOSECOLS(_xlfn.UNIQUE(_xlfn._xlws.FILTER($B$4:$B$1000,($C$4:$C$1000&gt;=H$4)*($C$4:$C$1000&lt;=I$4))),1),,1)</f>
        <v>Bejeweled 3</v>
      </c>
      <c r="J5" s="279" t="str" cm="1">
        <f t="array" ref="J5:J9">_xlfn._xlws.SORT(_xlfn.CHOOSECOLS(_xlfn.UNIQUE(_xlfn._xlws.FILTER($B$4:$B$1000,($C$4:$C$1000&gt;=I$4)*($C$4:$C$1000&lt;=J$4))),1),,1)</f>
        <v>Dragon Age: Inquisition</v>
      </c>
      <c r="K5" s="279" t="str" cm="1">
        <f t="array" ref="K5:K8">_xlfn._xlws.SORT(_xlfn.CHOOSECOLS(_xlfn.UNIQUE(_xlfn._xlws.FILTER($B$4:$B$1000,($C$4:$C$1000&gt;=J$4)*($C$4:$C$1000&lt;=K$4))),1),,1)</f>
        <v>Battlefield Hardline</v>
      </c>
      <c r="L5" s="279" t="str" cm="1">
        <f t="array" ref="L5:L7">_xlfn._xlws.SORT(_xlfn.CHOOSECOLS(_xlfn.UNIQUE(_xlfn._xlws.FILTER($B$4:$B$1000,($C$4:$C$1000&gt;=K$4)*($C$4:$C$1000&lt;=L$4))),1),,1)</f>
        <v>The Sims 4 Stuff packs</v>
      </c>
      <c r="M5" s="279" t="str" cm="1">
        <f t="array" ref="M5:M10">_xlfn._xlws.SORT(_xlfn.CHOOSECOLS(_xlfn.UNIQUE(_xlfn._xlws.FILTER($B$4:$B$1000,($C$4:$C$1000&gt;=L$4)*($C$4:$C$1000&lt;=M$4))),1),,1)</f>
        <v>FIFA 16</v>
      </c>
      <c r="N5" s="279" t="str" cm="1">
        <f t="array" ref="N5:N11">_xlfn._xlws.SORT(_xlfn.CHOOSECOLS(_xlfn.UNIQUE(_xlfn._xlws.FILTER($B$4:$B$1000,($C$4:$C$1000&gt;=M$4)*($C$4:$C$1000&lt;=N$4))),1),,1)</f>
        <v>Battle Copters</v>
      </c>
      <c r="O5" s="279" t="str" cm="1">
        <f t="array" ref="O5:O8">_xlfn._xlws.SORT(_xlfn.CHOOSECOLS(_xlfn.UNIQUE(_xlfn._xlws.FILTER($B$4:$B$1000,($C$4:$C$1000&gt;=N$4)*($C$4:$C$1000&lt;=O$4))),1),,1)</f>
        <v>EA Sports UFC 2</v>
      </c>
      <c r="P5" s="279" t="str" cm="1">
        <f t="array" ref="P5:P8">_xlfn._xlws.SORT(_xlfn.CHOOSECOLS(_xlfn.UNIQUE(_xlfn._xlws.FILTER($B$4:$B$1000,($C$4:$C$1000&gt;=O$4)*($C$4:$C$1000&lt;=P$4))),1),,1)</f>
        <v>Bejeweled Stars</v>
      </c>
      <c r="Q5" s="279" t="str" cm="1">
        <f t="array" ref="Q5:Q9">_xlfn._xlws.SORT(_xlfn.CHOOSECOLS(_xlfn.UNIQUE(_xlfn._xlws.FILTER($B$4:$B$1000,($C$4:$C$1000&gt;=P$4)*($C$4:$C$1000&lt;=Q$4))),1),,1)</f>
        <v>FIFA 17</v>
      </c>
      <c r="R5" s="279" t="str" cm="1">
        <f t="array" ref="R5:R9">_xlfn._xlws.SORT(_xlfn.CHOOSECOLS(_xlfn.UNIQUE(_xlfn._xlws.FILTER($B$4:$B$1000,($C$4:$C$1000&gt;=Q$4)*($C$4:$C$1000&lt;=R$4))),1),,1)</f>
        <v>Battlefield 1</v>
      </c>
      <c r="S5" s="279" t="str" cm="1">
        <f t="array" ref="S5:S8">_xlfn._xlws.SORT(_xlfn.CHOOSECOLS(_xlfn.UNIQUE(_xlfn._xlws.FILTER($B$4:$B$1000,($C$4:$C$1000&gt;=R$4)*($C$4:$C$1000&lt;=S$4))),1),,1)</f>
        <v>Alice: Madness Returns</v>
      </c>
      <c r="T5" s="279" t="str" cm="1">
        <f t="array" ref="T5:T6">_xlfn._xlws.SORT(_xlfn.CHOOSECOLS(_xlfn.UNIQUE(_xlfn._xlws.FILTER($B$4:$B$1000,($C$4:$C$1000&gt;=S$4)*($C$4:$C$1000&lt;=T$4))),1),,1)</f>
        <v>The Sims 4: Parenthood</v>
      </c>
      <c r="U5" s="279" t="str" cm="1">
        <f t="array" ref="U5:U8">_xlfn._xlws.SORT(_xlfn.CHOOSECOLS(_xlfn.UNIQUE(_xlfn._xlws.FILTER($B$4:$B$1000,($C$4:$C$1000&gt;=T$4)*($C$4:$C$1000&lt;=U$4))),1),,1)</f>
        <v>FIFA 18</v>
      </c>
      <c r="V5" s="279" t="str" cm="1">
        <f t="array" ref="V5:V10">_xlfn._xlws.SORT(_xlfn.CHOOSECOLS(_xlfn.UNIQUE(_xlfn._xlws.FILTER($B$4:$B$1000,($C$4:$C$1000&gt;=U$4)*($C$4:$C$1000&lt;=V$4))),1),,1)</f>
        <v>Need for Speed Payback</v>
      </c>
      <c r="W5" s="279" t="str" cm="1">
        <f t="array" ref="W5:W12">_xlfn._xlws.SORT(_xlfn.CHOOSECOLS(_xlfn.UNIQUE(_xlfn._xlws.FILTER($B$4:$B$1000,($C$4:$C$1000&gt;=V$4)*($C$4:$C$1000&lt;=W$4))),1),,1)</f>
        <v>A Way Out</v>
      </c>
      <c r="X5" s="279" t="str" cm="1">
        <f t="array" ref="X5:X10">_xlfn._xlws.SORT(_xlfn.CHOOSECOLS(_xlfn.UNIQUE(_xlfn._xlws.FILTER($B$4:$B$1000,($C$4:$C$1000&gt;=W$4)*($C$4:$C$1000&lt;=X$4))),1),,1)</f>
        <v>FIFA Online 4</v>
      </c>
      <c r="Y5" s="279" t="str" cm="1">
        <f t="array" ref="Y5:Y12">_xlfn._xlws.SORT(_xlfn.CHOOSECOLS(_xlfn.UNIQUE(_xlfn._xlws.FILTER($B$4:$B$1000,($C$4:$C$1000&gt;=X$4)*($C$4:$C$1000&lt;=Y$4))),1),,1)</f>
        <v>Burnout Paradise Remastered</v>
      </c>
      <c r="Z5" s="279" t="str" cm="1">
        <f t="array" ref="Z5:Z10">_xlfn._xlws.SORT(_xlfn.CHOOSECOLS(_xlfn.UNIQUE(_xlfn._xlws.FILTER($B$4:$B$1000,($C$4:$C$1000&gt;=Y$4)*($C$4:$C$1000&lt;=Z$4))),1),,1)</f>
        <v>Battlefield V</v>
      </c>
      <c r="AA5" s="279" t="str" cm="1">
        <f t="array" ref="AA5:AA10">_xlfn._xlws.SORT(_xlfn.CHOOSECOLS(_xlfn.UNIQUE(_xlfn._xlws.FILTER($B$4:$B$1000,($C$4:$C$1000&gt;=Z$4)*($C$4:$C$1000&lt;=AA$4))),1),,1)</f>
        <v>Anthem</v>
      </c>
      <c r="AB5" s="279" t="str" cm="1">
        <f t="array" ref="AB5:AB6">_xlfn._xlws.SORT(_xlfn.CHOOSECOLS(_xlfn.UNIQUE(_xlfn._xlws.FILTER($B$4:$B$1000,($C$4:$C$1000&gt;=AA$4)*($C$4:$C$1000&lt;=AB$4))),1),,1)</f>
        <v>The Sims 4: Island Living</v>
      </c>
      <c r="AC5" s="279" t="str" cm="1">
        <f t="array" ref="AC5:AC10">_xlfn._xlws.SORT(_xlfn.CHOOSECOLS(_xlfn.UNIQUE(_xlfn._xlws.FILTER($B$4:$B$1000,($C$4:$C$1000&gt;=AB$4)*($C$4:$C$1000&lt;=AC$4))),1),,1)</f>
        <v>FIFA 20</v>
      </c>
      <c r="AD5" s="279" t="str" cm="1">
        <f t="array" ref="AD5:AD9">_xlfn._xlws.SORT(_xlfn.CHOOSECOLS(_xlfn.UNIQUE(_xlfn._xlws.FILTER($B$4:$B$1000,($C$4:$C$1000&gt;=AC$4)*($C$4:$C$1000&lt;=AD$4))),1),,1)</f>
        <v>NFS Heat</v>
      </c>
      <c r="AE5" s="279" t="e" cm="1" vm="1">
        <f t="array" ref="AE5">_xlfn._xlws.SORT(_xlfn.CHOOSECOLS(_xlfn.UNIQUE(_xlfn._xlws.FILTER($B$4:$B$1000,($C$4:$C$1000&gt;=AD$4)*($C$4:$C$1000&lt;=AE$4))),1),,1)</f>
        <v>#VALUE!</v>
      </c>
      <c r="AF5" s="279" t="str" cm="1">
        <f t="array" ref="AF5:AF7">_xlfn._xlws.SORT(_xlfn.CHOOSECOLS(_xlfn.UNIQUE(_xlfn._xlws.FILTER($B$4:$B$1000,($C$4:$C$1000&gt;=AE$4)*($C$4:$C$1000&lt;=AF$4))),1),,1)</f>
        <v>Burnout Paradise Remastered</v>
      </c>
      <c r="AG5" s="279" t="str" cm="1">
        <f t="array" ref="AG5:AG9">_xlfn._xlws.SORT(_xlfn.CHOOSECOLS(_xlfn.UNIQUE(_xlfn._xlws.FILTER($B$4:$B$1000,($C$4:$C$1000&gt;=AF$4)*($C$4:$C$1000&lt;=AG$4))),1),,1)</f>
        <v>EA Sports UFC 4</v>
      </c>
      <c r="AH5" s="279" t="str" cm="1">
        <f t="array" ref="AH5:AH12">_xlfn._xlws.SORT(_xlfn.CHOOSECOLS(_xlfn.UNIQUE(_xlfn._xlws.FILTER($B$4:$B$1000,($C$4:$C$1000&gt;=AG$4)*($C$4:$C$1000&lt;=AH$4))),1),,1)</f>
        <v>FIFA 21</v>
      </c>
      <c r="AI5" s="279" t="str" cm="1">
        <f t="array" ref="AI5:AI7">_xlfn._xlws.SORT(_xlfn.CHOOSECOLS(_xlfn.UNIQUE(_xlfn._xlws.FILTER($B$4:$B$1000,($C$4:$C$1000&gt;=AH$4)*($C$4:$C$1000&lt;=AI$4))),1),,1)</f>
        <v>Apex Legends</v>
      </c>
      <c r="AJ5" s="279" t="str" cm="1">
        <f t="array" ref="AJ5:AJ8">_xlfn._xlws.SORT(_xlfn.CHOOSECOLS(_xlfn.UNIQUE(_xlfn._xlws.FILTER($B$4:$B$1000,($C$4:$C$1000&gt;=AI$4)*($C$4:$C$1000&lt;=AJ$4))),1),,1)</f>
        <v>Knockout City</v>
      </c>
      <c r="AK5" s="279" t="str" cm="1">
        <f t="array" ref="AK5:AK8">_xlfn._xlws.SORT(_xlfn.CHOOSECOLS(_xlfn.UNIQUE(_xlfn._xlws.FILTER($B$4:$B$1000,($C$4:$C$1000&gt;=AJ$4)*($C$4:$C$1000&lt;=AK$4))),1),,1)</f>
        <v>F1 2021</v>
      </c>
      <c r="AL5" s="279" t="str" cm="1">
        <f t="array" ref="AL5:AL7">_xlfn._xlws.SORT(_xlfn.CHOOSECOLS(_xlfn.UNIQUE(_xlfn._xlws.FILTER($B$4:$B$1000,($C$4:$C$1000&gt;=AK$4)*($C$4:$C$1000&lt;=AL$4))),1),,1)</f>
        <v>Battlefield 2042</v>
      </c>
      <c r="AM5" s="279" t="str" cm="1">
        <f t="array" ref="AM5:AM7">_xlfn._xlws.SORT(_xlfn.CHOOSECOLS(_xlfn.UNIQUE(_xlfn._xlws.FILTER($B$4:$B$1000,($C$4:$C$1000&gt;=AL$4)*($C$4:$C$1000&lt;=AM$4))),1),,1)</f>
        <v>Apex Legends</v>
      </c>
      <c r="AN5" s="279" t="str" cm="1">
        <f t="array" ref="AN5:AN6">_xlfn._xlws.SORT(_xlfn.CHOOSECOLS(_xlfn.UNIQUE(_xlfn._xlws.FILTER($B$4:$B$1000,($C$4:$C$1000&gt;=AM$4)*($C$4:$C$1000&lt;=AN$4))),1),,1)</f>
        <v>Apex Legends</v>
      </c>
      <c r="AO5" s="279" t="str" cm="1">
        <f t="array" ref="AO5:AO8">_xlfn._xlws.SORT(_xlfn.CHOOSECOLS(_xlfn.UNIQUE(_xlfn._xlws.FILTER($B$4:$B$1000,($C$4:$C$1000&gt;=AN$4)*($C$4:$C$1000&lt;=AO$4))),1),,1)</f>
        <v>F1 22</v>
      </c>
      <c r="AP5" s="279" t="str" cm="1">
        <f t="array" ref="AP5:AP8">_xlfn._xlws.SORT(_xlfn.CHOOSECOLS(_xlfn.UNIQUE(_xlfn._xlws.FILTER($B$4:$B$1000,($C$4:$C$1000&gt;=AO$4)*($C$4:$C$1000&lt;=AP$4))),1),,1)</f>
        <v>FIFA 23</v>
      </c>
      <c r="AQ5" s="279" t="str" cm="1">
        <f t="array" ref="AQ5:AQ8">_xlfn._xlws.SORT(_xlfn.CHOOSECOLS(_xlfn.UNIQUE(_xlfn._xlws.FILTER($B$4:$B$1000,($C$4:$C$1000&gt;=AP$4)*($C$4:$C$1000&lt;=AQ$4))),1),,1)</f>
        <v>Dead Space</v>
      </c>
      <c r="AR5" s="279" t="str" cm="1">
        <f t="array" ref="AR5:AR9">_xlfn._xlws.SORT(_xlfn.CHOOSECOLS(_xlfn.UNIQUE(_xlfn._xlws.FILTER($B$4:$B$1000,($C$4:$C$1000&gt;=AQ$4)*($C$4:$C$1000&lt;=AR$4))),1),,1)</f>
        <v>EA Sports PGA Tour</v>
      </c>
      <c r="AS5" s="279" t="str" cm="1">
        <f t="array" ref="AS5:AS8">_xlfn._xlws.SORT(_xlfn.CHOOSECOLS(_xlfn.UNIQUE(_xlfn._xlws.FILTER($B$4:$B$1000,($C$4:$C$1000&gt;=AR$4)*($C$4:$C$1000&lt;=AS$4))),1),,1)</f>
        <v>EA FC 24</v>
      </c>
      <c r="AT5" s="279" t="str" cm="1">
        <f t="array" ref="AT5:AT8">_xlfn._xlws.SORT(_xlfn.CHOOSECOLS(_xlfn.UNIQUE(_xlfn._xlws.FILTER($B$4:$B$1000,($C$4:$C$1000&gt;=AS$4)*($C$4:$C$1000&lt;=AT$4))),1),,1)</f>
        <v>EA Sports UFC 5</v>
      </c>
      <c r="AU5" s="279" t="e" cm="1" vm="1">
        <f t="array" ref="AU5">_xlfn._xlws.SORT(_xlfn.CHOOSECOLS(_xlfn.UNIQUE(_xlfn._xlws.FILTER($B$4:$B$1000,($C$4:$C$1000&gt;=AT$4)*($C$4:$C$1000&lt;=AU$4))),1),,1)</f>
        <v>#VALUE!</v>
      </c>
      <c r="AV5" s="279" t="str" cm="1">
        <f t="array" ref="AV5:AV6">_xlfn._xlws.SORT(_xlfn.CHOOSECOLS(_xlfn.UNIQUE(_xlfn._xlws.FILTER($B$4:$B$1000,($C$4:$C$1000&gt;=AU$4)*($C$4:$C$1000&lt;=AV$4))),1),,1)</f>
        <v>F1 24</v>
      </c>
      <c r="AW5" s="279" t="str" cm="1">
        <f t="array" ref="AW5">_xlfn._xlws.SORT(_xlfn.CHOOSECOLS(_xlfn.UNIQUE(_xlfn._xlws.FILTER($B$4:$B$1000,($C$4:$C$1000&gt;=AV$4)*($C$4:$C$1000&lt;=AW$4))),1),,1)</f>
        <v>EA College Football</v>
      </c>
      <c r="AX5" s="279" t="e" cm="1" vm="1">
        <f t="array" ref="AX5">_xlfn._xlws.SORT(_xlfn.CHOOSECOLS(_xlfn.UNIQUE(_xlfn._xlws.FILTER($B$4:$B$1000,($C$4:$C$1000&gt;=AW$4)*($C$4:$C$1000&lt;=AX$4))),1),,1)</f>
        <v>#VALUE!</v>
      </c>
    </row>
    <row r="6" spans="1:50" x14ac:dyDescent="0.25">
      <c r="A6" s="279"/>
      <c r="B6" t="s">
        <v>551</v>
      </c>
      <c r="C6" s="279" t="s">
        <v>548</v>
      </c>
      <c r="D6" t="s">
        <v>548</v>
      </c>
      <c r="E6" t="s">
        <v>552</v>
      </c>
      <c r="I6" s="279" t="str">
        <v>FIFA 15</v>
      </c>
      <c r="J6" t="str">
        <v>NBA Live 15</v>
      </c>
      <c r="K6" t="str">
        <v>The Sims 4</v>
      </c>
      <c r="L6" t="str">
        <v>The Sims 4: Get to Work</v>
      </c>
      <c r="M6" t="str">
        <v>Madden NFL 16</v>
      </c>
      <c r="N6" t="str">
        <v>Minions Paradise</v>
      </c>
      <c r="O6" t="str">
        <v>Need for Speed</v>
      </c>
      <c r="P6" t="str">
        <v>Mirror's Edge Catalyst</v>
      </c>
      <c r="Q6" t="str">
        <v>Madden NFL 17</v>
      </c>
      <c r="R6" t="str">
        <v>FIFA Mobile</v>
      </c>
      <c r="S6" t="str">
        <v>Mass Effect: Andromeda</v>
      </c>
      <c r="T6" t="str">
        <v>The Sims 4: Spa Day</v>
      </c>
      <c r="U6" t="str">
        <v>Madden NFL 18</v>
      </c>
      <c r="V6" t="str">
        <v>Star Wars Battlefront II</v>
      </c>
      <c r="W6" t="str">
        <v>Burnout Paradise Remastered</v>
      </c>
      <c r="X6" t="str">
        <v>SSX 3</v>
      </c>
      <c r="Y6" t="str">
        <v>FIFA 19</v>
      </c>
      <c r="Z6" t="str">
        <v>Command &amp; Conquer: Rivals</v>
      </c>
      <c r="AA6" t="str">
        <v>Apex Legends</v>
      </c>
      <c r="AB6" t="str">
        <v>The Sims 4: StrangerVille</v>
      </c>
      <c r="AC6" t="str">
        <v>Madden NFL 20</v>
      </c>
      <c r="AD6" t="str">
        <v>Plants vs. Zombies: Battle for Neighborville</v>
      </c>
      <c r="AF6" t="str">
        <v>Command &amp; Conquer Remastered Collection</v>
      </c>
      <c r="AG6" t="str">
        <v>Madden NFL 21</v>
      </c>
      <c r="AH6" t="str">
        <v>Madden NFL 21</v>
      </c>
      <c r="AI6" t="str">
        <v>It Takes Two</v>
      </c>
      <c r="AJ6" t="str">
        <v>Mass Effect Legendary Edition</v>
      </c>
      <c r="AK6" t="str">
        <v>Lost in Random</v>
      </c>
      <c r="AL6" t="str">
        <v>FIFA 22</v>
      </c>
      <c r="AM6" t="str">
        <v>GRID Legends</v>
      </c>
      <c r="AN6" t="str">
        <v>The Sims 4: Werewolves</v>
      </c>
      <c r="AO6" t="str">
        <v>FIFA 23</v>
      </c>
      <c r="AP6" t="str">
        <v>It Takes Two</v>
      </c>
      <c r="AQ6" t="str">
        <v>GRID Legends</v>
      </c>
      <c r="AR6" t="str">
        <v>F1 23</v>
      </c>
      <c r="AS6" t="str">
        <v>Immortals of Aveum</v>
      </c>
      <c r="AT6" t="str">
        <v>EA Sports WRC</v>
      </c>
      <c r="AV6" t="str">
        <v>Tales of Kenzera: Zau</v>
      </c>
    </row>
    <row r="7" spans="1:50" x14ac:dyDescent="0.25">
      <c r="A7" s="279"/>
      <c r="B7" t="s">
        <v>553</v>
      </c>
      <c r="C7" s="279" t="s">
        <v>548</v>
      </c>
      <c r="D7" t="s">
        <v>548</v>
      </c>
      <c r="E7" t="s">
        <v>548</v>
      </c>
      <c r="I7" s="279" t="str">
        <v>Madden NFL 15</v>
      </c>
      <c r="J7" t="str">
        <v>Peggle 2</v>
      </c>
      <c r="K7" t="str">
        <v>The Sims 4: Get to Work</v>
      </c>
      <c r="L7" t="str">
        <v>UFC Mobile</v>
      </c>
      <c r="M7" t="str">
        <v>NBA Live 16</v>
      </c>
      <c r="N7" t="str">
        <v>Need for Speed</v>
      </c>
      <c r="O7" t="str">
        <v>Plants vs. Zombies: Garden Warfare 2</v>
      </c>
      <c r="P7" t="str">
        <v>The Secret Life of Pets Unleashed</v>
      </c>
      <c r="Q7" t="str">
        <v>Micro Machines</v>
      </c>
      <c r="R7" t="str">
        <v>Plants vs. Zombies Heroes</v>
      </c>
      <c r="S7" t="str">
        <v>The Sims 4: Vampires</v>
      </c>
      <c r="U7" t="str">
        <v>NBA Live 18</v>
      </c>
      <c r="V7" t="str">
        <v>The Sims 4</v>
      </c>
      <c r="W7" t="str">
        <v>EA Sports UFC 3</v>
      </c>
      <c r="X7" t="str">
        <v>The Sims 4: Parenthood</v>
      </c>
      <c r="Y7" t="str">
        <v>Madden NFL 19</v>
      </c>
      <c r="Z7" t="str">
        <v>The Sims 4: Get Famous</v>
      </c>
      <c r="AA7" t="str">
        <v>Iron Force 2</v>
      </c>
      <c r="AC7" t="str">
        <v>NHL 20</v>
      </c>
      <c r="AD7" t="str">
        <v>Star Wars Jedi: Fallen Order</v>
      </c>
      <c r="AF7" t="str">
        <v>The Sims 4: Eco Lifestyle</v>
      </c>
      <c r="AG7" t="str">
        <v>Madden NFL 21 Mobile</v>
      </c>
      <c r="AH7" t="str">
        <v>Medal of Honor: Above and Beyond</v>
      </c>
      <c r="AI7" t="str">
        <v>Plants vs. Zombies: Battle for Neighborville</v>
      </c>
      <c r="AJ7" t="str">
        <v>Star Wars Jedi: Fallen Order</v>
      </c>
      <c r="AK7" t="str">
        <v>Madden NFL 22</v>
      </c>
      <c r="AL7" t="str">
        <v>NHL 22</v>
      </c>
      <c r="AM7" t="str">
        <v>The Sims 4: My Wedding Stories</v>
      </c>
      <c r="AO7" t="str">
        <v>Madden NFL 23</v>
      </c>
      <c r="AP7" t="str">
        <v>Need for Speed Unbound</v>
      </c>
      <c r="AQ7" t="str">
        <v>The Sims 4: Growing Together</v>
      </c>
      <c r="AR7" t="str">
        <v>Star Wars Jedi: Survivor</v>
      </c>
      <c r="AS7" t="str">
        <v>Madden NFL 24</v>
      </c>
      <c r="AT7" t="str">
        <v>NHL 24</v>
      </c>
    </row>
    <row r="8" spans="1:50" x14ac:dyDescent="0.25">
      <c r="A8" s="279"/>
      <c r="B8" t="s">
        <v>554</v>
      </c>
      <c r="C8" s="279" t="s">
        <v>548</v>
      </c>
      <c r="D8" t="s">
        <v>548</v>
      </c>
      <c r="E8" t="s">
        <v>555</v>
      </c>
      <c r="I8" s="279" t="str">
        <v>Madden NFL Mobile</v>
      </c>
      <c r="J8" t="str">
        <v>Peggle Blast</v>
      </c>
      <c r="K8" t="str">
        <v>The Sims 4: Outdoor Retreat</v>
      </c>
      <c r="M8" t="str">
        <v>Need for Speed: No Limits</v>
      </c>
      <c r="N8" t="str">
        <v>Need for Speed: No Limits</v>
      </c>
      <c r="O8" t="str">
        <v>Unravel</v>
      </c>
      <c r="P8" t="str">
        <v>The Sims 4: Dine Out</v>
      </c>
      <c r="Q8" t="str">
        <v>NBA Live Mobile</v>
      </c>
      <c r="R8" t="str">
        <v>The Sims 4: City Living</v>
      </c>
      <c r="S8" t="str">
        <v>WarFriends</v>
      </c>
      <c r="U8" t="str">
        <v>NHL 18</v>
      </c>
      <c r="V8" t="str">
        <v>The Sims 4: Cats &amp; Dogs</v>
      </c>
      <c r="W8" t="str">
        <v>Fe</v>
      </c>
      <c r="X8" t="str">
        <v>The Sims 4: Seasons</v>
      </c>
      <c r="Y8" t="str">
        <v>Madden NFL Overdrive</v>
      </c>
      <c r="Z8" t="str">
        <v>The Sims 4: Jungle Adventure</v>
      </c>
      <c r="AA8" t="str">
        <v>The Sims 4: Get Famous</v>
      </c>
      <c r="AC8" t="str">
        <v>Sea of Solitude</v>
      </c>
      <c r="AD8" t="str">
        <v>The Sims 4: Discover University</v>
      </c>
      <c r="AG8" t="str">
        <v>Rocket Arena</v>
      </c>
      <c r="AH8" t="str">
        <v>Need for Speed: Hot Pursuit Remastered</v>
      </c>
      <c r="AJ8" t="str">
        <v>The Sims 4: Dream Home Decorator</v>
      </c>
      <c r="AK8" t="str">
        <v>The Sims 4: Cottage Living</v>
      </c>
      <c r="AO8" t="str">
        <v>The Sims 4: High School Years</v>
      </c>
      <c r="AP8" t="str">
        <v>NHL 23</v>
      </c>
      <c r="AQ8" t="str">
        <v>Wild Hearts</v>
      </c>
      <c r="AR8" t="str">
        <v>Super Mega Baseball 4</v>
      </c>
      <c r="AS8" t="str">
        <v>The Sims 4: Horse Ranch</v>
      </c>
      <c r="AT8" t="str">
        <v>The Sims 4: For Rent</v>
      </c>
    </row>
    <row r="9" spans="1:50" x14ac:dyDescent="0.25">
      <c r="A9" s="279"/>
      <c r="B9" t="s">
        <v>556</v>
      </c>
      <c r="C9" s="279" t="s">
        <v>548</v>
      </c>
      <c r="D9" t="s">
        <v>548</v>
      </c>
      <c r="E9" t="s">
        <v>557</v>
      </c>
      <c r="I9" s="279" t="str">
        <v>NHL 15</v>
      </c>
      <c r="J9" t="str">
        <v>SimCity: BuildIt</v>
      </c>
      <c r="M9" t="str">
        <v>NHL 16</v>
      </c>
      <c r="N9" t="str">
        <v>Star Wars Battlefront</v>
      </c>
      <c r="Q9" t="str">
        <v>NHL 17</v>
      </c>
      <c r="R9" t="str">
        <v>Titanfall 2</v>
      </c>
      <c r="V9" t="str">
        <v>The Sims 4: City Living</v>
      </c>
      <c r="W9" t="str">
        <v>The Sims 4: Dine Out</v>
      </c>
      <c r="X9" t="str">
        <v>The Sims 4: Spa Day</v>
      </c>
      <c r="Y9" t="str">
        <v>NBA Live 19</v>
      </c>
      <c r="Z9" t="str">
        <v>The Sims 4: Outdoor Retreat</v>
      </c>
      <c r="AA9" t="str">
        <v>The Sims 4: StrangerVille</v>
      </c>
      <c r="AC9" t="str">
        <v>The Sims 4: Island Living</v>
      </c>
      <c r="AD9" t="str">
        <v>The Sims 4: Realm of Magic</v>
      </c>
      <c r="AG9" t="str">
        <v>The Sims 4: Star Wars: Journey to Batuu</v>
      </c>
      <c r="AH9" t="str">
        <v>NHL 21</v>
      </c>
      <c r="AR9" t="str">
        <v>The Lord of the Rings: Heroes of Middle-earth</v>
      </c>
    </row>
    <row r="10" spans="1:50" x14ac:dyDescent="0.25">
      <c r="A10" s="279"/>
      <c r="B10" t="s">
        <v>558</v>
      </c>
      <c r="C10" s="279" t="s">
        <v>548</v>
      </c>
      <c r="D10" t="s">
        <v>548</v>
      </c>
      <c r="E10" t="s">
        <v>559</v>
      </c>
      <c r="I10" t="str">
        <v>Plants vs. Zombies: Garden Warfare</v>
      </c>
      <c r="M10" t="str">
        <v>Rory McIlroy PGA Tour</v>
      </c>
      <c r="N10" t="str">
        <v>Star Wars: Galaxy of Heroes</v>
      </c>
      <c r="V10" t="str">
        <v>The Sims 4: Vampires</v>
      </c>
      <c r="W10" t="str">
        <v>The Sims 4: Get to Work</v>
      </c>
      <c r="X10" t="str">
        <v>Unravel Two</v>
      </c>
      <c r="Y10" t="str">
        <v>NHL 19</v>
      </c>
      <c r="Z10" t="str">
        <v>The Sims 4: Seasons</v>
      </c>
      <c r="AA10" t="str">
        <v>Unravel Two</v>
      </c>
      <c r="AC10" t="str">
        <v>The Sims 4: Realm of Magic</v>
      </c>
      <c r="AH10" t="str">
        <v>Star Wars Jedi: Fallen Order</v>
      </c>
    </row>
    <row r="11" spans="1:50" x14ac:dyDescent="0.25">
      <c r="A11" s="279"/>
      <c r="B11" t="s">
        <v>560</v>
      </c>
      <c r="C11" s="279" t="s">
        <v>548</v>
      </c>
      <c r="D11" t="s">
        <v>548</v>
      </c>
      <c r="E11" t="s">
        <v>549</v>
      </c>
      <c r="I11" t="str">
        <v>The Sims 4</v>
      </c>
      <c r="N11" t="str">
        <v>The Sims 4: Get Together</v>
      </c>
      <c r="W11" t="str">
        <v>The Sims 4: Jungle Adventure</v>
      </c>
      <c r="Y11" t="str">
        <v>The Sims 4: Cats &amp; Dogs</v>
      </c>
      <c r="AH11" t="str">
        <v>Star Wars: Squadrons</v>
      </c>
    </row>
    <row r="12" spans="1:50" x14ac:dyDescent="0.25">
      <c r="A12" s="279"/>
      <c r="B12" t="s">
        <v>561</v>
      </c>
      <c r="C12" s="279" t="s">
        <v>548</v>
      </c>
      <c r="D12" t="s">
        <v>548</v>
      </c>
      <c r="E12" t="s">
        <v>562</v>
      </c>
      <c r="W12" t="str">
        <v>The Sims Mobile</v>
      </c>
      <c r="Y12" t="str">
        <v>The Sims 4: Get Together</v>
      </c>
      <c r="AH12" t="str">
        <v>The Sims 4: Snowy Escape</v>
      </c>
    </row>
    <row r="13" spans="1:50" x14ac:dyDescent="0.25">
      <c r="A13" s="279"/>
      <c r="B13" t="s">
        <v>563</v>
      </c>
      <c r="C13" s="279" t="s">
        <v>548</v>
      </c>
      <c r="D13" t="s">
        <v>548</v>
      </c>
      <c r="E13" t="s">
        <v>564</v>
      </c>
      <c r="H13" s="279"/>
      <c r="I13" s="279"/>
    </row>
    <row r="14" spans="1:50" x14ac:dyDescent="0.25">
      <c r="A14" s="279"/>
      <c r="B14" t="s">
        <v>565</v>
      </c>
      <c r="C14" s="279" t="s">
        <v>548</v>
      </c>
      <c r="D14" t="s">
        <v>548</v>
      </c>
      <c r="E14" t="s">
        <v>566</v>
      </c>
      <c r="H14" s="279"/>
      <c r="I14" s="279"/>
    </row>
    <row r="15" spans="1:50" x14ac:dyDescent="0.25">
      <c r="A15" s="279"/>
      <c r="B15" t="s">
        <v>567</v>
      </c>
      <c r="C15" s="279" t="s">
        <v>548</v>
      </c>
      <c r="D15" t="s">
        <v>568</v>
      </c>
      <c r="E15" t="s">
        <v>569</v>
      </c>
      <c r="H15" s="283" t="s">
        <v>154</v>
      </c>
      <c r="I15" s="52">
        <f t="shared" ref="I15:AX15" si="1">+COUNTIF(_xlfn.ANCHORARRAY(I$5),"FIFA*")</f>
        <v>1</v>
      </c>
      <c r="J15" s="52">
        <f t="shared" si="1"/>
        <v>0</v>
      </c>
      <c r="K15" s="52">
        <f t="shared" si="1"/>
        <v>0</v>
      </c>
      <c r="L15" s="52">
        <f t="shared" si="1"/>
        <v>0</v>
      </c>
      <c r="M15" s="52">
        <f t="shared" si="1"/>
        <v>1</v>
      </c>
      <c r="N15" s="52">
        <f t="shared" si="1"/>
        <v>0</v>
      </c>
      <c r="O15" s="52">
        <f t="shared" si="1"/>
        <v>0</v>
      </c>
      <c r="P15" s="52">
        <f t="shared" si="1"/>
        <v>0</v>
      </c>
      <c r="Q15" s="52">
        <f t="shared" si="1"/>
        <v>1</v>
      </c>
      <c r="R15" s="52">
        <f t="shared" si="1"/>
        <v>1</v>
      </c>
      <c r="S15" s="52">
        <f t="shared" si="1"/>
        <v>0</v>
      </c>
      <c r="T15" s="52">
        <f t="shared" si="1"/>
        <v>0</v>
      </c>
      <c r="U15" s="52">
        <f t="shared" si="1"/>
        <v>1</v>
      </c>
      <c r="V15" s="52">
        <f t="shared" si="1"/>
        <v>0</v>
      </c>
      <c r="W15" s="52">
        <f t="shared" si="1"/>
        <v>0</v>
      </c>
      <c r="X15" s="52">
        <f t="shared" si="1"/>
        <v>1</v>
      </c>
      <c r="Y15" s="52">
        <f t="shared" si="1"/>
        <v>1</v>
      </c>
      <c r="Z15" s="52">
        <f t="shared" si="1"/>
        <v>0</v>
      </c>
      <c r="AA15" s="52">
        <f t="shared" si="1"/>
        <v>0</v>
      </c>
      <c r="AB15" s="52">
        <f t="shared" si="1"/>
        <v>0</v>
      </c>
      <c r="AC15" s="52">
        <f t="shared" si="1"/>
        <v>1</v>
      </c>
      <c r="AD15" s="52">
        <f t="shared" si="1"/>
        <v>0</v>
      </c>
      <c r="AE15" s="52">
        <f t="shared" si="1"/>
        <v>0</v>
      </c>
      <c r="AF15" s="52">
        <f t="shared" si="1"/>
        <v>0</v>
      </c>
      <c r="AG15" s="52">
        <f t="shared" si="1"/>
        <v>0</v>
      </c>
      <c r="AH15" s="52">
        <f t="shared" si="1"/>
        <v>1</v>
      </c>
      <c r="AI15" s="52">
        <f t="shared" si="1"/>
        <v>0</v>
      </c>
      <c r="AJ15" s="52">
        <f t="shared" si="1"/>
        <v>0</v>
      </c>
      <c r="AK15" s="52">
        <f t="shared" si="1"/>
        <v>0</v>
      </c>
      <c r="AL15" s="52">
        <f t="shared" si="1"/>
        <v>1</v>
      </c>
      <c r="AM15" s="52">
        <f t="shared" si="1"/>
        <v>0</v>
      </c>
      <c r="AN15" s="52">
        <f t="shared" si="1"/>
        <v>0</v>
      </c>
      <c r="AO15" s="52">
        <f t="shared" si="1"/>
        <v>1</v>
      </c>
      <c r="AP15" s="52">
        <f t="shared" si="1"/>
        <v>1</v>
      </c>
      <c r="AQ15" s="52">
        <f t="shared" si="1"/>
        <v>0</v>
      </c>
      <c r="AR15" s="52">
        <f t="shared" si="1"/>
        <v>0</v>
      </c>
      <c r="AS15" s="52">
        <f t="shared" si="1"/>
        <v>0</v>
      </c>
      <c r="AT15" s="52">
        <f t="shared" si="1"/>
        <v>0</v>
      </c>
      <c r="AU15" s="52">
        <f t="shared" si="1"/>
        <v>0</v>
      </c>
      <c r="AV15" s="52">
        <f t="shared" si="1"/>
        <v>0</v>
      </c>
      <c r="AW15" s="52">
        <f t="shared" si="1"/>
        <v>0</v>
      </c>
      <c r="AX15" s="52">
        <f t="shared" si="1"/>
        <v>0</v>
      </c>
    </row>
    <row r="16" spans="1:50" x14ac:dyDescent="0.25">
      <c r="A16" s="279"/>
      <c r="B16" t="s">
        <v>567</v>
      </c>
      <c r="C16" s="279" t="s">
        <v>548</v>
      </c>
      <c r="D16" t="s">
        <v>570</v>
      </c>
      <c r="H16" s="283" t="s">
        <v>571</v>
      </c>
      <c r="I16" s="52">
        <f t="shared" ref="I16:AX16" si="2">+COUNTIF(_xlfn.ANCHORARRAY(I$5),"EA FC*")</f>
        <v>0</v>
      </c>
      <c r="J16" s="52">
        <f t="shared" si="2"/>
        <v>0</v>
      </c>
      <c r="K16" s="52">
        <f t="shared" si="2"/>
        <v>0</v>
      </c>
      <c r="L16" s="52">
        <f t="shared" si="2"/>
        <v>0</v>
      </c>
      <c r="M16" s="52">
        <f t="shared" si="2"/>
        <v>0</v>
      </c>
      <c r="N16" s="52">
        <f t="shared" si="2"/>
        <v>0</v>
      </c>
      <c r="O16" s="52">
        <f t="shared" si="2"/>
        <v>0</v>
      </c>
      <c r="P16" s="52">
        <f t="shared" si="2"/>
        <v>0</v>
      </c>
      <c r="Q16" s="52">
        <f t="shared" si="2"/>
        <v>0</v>
      </c>
      <c r="R16" s="52">
        <f t="shared" si="2"/>
        <v>0</v>
      </c>
      <c r="S16" s="52">
        <f t="shared" si="2"/>
        <v>0</v>
      </c>
      <c r="T16" s="52">
        <f t="shared" si="2"/>
        <v>0</v>
      </c>
      <c r="U16" s="52">
        <f t="shared" si="2"/>
        <v>0</v>
      </c>
      <c r="V16" s="52">
        <f t="shared" si="2"/>
        <v>0</v>
      </c>
      <c r="W16" s="52">
        <f t="shared" si="2"/>
        <v>0</v>
      </c>
      <c r="X16" s="52">
        <f t="shared" si="2"/>
        <v>0</v>
      </c>
      <c r="Y16" s="52">
        <f t="shared" si="2"/>
        <v>0</v>
      </c>
      <c r="Z16" s="52">
        <f t="shared" si="2"/>
        <v>0</v>
      </c>
      <c r="AA16" s="52">
        <f t="shared" si="2"/>
        <v>0</v>
      </c>
      <c r="AB16" s="52">
        <f t="shared" si="2"/>
        <v>0</v>
      </c>
      <c r="AC16" s="52">
        <f t="shared" si="2"/>
        <v>0</v>
      </c>
      <c r="AD16" s="52">
        <f t="shared" si="2"/>
        <v>0</v>
      </c>
      <c r="AE16" s="52">
        <f t="shared" si="2"/>
        <v>0</v>
      </c>
      <c r="AF16" s="52">
        <f t="shared" si="2"/>
        <v>0</v>
      </c>
      <c r="AG16" s="52">
        <f t="shared" si="2"/>
        <v>0</v>
      </c>
      <c r="AH16" s="52">
        <f t="shared" si="2"/>
        <v>0</v>
      </c>
      <c r="AI16" s="52">
        <f t="shared" si="2"/>
        <v>0</v>
      </c>
      <c r="AJ16" s="52">
        <f t="shared" si="2"/>
        <v>0</v>
      </c>
      <c r="AK16" s="52">
        <f t="shared" si="2"/>
        <v>0</v>
      </c>
      <c r="AL16" s="52">
        <f t="shared" si="2"/>
        <v>0</v>
      </c>
      <c r="AM16" s="52">
        <f t="shared" si="2"/>
        <v>0</v>
      </c>
      <c r="AN16" s="52">
        <f t="shared" si="2"/>
        <v>0</v>
      </c>
      <c r="AO16" s="52">
        <f t="shared" si="2"/>
        <v>0</v>
      </c>
      <c r="AP16" s="52">
        <f t="shared" si="2"/>
        <v>0</v>
      </c>
      <c r="AQ16" s="52">
        <f t="shared" si="2"/>
        <v>0</v>
      </c>
      <c r="AR16" s="52">
        <f t="shared" si="2"/>
        <v>0</v>
      </c>
      <c r="AS16" s="52">
        <f t="shared" si="2"/>
        <v>1</v>
      </c>
      <c r="AT16" s="52">
        <f t="shared" si="2"/>
        <v>0</v>
      </c>
      <c r="AU16" s="52">
        <f t="shared" si="2"/>
        <v>0</v>
      </c>
      <c r="AV16" s="52">
        <f t="shared" si="2"/>
        <v>0</v>
      </c>
      <c r="AW16" s="52">
        <f t="shared" si="2"/>
        <v>0</v>
      </c>
      <c r="AX16" s="52">
        <f t="shared" si="2"/>
        <v>0</v>
      </c>
    </row>
    <row r="17" spans="1:50" x14ac:dyDescent="0.25">
      <c r="A17" s="279"/>
      <c r="B17" t="s">
        <v>572</v>
      </c>
      <c r="C17" s="279" t="s">
        <v>548</v>
      </c>
      <c r="D17" t="s">
        <v>573</v>
      </c>
      <c r="E17" t="s">
        <v>552</v>
      </c>
      <c r="F17" s="279"/>
      <c r="H17" s="283" t="s">
        <v>99</v>
      </c>
      <c r="I17" s="52">
        <f t="shared" ref="I17:AX17" si="3">+COUNTIF(_xlfn.ANCHORARRAY(I$5),"NHL*")</f>
        <v>1</v>
      </c>
      <c r="J17" s="52">
        <f t="shared" si="3"/>
        <v>0</v>
      </c>
      <c r="K17" s="52">
        <f t="shared" si="3"/>
        <v>0</v>
      </c>
      <c r="L17" s="52">
        <f t="shared" si="3"/>
        <v>0</v>
      </c>
      <c r="M17" s="52">
        <f t="shared" si="3"/>
        <v>1</v>
      </c>
      <c r="N17" s="52">
        <f t="shared" si="3"/>
        <v>0</v>
      </c>
      <c r="O17" s="52">
        <f t="shared" si="3"/>
        <v>0</v>
      </c>
      <c r="P17" s="52">
        <f t="shared" si="3"/>
        <v>0</v>
      </c>
      <c r="Q17" s="52">
        <f t="shared" si="3"/>
        <v>1</v>
      </c>
      <c r="R17" s="52">
        <f t="shared" si="3"/>
        <v>0</v>
      </c>
      <c r="S17" s="52">
        <f t="shared" si="3"/>
        <v>0</v>
      </c>
      <c r="T17" s="52">
        <f t="shared" si="3"/>
        <v>0</v>
      </c>
      <c r="U17" s="52">
        <f t="shared" si="3"/>
        <v>1</v>
      </c>
      <c r="V17" s="52">
        <f t="shared" si="3"/>
        <v>0</v>
      </c>
      <c r="W17" s="52">
        <f t="shared" si="3"/>
        <v>0</v>
      </c>
      <c r="X17" s="52">
        <f t="shared" si="3"/>
        <v>0</v>
      </c>
      <c r="Y17" s="52">
        <f t="shared" si="3"/>
        <v>1</v>
      </c>
      <c r="Z17" s="52">
        <f t="shared" si="3"/>
        <v>0</v>
      </c>
      <c r="AA17" s="52">
        <f t="shared" si="3"/>
        <v>0</v>
      </c>
      <c r="AB17" s="52">
        <f t="shared" si="3"/>
        <v>0</v>
      </c>
      <c r="AC17" s="52">
        <f t="shared" si="3"/>
        <v>1</v>
      </c>
      <c r="AD17" s="52">
        <f t="shared" si="3"/>
        <v>0</v>
      </c>
      <c r="AE17" s="52">
        <f t="shared" si="3"/>
        <v>0</v>
      </c>
      <c r="AF17" s="52">
        <f t="shared" si="3"/>
        <v>0</v>
      </c>
      <c r="AG17" s="52">
        <f t="shared" si="3"/>
        <v>0</v>
      </c>
      <c r="AH17" s="52">
        <f t="shared" si="3"/>
        <v>1</v>
      </c>
      <c r="AI17" s="52">
        <f t="shared" si="3"/>
        <v>0</v>
      </c>
      <c r="AJ17" s="52">
        <f t="shared" si="3"/>
        <v>0</v>
      </c>
      <c r="AK17" s="52">
        <f t="shared" si="3"/>
        <v>0</v>
      </c>
      <c r="AL17" s="52">
        <f t="shared" si="3"/>
        <v>1</v>
      </c>
      <c r="AM17" s="52">
        <f t="shared" si="3"/>
        <v>0</v>
      </c>
      <c r="AN17" s="52">
        <f t="shared" si="3"/>
        <v>0</v>
      </c>
      <c r="AO17" s="52">
        <f t="shared" si="3"/>
        <v>0</v>
      </c>
      <c r="AP17" s="52">
        <f t="shared" si="3"/>
        <v>1</v>
      </c>
      <c r="AQ17" s="52">
        <f t="shared" si="3"/>
        <v>0</v>
      </c>
      <c r="AR17" s="52">
        <f t="shared" si="3"/>
        <v>0</v>
      </c>
      <c r="AS17" s="52">
        <f t="shared" si="3"/>
        <v>0</v>
      </c>
      <c r="AT17" s="52">
        <f t="shared" si="3"/>
        <v>1</v>
      </c>
      <c r="AU17" s="52">
        <f t="shared" si="3"/>
        <v>0</v>
      </c>
      <c r="AV17" s="52">
        <f t="shared" si="3"/>
        <v>0</v>
      </c>
      <c r="AW17" s="52">
        <f t="shared" si="3"/>
        <v>0</v>
      </c>
      <c r="AX17" s="52">
        <f t="shared" si="3"/>
        <v>0</v>
      </c>
    </row>
    <row r="18" spans="1:50" x14ac:dyDescent="0.25">
      <c r="A18" s="279"/>
      <c r="B18" t="s">
        <v>572</v>
      </c>
      <c r="C18" s="279" t="s">
        <v>548</v>
      </c>
      <c r="D18" t="s">
        <v>574</v>
      </c>
      <c r="F18" s="279"/>
      <c r="H18" s="283" t="s">
        <v>111</v>
      </c>
      <c r="I18" s="52">
        <f t="shared" ref="I18:AX18" si="4">+COUNTIF(_xlfn.ANCHORARRAY(I$5),"Madden*")</f>
        <v>2</v>
      </c>
      <c r="J18" s="52">
        <f t="shared" si="4"/>
        <v>0</v>
      </c>
      <c r="K18" s="52">
        <f t="shared" si="4"/>
        <v>0</v>
      </c>
      <c r="L18" s="52">
        <f t="shared" si="4"/>
        <v>0</v>
      </c>
      <c r="M18" s="52">
        <f t="shared" si="4"/>
        <v>1</v>
      </c>
      <c r="N18" s="52">
        <f t="shared" si="4"/>
        <v>0</v>
      </c>
      <c r="O18" s="52">
        <f t="shared" si="4"/>
        <v>0</v>
      </c>
      <c r="P18" s="52">
        <f t="shared" si="4"/>
        <v>0</v>
      </c>
      <c r="Q18" s="52">
        <f t="shared" si="4"/>
        <v>1</v>
      </c>
      <c r="R18" s="52">
        <f t="shared" si="4"/>
        <v>0</v>
      </c>
      <c r="S18" s="52">
        <f t="shared" si="4"/>
        <v>0</v>
      </c>
      <c r="T18" s="52">
        <f t="shared" si="4"/>
        <v>0</v>
      </c>
      <c r="U18" s="52">
        <f t="shared" si="4"/>
        <v>1</v>
      </c>
      <c r="V18" s="52">
        <f t="shared" si="4"/>
        <v>0</v>
      </c>
      <c r="W18" s="52">
        <f t="shared" si="4"/>
        <v>0</v>
      </c>
      <c r="X18" s="52">
        <f t="shared" si="4"/>
        <v>0</v>
      </c>
      <c r="Y18" s="52">
        <f t="shared" si="4"/>
        <v>2</v>
      </c>
      <c r="Z18" s="52">
        <f t="shared" si="4"/>
        <v>0</v>
      </c>
      <c r="AA18" s="52">
        <f t="shared" si="4"/>
        <v>0</v>
      </c>
      <c r="AB18" s="52">
        <f t="shared" si="4"/>
        <v>0</v>
      </c>
      <c r="AC18" s="52">
        <f t="shared" si="4"/>
        <v>1</v>
      </c>
      <c r="AD18" s="52">
        <f t="shared" si="4"/>
        <v>0</v>
      </c>
      <c r="AE18" s="52">
        <f t="shared" si="4"/>
        <v>0</v>
      </c>
      <c r="AF18" s="52">
        <f t="shared" si="4"/>
        <v>0</v>
      </c>
      <c r="AG18" s="52">
        <f t="shared" si="4"/>
        <v>2</v>
      </c>
      <c r="AH18" s="52">
        <f t="shared" si="4"/>
        <v>1</v>
      </c>
      <c r="AI18" s="52">
        <f t="shared" si="4"/>
        <v>0</v>
      </c>
      <c r="AJ18" s="52">
        <f t="shared" si="4"/>
        <v>0</v>
      </c>
      <c r="AK18" s="52">
        <f t="shared" si="4"/>
        <v>1</v>
      </c>
      <c r="AL18" s="52">
        <f t="shared" si="4"/>
        <v>0</v>
      </c>
      <c r="AM18" s="52">
        <f t="shared" si="4"/>
        <v>0</v>
      </c>
      <c r="AN18" s="52">
        <f t="shared" si="4"/>
        <v>0</v>
      </c>
      <c r="AO18" s="52">
        <f t="shared" si="4"/>
        <v>1</v>
      </c>
      <c r="AP18" s="52">
        <f t="shared" si="4"/>
        <v>0</v>
      </c>
      <c r="AQ18" s="52">
        <f t="shared" si="4"/>
        <v>0</v>
      </c>
      <c r="AR18" s="52">
        <f t="shared" si="4"/>
        <v>0</v>
      </c>
      <c r="AS18" s="52">
        <f t="shared" si="4"/>
        <v>1</v>
      </c>
      <c r="AT18" s="52">
        <f t="shared" si="4"/>
        <v>0</v>
      </c>
      <c r="AU18" s="52">
        <f t="shared" si="4"/>
        <v>0</v>
      </c>
      <c r="AV18" s="52">
        <f t="shared" si="4"/>
        <v>0</v>
      </c>
      <c r="AW18" s="52">
        <f t="shared" si="4"/>
        <v>0</v>
      </c>
      <c r="AX18" s="52">
        <f t="shared" si="4"/>
        <v>0</v>
      </c>
    </row>
    <row r="19" spans="1:50" x14ac:dyDescent="0.25">
      <c r="A19" s="279"/>
      <c r="B19" t="s">
        <v>572</v>
      </c>
      <c r="C19" s="279" t="s">
        <v>548</v>
      </c>
      <c r="D19" t="s">
        <v>575</v>
      </c>
      <c r="F19" s="279"/>
      <c r="H19" s="283" t="s">
        <v>76</v>
      </c>
      <c r="I19" s="52">
        <f t="shared" ref="I19:AX19" si="5">+COUNTIF(_xlfn.ANCHORARRAY(I$5),"The Sims*")</f>
        <v>1</v>
      </c>
      <c r="J19" s="52">
        <f t="shared" si="5"/>
        <v>0</v>
      </c>
      <c r="K19" s="52">
        <f t="shared" si="5"/>
        <v>3</v>
      </c>
      <c r="L19" s="52">
        <f t="shared" si="5"/>
        <v>2</v>
      </c>
      <c r="M19" s="52">
        <f t="shared" si="5"/>
        <v>0</v>
      </c>
      <c r="N19" s="52">
        <f t="shared" si="5"/>
        <v>1</v>
      </c>
      <c r="O19" s="52">
        <f t="shared" si="5"/>
        <v>0</v>
      </c>
      <c r="P19" s="52">
        <f t="shared" si="5"/>
        <v>1</v>
      </c>
      <c r="Q19" s="52">
        <f t="shared" si="5"/>
        <v>0</v>
      </c>
      <c r="R19" s="52">
        <f t="shared" si="5"/>
        <v>1</v>
      </c>
      <c r="S19" s="52">
        <f t="shared" si="5"/>
        <v>1</v>
      </c>
      <c r="T19" s="52">
        <f t="shared" si="5"/>
        <v>2</v>
      </c>
      <c r="U19" s="52">
        <f t="shared" si="5"/>
        <v>0</v>
      </c>
      <c r="V19" s="52">
        <f t="shared" si="5"/>
        <v>4</v>
      </c>
      <c r="W19" s="52">
        <f t="shared" si="5"/>
        <v>4</v>
      </c>
      <c r="X19" s="52">
        <f t="shared" si="5"/>
        <v>3</v>
      </c>
      <c r="Y19" s="52">
        <f t="shared" si="5"/>
        <v>2</v>
      </c>
      <c r="Z19" s="52">
        <f t="shared" si="5"/>
        <v>4</v>
      </c>
      <c r="AA19" s="52">
        <f t="shared" si="5"/>
        <v>2</v>
      </c>
      <c r="AB19" s="52">
        <f t="shared" si="5"/>
        <v>2</v>
      </c>
      <c r="AC19" s="52">
        <f t="shared" si="5"/>
        <v>2</v>
      </c>
      <c r="AD19" s="52">
        <f t="shared" si="5"/>
        <v>2</v>
      </c>
      <c r="AE19" s="52">
        <f t="shared" si="5"/>
        <v>0</v>
      </c>
      <c r="AF19" s="52">
        <f t="shared" si="5"/>
        <v>1</v>
      </c>
      <c r="AG19" s="52">
        <f t="shared" si="5"/>
        <v>1</v>
      </c>
      <c r="AH19" s="52">
        <f t="shared" si="5"/>
        <v>1</v>
      </c>
      <c r="AI19" s="52">
        <f t="shared" si="5"/>
        <v>0</v>
      </c>
      <c r="AJ19" s="52">
        <f t="shared" si="5"/>
        <v>1</v>
      </c>
      <c r="AK19" s="52">
        <f t="shared" si="5"/>
        <v>1</v>
      </c>
      <c r="AL19" s="52">
        <f t="shared" si="5"/>
        <v>0</v>
      </c>
      <c r="AM19" s="52">
        <f t="shared" si="5"/>
        <v>1</v>
      </c>
      <c r="AN19" s="52">
        <f t="shared" si="5"/>
        <v>1</v>
      </c>
      <c r="AO19" s="52">
        <f t="shared" si="5"/>
        <v>1</v>
      </c>
      <c r="AP19" s="52">
        <f t="shared" si="5"/>
        <v>0</v>
      </c>
      <c r="AQ19" s="52">
        <f t="shared" si="5"/>
        <v>1</v>
      </c>
      <c r="AR19" s="52">
        <f t="shared" si="5"/>
        <v>0</v>
      </c>
      <c r="AS19" s="52">
        <f t="shared" si="5"/>
        <v>1</v>
      </c>
      <c r="AT19" s="52">
        <f t="shared" si="5"/>
        <v>1</v>
      </c>
      <c r="AU19" s="52">
        <f t="shared" si="5"/>
        <v>0</v>
      </c>
      <c r="AV19" s="52">
        <f t="shared" si="5"/>
        <v>0</v>
      </c>
      <c r="AW19" s="52">
        <f t="shared" si="5"/>
        <v>0</v>
      </c>
      <c r="AX19" s="52">
        <f t="shared" si="5"/>
        <v>0</v>
      </c>
    </row>
    <row r="20" spans="1:50" x14ac:dyDescent="0.25">
      <c r="A20" s="279"/>
      <c r="B20" t="s">
        <v>493</v>
      </c>
      <c r="C20" s="279">
        <v>45536</v>
      </c>
      <c r="D20" t="s">
        <v>548</v>
      </c>
      <c r="E20" t="s">
        <v>548</v>
      </c>
      <c r="F20" s="279"/>
      <c r="H20" s="279"/>
    </row>
    <row r="21" spans="1:50" x14ac:dyDescent="0.25">
      <c r="A21" s="279"/>
      <c r="B21" t="s">
        <v>131</v>
      </c>
      <c r="C21" s="279">
        <v>45443</v>
      </c>
      <c r="D21" t="s">
        <v>576</v>
      </c>
      <c r="E21" t="s">
        <v>577</v>
      </c>
      <c r="F21" s="279"/>
    </row>
    <row r="22" spans="1:50" x14ac:dyDescent="0.25">
      <c r="A22" s="279"/>
      <c r="B22" t="s">
        <v>131</v>
      </c>
      <c r="C22" s="279">
        <v>45443</v>
      </c>
      <c r="D22" t="s">
        <v>573</v>
      </c>
      <c r="F22" s="279"/>
      <c r="H22" s="284" t="s">
        <v>154</v>
      </c>
      <c r="I22" t="str" cm="1">
        <f t="array" ref="I22">_xlfn._xlws.FILTER(_xlfn.ANCHORARRAY(I$5), ISNUMBER(SEARCH($H22,_xlfn.ANCHORARRAY( I$5))), "--")</f>
        <v>FIFA 15</v>
      </c>
      <c r="J22" t="str" cm="1">
        <f t="array" ref="J22">_xlfn._xlws.FILTER(_xlfn.ANCHORARRAY(J$5), ISNUMBER(SEARCH($H22,_xlfn.ANCHORARRAY( J$5))), "--")</f>
        <v>--</v>
      </c>
      <c r="K22" t="str" cm="1">
        <f t="array" ref="K22">_xlfn._xlws.FILTER(_xlfn.ANCHORARRAY(K$5), ISNUMBER(SEARCH($H22,_xlfn.ANCHORARRAY( K$5))), "--")</f>
        <v>--</v>
      </c>
      <c r="L22" t="str" cm="1">
        <f t="array" ref="L22">_xlfn._xlws.FILTER(_xlfn.ANCHORARRAY(L$5), ISNUMBER(SEARCH($H22,_xlfn.ANCHORARRAY( L$5))), "--")</f>
        <v>--</v>
      </c>
      <c r="M22" t="str" cm="1">
        <f t="array" ref="M22">_xlfn._xlws.FILTER(_xlfn.ANCHORARRAY(M$5), ISNUMBER(SEARCH($H22,_xlfn.ANCHORARRAY( M$5))), "--")</f>
        <v>FIFA 16</v>
      </c>
      <c r="N22" t="str" cm="1">
        <f t="array" ref="N22">_xlfn._xlws.FILTER(_xlfn.ANCHORARRAY(N$5), ISNUMBER(SEARCH($H22,_xlfn.ANCHORARRAY( N$5))), "--")</f>
        <v>--</v>
      </c>
      <c r="O22" t="str" cm="1">
        <f t="array" ref="O22">_xlfn._xlws.FILTER(_xlfn.ANCHORARRAY(O$5), ISNUMBER(SEARCH($H22,_xlfn.ANCHORARRAY( O$5))), "--")</f>
        <v>--</v>
      </c>
      <c r="P22" t="str" cm="1">
        <f t="array" ref="P22">_xlfn._xlws.FILTER(_xlfn.ANCHORARRAY(P$5), ISNUMBER(SEARCH($H22,_xlfn.ANCHORARRAY( P$5))), "--")</f>
        <v>--</v>
      </c>
      <c r="Q22" t="str" cm="1">
        <f t="array" ref="Q22">_xlfn._xlws.FILTER(_xlfn.ANCHORARRAY(Q$5), ISNUMBER(SEARCH($H22,_xlfn.ANCHORARRAY( Q$5))), "--")</f>
        <v>FIFA 17</v>
      </c>
      <c r="R22" t="str" cm="1">
        <f t="array" ref="R22">_xlfn._xlws.FILTER(_xlfn.ANCHORARRAY(R$5), ISNUMBER(SEARCH($H22,_xlfn.ANCHORARRAY( R$5))), "--")</f>
        <v>FIFA Mobile</v>
      </c>
      <c r="S22" t="str" cm="1">
        <f t="array" ref="S22">_xlfn._xlws.FILTER(_xlfn.ANCHORARRAY(S$5), ISNUMBER(SEARCH($H22,_xlfn.ANCHORARRAY( S$5))), "--")</f>
        <v>--</v>
      </c>
      <c r="T22" t="str" cm="1">
        <f t="array" ref="T22">_xlfn._xlws.FILTER(_xlfn.ANCHORARRAY(T$5), ISNUMBER(SEARCH($H22,_xlfn.ANCHORARRAY( T$5))), "--")</f>
        <v>--</v>
      </c>
      <c r="U22" t="str" cm="1">
        <f t="array" ref="U22">_xlfn._xlws.FILTER(_xlfn.ANCHORARRAY(U$5), ISNUMBER(SEARCH($H22,_xlfn.ANCHORARRAY( U$5))), "--")</f>
        <v>FIFA 18</v>
      </c>
      <c r="V22" t="str" cm="1">
        <f t="array" ref="V22">_xlfn._xlws.FILTER(_xlfn.ANCHORARRAY(V$5), ISNUMBER(SEARCH($H22,_xlfn.ANCHORARRAY( V$5))), "--")</f>
        <v>--</v>
      </c>
      <c r="W22" t="str" cm="1">
        <f t="array" ref="W22">_xlfn._xlws.FILTER(_xlfn.ANCHORARRAY(W$5), ISNUMBER(SEARCH($H22,_xlfn.ANCHORARRAY( W$5))), "--")</f>
        <v>--</v>
      </c>
      <c r="X22" t="str" cm="1">
        <f t="array" ref="X22">_xlfn._xlws.FILTER(_xlfn.ANCHORARRAY(X$5), ISNUMBER(SEARCH($H22,_xlfn.ANCHORARRAY( X$5))), "--")</f>
        <v>FIFA Online 4</v>
      </c>
      <c r="Y22" t="str" cm="1">
        <f t="array" ref="Y22">_xlfn._xlws.FILTER(_xlfn.ANCHORARRAY(Y$5), ISNUMBER(SEARCH($H22,_xlfn.ANCHORARRAY( Y$5))), "--")</f>
        <v>FIFA 19</v>
      </c>
      <c r="Z22" t="str" cm="1">
        <f t="array" ref="Z22">_xlfn._xlws.FILTER(_xlfn.ANCHORARRAY(Z$5), ISNUMBER(SEARCH($H22,_xlfn.ANCHORARRAY( Z$5))), "--")</f>
        <v>--</v>
      </c>
      <c r="AA22" t="str" cm="1">
        <f t="array" ref="AA22">_xlfn._xlws.FILTER(_xlfn.ANCHORARRAY(AA$5), ISNUMBER(SEARCH($H22,_xlfn.ANCHORARRAY( AA$5))), "--")</f>
        <v>--</v>
      </c>
      <c r="AB22" t="str" cm="1">
        <f t="array" ref="AB22">_xlfn._xlws.FILTER(_xlfn.ANCHORARRAY(AB$5), ISNUMBER(SEARCH($H22,_xlfn.ANCHORARRAY( AB$5))), "--")</f>
        <v>--</v>
      </c>
      <c r="AC22" t="str" cm="1">
        <f t="array" ref="AC22">_xlfn._xlws.FILTER(_xlfn.ANCHORARRAY(AC$5), ISNUMBER(SEARCH($H22,_xlfn.ANCHORARRAY( AC$5))), "--")</f>
        <v>FIFA 20</v>
      </c>
      <c r="AD22" t="str" cm="1">
        <f t="array" ref="AD22">_xlfn._xlws.FILTER(_xlfn.ANCHORARRAY(AD$5), ISNUMBER(SEARCH($H22,_xlfn.ANCHORARRAY( AD$5))), "--")</f>
        <v>--</v>
      </c>
      <c r="AE22" t="str" cm="1">
        <f t="array" ref="AE22">_xlfn._xlws.FILTER(_xlfn.ANCHORARRAY(AE$5), ISNUMBER(SEARCH($H22,_xlfn.ANCHORARRAY( AE$5))), "--")</f>
        <v>--</v>
      </c>
      <c r="AF22" t="str" cm="1">
        <f t="array" ref="AF22">_xlfn._xlws.FILTER(_xlfn.ANCHORARRAY(AF$5), ISNUMBER(SEARCH($H22,_xlfn.ANCHORARRAY( AF$5))), "--")</f>
        <v>--</v>
      </c>
      <c r="AG22" t="str" cm="1">
        <f t="array" ref="AG22">_xlfn._xlws.FILTER(_xlfn.ANCHORARRAY(AG$5), ISNUMBER(SEARCH($H22,_xlfn.ANCHORARRAY( AG$5))), "--")</f>
        <v>--</v>
      </c>
      <c r="AH22" t="str" cm="1">
        <f t="array" ref="AH22">_xlfn._xlws.FILTER(_xlfn.ANCHORARRAY(AH$5), ISNUMBER(SEARCH($H22,_xlfn.ANCHORARRAY( AH$5))), "--")</f>
        <v>FIFA 21</v>
      </c>
      <c r="AI22" t="str" cm="1">
        <f t="array" ref="AI22">_xlfn._xlws.FILTER(_xlfn.ANCHORARRAY(AI$5), ISNUMBER(SEARCH($H22,_xlfn.ANCHORARRAY( AI$5))), "--")</f>
        <v>--</v>
      </c>
      <c r="AJ22" t="str" cm="1">
        <f t="array" ref="AJ22">_xlfn._xlws.FILTER(_xlfn.ANCHORARRAY(AJ$5), ISNUMBER(SEARCH($H22,_xlfn.ANCHORARRAY( AJ$5))), "--")</f>
        <v>--</v>
      </c>
      <c r="AK22" t="str" cm="1">
        <f t="array" ref="AK22">_xlfn._xlws.FILTER(_xlfn.ANCHORARRAY(AK$5), ISNUMBER(SEARCH($H22,_xlfn.ANCHORARRAY( AK$5))), "--")</f>
        <v>--</v>
      </c>
      <c r="AL22" t="str" cm="1">
        <f t="array" ref="AL22">_xlfn._xlws.FILTER(_xlfn.ANCHORARRAY(AL$5), ISNUMBER(SEARCH($H22,_xlfn.ANCHORARRAY( AL$5))), "--")</f>
        <v>FIFA 22</v>
      </c>
      <c r="AM22" t="str" cm="1">
        <f t="array" ref="AM22">_xlfn._xlws.FILTER(_xlfn.ANCHORARRAY(AM$5), ISNUMBER(SEARCH($H22,_xlfn.ANCHORARRAY( AM$5))), "--")</f>
        <v>--</v>
      </c>
      <c r="AN22" t="str" cm="1">
        <f t="array" ref="AN22">_xlfn._xlws.FILTER(_xlfn.ANCHORARRAY(AN$5), ISNUMBER(SEARCH($H22,_xlfn.ANCHORARRAY( AN$5))), "--")</f>
        <v>--</v>
      </c>
      <c r="AO22" t="str" cm="1">
        <f t="array" ref="AO22">_xlfn._xlws.FILTER(_xlfn.ANCHORARRAY(AO$5), ISNUMBER(SEARCH($H22,_xlfn.ANCHORARRAY( AO$5))), "--")</f>
        <v>FIFA 23</v>
      </c>
      <c r="AP22" t="str" cm="1">
        <f t="array" ref="AP22">_xlfn._xlws.FILTER(_xlfn.ANCHORARRAY(AP$5), ISNUMBER(SEARCH($H22,_xlfn.ANCHORARRAY( AP$5))), "--")</f>
        <v>FIFA 23</v>
      </c>
      <c r="AQ22" t="str" cm="1">
        <f t="array" ref="AQ22">_xlfn._xlws.FILTER(_xlfn.ANCHORARRAY(AQ$5), ISNUMBER(SEARCH($H22,_xlfn.ANCHORARRAY( AQ$5))), "--")</f>
        <v>--</v>
      </c>
      <c r="AR22" t="str" cm="1">
        <f t="array" ref="AR22">_xlfn._xlws.FILTER(_xlfn.ANCHORARRAY(AR$5), ISNUMBER(SEARCH($H22,_xlfn.ANCHORARRAY( AR$5))), "--")</f>
        <v>--</v>
      </c>
      <c r="AS22" t="str" cm="1">
        <f t="array" ref="AS22">_xlfn._xlws.FILTER(_xlfn.ANCHORARRAY(AS$5), ISNUMBER(SEARCH($H22,_xlfn.ANCHORARRAY( AS$5))), "--")</f>
        <v>--</v>
      </c>
      <c r="AT22" t="str" cm="1">
        <f t="array" ref="AT22">_xlfn._xlws.FILTER(_xlfn.ANCHORARRAY(AT$5), ISNUMBER(SEARCH($H22,_xlfn.ANCHORARRAY( AT$5))), "--")</f>
        <v>--</v>
      </c>
      <c r="AU22" t="str" cm="1">
        <f t="array" ref="AU22">_xlfn._xlws.FILTER(_xlfn.ANCHORARRAY(AU$5), ISNUMBER(SEARCH($H22,_xlfn.ANCHORARRAY( AU$5))), "--")</f>
        <v>--</v>
      </c>
      <c r="AV22" t="str" cm="1">
        <f t="array" ref="AV22">_xlfn._xlws.FILTER(_xlfn.ANCHORARRAY(AV$5), ISNUMBER(SEARCH($H22,_xlfn.ANCHORARRAY( AV$5))), "--")</f>
        <v>--</v>
      </c>
      <c r="AW22" t="str" cm="1">
        <f t="array" ref="AW22">_xlfn._xlws.FILTER(_xlfn.ANCHORARRAY(AW$5), ISNUMBER(SEARCH($H22,_xlfn.ANCHORARRAY( AW$5))), "--")</f>
        <v>--</v>
      </c>
    </row>
    <row r="23" spans="1:50" x14ac:dyDescent="0.25">
      <c r="A23" s="279"/>
      <c r="B23" t="s">
        <v>131</v>
      </c>
      <c r="C23" s="279">
        <v>45443</v>
      </c>
      <c r="D23" t="s">
        <v>578</v>
      </c>
      <c r="F23" s="279"/>
      <c r="H23" s="284" t="s">
        <v>571</v>
      </c>
      <c r="I23" t="str" cm="1">
        <f t="array" ref="I23">_xlfn._xlws.FILTER(_xlfn.ANCHORARRAY(I$5), ISNUMBER(SEARCH($H23,_xlfn.ANCHORARRAY( I$5))), "--")</f>
        <v>--</v>
      </c>
      <c r="J23" t="str" cm="1">
        <f t="array" ref="J23">_xlfn._xlws.FILTER(_xlfn.ANCHORARRAY(J$5), ISNUMBER(SEARCH($H23,_xlfn.ANCHORARRAY( J$5))), "--")</f>
        <v>--</v>
      </c>
      <c r="K23" t="str" cm="1">
        <f t="array" ref="K23">_xlfn._xlws.FILTER(_xlfn.ANCHORARRAY(K$5), ISNUMBER(SEARCH($H23,_xlfn.ANCHORARRAY( K$5))), "--")</f>
        <v>--</v>
      </c>
      <c r="L23" t="str" cm="1">
        <f t="array" ref="L23">_xlfn._xlws.FILTER(_xlfn.ANCHORARRAY(L$5), ISNUMBER(SEARCH($H23,_xlfn.ANCHORARRAY( L$5))), "--")</f>
        <v>--</v>
      </c>
      <c r="M23" t="str" cm="1">
        <f t="array" ref="M23">_xlfn._xlws.FILTER(_xlfn.ANCHORARRAY(M$5), ISNUMBER(SEARCH($H23,_xlfn.ANCHORARRAY( M$5))), "--")</f>
        <v>--</v>
      </c>
      <c r="N23" t="str" cm="1">
        <f t="array" ref="N23">_xlfn._xlws.FILTER(_xlfn.ANCHORARRAY(N$5), ISNUMBER(SEARCH($H23,_xlfn.ANCHORARRAY( N$5))), "--")</f>
        <v>--</v>
      </c>
      <c r="O23" t="str" cm="1">
        <f t="array" ref="O23">_xlfn._xlws.FILTER(_xlfn.ANCHORARRAY(O$5), ISNUMBER(SEARCH($H23,_xlfn.ANCHORARRAY( O$5))), "--")</f>
        <v>--</v>
      </c>
      <c r="P23" t="str" cm="1">
        <f t="array" ref="P23">_xlfn._xlws.FILTER(_xlfn.ANCHORARRAY(P$5), ISNUMBER(SEARCH($H23,_xlfn.ANCHORARRAY( P$5))), "--")</f>
        <v>--</v>
      </c>
      <c r="Q23" t="str" cm="1">
        <f t="array" ref="Q23">_xlfn._xlws.FILTER(_xlfn.ANCHORARRAY(Q$5), ISNUMBER(SEARCH($H23,_xlfn.ANCHORARRAY( Q$5))), "--")</f>
        <v>--</v>
      </c>
      <c r="R23" t="str" cm="1">
        <f t="array" ref="R23">_xlfn._xlws.FILTER(_xlfn.ANCHORARRAY(R$5), ISNUMBER(SEARCH($H23,_xlfn.ANCHORARRAY( R$5))), "--")</f>
        <v>--</v>
      </c>
      <c r="S23" t="str" cm="1">
        <f t="array" ref="S23">_xlfn._xlws.FILTER(_xlfn.ANCHORARRAY(S$5), ISNUMBER(SEARCH($H23,_xlfn.ANCHORARRAY( S$5))), "--")</f>
        <v>--</v>
      </c>
      <c r="T23" t="str" cm="1">
        <f t="array" ref="T23">_xlfn._xlws.FILTER(_xlfn.ANCHORARRAY(T$5), ISNUMBER(SEARCH($H23,_xlfn.ANCHORARRAY( T$5))), "--")</f>
        <v>--</v>
      </c>
      <c r="U23" t="str" cm="1">
        <f t="array" ref="U23">_xlfn._xlws.FILTER(_xlfn.ANCHORARRAY(U$5), ISNUMBER(SEARCH($H23,_xlfn.ANCHORARRAY( U$5))), "--")</f>
        <v>--</v>
      </c>
      <c r="V23" t="str" cm="1">
        <f t="array" ref="V23">_xlfn._xlws.FILTER(_xlfn.ANCHORARRAY(V$5), ISNUMBER(SEARCH($H23,_xlfn.ANCHORARRAY( V$5))), "--")</f>
        <v>--</v>
      </c>
      <c r="W23" t="str" cm="1">
        <f t="array" ref="W23">_xlfn._xlws.FILTER(_xlfn.ANCHORARRAY(W$5), ISNUMBER(SEARCH($H23,_xlfn.ANCHORARRAY( W$5))), "--")</f>
        <v>--</v>
      </c>
      <c r="X23" t="str" cm="1">
        <f t="array" ref="X23">_xlfn._xlws.FILTER(_xlfn.ANCHORARRAY(X$5), ISNUMBER(SEARCH($H23,_xlfn.ANCHORARRAY( X$5))), "--")</f>
        <v>--</v>
      </c>
      <c r="Y23" t="str" cm="1">
        <f t="array" ref="Y23">_xlfn._xlws.FILTER(_xlfn.ANCHORARRAY(Y$5), ISNUMBER(SEARCH($H23,_xlfn.ANCHORARRAY( Y$5))), "--")</f>
        <v>--</v>
      </c>
      <c r="Z23" t="str" cm="1">
        <f t="array" ref="Z23">_xlfn._xlws.FILTER(_xlfn.ANCHORARRAY(Z$5), ISNUMBER(SEARCH($H23,_xlfn.ANCHORARRAY( Z$5))), "--")</f>
        <v>--</v>
      </c>
      <c r="AA23" t="str" cm="1">
        <f t="array" ref="AA23">_xlfn._xlws.FILTER(_xlfn.ANCHORARRAY(AA$5), ISNUMBER(SEARCH($H23,_xlfn.ANCHORARRAY( AA$5))), "--")</f>
        <v>--</v>
      </c>
      <c r="AB23" t="str" cm="1">
        <f t="array" ref="AB23">_xlfn._xlws.FILTER(_xlfn.ANCHORARRAY(AB$5), ISNUMBER(SEARCH($H23,_xlfn.ANCHORARRAY( AB$5))), "--")</f>
        <v>--</v>
      </c>
      <c r="AC23" t="str" cm="1">
        <f t="array" ref="AC23">_xlfn._xlws.FILTER(_xlfn.ANCHORARRAY(AC$5), ISNUMBER(SEARCH($H23,_xlfn.ANCHORARRAY( AC$5))), "--")</f>
        <v>--</v>
      </c>
      <c r="AD23" t="str" cm="1">
        <f t="array" ref="AD23">_xlfn._xlws.FILTER(_xlfn.ANCHORARRAY(AD$5), ISNUMBER(SEARCH($H23,_xlfn.ANCHORARRAY( AD$5))), "--")</f>
        <v>--</v>
      </c>
      <c r="AE23" t="str" cm="1">
        <f t="array" ref="AE23">_xlfn._xlws.FILTER(_xlfn.ANCHORARRAY(AE$5), ISNUMBER(SEARCH($H23,_xlfn.ANCHORARRAY( AE$5))), "--")</f>
        <v>--</v>
      </c>
      <c r="AF23" t="str" cm="1">
        <f t="array" ref="AF23">_xlfn._xlws.FILTER(_xlfn.ANCHORARRAY(AF$5), ISNUMBER(SEARCH($H23,_xlfn.ANCHORARRAY( AF$5))), "--")</f>
        <v>--</v>
      </c>
      <c r="AG23" t="str" cm="1">
        <f t="array" ref="AG23">_xlfn._xlws.FILTER(_xlfn.ANCHORARRAY(AG$5), ISNUMBER(SEARCH($H23,_xlfn.ANCHORARRAY( AG$5))), "--")</f>
        <v>--</v>
      </c>
      <c r="AH23" t="str" cm="1">
        <f t="array" ref="AH23">_xlfn._xlws.FILTER(_xlfn.ANCHORARRAY(AH$5), ISNUMBER(SEARCH($H23,_xlfn.ANCHORARRAY( AH$5))), "--")</f>
        <v>--</v>
      </c>
      <c r="AI23" t="str" cm="1">
        <f t="array" ref="AI23">_xlfn._xlws.FILTER(_xlfn.ANCHORARRAY(AI$5), ISNUMBER(SEARCH($H23,_xlfn.ANCHORARRAY( AI$5))), "--")</f>
        <v>--</v>
      </c>
      <c r="AJ23" t="str" cm="1">
        <f t="array" ref="AJ23">_xlfn._xlws.FILTER(_xlfn.ANCHORARRAY(AJ$5), ISNUMBER(SEARCH($H23,_xlfn.ANCHORARRAY( AJ$5))), "--")</f>
        <v>--</v>
      </c>
      <c r="AK23" t="str" cm="1">
        <f t="array" ref="AK23">_xlfn._xlws.FILTER(_xlfn.ANCHORARRAY(AK$5), ISNUMBER(SEARCH($H23,_xlfn.ANCHORARRAY( AK$5))), "--")</f>
        <v>--</v>
      </c>
      <c r="AL23" t="str" cm="1">
        <f t="array" ref="AL23">_xlfn._xlws.FILTER(_xlfn.ANCHORARRAY(AL$5), ISNUMBER(SEARCH($H23,_xlfn.ANCHORARRAY( AL$5))), "--")</f>
        <v>--</v>
      </c>
      <c r="AM23" t="str" cm="1">
        <f t="array" ref="AM23">_xlfn._xlws.FILTER(_xlfn.ANCHORARRAY(AM$5), ISNUMBER(SEARCH($H23,_xlfn.ANCHORARRAY( AM$5))), "--")</f>
        <v>--</v>
      </c>
      <c r="AN23" t="str" cm="1">
        <f t="array" ref="AN23">_xlfn._xlws.FILTER(_xlfn.ANCHORARRAY(AN$5), ISNUMBER(SEARCH($H23,_xlfn.ANCHORARRAY( AN$5))), "--")</f>
        <v>--</v>
      </c>
      <c r="AO23" t="str" cm="1">
        <f t="array" ref="AO23">_xlfn._xlws.FILTER(_xlfn.ANCHORARRAY(AO$5), ISNUMBER(SEARCH($H23,_xlfn.ANCHORARRAY( AO$5))), "--")</f>
        <v>--</v>
      </c>
      <c r="AP23" t="str" cm="1">
        <f t="array" ref="AP23">_xlfn._xlws.FILTER(_xlfn.ANCHORARRAY(AP$5), ISNUMBER(SEARCH($H23,_xlfn.ANCHORARRAY( AP$5))), "--")</f>
        <v>--</v>
      </c>
      <c r="AQ23" t="str" cm="1">
        <f t="array" ref="AQ23">_xlfn._xlws.FILTER(_xlfn.ANCHORARRAY(AQ$5), ISNUMBER(SEARCH($H23,_xlfn.ANCHORARRAY( AQ$5))), "--")</f>
        <v>--</v>
      </c>
      <c r="AR23" t="str" cm="1">
        <f t="array" ref="AR23">_xlfn._xlws.FILTER(_xlfn.ANCHORARRAY(AR$5), ISNUMBER(SEARCH($H23,_xlfn.ANCHORARRAY( AR$5))), "--")</f>
        <v>--</v>
      </c>
      <c r="AS23" t="str" cm="1">
        <f t="array" ref="AS23">_xlfn._xlws.FILTER(_xlfn.ANCHORARRAY(AS$5), ISNUMBER(SEARCH($H23,_xlfn.ANCHORARRAY( AS$5))), "--")</f>
        <v>EA FC 24</v>
      </c>
      <c r="AT23" t="str" cm="1">
        <f t="array" ref="AT23">_xlfn._xlws.FILTER(_xlfn.ANCHORARRAY(AT$5), ISNUMBER(SEARCH($H23,_xlfn.ANCHORARRAY( AT$5))), "--")</f>
        <v>--</v>
      </c>
      <c r="AU23" t="str" cm="1">
        <f t="array" ref="AU23">_xlfn._xlws.FILTER(_xlfn.ANCHORARRAY(AU$5), ISNUMBER(SEARCH($H23,_xlfn.ANCHORARRAY( AU$5))), "--")</f>
        <v>--</v>
      </c>
      <c r="AV23" t="str" cm="1">
        <f t="array" ref="AV23">_xlfn._xlws.FILTER(_xlfn.ANCHORARRAY(AV$5), ISNUMBER(SEARCH($H23,_xlfn.ANCHORARRAY( AV$5))), "--")</f>
        <v>--</v>
      </c>
      <c r="AW23" t="str" cm="1">
        <f t="array" ref="AW23">_xlfn._xlws.FILTER(_xlfn.ANCHORARRAY(AW$5), ISNUMBER(SEARCH($H23,_xlfn.ANCHORARRAY( AW$5))), "--")</f>
        <v>--</v>
      </c>
    </row>
    <row r="24" spans="1:50" x14ac:dyDescent="0.25">
      <c r="A24" s="279"/>
      <c r="B24" t="s">
        <v>131</v>
      </c>
      <c r="C24" s="279">
        <v>45443</v>
      </c>
      <c r="D24" t="s">
        <v>574</v>
      </c>
      <c r="H24" s="284" t="s">
        <v>99</v>
      </c>
      <c r="I24" t="str" cm="1">
        <f t="array" ref="I24">_xlfn._xlws.FILTER(_xlfn.ANCHORARRAY(I$5), ISNUMBER(SEARCH($H24,_xlfn.ANCHORARRAY( I$5))), "--")</f>
        <v>NHL 15</v>
      </c>
      <c r="J24" t="str" cm="1">
        <f t="array" ref="J24">_xlfn._xlws.FILTER(_xlfn.ANCHORARRAY(J$5), ISNUMBER(SEARCH($H24,_xlfn.ANCHORARRAY( J$5))), "--")</f>
        <v>--</v>
      </c>
      <c r="K24" t="str" cm="1">
        <f t="array" ref="K24">_xlfn._xlws.FILTER(_xlfn.ANCHORARRAY(K$5), ISNUMBER(SEARCH($H24,_xlfn.ANCHORARRAY( K$5))), "--")</f>
        <v>--</v>
      </c>
      <c r="L24" t="str" cm="1">
        <f t="array" ref="L24">_xlfn._xlws.FILTER(_xlfn.ANCHORARRAY(L$5), ISNUMBER(SEARCH($H24,_xlfn.ANCHORARRAY( L$5))), "--")</f>
        <v>--</v>
      </c>
      <c r="M24" t="str" cm="1">
        <f t="array" ref="M24">_xlfn._xlws.FILTER(_xlfn.ANCHORARRAY(M$5), ISNUMBER(SEARCH($H24,_xlfn.ANCHORARRAY( M$5))), "--")</f>
        <v>NHL 16</v>
      </c>
      <c r="N24" t="str" cm="1">
        <f t="array" ref="N24">_xlfn._xlws.FILTER(_xlfn.ANCHORARRAY(N$5), ISNUMBER(SEARCH($H24,_xlfn.ANCHORARRAY( N$5))), "--")</f>
        <v>--</v>
      </c>
      <c r="O24" t="str" cm="1">
        <f t="array" ref="O24">_xlfn._xlws.FILTER(_xlfn.ANCHORARRAY(O$5), ISNUMBER(SEARCH($H24,_xlfn.ANCHORARRAY( O$5))), "--")</f>
        <v>--</v>
      </c>
      <c r="P24" t="str" cm="1">
        <f t="array" ref="P24">_xlfn._xlws.FILTER(_xlfn.ANCHORARRAY(P$5), ISNUMBER(SEARCH($H24,_xlfn.ANCHORARRAY( P$5))), "--")</f>
        <v>--</v>
      </c>
      <c r="Q24" t="str" cm="1">
        <f t="array" ref="Q24">_xlfn._xlws.FILTER(_xlfn.ANCHORARRAY(Q$5), ISNUMBER(SEARCH($H24,_xlfn.ANCHORARRAY( Q$5))), "--")</f>
        <v>NHL 17</v>
      </c>
      <c r="R24" t="str" cm="1">
        <f t="array" ref="R24">_xlfn._xlws.FILTER(_xlfn.ANCHORARRAY(R$5), ISNUMBER(SEARCH($H24,_xlfn.ANCHORARRAY( R$5))), "--")</f>
        <v>--</v>
      </c>
      <c r="S24" t="str" cm="1">
        <f t="array" ref="S24">_xlfn._xlws.FILTER(_xlfn.ANCHORARRAY(S$5), ISNUMBER(SEARCH($H24,_xlfn.ANCHORARRAY( S$5))), "--")</f>
        <v>--</v>
      </c>
      <c r="T24" t="str" cm="1">
        <f t="array" ref="T24">_xlfn._xlws.FILTER(_xlfn.ANCHORARRAY(T$5), ISNUMBER(SEARCH($H24,_xlfn.ANCHORARRAY( T$5))), "--")</f>
        <v>--</v>
      </c>
      <c r="U24" t="str" cm="1">
        <f t="array" ref="U24">_xlfn._xlws.FILTER(_xlfn.ANCHORARRAY(U$5), ISNUMBER(SEARCH($H24,_xlfn.ANCHORARRAY( U$5))), "--")</f>
        <v>NHL 18</v>
      </c>
      <c r="V24" t="str" cm="1">
        <f t="array" ref="V24">_xlfn._xlws.FILTER(_xlfn.ANCHORARRAY(V$5), ISNUMBER(SEARCH($H24,_xlfn.ANCHORARRAY( V$5))), "--")</f>
        <v>--</v>
      </c>
      <c r="W24" t="str" cm="1">
        <f t="array" ref="W24">_xlfn._xlws.FILTER(_xlfn.ANCHORARRAY(W$5), ISNUMBER(SEARCH($H24,_xlfn.ANCHORARRAY( W$5))), "--")</f>
        <v>--</v>
      </c>
      <c r="X24" t="str" cm="1">
        <f t="array" ref="X24">_xlfn._xlws.FILTER(_xlfn.ANCHORARRAY(X$5), ISNUMBER(SEARCH($H24,_xlfn.ANCHORARRAY( X$5))), "--")</f>
        <v>--</v>
      </c>
      <c r="Y24" t="str" cm="1">
        <f t="array" ref="Y24">_xlfn._xlws.FILTER(_xlfn.ANCHORARRAY(Y$5), ISNUMBER(SEARCH($H24,_xlfn.ANCHORARRAY( Y$5))), "--")</f>
        <v>NHL 19</v>
      </c>
      <c r="Z24" t="str" cm="1">
        <f t="array" ref="Z24">_xlfn._xlws.FILTER(_xlfn.ANCHORARRAY(Z$5), ISNUMBER(SEARCH($H24,_xlfn.ANCHORARRAY( Z$5))), "--")</f>
        <v>--</v>
      </c>
      <c r="AA24" t="str" cm="1">
        <f t="array" ref="AA24">_xlfn._xlws.FILTER(_xlfn.ANCHORARRAY(AA$5), ISNUMBER(SEARCH($H24,_xlfn.ANCHORARRAY( AA$5))), "--")</f>
        <v>--</v>
      </c>
      <c r="AB24" t="str" cm="1">
        <f t="array" ref="AB24">_xlfn._xlws.FILTER(_xlfn.ANCHORARRAY(AB$5), ISNUMBER(SEARCH($H24,_xlfn.ANCHORARRAY( AB$5))), "--")</f>
        <v>--</v>
      </c>
      <c r="AC24" t="str" cm="1">
        <f t="array" ref="AC24">_xlfn._xlws.FILTER(_xlfn.ANCHORARRAY(AC$5), ISNUMBER(SEARCH($H24,_xlfn.ANCHORARRAY( AC$5))), "--")</f>
        <v>NHL 20</v>
      </c>
      <c r="AD24" t="str" cm="1">
        <f t="array" ref="AD24">_xlfn._xlws.FILTER(_xlfn.ANCHORARRAY(AD$5), ISNUMBER(SEARCH($H24,_xlfn.ANCHORARRAY( AD$5))), "--")</f>
        <v>--</v>
      </c>
      <c r="AE24" t="str" cm="1">
        <f t="array" ref="AE24">_xlfn._xlws.FILTER(_xlfn.ANCHORARRAY(AE$5), ISNUMBER(SEARCH($H24,_xlfn.ANCHORARRAY( AE$5))), "--")</f>
        <v>--</v>
      </c>
      <c r="AF24" t="str" cm="1">
        <f t="array" ref="AF24">_xlfn._xlws.FILTER(_xlfn.ANCHORARRAY(AF$5), ISNUMBER(SEARCH($H24,_xlfn.ANCHORARRAY( AF$5))), "--")</f>
        <v>--</v>
      </c>
      <c r="AG24" t="str" cm="1">
        <f t="array" ref="AG24">_xlfn._xlws.FILTER(_xlfn.ANCHORARRAY(AG$5), ISNUMBER(SEARCH($H24,_xlfn.ANCHORARRAY( AG$5))), "--")</f>
        <v>--</v>
      </c>
      <c r="AH24" t="str" cm="1">
        <f t="array" ref="AH24">_xlfn._xlws.FILTER(_xlfn.ANCHORARRAY(AH$5), ISNUMBER(SEARCH($H24,_xlfn.ANCHORARRAY( AH$5))), "--")</f>
        <v>NHL 21</v>
      </c>
      <c r="AI24" t="str" cm="1">
        <f t="array" ref="AI24">_xlfn._xlws.FILTER(_xlfn.ANCHORARRAY(AI$5), ISNUMBER(SEARCH($H24,_xlfn.ANCHORARRAY( AI$5))), "--")</f>
        <v>--</v>
      </c>
      <c r="AJ24" t="str" cm="1">
        <f t="array" ref="AJ24">_xlfn._xlws.FILTER(_xlfn.ANCHORARRAY(AJ$5), ISNUMBER(SEARCH($H24,_xlfn.ANCHORARRAY( AJ$5))), "--")</f>
        <v>--</v>
      </c>
      <c r="AK24" t="str" cm="1">
        <f t="array" ref="AK24">_xlfn._xlws.FILTER(_xlfn.ANCHORARRAY(AK$5), ISNUMBER(SEARCH($H24,_xlfn.ANCHORARRAY( AK$5))), "--")</f>
        <v>--</v>
      </c>
      <c r="AL24" t="str" cm="1">
        <f t="array" ref="AL24">_xlfn._xlws.FILTER(_xlfn.ANCHORARRAY(AL$5), ISNUMBER(SEARCH($H24,_xlfn.ANCHORARRAY( AL$5))), "--")</f>
        <v>NHL 22</v>
      </c>
      <c r="AM24" t="str" cm="1">
        <f t="array" ref="AM24">_xlfn._xlws.FILTER(_xlfn.ANCHORARRAY(AM$5), ISNUMBER(SEARCH($H24,_xlfn.ANCHORARRAY( AM$5))), "--")</f>
        <v>--</v>
      </c>
      <c r="AN24" t="str" cm="1">
        <f t="array" ref="AN24">_xlfn._xlws.FILTER(_xlfn.ANCHORARRAY(AN$5), ISNUMBER(SEARCH($H24,_xlfn.ANCHORARRAY( AN$5))), "--")</f>
        <v>--</v>
      </c>
      <c r="AO24" t="str" cm="1">
        <f t="array" ref="AO24">_xlfn._xlws.FILTER(_xlfn.ANCHORARRAY(AO$5), ISNUMBER(SEARCH($H24,_xlfn.ANCHORARRAY( AO$5))), "--")</f>
        <v>--</v>
      </c>
      <c r="AP24" t="str" cm="1">
        <f t="array" ref="AP24">_xlfn._xlws.FILTER(_xlfn.ANCHORARRAY(AP$5), ISNUMBER(SEARCH($H24,_xlfn.ANCHORARRAY( AP$5))), "--")</f>
        <v>NHL 23</v>
      </c>
      <c r="AQ24" t="str" cm="1">
        <f t="array" ref="AQ24">_xlfn._xlws.FILTER(_xlfn.ANCHORARRAY(AQ$5), ISNUMBER(SEARCH($H24,_xlfn.ANCHORARRAY( AQ$5))), "--")</f>
        <v>--</v>
      </c>
      <c r="AR24" t="str" cm="1">
        <f t="array" ref="AR24">_xlfn._xlws.FILTER(_xlfn.ANCHORARRAY(AR$5), ISNUMBER(SEARCH($H24,_xlfn.ANCHORARRAY( AR$5))), "--")</f>
        <v>--</v>
      </c>
      <c r="AS24" t="str" cm="1">
        <f t="array" ref="AS24">_xlfn._xlws.FILTER(_xlfn.ANCHORARRAY(AS$5), ISNUMBER(SEARCH($H24,_xlfn.ANCHORARRAY( AS$5))), "--")</f>
        <v>--</v>
      </c>
      <c r="AT24" t="str" cm="1">
        <f t="array" ref="AT24">_xlfn._xlws.FILTER(_xlfn.ANCHORARRAY(AT$5), ISNUMBER(SEARCH($H24,_xlfn.ANCHORARRAY( AT$5))), "--")</f>
        <v>NHL 24</v>
      </c>
      <c r="AU24" t="str" cm="1">
        <f t="array" ref="AU24">_xlfn._xlws.FILTER(_xlfn.ANCHORARRAY(AU$5), ISNUMBER(SEARCH($H24,_xlfn.ANCHORARRAY( AU$5))), "--")</f>
        <v>--</v>
      </c>
      <c r="AV24" t="str" cm="1">
        <f t="array" ref="AV24">_xlfn._xlws.FILTER(_xlfn.ANCHORARRAY(AV$5), ISNUMBER(SEARCH($H24,_xlfn.ANCHORARRAY( AV$5))), "--")</f>
        <v>--</v>
      </c>
      <c r="AW24" t="str" cm="1">
        <f t="array" ref="AW24">_xlfn._xlws.FILTER(_xlfn.ANCHORARRAY(AW$5), ISNUMBER(SEARCH($H24,_xlfn.ANCHORARRAY( AW$5))), "--")</f>
        <v>--</v>
      </c>
    </row>
    <row r="25" spans="1:50" x14ac:dyDescent="0.25">
      <c r="A25" s="279"/>
      <c r="B25" t="s">
        <v>131</v>
      </c>
      <c r="C25" s="279">
        <v>45443</v>
      </c>
      <c r="D25" t="s">
        <v>575</v>
      </c>
    </row>
    <row r="26" spans="1:50" x14ac:dyDescent="0.25">
      <c r="A26" s="279"/>
      <c r="B26" t="s">
        <v>579</v>
      </c>
      <c r="C26" s="279">
        <v>45405</v>
      </c>
      <c r="D26" t="s">
        <v>27</v>
      </c>
      <c r="E26" t="s">
        <v>580</v>
      </c>
      <c r="H26" s="284" t="s">
        <v>111</v>
      </c>
      <c r="I26" t="str" cm="1">
        <f t="array" ref="I26:I27">_xlfn._xlws.FILTER(_xlfn.ANCHORARRAY(I$5), ISNUMBER(SEARCH($H26,_xlfn.ANCHORARRAY( I$5))), "--")</f>
        <v>Madden NFL 15</v>
      </c>
      <c r="J26" t="str" cm="1">
        <f t="array" ref="J26">_xlfn._xlws.FILTER(_xlfn.ANCHORARRAY(J$5), ISNUMBER(SEARCH($H26,_xlfn.ANCHORARRAY( J$5))), "--")</f>
        <v>--</v>
      </c>
      <c r="K26" t="str" cm="1">
        <f t="array" ref="K26">_xlfn._xlws.FILTER(_xlfn.ANCHORARRAY(K$5), ISNUMBER(SEARCH($H26,_xlfn.ANCHORARRAY( K$5))), "--")</f>
        <v>--</v>
      </c>
      <c r="L26" t="str" cm="1">
        <f t="array" ref="L26">_xlfn._xlws.FILTER(_xlfn.ANCHORARRAY(L$5), ISNUMBER(SEARCH($H26,_xlfn.ANCHORARRAY( L$5))), "--")</f>
        <v>--</v>
      </c>
      <c r="M26" t="str" cm="1">
        <f t="array" ref="M26">_xlfn._xlws.FILTER(_xlfn.ANCHORARRAY(M$5), ISNUMBER(SEARCH($H26,_xlfn.ANCHORARRAY( M$5))), "--")</f>
        <v>Madden NFL 16</v>
      </c>
      <c r="N26" t="str" cm="1">
        <f t="array" ref="N26">_xlfn._xlws.FILTER(_xlfn.ANCHORARRAY(N$5), ISNUMBER(SEARCH($H26,_xlfn.ANCHORARRAY( N$5))), "--")</f>
        <v>--</v>
      </c>
      <c r="O26" t="str" cm="1">
        <f t="array" ref="O26">_xlfn._xlws.FILTER(_xlfn.ANCHORARRAY(O$5), ISNUMBER(SEARCH($H26,_xlfn.ANCHORARRAY( O$5))), "--")</f>
        <v>--</v>
      </c>
      <c r="P26" t="str" cm="1">
        <f t="array" ref="P26">_xlfn._xlws.FILTER(_xlfn.ANCHORARRAY(P$5), ISNUMBER(SEARCH($H26,_xlfn.ANCHORARRAY( P$5))), "--")</f>
        <v>--</v>
      </c>
      <c r="Q26" t="str" cm="1">
        <f t="array" ref="Q26">_xlfn._xlws.FILTER(_xlfn.ANCHORARRAY(Q$5), ISNUMBER(SEARCH($H26,_xlfn.ANCHORARRAY( Q$5))), "--")</f>
        <v>Madden NFL 17</v>
      </c>
      <c r="R26" t="str" cm="1">
        <f t="array" ref="R26">_xlfn._xlws.FILTER(_xlfn.ANCHORARRAY(R$5), ISNUMBER(SEARCH($H26,_xlfn.ANCHORARRAY( R$5))), "--")</f>
        <v>--</v>
      </c>
      <c r="S26" t="str" cm="1">
        <f t="array" ref="S26">_xlfn._xlws.FILTER(_xlfn.ANCHORARRAY(S$5), ISNUMBER(SEARCH($H26,_xlfn.ANCHORARRAY( S$5))), "--")</f>
        <v>--</v>
      </c>
      <c r="T26" t="str" cm="1">
        <f t="array" ref="T26">_xlfn._xlws.FILTER(_xlfn.ANCHORARRAY(T$5), ISNUMBER(SEARCH($H26,_xlfn.ANCHORARRAY( T$5))), "--")</f>
        <v>--</v>
      </c>
      <c r="U26" t="str" cm="1">
        <f t="array" ref="U26">_xlfn._xlws.FILTER(_xlfn.ANCHORARRAY(U$5), ISNUMBER(SEARCH($H26,_xlfn.ANCHORARRAY( U$5))), "--")</f>
        <v>Madden NFL 18</v>
      </c>
      <c r="V26" t="str" cm="1">
        <f t="array" ref="V26">_xlfn._xlws.FILTER(_xlfn.ANCHORARRAY(V$5), ISNUMBER(SEARCH($H26,_xlfn.ANCHORARRAY( V$5))), "--")</f>
        <v>--</v>
      </c>
      <c r="W26" t="str" cm="1">
        <f t="array" ref="W26">_xlfn._xlws.FILTER(_xlfn.ANCHORARRAY(W$5), ISNUMBER(SEARCH($H26,_xlfn.ANCHORARRAY( W$5))), "--")</f>
        <v>--</v>
      </c>
      <c r="X26" t="str" cm="1">
        <f t="array" ref="X26">_xlfn._xlws.FILTER(_xlfn.ANCHORARRAY(X$5), ISNUMBER(SEARCH($H26,_xlfn.ANCHORARRAY( X$5))), "--")</f>
        <v>--</v>
      </c>
      <c r="Y26" t="str" cm="1">
        <f t="array" ref="Y26:Y27">_xlfn._xlws.FILTER(_xlfn.ANCHORARRAY(Y$5), ISNUMBER(SEARCH($H26,_xlfn.ANCHORARRAY( Y$5))), "--")</f>
        <v>Madden NFL 19</v>
      </c>
      <c r="Z26" t="str" cm="1">
        <f t="array" ref="Z26">_xlfn._xlws.FILTER(_xlfn.ANCHORARRAY(Z$5), ISNUMBER(SEARCH($H26,_xlfn.ANCHORARRAY( Z$5))), "--")</f>
        <v>--</v>
      </c>
      <c r="AA26" t="str" cm="1">
        <f t="array" ref="AA26">_xlfn._xlws.FILTER(_xlfn.ANCHORARRAY(AA$5), ISNUMBER(SEARCH($H26,_xlfn.ANCHORARRAY( AA$5))), "--")</f>
        <v>--</v>
      </c>
      <c r="AB26" t="str" cm="1">
        <f t="array" ref="AB26">_xlfn._xlws.FILTER(_xlfn.ANCHORARRAY(AB$5), ISNUMBER(SEARCH($H26,_xlfn.ANCHORARRAY( AB$5))), "--")</f>
        <v>--</v>
      </c>
      <c r="AC26" t="str" cm="1">
        <f t="array" ref="AC26">_xlfn._xlws.FILTER(_xlfn.ANCHORARRAY(AC$5), ISNUMBER(SEARCH($H26,_xlfn.ANCHORARRAY( AC$5))), "--")</f>
        <v>Madden NFL 20</v>
      </c>
      <c r="AD26" t="str" cm="1">
        <f t="array" ref="AD26">_xlfn._xlws.FILTER(_xlfn.ANCHORARRAY(AD$5), ISNUMBER(SEARCH($H26,_xlfn.ANCHORARRAY( AD$5))), "--")</f>
        <v>--</v>
      </c>
      <c r="AE26" t="str" cm="1">
        <f t="array" ref="AE26">_xlfn._xlws.FILTER(_xlfn.ANCHORARRAY(AE$5), ISNUMBER(SEARCH($H26,_xlfn.ANCHORARRAY( AE$5))), "--")</f>
        <v>--</v>
      </c>
      <c r="AF26" t="str" cm="1">
        <f t="array" ref="AF26">_xlfn._xlws.FILTER(_xlfn.ANCHORARRAY(AF$5), ISNUMBER(SEARCH($H26,_xlfn.ANCHORARRAY( AF$5))), "--")</f>
        <v>--</v>
      </c>
      <c r="AG26" t="str" cm="1">
        <f t="array" ref="AG26:AG27">_xlfn._xlws.FILTER(_xlfn.ANCHORARRAY(AG$5), ISNUMBER(SEARCH($H26,_xlfn.ANCHORARRAY( AG$5))), "--")</f>
        <v>Madden NFL 21</v>
      </c>
      <c r="AH26" t="str" cm="1">
        <f t="array" ref="AH26">_xlfn._xlws.FILTER(_xlfn.ANCHORARRAY(AH$5), ISNUMBER(SEARCH($H26,_xlfn.ANCHORARRAY( AH$5))), "--")</f>
        <v>Madden NFL 21</v>
      </c>
      <c r="AI26" t="str" cm="1">
        <f t="array" ref="AI26">_xlfn._xlws.FILTER(_xlfn.ANCHORARRAY(AI$5), ISNUMBER(SEARCH($H26,_xlfn.ANCHORARRAY( AI$5))), "--")</f>
        <v>--</v>
      </c>
      <c r="AJ26" t="str" cm="1">
        <f t="array" ref="AJ26">_xlfn._xlws.FILTER(_xlfn.ANCHORARRAY(AJ$5), ISNUMBER(SEARCH($H26,_xlfn.ANCHORARRAY( AJ$5))), "--")</f>
        <v>--</v>
      </c>
      <c r="AK26" t="str" cm="1">
        <f t="array" ref="AK26">_xlfn._xlws.FILTER(_xlfn.ANCHORARRAY(AK$5), ISNUMBER(SEARCH($H26,_xlfn.ANCHORARRAY( AK$5))), "--")</f>
        <v>Madden NFL 22</v>
      </c>
      <c r="AL26" t="str" cm="1">
        <f t="array" ref="AL26">_xlfn._xlws.FILTER(_xlfn.ANCHORARRAY(AL$5), ISNUMBER(SEARCH($H26,_xlfn.ANCHORARRAY( AL$5))), "--")</f>
        <v>--</v>
      </c>
      <c r="AM26" t="str" cm="1">
        <f t="array" ref="AM26">_xlfn._xlws.FILTER(_xlfn.ANCHORARRAY(AM$5), ISNUMBER(SEARCH($H26,_xlfn.ANCHORARRAY( AM$5))), "--")</f>
        <v>--</v>
      </c>
      <c r="AN26" t="str" cm="1">
        <f t="array" ref="AN26">_xlfn._xlws.FILTER(_xlfn.ANCHORARRAY(AN$5), ISNUMBER(SEARCH($H26,_xlfn.ANCHORARRAY( AN$5))), "--")</f>
        <v>--</v>
      </c>
      <c r="AO26" t="str" cm="1">
        <f t="array" ref="AO26">_xlfn._xlws.FILTER(_xlfn.ANCHORARRAY(AO$5), ISNUMBER(SEARCH($H26,_xlfn.ANCHORARRAY( AO$5))), "--")</f>
        <v>Madden NFL 23</v>
      </c>
      <c r="AP26" t="str" cm="1">
        <f t="array" ref="AP26">_xlfn._xlws.FILTER(_xlfn.ANCHORARRAY(AP$5), ISNUMBER(SEARCH($H26,_xlfn.ANCHORARRAY( AP$5))), "--")</f>
        <v>--</v>
      </c>
      <c r="AQ26" t="str" cm="1">
        <f t="array" ref="AQ26">_xlfn._xlws.FILTER(_xlfn.ANCHORARRAY(AQ$5), ISNUMBER(SEARCH($H26,_xlfn.ANCHORARRAY( AQ$5))), "--")</f>
        <v>--</v>
      </c>
      <c r="AR26" t="str" cm="1">
        <f t="array" ref="AR26">_xlfn._xlws.FILTER(_xlfn.ANCHORARRAY(AR$5), ISNUMBER(SEARCH($H26,_xlfn.ANCHORARRAY( AR$5))), "--")</f>
        <v>--</v>
      </c>
      <c r="AS26" t="str" cm="1">
        <f t="array" ref="AS26">_xlfn._xlws.FILTER(_xlfn.ANCHORARRAY(AS$5), ISNUMBER(SEARCH($H26,_xlfn.ANCHORARRAY( AS$5))), "--")</f>
        <v>Madden NFL 24</v>
      </c>
      <c r="AT26" t="str" cm="1">
        <f t="array" ref="AT26">_xlfn._xlws.FILTER(_xlfn.ANCHORARRAY(AT$5), ISNUMBER(SEARCH($H26,_xlfn.ANCHORARRAY( AT$5))), "--")</f>
        <v>--</v>
      </c>
      <c r="AU26" t="str" cm="1">
        <f t="array" ref="AU26">_xlfn._xlws.FILTER(_xlfn.ANCHORARRAY(AU$5), ISNUMBER(SEARCH($H26,_xlfn.ANCHORARRAY( AU$5))), "--")</f>
        <v>--</v>
      </c>
      <c r="AV26" t="str" cm="1">
        <f t="array" ref="AV26">_xlfn._xlws.FILTER(_xlfn.ANCHORARRAY(AV$5), ISNUMBER(SEARCH($H26,_xlfn.ANCHORARRAY( AV$5))), "--")</f>
        <v>--</v>
      </c>
      <c r="AW26" t="str" cm="1">
        <f t="array" ref="AW26">_xlfn._xlws.FILTER(_xlfn.ANCHORARRAY(AW$5), ISNUMBER(SEARCH($H26,_xlfn.ANCHORARRAY( AW$5))), "--")</f>
        <v>--</v>
      </c>
    </row>
    <row r="27" spans="1:50" x14ac:dyDescent="0.25">
      <c r="A27" s="279"/>
      <c r="B27" t="s">
        <v>579</v>
      </c>
      <c r="C27" s="279">
        <v>45405</v>
      </c>
      <c r="D27" t="s">
        <v>573</v>
      </c>
      <c r="I27" t="str">
        <v>Madden NFL Mobile</v>
      </c>
      <c r="Y27" t="str">
        <v>Madden NFL Overdrive</v>
      </c>
      <c r="AG27" t="str">
        <v>Madden NFL 21 Mobile</v>
      </c>
    </row>
    <row r="28" spans="1:50" x14ac:dyDescent="0.25">
      <c r="A28" s="279"/>
      <c r="B28" t="s">
        <v>579</v>
      </c>
      <c r="C28" s="279">
        <v>45405</v>
      </c>
      <c r="D28" t="s">
        <v>574</v>
      </c>
    </row>
    <row r="29" spans="1:50" x14ac:dyDescent="0.25">
      <c r="A29" s="279"/>
      <c r="B29" t="s">
        <v>579</v>
      </c>
      <c r="C29" s="279">
        <v>45405</v>
      </c>
      <c r="D29" t="s">
        <v>581</v>
      </c>
      <c r="H29" s="284" t="s">
        <v>152</v>
      </c>
      <c r="I29" t="str" cm="1">
        <f t="array" ref="I29">_xlfn._xlws.FILTER(_xlfn.ANCHORARRAY(I$5), ISNUMBER(SEARCH($H29,_xlfn.ANCHORARRAY( I$5))), "--")</f>
        <v>--</v>
      </c>
      <c r="J29" t="str" cm="1">
        <f t="array" ref="J29">_xlfn._xlws.FILTER(_xlfn.ANCHORARRAY(J$5), ISNUMBER(SEARCH($H29,_xlfn.ANCHORARRAY( J$5))), "--")</f>
        <v>--</v>
      </c>
      <c r="K29" t="str" cm="1">
        <f t="array" ref="K29">_xlfn._xlws.FILTER(_xlfn.ANCHORARRAY(K$5), ISNUMBER(SEARCH($H29,_xlfn.ANCHORARRAY( K$5))), "--")</f>
        <v>--</v>
      </c>
      <c r="L29" t="str" cm="1">
        <f t="array" ref="L29">_xlfn._xlws.FILTER(_xlfn.ANCHORARRAY(L$5), ISNUMBER(SEARCH($H29,_xlfn.ANCHORARRAY( L$5))), "--")</f>
        <v>--</v>
      </c>
      <c r="M29" t="str" cm="1">
        <f t="array" ref="M29">_xlfn._xlws.FILTER(_xlfn.ANCHORARRAY(M$5), ISNUMBER(SEARCH($H29,_xlfn.ANCHORARRAY( M$5))), "--")</f>
        <v>--</v>
      </c>
      <c r="N29" t="str" cm="1">
        <f t="array" ref="N29">_xlfn._xlws.FILTER(_xlfn.ANCHORARRAY(N$5), ISNUMBER(SEARCH($H29,_xlfn.ANCHORARRAY( N$5))), "--")</f>
        <v>--</v>
      </c>
      <c r="O29" t="str" cm="1">
        <f t="array" ref="O29">_xlfn._xlws.FILTER(_xlfn.ANCHORARRAY(O$5), ISNUMBER(SEARCH($H29,_xlfn.ANCHORARRAY( O$5))), "--")</f>
        <v>--</v>
      </c>
      <c r="P29" t="str" cm="1">
        <f t="array" ref="P29">_xlfn._xlws.FILTER(_xlfn.ANCHORARRAY(P$5), ISNUMBER(SEARCH($H29,_xlfn.ANCHORARRAY( P$5))), "--")</f>
        <v>--</v>
      </c>
      <c r="Q29" t="str" cm="1">
        <f t="array" ref="Q29">_xlfn._xlws.FILTER(_xlfn.ANCHORARRAY(Q$5), ISNUMBER(SEARCH($H29,_xlfn.ANCHORARRAY( Q$5))), "--")</f>
        <v>--</v>
      </c>
      <c r="R29" t="str" cm="1">
        <f t="array" ref="R29">_xlfn._xlws.FILTER(_xlfn.ANCHORARRAY(R$5), ISNUMBER(SEARCH($H29,_xlfn.ANCHORARRAY( R$5))), "--")</f>
        <v>--</v>
      </c>
      <c r="S29" t="str" cm="1">
        <f t="array" ref="S29">_xlfn._xlws.FILTER(_xlfn.ANCHORARRAY(S$5), ISNUMBER(SEARCH($H29,_xlfn.ANCHORARRAY( S$5))), "--")</f>
        <v>--</v>
      </c>
      <c r="T29" t="str" cm="1">
        <f t="array" ref="T29">_xlfn._xlws.FILTER(_xlfn.ANCHORARRAY(T$5), ISNUMBER(SEARCH($H29,_xlfn.ANCHORARRAY( T$5))), "--")</f>
        <v>--</v>
      </c>
      <c r="U29" t="str" cm="1">
        <f t="array" ref="U29">_xlfn._xlws.FILTER(_xlfn.ANCHORARRAY(U$5), ISNUMBER(SEARCH($H29,_xlfn.ANCHORARRAY( U$5))), "--")</f>
        <v>--</v>
      </c>
      <c r="V29" t="str" cm="1">
        <f t="array" ref="V29">_xlfn._xlws.FILTER(_xlfn.ANCHORARRAY(V$5), ISNUMBER(SEARCH($H29,_xlfn.ANCHORARRAY( V$5))), "--")</f>
        <v>--</v>
      </c>
      <c r="W29" t="str" cm="1">
        <f t="array" ref="W29">_xlfn._xlws.FILTER(_xlfn.ANCHORARRAY(W$5), ISNUMBER(SEARCH($H29,_xlfn.ANCHORARRAY( W$5))), "--")</f>
        <v>--</v>
      </c>
      <c r="X29" t="str" cm="1">
        <f t="array" ref="X29">_xlfn._xlws.FILTER(_xlfn.ANCHORARRAY(X$5), ISNUMBER(SEARCH($H29,_xlfn.ANCHORARRAY( X$5))), "--")</f>
        <v>--</v>
      </c>
      <c r="Y29" t="str" cm="1">
        <f t="array" ref="Y29">_xlfn._xlws.FILTER(_xlfn.ANCHORARRAY(Y$5), ISNUMBER(SEARCH($H29,_xlfn.ANCHORARRAY( Y$5))), "--")</f>
        <v>--</v>
      </c>
      <c r="Z29" t="str" cm="1">
        <f t="array" ref="Z29">_xlfn._xlws.FILTER(_xlfn.ANCHORARRAY(Z$5), ISNUMBER(SEARCH($H29,_xlfn.ANCHORARRAY( Z$5))), "--")</f>
        <v>--</v>
      </c>
      <c r="AA29" t="str" cm="1">
        <f t="array" ref="AA29">_xlfn._xlws.FILTER(_xlfn.ANCHORARRAY(AA$5), ISNUMBER(SEARCH($H29,_xlfn.ANCHORARRAY( AA$5))), "--")</f>
        <v>Apex Legends</v>
      </c>
      <c r="AB29" t="str" cm="1">
        <f t="array" ref="AB29">_xlfn._xlws.FILTER(_xlfn.ANCHORARRAY(AB$5), ISNUMBER(SEARCH($H29,_xlfn.ANCHORARRAY( AB$5))), "--")</f>
        <v>--</v>
      </c>
      <c r="AC29" t="str" cm="1">
        <f t="array" ref="AC29">_xlfn._xlws.FILTER(_xlfn.ANCHORARRAY(AC$5), ISNUMBER(SEARCH($H29,_xlfn.ANCHORARRAY( AC$5))), "--")</f>
        <v>--</v>
      </c>
      <c r="AD29" t="str" cm="1">
        <f t="array" ref="AD29">_xlfn._xlws.FILTER(_xlfn.ANCHORARRAY(AD$5), ISNUMBER(SEARCH($H29,_xlfn.ANCHORARRAY( AD$5))), "--")</f>
        <v>--</v>
      </c>
      <c r="AE29" t="str" cm="1">
        <f t="array" ref="AE29">_xlfn._xlws.FILTER(_xlfn.ANCHORARRAY(AE$5), ISNUMBER(SEARCH($H29,_xlfn.ANCHORARRAY( AE$5))), "--")</f>
        <v>--</v>
      </c>
      <c r="AF29" t="str" cm="1">
        <f t="array" ref="AF29">_xlfn._xlws.FILTER(_xlfn.ANCHORARRAY(AF$5), ISNUMBER(SEARCH($H29,_xlfn.ANCHORARRAY( AF$5))), "--")</f>
        <v>--</v>
      </c>
      <c r="AG29" t="str" cm="1">
        <f t="array" ref="AG29">_xlfn._xlws.FILTER(_xlfn.ANCHORARRAY(AG$5), ISNUMBER(SEARCH($H29,_xlfn.ANCHORARRAY( AG$5))), "--")</f>
        <v>--</v>
      </c>
      <c r="AH29" t="str" cm="1">
        <f t="array" ref="AH29">_xlfn._xlws.FILTER(_xlfn.ANCHORARRAY(AH$5), ISNUMBER(SEARCH($H29,_xlfn.ANCHORARRAY( AH$5))), "--")</f>
        <v>--</v>
      </c>
      <c r="AI29" t="str" cm="1">
        <f t="array" ref="AI29">_xlfn._xlws.FILTER(_xlfn.ANCHORARRAY(AI$5), ISNUMBER(SEARCH($H29,_xlfn.ANCHORARRAY( AI$5))), "--")</f>
        <v>Apex Legends</v>
      </c>
      <c r="AJ29" t="str" cm="1">
        <f t="array" ref="AJ29">_xlfn._xlws.FILTER(_xlfn.ANCHORARRAY(AJ$5), ISNUMBER(SEARCH($H29,_xlfn.ANCHORARRAY( AJ$5))), "--")</f>
        <v>--</v>
      </c>
      <c r="AK29" t="str" cm="1">
        <f t="array" ref="AK29">_xlfn._xlws.FILTER(_xlfn.ANCHORARRAY(AK$5), ISNUMBER(SEARCH($H29,_xlfn.ANCHORARRAY( AK$5))), "--")</f>
        <v>--</v>
      </c>
      <c r="AL29" t="str" cm="1">
        <f t="array" ref="AL29">_xlfn._xlws.FILTER(_xlfn.ANCHORARRAY(AL$5), ISNUMBER(SEARCH($H29,_xlfn.ANCHORARRAY( AL$5))), "--")</f>
        <v>--</v>
      </c>
      <c r="AM29" t="str" cm="1">
        <f t="array" ref="AM29">_xlfn._xlws.FILTER(_xlfn.ANCHORARRAY(AM$5), ISNUMBER(SEARCH($H29,_xlfn.ANCHORARRAY( AM$5))), "--")</f>
        <v>Apex Legends</v>
      </c>
      <c r="AN29" t="str" cm="1">
        <f t="array" ref="AN29">_xlfn._xlws.FILTER(_xlfn.ANCHORARRAY(AN$5), ISNUMBER(SEARCH($H29,_xlfn.ANCHORARRAY( AN$5))), "--")</f>
        <v>Apex Legends</v>
      </c>
      <c r="AO29" t="str" cm="1">
        <f t="array" ref="AO29">_xlfn._xlws.FILTER(_xlfn.ANCHORARRAY(AO$5), ISNUMBER(SEARCH($H29,_xlfn.ANCHORARRAY( AO$5))), "--")</f>
        <v>--</v>
      </c>
      <c r="AP29" t="str" cm="1">
        <f t="array" ref="AP29">_xlfn._xlws.FILTER(_xlfn.ANCHORARRAY(AP$5), ISNUMBER(SEARCH($H29,_xlfn.ANCHORARRAY( AP$5))), "--")</f>
        <v>--</v>
      </c>
      <c r="AQ29" t="str" cm="1">
        <f t="array" ref="AQ29">_xlfn._xlws.FILTER(_xlfn.ANCHORARRAY(AQ$5), ISNUMBER(SEARCH($H29,_xlfn.ANCHORARRAY( AQ$5))), "--")</f>
        <v>--</v>
      </c>
      <c r="AR29" t="str" cm="1">
        <f t="array" ref="AR29">_xlfn._xlws.FILTER(_xlfn.ANCHORARRAY(AR$5), ISNUMBER(SEARCH($H29,_xlfn.ANCHORARRAY( AR$5))), "--")</f>
        <v>--</v>
      </c>
      <c r="AS29" t="str" cm="1">
        <f t="array" ref="AS29">_xlfn._xlws.FILTER(_xlfn.ANCHORARRAY(AS$5), ISNUMBER(SEARCH($H29,_xlfn.ANCHORARRAY( AS$5))), "--")</f>
        <v>--</v>
      </c>
      <c r="AT29" t="str" cm="1">
        <f t="array" ref="AT29">_xlfn._xlws.FILTER(_xlfn.ANCHORARRAY(AT$5), ISNUMBER(SEARCH($H29,_xlfn.ANCHORARRAY( AT$5))), "--")</f>
        <v>--</v>
      </c>
      <c r="AU29" t="str" cm="1">
        <f t="array" ref="AU29">_xlfn._xlws.FILTER(_xlfn.ANCHORARRAY(AU$5), ISNUMBER(SEARCH($H29,_xlfn.ANCHORARRAY( AU$5))), "--")</f>
        <v>--</v>
      </c>
      <c r="AV29" t="str" cm="1">
        <f t="array" ref="AV29">_xlfn._xlws.FILTER(_xlfn.ANCHORARRAY(AV$5), ISNUMBER(SEARCH($H29,_xlfn.ANCHORARRAY( AV$5))), "--")</f>
        <v>--</v>
      </c>
      <c r="AW29" t="str" cm="1">
        <f t="array" ref="AW29">_xlfn._xlws.FILTER(_xlfn.ANCHORARRAY(AW$5), ISNUMBER(SEARCH($H29,_xlfn.ANCHORARRAY( AW$5))), "--")</f>
        <v>--</v>
      </c>
    </row>
    <row r="30" spans="1:50" x14ac:dyDescent="0.25">
      <c r="A30" s="279"/>
      <c r="B30" t="s">
        <v>97</v>
      </c>
      <c r="C30" s="279">
        <v>45267</v>
      </c>
      <c r="D30" t="s">
        <v>582</v>
      </c>
      <c r="E30" t="s">
        <v>583</v>
      </c>
    </row>
    <row r="31" spans="1:50" x14ac:dyDescent="0.25">
      <c r="A31" s="279"/>
      <c r="B31" t="s">
        <v>97</v>
      </c>
      <c r="C31" s="279">
        <v>45267</v>
      </c>
      <c r="D31" t="s">
        <v>576</v>
      </c>
    </row>
    <row r="32" spans="1:50" x14ac:dyDescent="0.25">
      <c r="A32" s="279"/>
      <c r="B32" t="s">
        <v>97</v>
      </c>
      <c r="C32" s="279">
        <v>45267</v>
      </c>
      <c r="D32" t="s">
        <v>573</v>
      </c>
      <c r="H32" s="284" t="s">
        <v>211</v>
      </c>
      <c r="I32" t="str" cm="1">
        <f t="array" ref="I32">_xlfn._xlws.FILTER(_xlfn.ANCHORARRAY(I$5), ISNUMBER(SEARCH($H32,_xlfn.ANCHORARRAY( I$5))), "--")</f>
        <v>The Sims 4</v>
      </c>
      <c r="J32" t="str" cm="1">
        <f t="array" ref="J32">_xlfn._xlws.FILTER(_xlfn.ANCHORARRAY(J$5), ISNUMBER(SEARCH($H32,_xlfn.ANCHORARRAY( J$5))), "--")</f>
        <v>--</v>
      </c>
      <c r="K32" t="str" cm="1">
        <f t="array" ref="K32:K34">_xlfn._xlws.FILTER(_xlfn.ANCHORARRAY(K$5), ISNUMBER(SEARCH($H32,_xlfn.ANCHORARRAY( K$5))), "--")</f>
        <v>The Sims 4</v>
      </c>
      <c r="L32" t="str" cm="1">
        <f t="array" ref="L32:L33">_xlfn._xlws.FILTER(_xlfn.ANCHORARRAY(L$5), ISNUMBER(SEARCH($H32,_xlfn.ANCHORARRAY( L$5))), "--")</f>
        <v>The Sims 4 Stuff packs</v>
      </c>
      <c r="M32" t="str" cm="1">
        <f t="array" ref="M32">_xlfn._xlws.FILTER(_xlfn.ANCHORARRAY(M$5), ISNUMBER(SEARCH($H32,_xlfn.ANCHORARRAY( M$5))), "--")</f>
        <v>--</v>
      </c>
      <c r="N32" t="str" cm="1">
        <f t="array" ref="N32">_xlfn._xlws.FILTER(_xlfn.ANCHORARRAY(N$5), ISNUMBER(SEARCH($H32,_xlfn.ANCHORARRAY( N$5))), "--")</f>
        <v>The Sims 4: Get Together</v>
      </c>
      <c r="O32" t="str" cm="1">
        <f t="array" ref="O32">_xlfn._xlws.FILTER(_xlfn.ANCHORARRAY(O$5), ISNUMBER(SEARCH($H32,_xlfn.ANCHORARRAY( O$5))), "--")</f>
        <v>--</v>
      </c>
      <c r="P32" t="str" cm="1">
        <f t="array" ref="P32">_xlfn._xlws.FILTER(_xlfn.ANCHORARRAY(P$5), ISNUMBER(SEARCH($H32,_xlfn.ANCHORARRAY( P$5))), "--")</f>
        <v>The Sims 4: Dine Out</v>
      </c>
      <c r="Q32" t="str" cm="1">
        <f t="array" ref="Q32">_xlfn._xlws.FILTER(_xlfn.ANCHORARRAY(Q$5), ISNUMBER(SEARCH($H32,_xlfn.ANCHORARRAY( Q$5))), "--")</f>
        <v>--</v>
      </c>
      <c r="R32" t="str" cm="1">
        <f t="array" ref="R32">_xlfn._xlws.FILTER(_xlfn.ANCHORARRAY(R$5), ISNUMBER(SEARCH($H32,_xlfn.ANCHORARRAY( R$5))), "--")</f>
        <v>The Sims 4: City Living</v>
      </c>
      <c r="S32" t="str" cm="1">
        <f t="array" ref="S32">_xlfn._xlws.FILTER(_xlfn.ANCHORARRAY(S$5), ISNUMBER(SEARCH($H32,_xlfn.ANCHORARRAY( S$5))), "--")</f>
        <v>The Sims 4: Vampires</v>
      </c>
      <c r="T32" t="str" cm="1">
        <f t="array" ref="T32:T33">_xlfn._xlws.FILTER(_xlfn.ANCHORARRAY(T$5), ISNUMBER(SEARCH($H32,_xlfn.ANCHORARRAY( T$5))), "--")</f>
        <v>The Sims 4: Parenthood</v>
      </c>
      <c r="U32" t="str" cm="1">
        <f t="array" ref="U32">_xlfn._xlws.FILTER(_xlfn.ANCHORARRAY(U$5), ISNUMBER(SEARCH($H32,_xlfn.ANCHORARRAY( U$5))), "--")</f>
        <v>--</v>
      </c>
      <c r="V32" t="str" cm="1">
        <f t="array" ref="V32:V35">_xlfn._xlws.FILTER(_xlfn.ANCHORARRAY(V$5), ISNUMBER(SEARCH($H32,_xlfn.ANCHORARRAY( V$5))), "--")</f>
        <v>The Sims 4</v>
      </c>
      <c r="W32" t="str" cm="1">
        <f t="array" ref="W32:W35">_xlfn._xlws.FILTER(_xlfn.ANCHORARRAY(W$5), ISNUMBER(SEARCH($H32,_xlfn.ANCHORARRAY( W$5))), "--")</f>
        <v>The Sims 4: Dine Out</v>
      </c>
      <c r="X32" t="str" cm="1">
        <f t="array" ref="X32:X34">_xlfn._xlws.FILTER(_xlfn.ANCHORARRAY(X$5), ISNUMBER(SEARCH($H32,_xlfn.ANCHORARRAY( X$5))), "--")</f>
        <v>The Sims 4: Parenthood</v>
      </c>
      <c r="Y32" t="str" cm="1">
        <f t="array" ref="Y32:Y33">_xlfn._xlws.FILTER(_xlfn.ANCHORARRAY(Y$5), ISNUMBER(SEARCH($H32,_xlfn.ANCHORARRAY( Y$5))), "--")</f>
        <v>The Sims 4: Cats &amp; Dogs</v>
      </c>
      <c r="Z32" t="str" cm="1">
        <f t="array" ref="Z32:Z35">_xlfn._xlws.FILTER(_xlfn.ANCHORARRAY(Z$5), ISNUMBER(SEARCH($H32,_xlfn.ANCHORARRAY( Z$5))), "--")</f>
        <v>The Sims 4: Get Famous</v>
      </c>
      <c r="AA32" t="str" cm="1">
        <f t="array" ref="AA32:AA33">_xlfn._xlws.FILTER(_xlfn.ANCHORARRAY(AA$5), ISNUMBER(SEARCH($H32,_xlfn.ANCHORARRAY( AA$5))), "--")</f>
        <v>The Sims 4: Get Famous</v>
      </c>
      <c r="AB32" t="str" cm="1">
        <f t="array" ref="AB32:AB33">_xlfn._xlws.FILTER(_xlfn.ANCHORARRAY(AB$5), ISNUMBER(SEARCH($H32,_xlfn.ANCHORARRAY( AB$5))), "--")</f>
        <v>The Sims 4: Island Living</v>
      </c>
      <c r="AC32" t="str" cm="1">
        <f t="array" ref="AC32:AC33">_xlfn._xlws.FILTER(_xlfn.ANCHORARRAY(AC$5), ISNUMBER(SEARCH($H32,_xlfn.ANCHORARRAY( AC$5))), "--")</f>
        <v>The Sims 4: Island Living</v>
      </c>
      <c r="AD32" t="str" cm="1">
        <f t="array" ref="AD32:AD33">_xlfn._xlws.FILTER(_xlfn.ANCHORARRAY(AD$5), ISNUMBER(SEARCH($H32,_xlfn.ANCHORARRAY( AD$5))), "--")</f>
        <v>The Sims 4: Discover University</v>
      </c>
      <c r="AE32" t="str" cm="1">
        <f t="array" ref="AE32">_xlfn._xlws.FILTER(_xlfn.ANCHORARRAY(AE$5), ISNUMBER(SEARCH($H32,_xlfn.ANCHORARRAY( AE$5))), "--")</f>
        <v>--</v>
      </c>
      <c r="AF32" t="str" cm="1">
        <f t="array" ref="AF32">_xlfn._xlws.FILTER(_xlfn.ANCHORARRAY(AF$5), ISNUMBER(SEARCH($H32,_xlfn.ANCHORARRAY( AF$5))), "--")</f>
        <v>The Sims 4: Eco Lifestyle</v>
      </c>
      <c r="AG32" t="str" cm="1">
        <f t="array" ref="AG32">_xlfn._xlws.FILTER(_xlfn.ANCHORARRAY(AG$5), ISNUMBER(SEARCH($H32,_xlfn.ANCHORARRAY( AG$5))), "--")</f>
        <v>The Sims 4: Star Wars: Journey to Batuu</v>
      </c>
      <c r="AH32" t="str" cm="1">
        <f t="array" ref="AH32">_xlfn._xlws.FILTER(_xlfn.ANCHORARRAY(AH$5), ISNUMBER(SEARCH($H32,_xlfn.ANCHORARRAY( AH$5))), "--")</f>
        <v>The Sims 4: Snowy Escape</v>
      </c>
      <c r="AI32" t="str" cm="1">
        <f t="array" ref="AI32">_xlfn._xlws.FILTER(_xlfn.ANCHORARRAY(AI$5), ISNUMBER(SEARCH($H32,_xlfn.ANCHORARRAY( AI$5))), "--")</f>
        <v>--</v>
      </c>
      <c r="AJ32" t="str" cm="1">
        <f t="array" ref="AJ32">_xlfn._xlws.FILTER(_xlfn.ANCHORARRAY(AJ$5), ISNUMBER(SEARCH($H32,_xlfn.ANCHORARRAY( AJ$5))), "--")</f>
        <v>The Sims 4: Dream Home Decorator</v>
      </c>
      <c r="AK32" t="str" cm="1">
        <f t="array" ref="AK32">_xlfn._xlws.FILTER(_xlfn.ANCHORARRAY(AK$5), ISNUMBER(SEARCH($H32,_xlfn.ANCHORARRAY( AK$5))), "--")</f>
        <v>The Sims 4: Cottage Living</v>
      </c>
      <c r="AL32" t="str" cm="1">
        <f t="array" ref="AL32">_xlfn._xlws.FILTER(_xlfn.ANCHORARRAY(AL$5), ISNUMBER(SEARCH($H32,_xlfn.ANCHORARRAY( AL$5))), "--")</f>
        <v>--</v>
      </c>
      <c r="AM32" t="str" cm="1">
        <f t="array" ref="AM32">_xlfn._xlws.FILTER(_xlfn.ANCHORARRAY(AM$5), ISNUMBER(SEARCH($H32,_xlfn.ANCHORARRAY( AM$5))), "--")</f>
        <v>The Sims 4: My Wedding Stories</v>
      </c>
      <c r="AN32" t="str" cm="1">
        <f t="array" ref="AN32">_xlfn._xlws.FILTER(_xlfn.ANCHORARRAY(AN$5), ISNUMBER(SEARCH($H32,_xlfn.ANCHORARRAY( AN$5))), "--")</f>
        <v>The Sims 4: Werewolves</v>
      </c>
      <c r="AO32" t="str" cm="1">
        <f t="array" ref="AO32">_xlfn._xlws.FILTER(_xlfn.ANCHORARRAY(AO$5), ISNUMBER(SEARCH($H32,_xlfn.ANCHORARRAY( AO$5))), "--")</f>
        <v>The Sims 4: High School Years</v>
      </c>
      <c r="AP32" t="str" cm="1">
        <f t="array" ref="AP32">_xlfn._xlws.FILTER(_xlfn.ANCHORARRAY(AP$5), ISNUMBER(SEARCH($H32,_xlfn.ANCHORARRAY( AP$5))), "--")</f>
        <v>--</v>
      </c>
      <c r="AQ32" t="str" cm="1">
        <f t="array" ref="AQ32">_xlfn._xlws.FILTER(_xlfn.ANCHORARRAY(AQ$5), ISNUMBER(SEARCH($H32,_xlfn.ANCHORARRAY( AQ$5))), "--")</f>
        <v>The Sims 4: Growing Together</v>
      </c>
      <c r="AR32" t="str" cm="1">
        <f t="array" ref="AR32">_xlfn._xlws.FILTER(_xlfn.ANCHORARRAY(AR$5), ISNUMBER(SEARCH($H32,_xlfn.ANCHORARRAY( AR$5))), "--")</f>
        <v>--</v>
      </c>
      <c r="AS32" t="str" cm="1">
        <f t="array" ref="AS32">_xlfn._xlws.FILTER(_xlfn.ANCHORARRAY(AS$5), ISNUMBER(SEARCH($H32,_xlfn.ANCHORARRAY( AS$5))), "--")</f>
        <v>The Sims 4: Horse Ranch</v>
      </c>
      <c r="AT32" t="str" cm="1">
        <f t="array" ref="AT32">_xlfn._xlws.FILTER(_xlfn.ANCHORARRAY(AT$5), ISNUMBER(SEARCH($H32,_xlfn.ANCHORARRAY( AT$5))), "--")</f>
        <v>The Sims 4: For Rent</v>
      </c>
      <c r="AU32" t="str" cm="1">
        <f t="array" ref="AU32">_xlfn._xlws.FILTER(_xlfn.ANCHORARRAY(AU$5), ISNUMBER(SEARCH($H32,_xlfn.ANCHORARRAY( AU$5))), "--")</f>
        <v>--</v>
      </c>
      <c r="AV32" t="str" cm="1">
        <f t="array" ref="AV32">_xlfn._xlws.FILTER(_xlfn.ANCHORARRAY(AV$5), ISNUMBER(SEARCH($H32,_xlfn.ANCHORARRAY( AV$5))), "--")</f>
        <v>--</v>
      </c>
      <c r="AW32" t="str" cm="1">
        <f t="array" ref="AW32">_xlfn._xlws.FILTER(_xlfn.ANCHORARRAY(AW$5), ISNUMBER(SEARCH($H32,_xlfn.ANCHORARRAY( AW$5))), "--")</f>
        <v>--</v>
      </c>
    </row>
    <row r="33" spans="1:49" x14ac:dyDescent="0.25">
      <c r="A33" s="279"/>
      <c r="B33" t="s">
        <v>97</v>
      </c>
      <c r="C33" s="279">
        <v>45267</v>
      </c>
      <c r="D33" t="s">
        <v>578</v>
      </c>
      <c r="K33" t="str">
        <v>The Sims 4: Get to Work</v>
      </c>
      <c r="L33" t="str">
        <v>The Sims 4: Get to Work</v>
      </c>
      <c r="T33" t="str">
        <v>The Sims 4: Spa Day</v>
      </c>
      <c r="V33" t="str">
        <v>The Sims 4: Cats &amp; Dogs</v>
      </c>
      <c r="W33" t="str">
        <v>The Sims 4: Get to Work</v>
      </c>
      <c r="X33" t="str">
        <v>The Sims 4: Seasons</v>
      </c>
      <c r="Y33" t="str">
        <v>The Sims 4: Get Together</v>
      </c>
      <c r="Z33" t="str">
        <v>The Sims 4: Jungle Adventure</v>
      </c>
      <c r="AA33" t="str">
        <v>The Sims 4: StrangerVille</v>
      </c>
      <c r="AB33" t="str">
        <v>The Sims 4: StrangerVille</v>
      </c>
      <c r="AC33" t="str">
        <v>The Sims 4: Realm of Magic</v>
      </c>
      <c r="AD33" t="str">
        <v>The Sims 4: Realm of Magic</v>
      </c>
    </row>
    <row r="34" spans="1:49" x14ac:dyDescent="0.25">
      <c r="A34" s="279"/>
      <c r="B34" t="s">
        <v>97</v>
      </c>
      <c r="C34" s="279">
        <v>45267</v>
      </c>
      <c r="D34" t="s">
        <v>574</v>
      </c>
      <c r="H34" s="279"/>
      <c r="K34" t="str">
        <v>The Sims 4: Outdoor Retreat</v>
      </c>
      <c r="V34" t="str">
        <v>The Sims 4: City Living</v>
      </c>
      <c r="W34" t="str">
        <v>The Sims 4: Jungle Adventure</v>
      </c>
      <c r="X34" t="str">
        <v>The Sims 4: Spa Day</v>
      </c>
      <c r="Z34" t="str">
        <v>The Sims 4: Outdoor Retreat</v>
      </c>
    </row>
    <row r="35" spans="1:49" x14ac:dyDescent="0.25">
      <c r="A35" s="279"/>
      <c r="B35" t="s">
        <v>97</v>
      </c>
      <c r="C35" s="279">
        <v>45267</v>
      </c>
      <c r="D35" t="s">
        <v>575</v>
      </c>
      <c r="V35" t="str">
        <v>The Sims 4: Vampires</v>
      </c>
      <c r="W35" t="str">
        <v>The Sims Mobile</v>
      </c>
      <c r="Z35" t="str">
        <v>The Sims 4: Seasons</v>
      </c>
    </row>
    <row r="36" spans="1:49" x14ac:dyDescent="0.25">
      <c r="A36" s="279"/>
      <c r="B36" t="s">
        <v>584</v>
      </c>
      <c r="C36" s="279">
        <v>45233</v>
      </c>
      <c r="D36" t="s">
        <v>573</v>
      </c>
      <c r="E36" t="s">
        <v>577</v>
      </c>
    </row>
    <row r="37" spans="1:49" x14ac:dyDescent="0.25">
      <c r="A37" s="279"/>
      <c r="B37" t="s">
        <v>584</v>
      </c>
      <c r="C37" s="279">
        <v>45233</v>
      </c>
      <c r="D37" t="s">
        <v>574</v>
      </c>
      <c r="H37" s="284" t="s">
        <v>121</v>
      </c>
      <c r="I37" t="str" cm="1">
        <f t="array" ref="I37">_xlfn._xlws.FILTER(_xlfn.ANCHORARRAY(I$5), ISNUMBER(SEARCH($H37,_xlfn.ANCHORARRAY( I$5))), "--")</f>
        <v>--</v>
      </c>
      <c r="J37" t="str" cm="1">
        <f t="array" ref="J37">_xlfn._xlws.FILTER(_xlfn.ANCHORARRAY(J$5), ISNUMBER(SEARCH($H37,_xlfn.ANCHORARRAY( J$5))), "--")</f>
        <v>NBA Live 15</v>
      </c>
      <c r="K37" t="str" cm="1">
        <f t="array" ref="K37">_xlfn._xlws.FILTER(_xlfn.ANCHORARRAY(K$5), ISNUMBER(SEARCH($H37,_xlfn.ANCHORARRAY( K$5))), "--")</f>
        <v>--</v>
      </c>
      <c r="L37" t="str" cm="1">
        <f t="array" ref="L37">_xlfn._xlws.FILTER(_xlfn.ANCHORARRAY(L$5), ISNUMBER(SEARCH($H37,_xlfn.ANCHORARRAY( L$5))), "--")</f>
        <v>--</v>
      </c>
      <c r="M37" t="str" cm="1">
        <f t="array" ref="M37">_xlfn._xlws.FILTER(_xlfn.ANCHORARRAY(M$5), ISNUMBER(SEARCH($H37,_xlfn.ANCHORARRAY( M$5))), "--")</f>
        <v>NBA Live 16</v>
      </c>
      <c r="N37" t="str" cm="1">
        <f t="array" ref="N37">_xlfn._xlws.FILTER(_xlfn.ANCHORARRAY(N$5), ISNUMBER(SEARCH($H37,_xlfn.ANCHORARRAY( N$5))), "--")</f>
        <v>--</v>
      </c>
      <c r="O37" t="str" cm="1">
        <f t="array" ref="O37">_xlfn._xlws.FILTER(_xlfn.ANCHORARRAY(O$5), ISNUMBER(SEARCH($H37,_xlfn.ANCHORARRAY( O$5))), "--")</f>
        <v>--</v>
      </c>
      <c r="P37" t="str" cm="1">
        <f t="array" ref="P37">_xlfn._xlws.FILTER(_xlfn.ANCHORARRAY(P$5), ISNUMBER(SEARCH($H37,_xlfn.ANCHORARRAY( P$5))), "--")</f>
        <v>--</v>
      </c>
      <c r="Q37" t="str" cm="1">
        <f t="array" ref="Q37">_xlfn._xlws.FILTER(_xlfn.ANCHORARRAY(Q$5), ISNUMBER(SEARCH($H37,_xlfn.ANCHORARRAY( Q$5))), "--")</f>
        <v>NBA Live Mobile</v>
      </c>
      <c r="R37" t="str" cm="1">
        <f t="array" ref="R37">_xlfn._xlws.FILTER(_xlfn.ANCHORARRAY(R$5), ISNUMBER(SEARCH($H37,_xlfn.ANCHORARRAY( R$5))), "--")</f>
        <v>--</v>
      </c>
      <c r="S37" t="str" cm="1">
        <f t="array" ref="S37">_xlfn._xlws.FILTER(_xlfn.ANCHORARRAY(S$5), ISNUMBER(SEARCH($H37,_xlfn.ANCHORARRAY( S$5))), "--")</f>
        <v>--</v>
      </c>
      <c r="T37" t="str" cm="1">
        <f t="array" ref="T37">_xlfn._xlws.FILTER(_xlfn.ANCHORARRAY(T$5), ISNUMBER(SEARCH($H37,_xlfn.ANCHORARRAY( T$5))), "--")</f>
        <v>--</v>
      </c>
      <c r="U37" t="str" cm="1">
        <f t="array" ref="U37">_xlfn._xlws.FILTER(_xlfn.ANCHORARRAY(U$5), ISNUMBER(SEARCH($H37,_xlfn.ANCHORARRAY( U$5))), "--")</f>
        <v>NBA Live 18</v>
      </c>
      <c r="V37" t="str" cm="1">
        <f t="array" ref="V37">_xlfn._xlws.FILTER(_xlfn.ANCHORARRAY(V$5), ISNUMBER(SEARCH($H37,_xlfn.ANCHORARRAY( V$5))), "--")</f>
        <v>--</v>
      </c>
      <c r="W37" t="str" cm="1">
        <f t="array" ref="W37">_xlfn._xlws.FILTER(_xlfn.ANCHORARRAY(W$5), ISNUMBER(SEARCH($H37,_xlfn.ANCHORARRAY( W$5))), "--")</f>
        <v>--</v>
      </c>
      <c r="X37" t="str" cm="1">
        <f t="array" ref="X37">_xlfn._xlws.FILTER(_xlfn.ANCHORARRAY(X$5), ISNUMBER(SEARCH($H37,_xlfn.ANCHORARRAY( X$5))), "--")</f>
        <v>--</v>
      </c>
      <c r="Y37" t="str" cm="1">
        <f t="array" ref="Y37">_xlfn._xlws.FILTER(_xlfn.ANCHORARRAY(Y$5), ISNUMBER(SEARCH($H37,_xlfn.ANCHORARRAY( Y$5))), "--")</f>
        <v>NBA Live 19</v>
      </c>
      <c r="Z37" t="str" cm="1">
        <f t="array" ref="Z37">_xlfn._xlws.FILTER(_xlfn.ANCHORARRAY(Z$5), ISNUMBER(SEARCH($H37,_xlfn.ANCHORARRAY( Z$5))), "--")</f>
        <v>--</v>
      </c>
      <c r="AA37" t="str" cm="1">
        <f t="array" ref="AA37">_xlfn._xlws.FILTER(_xlfn.ANCHORARRAY(AA$5), ISNUMBER(SEARCH($H37,_xlfn.ANCHORARRAY( AA$5))), "--")</f>
        <v>--</v>
      </c>
      <c r="AB37" t="str" cm="1">
        <f t="array" ref="AB37">_xlfn._xlws.FILTER(_xlfn.ANCHORARRAY(AB$5), ISNUMBER(SEARCH($H37,_xlfn.ANCHORARRAY( AB$5))), "--")</f>
        <v>--</v>
      </c>
      <c r="AC37" t="str" cm="1">
        <f t="array" ref="AC37">_xlfn._xlws.FILTER(_xlfn.ANCHORARRAY(AC$5), ISNUMBER(SEARCH($H37,_xlfn.ANCHORARRAY( AC$5))), "--")</f>
        <v>--</v>
      </c>
      <c r="AD37" t="str" cm="1">
        <f t="array" ref="AD37">_xlfn._xlws.FILTER(_xlfn.ANCHORARRAY(AD$5), ISNUMBER(SEARCH($H37,_xlfn.ANCHORARRAY( AD$5))), "--")</f>
        <v>--</v>
      </c>
      <c r="AE37" t="str" cm="1">
        <f t="array" ref="AE37">_xlfn._xlws.FILTER(_xlfn.ANCHORARRAY(AE$5), ISNUMBER(SEARCH($H37,_xlfn.ANCHORARRAY( AE$5))), "--")</f>
        <v>--</v>
      </c>
      <c r="AF37" t="str" cm="1">
        <f t="array" ref="AF37">_xlfn._xlws.FILTER(_xlfn.ANCHORARRAY(AF$5), ISNUMBER(SEARCH($H37,_xlfn.ANCHORARRAY( AF$5))), "--")</f>
        <v>--</v>
      </c>
      <c r="AG37" t="str" cm="1">
        <f t="array" ref="AG37">_xlfn._xlws.FILTER(_xlfn.ANCHORARRAY(AG$5), ISNUMBER(SEARCH($H37,_xlfn.ANCHORARRAY( AG$5))), "--")</f>
        <v>--</v>
      </c>
      <c r="AH37" t="str" cm="1">
        <f t="array" ref="AH37">_xlfn._xlws.FILTER(_xlfn.ANCHORARRAY(AH$5), ISNUMBER(SEARCH($H37,_xlfn.ANCHORARRAY( AH$5))), "--")</f>
        <v>--</v>
      </c>
      <c r="AI37" t="str" cm="1">
        <f t="array" ref="AI37">_xlfn._xlws.FILTER(_xlfn.ANCHORARRAY(AI$5), ISNUMBER(SEARCH($H37,_xlfn.ANCHORARRAY( AI$5))), "--")</f>
        <v>--</v>
      </c>
      <c r="AJ37" t="str" cm="1">
        <f t="array" ref="AJ37">_xlfn._xlws.FILTER(_xlfn.ANCHORARRAY(AJ$5), ISNUMBER(SEARCH($H37,_xlfn.ANCHORARRAY( AJ$5))), "--")</f>
        <v>--</v>
      </c>
      <c r="AK37" t="str" cm="1">
        <f t="array" ref="AK37">_xlfn._xlws.FILTER(_xlfn.ANCHORARRAY(AK$5), ISNUMBER(SEARCH($H37,_xlfn.ANCHORARRAY( AK$5))), "--")</f>
        <v>--</v>
      </c>
      <c r="AL37" t="str" cm="1">
        <f t="array" ref="AL37">_xlfn._xlws.FILTER(_xlfn.ANCHORARRAY(AL$5), ISNUMBER(SEARCH($H37,_xlfn.ANCHORARRAY( AL$5))), "--")</f>
        <v>--</v>
      </c>
      <c r="AM37" t="str" cm="1">
        <f t="array" ref="AM37">_xlfn._xlws.FILTER(_xlfn.ANCHORARRAY(AM$5), ISNUMBER(SEARCH($H37,_xlfn.ANCHORARRAY( AM$5))), "--")</f>
        <v>--</v>
      </c>
      <c r="AN37" t="str" cm="1">
        <f t="array" ref="AN37">_xlfn._xlws.FILTER(_xlfn.ANCHORARRAY(AN$5), ISNUMBER(SEARCH($H37,_xlfn.ANCHORARRAY( AN$5))), "--")</f>
        <v>--</v>
      </c>
      <c r="AO37" t="str" cm="1">
        <f t="array" ref="AO37">_xlfn._xlws.FILTER(_xlfn.ANCHORARRAY(AO$5), ISNUMBER(SEARCH($H37,_xlfn.ANCHORARRAY( AO$5))), "--")</f>
        <v>--</v>
      </c>
      <c r="AP37" t="str" cm="1">
        <f t="array" ref="AP37">_xlfn._xlws.FILTER(_xlfn.ANCHORARRAY(AP$5), ISNUMBER(SEARCH($H37,_xlfn.ANCHORARRAY( AP$5))), "--")</f>
        <v>--</v>
      </c>
      <c r="AQ37" t="str" cm="1">
        <f t="array" ref="AQ37">_xlfn._xlws.FILTER(_xlfn.ANCHORARRAY(AQ$5), ISNUMBER(SEARCH($H37,_xlfn.ANCHORARRAY( AQ$5))), "--")</f>
        <v>--</v>
      </c>
      <c r="AR37" t="str" cm="1">
        <f t="array" ref="AR37">_xlfn._xlws.FILTER(_xlfn.ANCHORARRAY(AR$5), ISNUMBER(SEARCH($H37,_xlfn.ANCHORARRAY( AR$5))), "--")</f>
        <v>--</v>
      </c>
      <c r="AS37" t="str" cm="1">
        <f t="array" ref="AS37">_xlfn._xlws.FILTER(_xlfn.ANCHORARRAY(AS$5), ISNUMBER(SEARCH($H37,_xlfn.ANCHORARRAY( AS$5))), "--")</f>
        <v>--</v>
      </c>
      <c r="AT37" t="str" cm="1">
        <f t="array" ref="AT37">_xlfn._xlws.FILTER(_xlfn.ANCHORARRAY(AT$5), ISNUMBER(SEARCH($H37,_xlfn.ANCHORARRAY( AT$5))), "--")</f>
        <v>--</v>
      </c>
      <c r="AU37" t="str" cm="1">
        <f t="array" ref="AU37">_xlfn._xlws.FILTER(_xlfn.ANCHORARRAY(AU$5), ISNUMBER(SEARCH($H37,_xlfn.ANCHORARRAY( AU$5))), "--")</f>
        <v>--</v>
      </c>
      <c r="AV37" t="str" cm="1">
        <f t="array" ref="AV37">_xlfn._xlws.FILTER(_xlfn.ANCHORARRAY(AV$5), ISNUMBER(SEARCH($H37,_xlfn.ANCHORARRAY( AV$5))), "--")</f>
        <v>--</v>
      </c>
      <c r="AW37" t="str" cm="1">
        <f t="array" ref="AW37">_xlfn._xlws.FILTER(_xlfn.ANCHORARRAY(AW$5), ISNUMBER(SEARCH($H37,_xlfn.ANCHORARRAY( AW$5))), "--")</f>
        <v>--</v>
      </c>
    </row>
    <row r="38" spans="1:49" x14ac:dyDescent="0.25">
      <c r="A38" s="279"/>
      <c r="B38" t="s">
        <v>584</v>
      </c>
      <c r="C38" s="279">
        <v>45233</v>
      </c>
      <c r="D38" t="s">
        <v>575</v>
      </c>
    </row>
    <row r="39" spans="1:49" x14ac:dyDescent="0.25">
      <c r="A39" s="279"/>
      <c r="B39" t="s">
        <v>145</v>
      </c>
      <c r="C39" s="279">
        <v>45226</v>
      </c>
      <c r="D39" t="s">
        <v>573</v>
      </c>
      <c r="E39" t="s">
        <v>585</v>
      </c>
      <c r="H39" s="284" t="s">
        <v>127</v>
      </c>
      <c r="I39" t="str" cm="1">
        <f t="array" ref="I39">_xlfn._xlws.FILTER(_xlfn.ANCHORARRAY(I$5), ISNUMBER(SEARCH($H39,_xlfn.ANCHORARRAY( I$5))), "--")</f>
        <v>--</v>
      </c>
      <c r="J39" t="str" cm="1">
        <f t="array" ref="J39">_xlfn._xlws.FILTER(_xlfn.ANCHORARRAY(J$5), ISNUMBER(SEARCH($H39,_xlfn.ANCHORARRAY( J$5))), "--")</f>
        <v>--</v>
      </c>
      <c r="K39" t="str" cm="1">
        <f t="array" ref="K39">_xlfn._xlws.FILTER(_xlfn.ANCHORARRAY(K$5), ISNUMBER(SEARCH($H39,_xlfn.ANCHORARRAY( K$5))), "--")</f>
        <v>--</v>
      </c>
      <c r="L39" t="str" cm="1">
        <f t="array" ref="L39">_xlfn._xlws.FILTER(_xlfn.ANCHORARRAY(L$5), ISNUMBER(SEARCH($H39,_xlfn.ANCHORARRAY( L$5))), "--")</f>
        <v>--</v>
      </c>
      <c r="M39" t="str" cm="1">
        <f t="array" ref="M39">_xlfn._xlws.FILTER(_xlfn.ANCHORARRAY(M$5), ISNUMBER(SEARCH($H39,_xlfn.ANCHORARRAY( M$5))), "--")</f>
        <v>--</v>
      </c>
      <c r="N39" t="str" cm="1">
        <f t="array" ref="N39">_xlfn._xlws.FILTER(_xlfn.ANCHORARRAY(N$5), ISNUMBER(SEARCH($H39,_xlfn.ANCHORARRAY( N$5))), "--")</f>
        <v>--</v>
      </c>
      <c r="O39" t="str" cm="1">
        <f t="array" ref="O39">_xlfn._xlws.FILTER(_xlfn.ANCHORARRAY(O$5), ISNUMBER(SEARCH($H39,_xlfn.ANCHORARRAY( O$5))), "--")</f>
        <v>--</v>
      </c>
      <c r="P39" t="str" cm="1">
        <f t="array" ref="P39">_xlfn._xlws.FILTER(_xlfn.ANCHORARRAY(P$5), ISNUMBER(SEARCH($H39,_xlfn.ANCHORARRAY( P$5))), "--")</f>
        <v>--</v>
      </c>
      <c r="Q39" t="str" cm="1">
        <f t="array" ref="Q39">_xlfn._xlws.FILTER(_xlfn.ANCHORARRAY(Q$5), ISNUMBER(SEARCH($H39,_xlfn.ANCHORARRAY( Q$5))), "--")</f>
        <v>--</v>
      </c>
      <c r="R39" t="str" cm="1">
        <f t="array" ref="R39">_xlfn._xlws.FILTER(_xlfn.ANCHORARRAY(R$5), ISNUMBER(SEARCH($H39,_xlfn.ANCHORARRAY( R$5))), "--")</f>
        <v>--</v>
      </c>
      <c r="S39" t="str" cm="1">
        <f t="array" ref="S39">_xlfn._xlws.FILTER(_xlfn.ANCHORARRAY(S$5), ISNUMBER(SEARCH($H39,_xlfn.ANCHORARRAY( S$5))), "--")</f>
        <v>--</v>
      </c>
      <c r="T39" t="str" cm="1">
        <f t="array" ref="T39">_xlfn._xlws.FILTER(_xlfn.ANCHORARRAY(T$5), ISNUMBER(SEARCH($H39,_xlfn.ANCHORARRAY( T$5))), "--")</f>
        <v>--</v>
      </c>
      <c r="U39" t="str" cm="1">
        <f t="array" ref="U39">_xlfn._xlws.FILTER(_xlfn.ANCHORARRAY(U$5), ISNUMBER(SEARCH($H39,_xlfn.ANCHORARRAY( U$5))), "--")</f>
        <v>--</v>
      </c>
      <c r="V39" t="str" cm="1">
        <f t="array" ref="V39">_xlfn._xlws.FILTER(_xlfn.ANCHORARRAY(V$5), ISNUMBER(SEARCH($H39,_xlfn.ANCHORARRAY( V$5))), "--")</f>
        <v>--</v>
      </c>
      <c r="W39" t="str" cm="1">
        <f t="array" ref="W39">_xlfn._xlws.FILTER(_xlfn.ANCHORARRAY(W$5), ISNUMBER(SEARCH($H39,_xlfn.ANCHORARRAY( W$5))), "--")</f>
        <v>--</v>
      </c>
      <c r="X39" t="str" cm="1">
        <f t="array" ref="X39">_xlfn._xlws.FILTER(_xlfn.ANCHORARRAY(X$5), ISNUMBER(SEARCH($H39,_xlfn.ANCHORARRAY( X$5))), "--")</f>
        <v>--</v>
      </c>
      <c r="Y39" t="str" cm="1">
        <f t="array" ref="Y39">_xlfn._xlws.FILTER(_xlfn.ANCHORARRAY(Y$5), ISNUMBER(SEARCH($H39,_xlfn.ANCHORARRAY( Y$5))), "--")</f>
        <v>--</v>
      </c>
      <c r="Z39" t="str" cm="1">
        <f t="array" ref="Z39">_xlfn._xlws.FILTER(_xlfn.ANCHORARRAY(Z$5), ISNUMBER(SEARCH($H39,_xlfn.ANCHORARRAY( Z$5))), "--")</f>
        <v>--</v>
      </c>
      <c r="AA39" t="str" cm="1">
        <f t="array" ref="AA39">_xlfn._xlws.FILTER(_xlfn.ANCHORARRAY(AA$5), ISNUMBER(SEARCH($H39,_xlfn.ANCHORARRAY( AA$5))), "--")</f>
        <v>--</v>
      </c>
      <c r="AB39" t="str" cm="1">
        <f t="array" ref="AB39">_xlfn._xlws.FILTER(_xlfn.ANCHORARRAY(AB$5), ISNUMBER(SEARCH($H39,_xlfn.ANCHORARRAY( AB$5))), "--")</f>
        <v>--</v>
      </c>
      <c r="AC39" t="str" cm="1">
        <f t="array" ref="AC39">_xlfn._xlws.FILTER(_xlfn.ANCHORARRAY(AC$5), ISNUMBER(SEARCH($H39,_xlfn.ANCHORARRAY( AC$5))), "--")</f>
        <v>--</v>
      </c>
      <c r="AD39" t="str" cm="1">
        <f t="array" ref="AD39">_xlfn._xlws.FILTER(_xlfn.ANCHORARRAY(AD$5), ISNUMBER(SEARCH($H39,_xlfn.ANCHORARRAY( AD$5))), "--")</f>
        <v>--</v>
      </c>
      <c r="AE39" t="str" cm="1">
        <f t="array" ref="AE39">_xlfn._xlws.FILTER(_xlfn.ANCHORARRAY(AE$5), ISNUMBER(SEARCH($H39,_xlfn.ANCHORARRAY( AE$5))), "--")</f>
        <v>--</v>
      </c>
      <c r="AF39" t="str" cm="1">
        <f t="array" ref="AF39">_xlfn._xlws.FILTER(_xlfn.ANCHORARRAY(AF$5), ISNUMBER(SEARCH($H39,_xlfn.ANCHORARRAY( AF$5))), "--")</f>
        <v>--</v>
      </c>
      <c r="AG39" t="str" cm="1">
        <f t="array" ref="AG39">_xlfn._xlws.FILTER(_xlfn.ANCHORARRAY(AG$5), ISNUMBER(SEARCH($H39,_xlfn.ANCHORARRAY( AG$5))), "--")</f>
        <v>--</v>
      </c>
      <c r="AH39" t="str" cm="1">
        <f t="array" ref="AH39">_xlfn._xlws.FILTER(_xlfn.ANCHORARRAY(AH$5), ISNUMBER(SEARCH($H39,_xlfn.ANCHORARRAY( AH$5))), "--")</f>
        <v>--</v>
      </c>
      <c r="AI39" t="str" cm="1">
        <f t="array" ref="AI39">_xlfn._xlws.FILTER(_xlfn.ANCHORARRAY(AI$5), ISNUMBER(SEARCH($H39,_xlfn.ANCHORARRAY( AI$5))), "--")</f>
        <v>--</v>
      </c>
      <c r="AJ39" t="str" cm="1">
        <f t="array" ref="AJ39">_xlfn._xlws.FILTER(_xlfn.ANCHORARRAY(AJ$5), ISNUMBER(SEARCH($H39,_xlfn.ANCHORARRAY( AJ$5))), "--")</f>
        <v>--</v>
      </c>
      <c r="AK39" t="str" cm="1">
        <f t="array" ref="AK39">_xlfn._xlws.FILTER(_xlfn.ANCHORARRAY(AK$5), ISNUMBER(SEARCH($H39,_xlfn.ANCHORARRAY( AK$5))), "--")</f>
        <v>F1 2021</v>
      </c>
      <c r="AL39" t="str" cm="1">
        <f t="array" ref="AL39">_xlfn._xlws.FILTER(_xlfn.ANCHORARRAY(AL$5), ISNUMBER(SEARCH($H39,_xlfn.ANCHORARRAY( AL$5))), "--")</f>
        <v>--</v>
      </c>
      <c r="AM39" t="str" cm="1">
        <f t="array" ref="AM39">_xlfn._xlws.FILTER(_xlfn.ANCHORARRAY(AM$5), ISNUMBER(SEARCH($H39,_xlfn.ANCHORARRAY( AM$5))), "--")</f>
        <v>--</v>
      </c>
      <c r="AN39" t="str" cm="1">
        <f t="array" ref="AN39">_xlfn._xlws.FILTER(_xlfn.ANCHORARRAY(AN$5), ISNUMBER(SEARCH($H39,_xlfn.ANCHORARRAY( AN$5))), "--")</f>
        <v>--</v>
      </c>
      <c r="AO39" t="str" cm="1">
        <f t="array" ref="AO39">_xlfn._xlws.FILTER(_xlfn.ANCHORARRAY(AO$5), ISNUMBER(SEARCH($H39,_xlfn.ANCHORARRAY( AO$5))), "--")</f>
        <v>F1 22</v>
      </c>
      <c r="AP39" t="str" cm="1">
        <f t="array" ref="AP39">_xlfn._xlws.FILTER(_xlfn.ANCHORARRAY(AP$5), ISNUMBER(SEARCH($H39,_xlfn.ANCHORARRAY( AP$5))), "--")</f>
        <v>--</v>
      </c>
      <c r="AQ39" t="str" cm="1">
        <f t="array" ref="AQ39">_xlfn._xlws.FILTER(_xlfn.ANCHORARRAY(AQ$5), ISNUMBER(SEARCH($H39,_xlfn.ANCHORARRAY( AQ$5))), "--")</f>
        <v>--</v>
      </c>
      <c r="AR39" t="str" cm="1">
        <f t="array" ref="AR39">_xlfn._xlws.FILTER(_xlfn.ANCHORARRAY(AR$5), ISNUMBER(SEARCH($H39,_xlfn.ANCHORARRAY( AR$5))), "--")</f>
        <v>F1 23</v>
      </c>
      <c r="AS39" t="str" cm="1">
        <f t="array" ref="AS39">_xlfn._xlws.FILTER(_xlfn.ANCHORARRAY(AS$5), ISNUMBER(SEARCH($H39,_xlfn.ANCHORARRAY( AS$5))), "--")</f>
        <v>--</v>
      </c>
      <c r="AT39" t="str" cm="1">
        <f t="array" ref="AT39">_xlfn._xlws.FILTER(_xlfn.ANCHORARRAY(AT$5), ISNUMBER(SEARCH($H39,_xlfn.ANCHORARRAY( AT$5))), "--")</f>
        <v>--</v>
      </c>
      <c r="AU39" t="str" cm="1">
        <f t="array" ref="AU39">_xlfn._xlws.FILTER(_xlfn.ANCHORARRAY(AU$5), ISNUMBER(SEARCH($H39,_xlfn.ANCHORARRAY( AU$5))), "--")</f>
        <v>--</v>
      </c>
      <c r="AV39" t="str" cm="1">
        <f t="array" ref="AV39">_xlfn._xlws.FILTER(_xlfn.ANCHORARRAY(AV$5), ISNUMBER(SEARCH($H39,_xlfn.ANCHORARRAY( AV$5))), "--")</f>
        <v>F1 24</v>
      </c>
      <c r="AW39" t="str" cm="1">
        <f t="array" ref="AW39">_xlfn._xlws.FILTER(_xlfn.ANCHORARRAY(AW$5), ISNUMBER(SEARCH($H39,_xlfn.ANCHORARRAY( AW$5))), "--")</f>
        <v>--</v>
      </c>
    </row>
    <row r="40" spans="1:49" x14ac:dyDescent="0.25">
      <c r="A40" s="279"/>
      <c r="B40" t="s">
        <v>145</v>
      </c>
      <c r="C40" s="279">
        <v>45226</v>
      </c>
      <c r="D40" t="s">
        <v>574</v>
      </c>
    </row>
    <row r="41" spans="1:49" x14ac:dyDescent="0.25">
      <c r="A41" s="279"/>
      <c r="B41" t="s">
        <v>109</v>
      </c>
      <c r="C41" s="279">
        <v>45205</v>
      </c>
      <c r="D41" t="s">
        <v>576</v>
      </c>
      <c r="E41" t="s">
        <v>585</v>
      </c>
    </row>
    <row r="42" spans="1:49" x14ac:dyDescent="0.25">
      <c r="A42" s="279"/>
      <c r="B42" t="s">
        <v>109</v>
      </c>
      <c r="C42" s="279">
        <v>45205</v>
      </c>
      <c r="D42" t="s">
        <v>573</v>
      </c>
      <c r="H42" s="284" t="s">
        <v>72</v>
      </c>
      <c r="I42" t="str" cm="1">
        <f t="array" ref="I42">_xlfn._xlws.FILTER(_xlfn.ANCHORARRAY(I$5), ISNUMBER(SEARCH($H42,_xlfn.ANCHORARRAY( I$5))), "--")</f>
        <v>--</v>
      </c>
      <c r="J42" t="str" cm="1">
        <f t="array" ref="J42">_xlfn._xlws.FILTER(_xlfn.ANCHORARRAY(J$5), ISNUMBER(SEARCH($H42,_xlfn.ANCHORARRAY( J$5))), "--")</f>
        <v>--</v>
      </c>
      <c r="K42" t="str" cm="1">
        <f t="array" ref="K42">_xlfn._xlws.FILTER(_xlfn.ANCHORARRAY(K$5), ISNUMBER(SEARCH($H42,_xlfn.ANCHORARRAY( K$5))), "--")</f>
        <v>Battlefield Hardline</v>
      </c>
      <c r="L42" t="str" cm="1">
        <f t="array" ref="L42">_xlfn._xlws.FILTER(_xlfn.ANCHORARRAY(L$5), ISNUMBER(SEARCH($H42,_xlfn.ANCHORARRAY( L$5))), "--")</f>
        <v>--</v>
      </c>
      <c r="M42" t="str" cm="1">
        <f t="array" ref="M42">_xlfn._xlws.FILTER(_xlfn.ANCHORARRAY(M$5), ISNUMBER(SEARCH($H42,_xlfn.ANCHORARRAY( M$5))), "--")</f>
        <v>--</v>
      </c>
      <c r="N42" t="str" cm="1">
        <f t="array" ref="N42">_xlfn._xlws.FILTER(_xlfn.ANCHORARRAY(N$5), ISNUMBER(SEARCH($H42,_xlfn.ANCHORARRAY( N$5))), "--")</f>
        <v>--</v>
      </c>
      <c r="O42" t="str" cm="1">
        <f t="array" ref="O42">_xlfn._xlws.FILTER(_xlfn.ANCHORARRAY(O$5), ISNUMBER(SEARCH($H42,_xlfn.ANCHORARRAY( O$5))), "--")</f>
        <v>--</v>
      </c>
      <c r="P42" t="str" cm="1">
        <f t="array" ref="P42">_xlfn._xlws.FILTER(_xlfn.ANCHORARRAY(P$5), ISNUMBER(SEARCH($H42,_xlfn.ANCHORARRAY( P$5))), "--")</f>
        <v>--</v>
      </c>
      <c r="Q42" t="str" cm="1">
        <f t="array" ref="Q42">_xlfn._xlws.FILTER(_xlfn.ANCHORARRAY(Q$5), ISNUMBER(SEARCH($H42,_xlfn.ANCHORARRAY( Q$5))), "--")</f>
        <v>--</v>
      </c>
      <c r="R42" t="str" cm="1">
        <f t="array" ref="R42">_xlfn._xlws.FILTER(_xlfn.ANCHORARRAY(R$5), ISNUMBER(SEARCH($H42,_xlfn.ANCHORARRAY( R$5))), "--")</f>
        <v>Battlefield 1</v>
      </c>
      <c r="S42" t="str" cm="1">
        <f t="array" ref="S42">_xlfn._xlws.FILTER(_xlfn.ANCHORARRAY(S$5), ISNUMBER(SEARCH($H42,_xlfn.ANCHORARRAY( S$5))), "--")</f>
        <v>--</v>
      </c>
      <c r="T42" t="str" cm="1">
        <f t="array" ref="T42">_xlfn._xlws.FILTER(_xlfn.ANCHORARRAY(T$5), ISNUMBER(SEARCH($H42,_xlfn.ANCHORARRAY( T$5))), "--")</f>
        <v>--</v>
      </c>
      <c r="U42" t="str" cm="1">
        <f t="array" ref="U42">_xlfn._xlws.FILTER(_xlfn.ANCHORARRAY(U$5), ISNUMBER(SEARCH($H42,_xlfn.ANCHORARRAY( U$5))), "--")</f>
        <v>--</v>
      </c>
      <c r="V42" t="str" cm="1">
        <f t="array" ref="V42">_xlfn._xlws.FILTER(_xlfn.ANCHORARRAY(V$5), ISNUMBER(SEARCH($H42,_xlfn.ANCHORARRAY( V$5))), "--")</f>
        <v>--</v>
      </c>
      <c r="W42" t="str" cm="1">
        <f t="array" ref="W42">_xlfn._xlws.FILTER(_xlfn.ANCHORARRAY(W$5), ISNUMBER(SEARCH($H42,_xlfn.ANCHORARRAY( W$5))), "--")</f>
        <v>--</v>
      </c>
      <c r="X42" t="str" cm="1">
        <f t="array" ref="X42">_xlfn._xlws.FILTER(_xlfn.ANCHORARRAY(X$5), ISNUMBER(SEARCH($H42,_xlfn.ANCHORARRAY( X$5))), "--")</f>
        <v>--</v>
      </c>
      <c r="Y42" t="str" cm="1">
        <f t="array" ref="Y42">_xlfn._xlws.FILTER(_xlfn.ANCHORARRAY(Y$5), ISNUMBER(SEARCH($H42,_xlfn.ANCHORARRAY( Y$5))), "--")</f>
        <v>--</v>
      </c>
      <c r="Z42" t="str" cm="1">
        <f t="array" ref="Z42">_xlfn._xlws.FILTER(_xlfn.ANCHORARRAY(Z$5), ISNUMBER(SEARCH($H42,_xlfn.ANCHORARRAY( Z$5))), "--")</f>
        <v>Battlefield V</v>
      </c>
      <c r="AA42" t="str" cm="1">
        <f t="array" ref="AA42">_xlfn._xlws.FILTER(_xlfn.ANCHORARRAY(AA$5), ISNUMBER(SEARCH($H42,_xlfn.ANCHORARRAY( AA$5))), "--")</f>
        <v>--</v>
      </c>
      <c r="AB42" t="str" cm="1">
        <f t="array" ref="AB42">_xlfn._xlws.FILTER(_xlfn.ANCHORARRAY(AB$5), ISNUMBER(SEARCH($H42,_xlfn.ANCHORARRAY( AB$5))), "--")</f>
        <v>--</v>
      </c>
      <c r="AC42" t="str" cm="1">
        <f t="array" ref="AC42">_xlfn._xlws.FILTER(_xlfn.ANCHORARRAY(AC$5), ISNUMBER(SEARCH($H42,_xlfn.ANCHORARRAY( AC$5))), "--")</f>
        <v>--</v>
      </c>
      <c r="AD42" t="str" cm="1">
        <f t="array" ref="AD42">_xlfn._xlws.FILTER(_xlfn.ANCHORARRAY(AD$5), ISNUMBER(SEARCH($H42,_xlfn.ANCHORARRAY( AD$5))), "--")</f>
        <v>--</v>
      </c>
      <c r="AE42" t="str" cm="1">
        <f t="array" ref="AE42">_xlfn._xlws.FILTER(_xlfn.ANCHORARRAY(AE$5), ISNUMBER(SEARCH($H42,_xlfn.ANCHORARRAY( AE$5))), "--")</f>
        <v>--</v>
      </c>
      <c r="AF42" t="str" cm="1">
        <f t="array" ref="AF42">_xlfn._xlws.FILTER(_xlfn.ANCHORARRAY(AF$5), ISNUMBER(SEARCH($H42,_xlfn.ANCHORARRAY( AF$5))), "--")</f>
        <v>--</v>
      </c>
      <c r="AG42" t="str" cm="1">
        <f t="array" ref="AG42">_xlfn._xlws.FILTER(_xlfn.ANCHORARRAY(AG$5), ISNUMBER(SEARCH($H42,_xlfn.ANCHORARRAY( AG$5))), "--")</f>
        <v>--</v>
      </c>
      <c r="AH42" t="str" cm="1">
        <f t="array" ref="AH42">_xlfn._xlws.FILTER(_xlfn.ANCHORARRAY(AH$5), ISNUMBER(SEARCH($H42,_xlfn.ANCHORARRAY( AH$5))), "--")</f>
        <v>--</v>
      </c>
      <c r="AI42" t="str" cm="1">
        <f t="array" ref="AI42">_xlfn._xlws.FILTER(_xlfn.ANCHORARRAY(AI$5), ISNUMBER(SEARCH($H42,_xlfn.ANCHORARRAY( AI$5))), "--")</f>
        <v>--</v>
      </c>
      <c r="AJ42" t="str" cm="1">
        <f t="array" ref="AJ42">_xlfn._xlws.FILTER(_xlfn.ANCHORARRAY(AJ$5), ISNUMBER(SEARCH($H42,_xlfn.ANCHORARRAY( AJ$5))), "--")</f>
        <v>--</v>
      </c>
      <c r="AK42" t="str" cm="1">
        <f t="array" ref="AK42">_xlfn._xlws.FILTER(_xlfn.ANCHORARRAY(AK$5), ISNUMBER(SEARCH($H42,_xlfn.ANCHORARRAY( AK$5))), "--")</f>
        <v>--</v>
      </c>
      <c r="AL42" t="str" cm="1">
        <f t="array" ref="AL42">_xlfn._xlws.FILTER(_xlfn.ANCHORARRAY(AL$5), ISNUMBER(SEARCH($H42,_xlfn.ANCHORARRAY( AL$5))), "--")</f>
        <v>Battlefield 2042</v>
      </c>
      <c r="AM42" t="str" cm="1">
        <f t="array" ref="AM42">_xlfn._xlws.FILTER(_xlfn.ANCHORARRAY(AM$5), ISNUMBER(SEARCH($H42,_xlfn.ANCHORARRAY( AM$5))), "--")</f>
        <v>--</v>
      </c>
      <c r="AN42" t="str" cm="1">
        <f t="array" ref="AN42">_xlfn._xlws.FILTER(_xlfn.ANCHORARRAY(AN$5), ISNUMBER(SEARCH($H42,_xlfn.ANCHORARRAY( AN$5))), "--")</f>
        <v>--</v>
      </c>
      <c r="AO42" t="str" cm="1">
        <f t="array" ref="AO42">_xlfn._xlws.FILTER(_xlfn.ANCHORARRAY(AO$5), ISNUMBER(SEARCH($H42,_xlfn.ANCHORARRAY( AO$5))), "--")</f>
        <v>--</v>
      </c>
      <c r="AP42" t="str" cm="1">
        <f t="array" ref="AP42">_xlfn._xlws.FILTER(_xlfn.ANCHORARRAY(AP$5), ISNUMBER(SEARCH($H42,_xlfn.ANCHORARRAY( AP$5))), "--")</f>
        <v>--</v>
      </c>
      <c r="AQ42" t="str" cm="1">
        <f t="array" ref="AQ42">_xlfn._xlws.FILTER(_xlfn.ANCHORARRAY(AQ$5), ISNUMBER(SEARCH($H42,_xlfn.ANCHORARRAY( AQ$5))), "--")</f>
        <v>--</v>
      </c>
      <c r="AR42" t="str" cm="1">
        <f t="array" ref="AR42">_xlfn._xlws.FILTER(_xlfn.ANCHORARRAY(AR$5), ISNUMBER(SEARCH($H42,_xlfn.ANCHORARRAY( AR$5))), "--")</f>
        <v>--</v>
      </c>
      <c r="AS42" t="str" cm="1">
        <f t="array" ref="AS42">_xlfn._xlws.FILTER(_xlfn.ANCHORARRAY(AS$5), ISNUMBER(SEARCH($H42,_xlfn.ANCHORARRAY( AS$5))), "--")</f>
        <v>--</v>
      </c>
      <c r="AT42" t="str" cm="1">
        <f t="array" ref="AT42">_xlfn._xlws.FILTER(_xlfn.ANCHORARRAY(AT$5), ISNUMBER(SEARCH($H42,_xlfn.ANCHORARRAY( AT$5))), "--")</f>
        <v>--</v>
      </c>
      <c r="AU42" t="str" cm="1">
        <f t="array" ref="AU42">_xlfn._xlws.FILTER(_xlfn.ANCHORARRAY(AU$5), ISNUMBER(SEARCH($H42,_xlfn.ANCHORARRAY( AU$5))), "--")</f>
        <v>--</v>
      </c>
      <c r="AV42" t="str" cm="1">
        <f t="array" ref="AV42">_xlfn._xlws.FILTER(_xlfn.ANCHORARRAY(AV$5), ISNUMBER(SEARCH($H42,_xlfn.ANCHORARRAY( AV$5))), "--")</f>
        <v>--</v>
      </c>
      <c r="AW42" t="str" cm="1">
        <f t="array" ref="AW42">_xlfn._xlws.FILTER(_xlfn.ANCHORARRAY(AW$5), ISNUMBER(SEARCH($H42,_xlfn.ANCHORARRAY( AW$5))), "--")</f>
        <v>--</v>
      </c>
    </row>
    <row r="43" spans="1:49" x14ac:dyDescent="0.25">
      <c r="A43" s="279"/>
      <c r="B43" t="s">
        <v>109</v>
      </c>
      <c r="C43" s="279">
        <v>45205</v>
      </c>
      <c r="D43" t="s">
        <v>578</v>
      </c>
    </row>
    <row r="44" spans="1:49" x14ac:dyDescent="0.25">
      <c r="A44" s="279"/>
      <c r="B44" t="s">
        <v>109</v>
      </c>
      <c r="C44" s="279">
        <v>45205</v>
      </c>
      <c r="D44" t="s">
        <v>574</v>
      </c>
    </row>
    <row r="45" spans="1:49" x14ac:dyDescent="0.25">
      <c r="A45" s="279"/>
      <c r="B45" t="s">
        <v>70</v>
      </c>
      <c r="C45" s="279">
        <v>45198</v>
      </c>
      <c r="D45" t="s">
        <v>27</v>
      </c>
      <c r="E45" t="s">
        <v>586</v>
      </c>
      <c r="H45" s="284" t="s">
        <v>132</v>
      </c>
      <c r="I45" t="str" cm="1">
        <f t="array" ref="I45">_xlfn._xlws.FILTER(_xlfn.ANCHORARRAY(I$5), ISNUMBER(SEARCH($H45,_xlfn.ANCHORARRAY( I$5))), "--")</f>
        <v>--</v>
      </c>
      <c r="J45" t="str" cm="1">
        <f t="array" ref="J45">_xlfn._xlws.FILTER(_xlfn.ANCHORARRAY(J$5), ISNUMBER(SEARCH($H45,_xlfn.ANCHORARRAY( J$5))), "--")</f>
        <v>--</v>
      </c>
      <c r="K45" t="str" cm="1">
        <f t="array" ref="K45">_xlfn._xlws.FILTER(_xlfn.ANCHORARRAY(K$5), ISNUMBER(SEARCH($H45,_xlfn.ANCHORARRAY( K$5))), "--")</f>
        <v>--</v>
      </c>
      <c r="L45" t="str" cm="1">
        <f t="array" ref="L45">_xlfn._xlws.FILTER(_xlfn.ANCHORARRAY(L$5), ISNUMBER(SEARCH($H45,_xlfn.ANCHORARRAY( L$5))), "--")</f>
        <v>--</v>
      </c>
      <c r="M45" t="str" cm="1">
        <f t="array" ref="M45">_xlfn._xlws.FILTER(_xlfn.ANCHORARRAY(M$5), ISNUMBER(SEARCH($H45,_xlfn.ANCHORARRAY( M$5))), "--")</f>
        <v>--</v>
      </c>
      <c r="N45" t="str" cm="1">
        <f t="array" ref="N45">_xlfn._xlws.FILTER(_xlfn.ANCHORARRAY(N$5), ISNUMBER(SEARCH($H45,_xlfn.ANCHORARRAY( N$5))), "--")</f>
        <v>--</v>
      </c>
      <c r="O45" t="str" cm="1">
        <f t="array" ref="O45">_xlfn._xlws.FILTER(_xlfn.ANCHORARRAY(O$5), ISNUMBER(SEARCH($H45,_xlfn.ANCHORARRAY( O$5))), "--")</f>
        <v>--</v>
      </c>
      <c r="P45" t="str" cm="1">
        <f t="array" ref="P45">_xlfn._xlws.FILTER(_xlfn.ANCHORARRAY(P$5), ISNUMBER(SEARCH($H45,_xlfn.ANCHORARRAY( P$5))), "--")</f>
        <v>--</v>
      </c>
      <c r="Q45" t="str" cm="1">
        <f t="array" ref="Q45">_xlfn._xlws.FILTER(_xlfn.ANCHORARRAY(Q$5), ISNUMBER(SEARCH($H45,_xlfn.ANCHORARRAY( Q$5))), "--")</f>
        <v>--</v>
      </c>
      <c r="R45" t="str" cm="1">
        <f t="array" ref="R45">_xlfn._xlws.FILTER(_xlfn.ANCHORARRAY(R$5), ISNUMBER(SEARCH($H45,_xlfn.ANCHORARRAY( R$5))), "--")</f>
        <v>--</v>
      </c>
      <c r="S45" t="str" cm="1">
        <f t="array" ref="S45">_xlfn._xlws.FILTER(_xlfn.ANCHORARRAY(S$5), ISNUMBER(SEARCH($H45,_xlfn.ANCHORARRAY( S$5))), "--")</f>
        <v>Mass Effect: Andromeda</v>
      </c>
      <c r="T45" t="str" cm="1">
        <f t="array" ref="T45">_xlfn._xlws.FILTER(_xlfn.ANCHORARRAY(T$5), ISNUMBER(SEARCH($H45,_xlfn.ANCHORARRAY( T$5))), "--")</f>
        <v>--</v>
      </c>
      <c r="U45" t="str" cm="1">
        <f t="array" ref="U45">_xlfn._xlws.FILTER(_xlfn.ANCHORARRAY(U$5), ISNUMBER(SEARCH($H45,_xlfn.ANCHORARRAY( U$5))), "--")</f>
        <v>--</v>
      </c>
      <c r="V45" t="str" cm="1">
        <f t="array" ref="V45">_xlfn._xlws.FILTER(_xlfn.ANCHORARRAY(V$5), ISNUMBER(SEARCH($H45,_xlfn.ANCHORARRAY( V$5))), "--")</f>
        <v>--</v>
      </c>
      <c r="W45" t="str" cm="1">
        <f t="array" ref="W45">_xlfn._xlws.FILTER(_xlfn.ANCHORARRAY(W$5), ISNUMBER(SEARCH($H45,_xlfn.ANCHORARRAY( W$5))), "--")</f>
        <v>--</v>
      </c>
      <c r="X45" t="str" cm="1">
        <f t="array" ref="X45">_xlfn._xlws.FILTER(_xlfn.ANCHORARRAY(X$5), ISNUMBER(SEARCH($H45,_xlfn.ANCHORARRAY( X$5))), "--")</f>
        <v>--</v>
      </c>
      <c r="Y45" t="str" cm="1">
        <f t="array" ref="Y45">_xlfn._xlws.FILTER(_xlfn.ANCHORARRAY(Y$5), ISNUMBER(SEARCH($H45,_xlfn.ANCHORARRAY( Y$5))), "--")</f>
        <v>--</v>
      </c>
      <c r="Z45" t="str" cm="1">
        <f t="array" ref="Z45">_xlfn._xlws.FILTER(_xlfn.ANCHORARRAY(Z$5), ISNUMBER(SEARCH($H45,_xlfn.ANCHORARRAY( Z$5))), "--")</f>
        <v>--</v>
      </c>
      <c r="AA45" t="str" cm="1">
        <f t="array" ref="AA45">_xlfn._xlws.FILTER(_xlfn.ANCHORARRAY(AA$5), ISNUMBER(SEARCH($H45,_xlfn.ANCHORARRAY( AA$5))), "--")</f>
        <v>--</v>
      </c>
      <c r="AB45" t="str" cm="1">
        <f t="array" ref="AB45">_xlfn._xlws.FILTER(_xlfn.ANCHORARRAY(AB$5), ISNUMBER(SEARCH($H45,_xlfn.ANCHORARRAY( AB$5))), "--")</f>
        <v>--</v>
      </c>
      <c r="AC45" t="str" cm="1">
        <f t="array" ref="AC45">_xlfn._xlws.FILTER(_xlfn.ANCHORARRAY(AC$5), ISNUMBER(SEARCH($H45,_xlfn.ANCHORARRAY( AC$5))), "--")</f>
        <v>--</v>
      </c>
      <c r="AD45" t="str" cm="1">
        <f t="array" ref="AD45">_xlfn._xlws.FILTER(_xlfn.ANCHORARRAY(AD$5), ISNUMBER(SEARCH($H45,_xlfn.ANCHORARRAY( AD$5))), "--")</f>
        <v>--</v>
      </c>
      <c r="AE45" t="str" cm="1">
        <f t="array" ref="AE45">_xlfn._xlws.FILTER(_xlfn.ANCHORARRAY(AE$5), ISNUMBER(SEARCH($H45,_xlfn.ANCHORARRAY( AE$5))), "--")</f>
        <v>--</v>
      </c>
      <c r="AF45" t="str" cm="1">
        <f t="array" ref="AF45">_xlfn._xlws.FILTER(_xlfn.ANCHORARRAY(AF$5), ISNUMBER(SEARCH($H45,_xlfn.ANCHORARRAY( AF$5))), "--")</f>
        <v>--</v>
      </c>
      <c r="AG45" t="str" cm="1">
        <f t="array" ref="AG45">_xlfn._xlws.FILTER(_xlfn.ANCHORARRAY(AG$5), ISNUMBER(SEARCH($H45,_xlfn.ANCHORARRAY( AG$5))), "--")</f>
        <v>--</v>
      </c>
      <c r="AH45" t="str" cm="1">
        <f t="array" ref="AH45">_xlfn._xlws.FILTER(_xlfn.ANCHORARRAY(AH$5), ISNUMBER(SEARCH($H45,_xlfn.ANCHORARRAY( AH$5))), "--")</f>
        <v>--</v>
      </c>
      <c r="AI45" t="str" cm="1">
        <f t="array" ref="AI45">_xlfn._xlws.FILTER(_xlfn.ANCHORARRAY(AI$5), ISNUMBER(SEARCH($H45,_xlfn.ANCHORARRAY( AI$5))), "--")</f>
        <v>--</v>
      </c>
      <c r="AJ45" t="str" cm="1">
        <f t="array" ref="AJ45">_xlfn._xlws.FILTER(_xlfn.ANCHORARRAY(AJ$5), ISNUMBER(SEARCH($H45,_xlfn.ANCHORARRAY( AJ$5))), "--")</f>
        <v>Mass Effect Legendary Edition</v>
      </c>
      <c r="AK45" t="str" cm="1">
        <f t="array" ref="AK45">_xlfn._xlws.FILTER(_xlfn.ANCHORARRAY(AK$5), ISNUMBER(SEARCH($H45,_xlfn.ANCHORARRAY( AK$5))), "--")</f>
        <v>--</v>
      </c>
      <c r="AL45" t="str" cm="1">
        <f t="array" ref="AL45">_xlfn._xlws.FILTER(_xlfn.ANCHORARRAY(AL$5), ISNUMBER(SEARCH($H45,_xlfn.ANCHORARRAY( AL$5))), "--")</f>
        <v>--</v>
      </c>
      <c r="AM45" t="str" cm="1">
        <f t="array" ref="AM45">_xlfn._xlws.FILTER(_xlfn.ANCHORARRAY(AM$5), ISNUMBER(SEARCH($H45,_xlfn.ANCHORARRAY( AM$5))), "--")</f>
        <v>--</v>
      </c>
      <c r="AN45" t="str" cm="1">
        <f t="array" ref="AN45">_xlfn._xlws.FILTER(_xlfn.ANCHORARRAY(AN$5), ISNUMBER(SEARCH($H45,_xlfn.ANCHORARRAY( AN$5))), "--")</f>
        <v>--</v>
      </c>
      <c r="AO45" t="str" cm="1">
        <f t="array" ref="AO45">_xlfn._xlws.FILTER(_xlfn.ANCHORARRAY(AO$5), ISNUMBER(SEARCH($H45,_xlfn.ANCHORARRAY( AO$5))), "--")</f>
        <v>--</v>
      </c>
      <c r="AP45" t="str" cm="1">
        <f t="array" ref="AP45">_xlfn._xlws.FILTER(_xlfn.ANCHORARRAY(AP$5), ISNUMBER(SEARCH($H45,_xlfn.ANCHORARRAY( AP$5))), "--")</f>
        <v>--</v>
      </c>
      <c r="AQ45" t="str" cm="1">
        <f t="array" ref="AQ45">_xlfn._xlws.FILTER(_xlfn.ANCHORARRAY(AQ$5), ISNUMBER(SEARCH($H45,_xlfn.ANCHORARRAY( AQ$5))), "--")</f>
        <v>--</v>
      </c>
      <c r="AR45" t="str" cm="1">
        <f t="array" ref="AR45">_xlfn._xlws.FILTER(_xlfn.ANCHORARRAY(AR$5), ISNUMBER(SEARCH($H45,_xlfn.ANCHORARRAY( AR$5))), "--")</f>
        <v>--</v>
      </c>
      <c r="AS45" t="str" cm="1">
        <f t="array" ref="AS45">_xlfn._xlws.FILTER(_xlfn.ANCHORARRAY(AS$5), ISNUMBER(SEARCH($H45,_xlfn.ANCHORARRAY( AS$5))), "--")</f>
        <v>--</v>
      </c>
      <c r="AT45" t="str" cm="1">
        <f t="array" ref="AT45">_xlfn._xlws.FILTER(_xlfn.ANCHORARRAY(AT$5), ISNUMBER(SEARCH($H45,_xlfn.ANCHORARRAY( AT$5))), "--")</f>
        <v>--</v>
      </c>
      <c r="AU45" t="str" cm="1">
        <f t="array" ref="AU45">_xlfn._xlws.FILTER(_xlfn.ANCHORARRAY(AU$5), ISNUMBER(SEARCH($H45,_xlfn.ANCHORARRAY( AU$5))), "--")</f>
        <v>--</v>
      </c>
      <c r="AV45" t="str" cm="1">
        <f t="array" ref="AV45">_xlfn._xlws.FILTER(_xlfn.ANCHORARRAY(AV$5), ISNUMBER(SEARCH($H45,_xlfn.ANCHORARRAY( AV$5))), "--")</f>
        <v>--</v>
      </c>
      <c r="AW45" t="str" cm="1">
        <f t="array" ref="AW45">_xlfn._xlws.FILTER(_xlfn.ANCHORARRAY(AW$5), ISNUMBER(SEARCH($H45,_xlfn.ANCHORARRAY( AW$5))), "--")</f>
        <v>--</v>
      </c>
    </row>
    <row r="46" spans="1:49" x14ac:dyDescent="0.25">
      <c r="A46" s="279"/>
      <c r="B46" t="s">
        <v>70</v>
      </c>
      <c r="C46" s="279">
        <v>45198</v>
      </c>
      <c r="D46" t="s">
        <v>576</v>
      </c>
    </row>
    <row r="47" spans="1:49" x14ac:dyDescent="0.25">
      <c r="A47" s="279"/>
      <c r="B47" t="s">
        <v>70</v>
      </c>
      <c r="C47" s="279">
        <v>45198</v>
      </c>
      <c r="D47" t="s">
        <v>573</v>
      </c>
    </row>
    <row r="48" spans="1:49" x14ac:dyDescent="0.25">
      <c r="A48" s="279"/>
      <c r="B48" t="s">
        <v>70</v>
      </c>
      <c r="C48" s="279">
        <v>45198</v>
      </c>
      <c r="D48" t="s">
        <v>578</v>
      </c>
      <c r="H48" s="284" t="s">
        <v>135</v>
      </c>
      <c r="I48" t="str" cm="1">
        <f t="array" ref="I48">_xlfn._xlws.FILTER(_xlfn.ANCHORARRAY(I$5), ISNUMBER(SEARCH($H48,_xlfn.ANCHORARRAY( I$5))), "--")</f>
        <v>--</v>
      </c>
      <c r="J48" t="str" cm="1">
        <f t="array" ref="J48">_xlfn._xlws.FILTER(_xlfn.ANCHORARRAY(J$5), ISNUMBER(SEARCH($H48,_xlfn.ANCHORARRAY( J$5))), "--")</f>
        <v>--</v>
      </c>
      <c r="K48" t="str" cm="1">
        <f t="array" ref="K48">_xlfn._xlws.FILTER(_xlfn.ANCHORARRAY(K$5), ISNUMBER(SEARCH($H48,_xlfn.ANCHORARRAY( K$5))), "--")</f>
        <v>--</v>
      </c>
      <c r="L48" t="str" cm="1">
        <f t="array" ref="L48">_xlfn._xlws.FILTER(_xlfn.ANCHORARRAY(L$5), ISNUMBER(SEARCH($H48,_xlfn.ANCHORARRAY( L$5))), "--")</f>
        <v>--</v>
      </c>
      <c r="M48" t="str" cm="1">
        <f t="array" ref="M48">_xlfn._xlws.FILTER(_xlfn.ANCHORARRAY(M$5), ISNUMBER(SEARCH($H48,_xlfn.ANCHORARRAY( M$5))), "--")</f>
        <v>--</v>
      </c>
      <c r="N48" t="str" cm="1">
        <f t="array" ref="N48:N49">_xlfn._xlws.FILTER(_xlfn.ANCHORARRAY(N$5), ISNUMBER(SEARCH($H48,_xlfn.ANCHORARRAY( N$5))), "--")</f>
        <v>Star Wars Battlefront</v>
      </c>
      <c r="O48" t="str" cm="1">
        <f t="array" ref="O48">_xlfn._xlws.FILTER(_xlfn.ANCHORARRAY(O$5), ISNUMBER(SEARCH($H48,_xlfn.ANCHORARRAY( O$5))), "--")</f>
        <v>--</v>
      </c>
      <c r="P48" t="str" cm="1">
        <f t="array" ref="P48">_xlfn._xlws.FILTER(_xlfn.ANCHORARRAY(P$5), ISNUMBER(SEARCH($H48,_xlfn.ANCHORARRAY( P$5))), "--")</f>
        <v>--</v>
      </c>
      <c r="Q48" t="str" cm="1">
        <f t="array" ref="Q48">_xlfn._xlws.FILTER(_xlfn.ANCHORARRAY(Q$5), ISNUMBER(SEARCH($H48,_xlfn.ANCHORARRAY( Q$5))), "--")</f>
        <v>--</v>
      </c>
      <c r="R48" t="str" cm="1">
        <f t="array" ref="R48">_xlfn._xlws.FILTER(_xlfn.ANCHORARRAY(R$5), ISNUMBER(SEARCH($H48,_xlfn.ANCHORARRAY( R$5))), "--")</f>
        <v>--</v>
      </c>
      <c r="S48" t="str" cm="1">
        <f t="array" ref="S48">_xlfn._xlws.FILTER(_xlfn.ANCHORARRAY(S$5), ISNUMBER(SEARCH($H48,_xlfn.ANCHORARRAY( S$5))), "--")</f>
        <v>--</v>
      </c>
      <c r="T48" t="str" cm="1">
        <f t="array" ref="T48">_xlfn._xlws.FILTER(_xlfn.ANCHORARRAY(T$5), ISNUMBER(SEARCH($H48,_xlfn.ANCHORARRAY( T$5))), "--")</f>
        <v>--</v>
      </c>
      <c r="U48" t="str" cm="1">
        <f t="array" ref="U48">_xlfn._xlws.FILTER(_xlfn.ANCHORARRAY(U$5), ISNUMBER(SEARCH($H48,_xlfn.ANCHORARRAY( U$5))), "--")</f>
        <v>--</v>
      </c>
      <c r="V48" t="str" cm="1">
        <f t="array" ref="V48">_xlfn._xlws.FILTER(_xlfn.ANCHORARRAY(V$5), ISNUMBER(SEARCH($H48,_xlfn.ANCHORARRAY( V$5))), "--")</f>
        <v>Star Wars Battlefront II</v>
      </c>
      <c r="W48" t="str" cm="1">
        <f t="array" ref="W48">_xlfn._xlws.FILTER(_xlfn.ANCHORARRAY(W$5), ISNUMBER(SEARCH($H48,_xlfn.ANCHORARRAY( W$5))), "--")</f>
        <v>--</v>
      </c>
      <c r="X48" t="str" cm="1">
        <f t="array" ref="X48">_xlfn._xlws.FILTER(_xlfn.ANCHORARRAY(X$5), ISNUMBER(SEARCH($H48,_xlfn.ANCHORARRAY( X$5))), "--")</f>
        <v>--</v>
      </c>
      <c r="Y48" t="str" cm="1">
        <f t="array" ref="Y48">_xlfn._xlws.FILTER(_xlfn.ANCHORARRAY(Y$5), ISNUMBER(SEARCH($H48,_xlfn.ANCHORARRAY( Y$5))), "--")</f>
        <v>--</v>
      </c>
      <c r="Z48" t="str" cm="1">
        <f t="array" ref="Z48">_xlfn._xlws.FILTER(_xlfn.ANCHORARRAY(Z$5), ISNUMBER(SEARCH($H48,_xlfn.ANCHORARRAY( Z$5))), "--")</f>
        <v>--</v>
      </c>
      <c r="AA48" t="str" cm="1">
        <f t="array" ref="AA48">_xlfn._xlws.FILTER(_xlfn.ANCHORARRAY(AA$5), ISNUMBER(SEARCH($H48,_xlfn.ANCHORARRAY( AA$5))), "--")</f>
        <v>--</v>
      </c>
      <c r="AB48" t="str" cm="1">
        <f t="array" ref="AB48">_xlfn._xlws.FILTER(_xlfn.ANCHORARRAY(AB$5), ISNUMBER(SEARCH($H48,_xlfn.ANCHORARRAY( AB$5))), "--")</f>
        <v>--</v>
      </c>
      <c r="AC48" t="str" cm="1">
        <f t="array" ref="AC48">_xlfn._xlws.FILTER(_xlfn.ANCHORARRAY(AC$5), ISNUMBER(SEARCH($H48,_xlfn.ANCHORARRAY( AC$5))), "--")</f>
        <v>--</v>
      </c>
      <c r="AD48" t="str" cm="1">
        <f t="array" ref="AD48">_xlfn._xlws.FILTER(_xlfn.ANCHORARRAY(AD$5), ISNUMBER(SEARCH($H48,_xlfn.ANCHORARRAY( AD$5))), "--")</f>
        <v>Star Wars Jedi: Fallen Order</v>
      </c>
      <c r="AE48" t="str" cm="1">
        <f t="array" ref="AE48">_xlfn._xlws.FILTER(_xlfn.ANCHORARRAY(AE$5), ISNUMBER(SEARCH($H48,_xlfn.ANCHORARRAY( AE$5))), "--")</f>
        <v>--</v>
      </c>
      <c r="AF48" t="str" cm="1">
        <f t="array" ref="AF48">_xlfn._xlws.FILTER(_xlfn.ANCHORARRAY(AF$5), ISNUMBER(SEARCH($H48,_xlfn.ANCHORARRAY( AF$5))), "--")</f>
        <v>--</v>
      </c>
      <c r="AG48" t="str" cm="1">
        <f t="array" ref="AG48">_xlfn._xlws.FILTER(_xlfn.ANCHORARRAY(AG$5), ISNUMBER(SEARCH($H48,_xlfn.ANCHORARRAY( AG$5))), "--")</f>
        <v>The Sims 4: Star Wars: Journey to Batuu</v>
      </c>
      <c r="AH48" t="str" cm="1">
        <f t="array" ref="AH48:AH49">_xlfn._xlws.FILTER(_xlfn.ANCHORARRAY(AH$5), ISNUMBER(SEARCH($H48,_xlfn.ANCHORARRAY( AH$5))), "--")</f>
        <v>Star Wars Jedi: Fallen Order</v>
      </c>
      <c r="AI48" t="str" cm="1">
        <f t="array" ref="AI48">_xlfn._xlws.FILTER(_xlfn.ANCHORARRAY(AI$5), ISNUMBER(SEARCH($H48,_xlfn.ANCHORARRAY( AI$5))), "--")</f>
        <v>--</v>
      </c>
      <c r="AJ48" t="str" cm="1">
        <f t="array" ref="AJ48">_xlfn._xlws.FILTER(_xlfn.ANCHORARRAY(AJ$5), ISNUMBER(SEARCH($H48,_xlfn.ANCHORARRAY( AJ$5))), "--")</f>
        <v>Star Wars Jedi: Fallen Order</v>
      </c>
      <c r="AK48" t="str" cm="1">
        <f t="array" ref="AK48">_xlfn._xlws.FILTER(_xlfn.ANCHORARRAY(AK$5), ISNUMBER(SEARCH($H48,_xlfn.ANCHORARRAY( AK$5))), "--")</f>
        <v>--</v>
      </c>
      <c r="AL48" t="str" cm="1">
        <f t="array" ref="AL48">_xlfn._xlws.FILTER(_xlfn.ANCHORARRAY(AL$5), ISNUMBER(SEARCH($H48,_xlfn.ANCHORARRAY( AL$5))), "--")</f>
        <v>--</v>
      </c>
      <c r="AM48" t="str" cm="1">
        <f t="array" ref="AM48">_xlfn._xlws.FILTER(_xlfn.ANCHORARRAY(AM$5), ISNUMBER(SEARCH($H48,_xlfn.ANCHORARRAY( AM$5))), "--")</f>
        <v>--</v>
      </c>
      <c r="AN48" t="str" cm="1">
        <f t="array" ref="AN48">_xlfn._xlws.FILTER(_xlfn.ANCHORARRAY(AN$5), ISNUMBER(SEARCH($H48,_xlfn.ANCHORARRAY( AN$5))), "--")</f>
        <v>--</v>
      </c>
      <c r="AO48" t="str" cm="1">
        <f t="array" ref="AO48">_xlfn._xlws.FILTER(_xlfn.ANCHORARRAY(AO$5), ISNUMBER(SEARCH($H48,_xlfn.ANCHORARRAY( AO$5))), "--")</f>
        <v>--</v>
      </c>
      <c r="AP48" t="str" cm="1">
        <f t="array" ref="AP48">_xlfn._xlws.FILTER(_xlfn.ANCHORARRAY(AP$5), ISNUMBER(SEARCH($H48,_xlfn.ANCHORARRAY( AP$5))), "--")</f>
        <v>--</v>
      </c>
      <c r="AQ48" t="str" cm="1">
        <f t="array" ref="AQ48">_xlfn._xlws.FILTER(_xlfn.ANCHORARRAY(AQ$5), ISNUMBER(SEARCH($H48,_xlfn.ANCHORARRAY( AQ$5))), "--")</f>
        <v>--</v>
      </c>
      <c r="AR48" t="str" cm="1">
        <f t="array" ref="AR48">_xlfn._xlws.FILTER(_xlfn.ANCHORARRAY(AR$5), ISNUMBER(SEARCH($H48,_xlfn.ANCHORARRAY( AR$5))), "--")</f>
        <v>Star Wars Jedi: Survivor</v>
      </c>
      <c r="AS48" t="str" cm="1">
        <f t="array" ref="AS48">_xlfn._xlws.FILTER(_xlfn.ANCHORARRAY(AS$5), ISNUMBER(SEARCH($H48,_xlfn.ANCHORARRAY( AS$5))), "--")</f>
        <v>--</v>
      </c>
      <c r="AT48" t="str" cm="1">
        <f t="array" ref="AT48">_xlfn._xlws.FILTER(_xlfn.ANCHORARRAY(AT$5), ISNUMBER(SEARCH($H48,_xlfn.ANCHORARRAY( AT$5))), "--")</f>
        <v>--</v>
      </c>
      <c r="AU48" t="str" cm="1">
        <f t="array" ref="AU48">_xlfn._xlws.FILTER(_xlfn.ANCHORARRAY(AU$5), ISNUMBER(SEARCH($H48,_xlfn.ANCHORARRAY( AU$5))), "--")</f>
        <v>--</v>
      </c>
      <c r="AV48" t="str" cm="1">
        <f t="array" ref="AV48">_xlfn._xlws.FILTER(_xlfn.ANCHORARRAY(AV$5), ISNUMBER(SEARCH($H48,_xlfn.ANCHORARRAY( AV$5))), "--")</f>
        <v>--</v>
      </c>
      <c r="AW48" t="str" cm="1">
        <f t="array" ref="AW48">_xlfn._xlws.FILTER(_xlfn.ANCHORARRAY(AW$5), ISNUMBER(SEARCH($H48,_xlfn.ANCHORARRAY( AW$5))), "--")</f>
        <v>--</v>
      </c>
    </row>
    <row r="49" spans="1:49" x14ac:dyDescent="0.25">
      <c r="A49" s="279"/>
      <c r="B49" t="s">
        <v>70</v>
      </c>
      <c r="C49" s="279">
        <v>45198</v>
      </c>
      <c r="D49" t="s">
        <v>574</v>
      </c>
      <c r="N49" t="str">
        <v>Star Wars: Galaxy of Heroes</v>
      </c>
      <c r="AH49" t="str">
        <v>Star Wars: Squadrons</v>
      </c>
    </row>
    <row r="50" spans="1:49" x14ac:dyDescent="0.25">
      <c r="A50" s="279"/>
      <c r="B50" t="s">
        <v>70</v>
      </c>
      <c r="C50" s="279">
        <v>45198</v>
      </c>
      <c r="D50" t="s">
        <v>575</v>
      </c>
    </row>
    <row r="51" spans="1:49" x14ac:dyDescent="0.25">
      <c r="A51" s="279"/>
      <c r="B51" t="s">
        <v>587</v>
      </c>
      <c r="C51" s="279">
        <v>45160</v>
      </c>
      <c r="D51" t="s">
        <v>573</v>
      </c>
      <c r="E51" t="s">
        <v>588</v>
      </c>
      <c r="H51" s="284" t="s">
        <v>589</v>
      </c>
      <c r="I51" t="str" cm="1">
        <f t="array" ref="I51">_xlfn._xlws.FILTER(_xlfn.ANCHORARRAY(I$5), ISNUMBER(SEARCH($H51,_xlfn.ANCHORARRAY( I$5))), "--")</f>
        <v>--</v>
      </c>
      <c r="J51" t="str" cm="1">
        <f t="array" ref="J51">_xlfn._xlws.FILTER(_xlfn.ANCHORARRAY(J$5), ISNUMBER(SEARCH($H51,_xlfn.ANCHORARRAY( J$5))), "--")</f>
        <v>--</v>
      </c>
      <c r="K51" t="str" cm="1">
        <f t="array" ref="K51">_xlfn._xlws.FILTER(_xlfn.ANCHORARRAY(K$5), ISNUMBER(SEARCH($H51,_xlfn.ANCHORARRAY( K$5))), "--")</f>
        <v>--</v>
      </c>
      <c r="L51" t="str" cm="1">
        <f t="array" ref="L51">_xlfn._xlws.FILTER(_xlfn.ANCHORARRAY(L$5), ISNUMBER(SEARCH($H51,_xlfn.ANCHORARRAY( L$5))), "--")</f>
        <v>--</v>
      </c>
      <c r="M51" t="str" cm="1">
        <f t="array" ref="M51">_xlfn._xlws.FILTER(_xlfn.ANCHORARRAY(M$5), ISNUMBER(SEARCH($H51,_xlfn.ANCHORARRAY( M$5))), "--")</f>
        <v>Need for Speed: No Limits</v>
      </c>
      <c r="N51" t="str" cm="1">
        <f t="array" ref="N51:N52">_xlfn._xlws.FILTER(_xlfn.ANCHORARRAY(N$5), ISNUMBER(SEARCH($H51,_xlfn.ANCHORARRAY( N$5))), "--")</f>
        <v>Need for Speed</v>
      </c>
      <c r="O51" t="str" cm="1">
        <f t="array" ref="O51">_xlfn._xlws.FILTER(_xlfn.ANCHORARRAY(O$5), ISNUMBER(SEARCH($H51,_xlfn.ANCHORARRAY( O$5))), "--")</f>
        <v>Need for Speed</v>
      </c>
      <c r="P51" t="str" cm="1">
        <f t="array" ref="P51">_xlfn._xlws.FILTER(_xlfn.ANCHORARRAY(P$5), ISNUMBER(SEARCH($H51,_xlfn.ANCHORARRAY( P$5))), "--")</f>
        <v>--</v>
      </c>
      <c r="Q51" t="str" cm="1">
        <f t="array" ref="Q51">_xlfn._xlws.FILTER(_xlfn.ANCHORARRAY(Q$5), ISNUMBER(SEARCH($H51,_xlfn.ANCHORARRAY( Q$5))), "--")</f>
        <v>--</v>
      </c>
      <c r="R51" t="str" cm="1">
        <f t="array" ref="R51">_xlfn._xlws.FILTER(_xlfn.ANCHORARRAY(R$5), ISNUMBER(SEARCH($H51,_xlfn.ANCHORARRAY( R$5))), "--")</f>
        <v>--</v>
      </c>
      <c r="S51" t="str" cm="1">
        <f t="array" ref="S51">_xlfn._xlws.FILTER(_xlfn.ANCHORARRAY(S$5), ISNUMBER(SEARCH($H51,_xlfn.ANCHORARRAY( S$5))), "--")</f>
        <v>--</v>
      </c>
      <c r="T51" t="str" cm="1">
        <f t="array" ref="T51">_xlfn._xlws.FILTER(_xlfn.ANCHORARRAY(T$5), ISNUMBER(SEARCH($H51,_xlfn.ANCHORARRAY( T$5))), "--")</f>
        <v>--</v>
      </c>
      <c r="U51" t="str" cm="1">
        <f t="array" ref="U51">_xlfn._xlws.FILTER(_xlfn.ANCHORARRAY(U$5), ISNUMBER(SEARCH($H51,_xlfn.ANCHORARRAY( U$5))), "--")</f>
        <v>--</v>
      </c>
      <c r="V51" t="str" cm="1">
        <f t="array" ref="V51">_xlfn._xlws.FILTER(_xlfn.ANCHORARRAY(V$5), ISNUMBER(SEARCH($H51,_xlfn.ANCHORARRAY( V$5))), "--")</f>
        <v>Need for Speed Payback</v>
      </c>
      <c r="W51" t="str" cm="1">
        <f t="array" ref="W51">_xlfn._xlws.FILTER(_xlfn.ANCHORARRAY(W$5), ISNUMBER(SEARCH($H51,_xlfn.ANCHORARRAY( W$5))), "--")</f>
        <v>--</v>
      </c>
      <c r="X51" t="str" cm="1">
        <f t="array" ref="X51">_xlfn._xlws.FILTER(_xlfn.ANCHORARRAY(X$5), ISNUMBER(SEARCH($H51,_xlfn.ANCHORARRAY( X$5))), "--")</f>
        <v>--</v>
      </c>
      <c r="Y51" t="str" cm="1">
        <f t="array" ref="Y51">_xlfn._xlws.FILTER(_xlfn.ANCHORARRAY(Y$5), ISNUMBER(SEARCH($H51,_xlfn.ANCHORARRAY( Y$5))), "--")</f>
        <v>--</v>
      </c>
      <c r="Z51" t="str" cm="1">
        <f t="array" ref="Z51">_xlfn._xlws.FILTER(_xlfn.ANCHORARRAY(Z$5), ISNUMBER(SEARCH($H51,_xlfn.ANCHORARRAY( Z$5))), "--")</f>
        <v>--</v>
      </c>
      <c r="AA51" t="str" cm="1">
        <f t="array" ref="AA51">_xlfn._xlws.FILTER(_xlfn.ANCHORARRAY(AA$5), ISNUMBER(SEARCH($H51,_xlfn.ANCHORARRAY( AA$5))), "--")</f>
        <v>--</v>
      </c>
      <c r="AB51" t="str" cm="1">
        <f t="array" ref="AB51">_xlfn._xlws.FILTER(_xlfn.ANCHORARRAY(AB$5), ISNUMBER(SEARCH($H51,_xlfn.ANCHORARRAY( AB$5))), "--")</f>
        <v>--</v>
      </c>
      <c r="AC51" t="str" cm="1">
        <f t="array" ref="AC51">_xlfn._xlws.FILTER(_xlfn.ANCHORARRAY(AC$5), ISNUMBER(SEARCH($H51,_xlfn.ANCHORARRAY( AC$5))), "--")</f>
        <v>--</v>
      </c>
      <c r="AD51" t="str" cm="1">
        <f t="array" ref="AD51">_xlfn._xlws.FILTER(_xlfn.ANCHORARRAY(AD$5), ISNUMBER(SEARCH($H51,_xlfn.ANCHORARRAY( AD$5))), "--")</f>
        <v>--</v>
      </c>
      <c r="AE51" t="str" cm="1">
        <f t="array" ref="AE51">_xlfn._xlws.FILTER(_xlfn.ANCHORARRAY(AE$5), ISNUMBER(SEARCH($H51,_xlfn.ANCHORARRAY( AE$5))), "--")</f>
        <v>--</v>
      </c>
      <c r="AF51" t="str" cm="1">
        <f t="array" ref="AF51">_xlfn._xlws.FILTER(_xlfn.ANCHORARRAY(AF$5), ISNUMBER(SEARCH($H51,_xlfn.ANCHORARRAY( AF$5))), "--")</f>
        <v>--</v>
      </c>
      <c r="AG51" t="str" cm="1">
        <f t="array" ref="AG51">_xlfn._xlws.FILTER(_xlfn.ANCHORARRAY(AG$5), ISNUMBER(SEARCH($H51,_xlfn.ANCHORARRAY( AG$5))), "--")</f>
        <v>--</v>
      </c>
      <c r="AH51" t="str" cm="1">
        <f t="array" ref="AH51">_xlfn._xlws.FILTER(_xlfn.ANCHORARRAY(AH$5), ISNUMBER(SEARCH($H51,_xlfn.ANCHORARRAY( AH$5))), "--")</f>
        <v>Need for Speed: Hot Pursuit Remastered</v>
      </c>
      <c r="AI51" t="str" cm="1">
        <f t="array" ref="AI51">_xlfn._xlws.FILTER(_xlfn.ANCHORARRAY(AI$5), ISNUMBER(SEARCH($H51,_xlfn.ANCHORARRAY( AI$5))), "--")</f>
        <v>--</v>
      </c>
      <c r="AJ51" t="str" cm="1">
        <f t="array" ref="AJ51">_xlfn._xlws.FILTER(_xlfn.ANCHORARRAY(AJ$5), ISNUMBER(SEARCH($H51,_xlfn.ANCHORARRAY( AJ$5))), "--")</f>
        <v>--</v>
      </c>
      <c r="AK51" t="str" cm="1">
        <f t="array" ref="AK51">_xlfn._xlws.FILTER(_xlfn.ANCHORARRAY(AK$5), ISNUMBER(SEARCH($H51,_xlfn.ANCHORARRAY( AK$5))), "--")</f>
        <v>--</v>
      </c>
      <c r="AL51" t="str" cm="1">
        <f t="array" ref="AL51">_xlfn._xlws.FILTER(_xlfn.ANCHORARRAY(AL$5), ISNUMBER(SEARCH($H51,_xlfn.ANCHORARRAY( AL$5))), "--")</f>
        <v>--</v>
      </c>
      <c r="AM51" t="str" cm="1">
        <f t="array" ref="AM51">_xlfn._xlws.FILTER(_xlfn.ANCHORARRAY(AM$5), ISNUMBER(SEARCH($H51,_xlfn.ANCHORARRAY( AM$5))), "--")</f>
        <v>--</v>
      </c>
      <c r="AN51" t="str" cm="1">
        <f t="array" ref="AN51">_xlfn._xlws.FILTER(_xlfn.ANCHORARRAY(AN$5), ISNUMBER(SEARCH($H51,_xlfn.ANCHORARRAY( AN$5))), "--")</f>
        <v>--</v>
      </c>
      <c r="AO51" t="str" cm="1">
        <f t="array" ref="AO51">_xlfn._xlws.FILTER(_xlfn.ANCHORARRAY(AO$5), ISNUMBER(SEARCH($H51,_xlfn.ANCHORARRAY( AO$5))), "--")</f>
        <v>--</v>
      </c>
      <c r="AP51" t="str" cm="1">
        <f t="array" ref="AP51">_xlfn._xlws.FILTER(_xlfn.ANCHORARRAY(AP$5), ISNUMBER(SEARCH($H51,_xlfn.ANCHORARRAY( AP$5))), "--")</f>
        <v>Need for Speed Unbound</v>
      </c>
      <c r="AQ51" t="str" cm="1">
        <f t="array" ref="AQ51">_xlfn._xlws.FILTER(_xlfn.ANCHORARRAY(AQ$5), ISNUMBER(SEARCH($H51,_xlfn.ANCHORARRAY( AQ$5))), "--")</f>
        <v>--</v>
      </c>
      <c r="AR51" t="str" cm="1">
        <f t="array" ref="AR51">_xlfn._xlws.FILTER(_xlfn.ANCHORARRAY(AR$5), ISNUMBER(SEARCH($H51,_xlfn.ANCHORARRAY( AR$5))), "--")</f>
        <v>--</v>
      </c>
      <c r="AS51" t="str" cm="1">
        <f t="array" ref="AS51">_xlfn._xlws.FILTER(_xlfn.ANCHORARRAY(AS$5), ISNUMBER(SEARCH($H51,_xlfn.ANCHORARRAY( AS$5))), "--")</f>
        <v>--</v>
      </c>
      <c r="AT51" t="str" cm="1">
        <f t="array" ref="AT51">_xlfn._xlws.FILTER(_xlfn.ANCHORARRAY(AT$5), ISNUMBER(SEARCH($H51,_xlfn.ANCHORARRAY( AT$5))), "--")</f>
        <v>--</v>
      </c>
      <c r="AU51" t="str" cm="1">
        <f t="array" ref="AU51">_xlfn._xlws.FILTER(_xlfn.ANCHORARRAY(AU$5), ISNUMBER(SEARCH($H51,_xlfn.ANCHORARRAY( AU$5))), "--")</f>
        <v>--</v>
      </c>
      <c r="AV51" t="str" cm="1">
        <f t="array" ref="AV51">_xlfn._xlws.FILTER(_xlfn.ANCHORARRAY(AV$5), ISNUMBER(SEARCH($H51,_xlfn.ANCHORARRAY( AV$5))), "--")</f>
        <v>--</v>
      </c>
      <c r="AW51" t="str" cm="1">
        <f t="array" ref="AW51">_xlfn._xlws.FILTER(_xlfn.ANCHORARRAY(AW$5), ISNUMBER(SEARCH($H51,_xlfn.ANCHORARRAY( AW$5))), "--")</f>
        <v>--</v>
      </c>
    </row>
    <row r="52" spans="1:49" x14ac:dyDescent="0.25">
      <c r="A52" s="279"/>
      <c r="B52" t="s">
        <v>587</v>
      </c>
      <c r="C52" s="279">
        <v>45160</v>
      </c>
      <c r="D52" t="s">
        <v>574</v>
      </c>
      <c r="N52" t="str">
        <v>Need for Speed: No Limits</v>
      </c>
    </row>
    <row r="53" spans="1:49" x14ac:dyDescent="0.25">
      <c r="A53" s="279"/>
      <c r="B53" t="s">
        <v>587</v>
      </c>
      <c r="C53" s="279">
        <v>45160</v>
      </c>
      <c r="D53" t="s">
        <v>575</v>
      </c>
    </row>
    <row r="54" spans="1:49" x14ac:dyDescent="0.25">
      <c r="A54" s="279"/>
      <c r="B54" t="s">
        <v>119</v>
      </c>
      <c r="C54" s="279">
        <v>45156</v>
      </c>
      <c r="D54" t="s">
        <v>582</v>
      </c>
      <c r="E54" t="s">
        <v>590</v>
      </c>
    </row>
    <row r="55" spans="1:49" x14ac:dyDescent="0.25">
      <c r="A55" s="279"/>
      <c r="B55" t="s">
        <v>119</v>
      </c>
      <c r="C55" s="279">
        <v>45156</v>
      </c>
      <c r="D55" t="s">
        <v>576</v>
      </c>
      <c r="G55" s="279"/>
    </row>
    <row r="56" spans="1:49" x14ac:dyDescent="0.25">
      <c r="A56" s="279"/>
      <c r="B56" t="s">
        <v>119</v>
      </c>
      <c r="C56" s="279">
        <v>45156</v>
      </c>
      <c r="D56" t="s">
        <v>573</v>
      </c>
      <c r="G56" s="279"/>
    </row>
    <row r="57" spans="1:49" x14ac:dyDescent="0.25">
      <c r="A57" s="279"/>
      <c r="B57" t="s">
        <v>119</v>
      </c>
      <c r="C57" s="279">
        <v>45156</v>
      </c>
      <c r="D57" t="s">
        <v>578</v>
      </c>
      <c r="G57" s="279"/>
    </row>
    <row r="58" spans="1:49" x14ac:dyDescent="0.25">
      <c r="A58" s="279"/>
      <c r="B58" t="s">
        <v>119</v>
      </c>
      <c r="C58" s="279">
        <v>45156</v>
      </c>
      <c r="D58" t="s">
        <v>574</v>
      </c>
      <c r="G58" s="279"/>
    </row>
    <row r="59" spans="1:49" x14ac:dyDescent="0.25">
      <c r="A59" s="279"/>
      <c r="B59" t="s">
        <v>119</v>
      </c>
      <c r="C59" s="279">
        <v>45156</v>
      </c>
      <c r="D59" t="s">
        <v>575</v>
      </c>
      <c r="G59" s="279"/>
    </row>
    <row r="60" spans="1:49" x14ac:dyDescent="0.25">
      <c r="A60" s="279"/>
      <c r="B60" t="s">
        <v>96</v>
      </c>
      <c r="C60" s="279">
        <v>45127</v>
      </c>
      <c r="D60" t="s">
        <v>582</v>
      </c>
      <c r="E60" t="s">
        <v>583</v>
      </c>
      <c r="G60" s="279"/>
    </row>
    <row r="61" spans="1:49" x14ac:dyDescent="0.25">
      <c r="A61" s="279"/>
      <c r="B61" t="s">
        <v>96</v>
      </c>
      <c r="C61" s="279">
        <v>45127</v>
      </c>
      <c r="D61" t="s">
        <v>576</v>
      </c>
      <c r="G61" s="279"/>
    </row>
    <row r="62" spans="1:49" x14ac:dyDescent="0.25">
      <c r="A62" s="279"/>
      <c r="B62" t="s">
        <v>96</v>
      </c>
      <c r="C62" s="279">
        <v>45127</v>
      </c>
      <c r="D62" t="s">
        <v>575</v>
      </c>
      <c r="G62" s="279"/>
    </row>
    <row r="63" spans="1:49" x14ac:dyDescent="0.25">
      <c r="A63" s="279"/>
      <c r="B63" t="s">
        <v>96</v>
      </c>
      <c r="C63" s="279">
        <v>45127</v>
      </c>
      <c r="D63" t="s">
        <v>578</v>
      </c>
      <c r="G63" s="279"/>
    </row>
    <row r="64" spans="1:49" x14ac:dyDescent="0.25">
      <c r="A64" s="279"/>
      <c r="B64" t="s">
        <v>130</v>
      </c>
      <c r="C64" s="279">
        <v>45093</v>
      </c>
      <c r="D64" t="s">
        <v>576</v>
      </c>
      <c r="E64" t="s">
        <v>577</v>
      </c>
      <c r="G64" s="279"/>
    </row>
    <row r="65" spans="1:7" x14ac:dyDescent="0.25">
      <c r="A65" s="279"/>
      <c r="B65" t="s">
        <v>130</v>
      </c>
      <c r="C65" s="279">
        <v>45093</v>
      </c>
      <c r="D65" t="s">
        <v>573</v>
      </c>
      <c r="G65" s="279"/>
    </row>
    <row r="66" spans="1:7" x14ac:dyDescent="0.25">
      <c r="A66" s="279"/>
      <c r="B66" t="s">
        <v>130</v>
      </c>
      <c r="C66" s="279">
        <v>45093</v>
      </c>
      <c r="D66" t="s">
        <v>578</v>
      </c>
      <c r="G66" s="279"/>
    </row>
    <row r="67" spans="1:7" x14ac:dyDescent="0.25">
      <c r="A67" s="279"/>
      <c r="B67" t="s">
        <v>130</v>
      </c>
      <c r="C67" s="279">
        <v>45093</v>
      </c>
      <c r="D67" t="s">
        <v>574</v>
      </c>
      <c r="G67" s="279"/>
    </row>
    <row r="68" spans="1:7" x14ac:dyDescent="0.25">
      <c r="A68" s="279"/>
      <c r="B68" t="s">
        <v>130</v>
      </c>
      <c r="C68" s="279">
        <v>45093</v>
      </c>
      <c r="D68" t="s">
        <v>575</v>
      </c>
    </row>
    <row r="69" spans="1:7" x14ac:dyDescent="0.25">
      <c r="A69" s="279"/>
      <c r="B69" t="s">
        <v>591</v>
      </c>
      <c r="C69" s="279">
        <v>45079</v>
      </c>
      <c r="D69" t="s">
        <v>27</v>
      </c>
      <c r="E69" t="s">
        <v>592</v>
      </c>
    </row>
    <row r="70" spans="1:7" x14ac:dyDescent="0.25">
      <c r="A70" s="279"/>
      <c r="B70" t="s">
        <v>591</v>
      </c>
      <c r="C70" s="279">
        <v>45079</v>
      </c>
      <c r="D70" t="s">
        <v>576</v>
      </c>
    </row>
    <row r="71" spans="1:7" x14ac:dyDescent="0.25">
      <c r="A71" s="279"/>
      <c r="B71" t="s">
        <v>591</v>
      </c>
      <c r="C71" s="279">
        <v>45079</v>
      </c>
      <c r="D71" t="s">
        <v>573</v>
      </c>
    </row>
    <row r="72" spans="1:7" x14ac:dyDescent="0.25">
      <c r="A72" s="279"/>
      <c r="B72" t="s">
        <v>591</v>
      </c>
      <c r="C72" s="279">
        <v>45079</v>
      </c>
      <c r="D72" t="s">
        <v>578</v>
      </c>
    </row>
    <row r="73" spans="1:7" x14ac:dyDescent="0.25">
      <c r="A73" s="279"/>
      <c r="B73" t="s">
        <v>591</v>
      </c>
      <c r="C73" s="279">
        <v>45079</v>
      </c>
      <c r="D73" t="s">
        <v>574</v>
      </c>
    </row>
    <row r="74" spans="1:7" x14ac:dyDescent="0.25">
      <c r="A74" s="279"/>
      <c r="B74" t="s">
        <v>591</v>
      </c>
      <c r="C74" s="279">
        <v>45079</v>
      </c>
      <c r="D74" t="s">
        <v>575</v>
      </c>
    </row>
    <row r="75" spans="1:7" x14ac:dyDescent="0.25">
      <c r="A75" s="279"/>
      <c r="B75" t="s">
        <v>593</v>
      </c>
      <c r="C75" s="279">
        <v>45056</v>
      </c>
      <c r="D75" t="s">
        <v>570</v>
      </c>
      <c r="E75" t="s">
        <v>594</v>
      </c>
    </row>
    <row r="76" spans="1:7" x14ac:dyDescent="0.25">
      <c r="A76" s="279"/>
      <c r="B76" t="s">
        <v>593</v>
      </c>
      <c r="C76" s="279">
        <v>45056</v>
      </c>
      <c r="D76" t="s">
        <v>568</v>
      </c>
    </row>
    <row r="77" spans="1:7" x14ac:dyDescent="0.25">
      <c r="A77" s="279"/>
      <c r="B77" t="s">
        <v>45</v>
      </c>
      <c r="C77" s="279">
        <v>45044</v>
      </c>
      <c r="D77" t="s">
        <v>573</v>
      </c>
      <c r="E77" t="s">
        <v>549</v>
      </c>
    </row>
    <row r="78" spans="1:7" x14ac:dyDescent="0.25">
      <c r="A78" s="279"/>
      <c r="B78" t="s">
        <v>45</v>
      </c>
      <c r="C78" s="279">
        <v>45044</v>
      </c>
      <c r="D78" t="s">
        <v>574</v>
      </c>
    </row>
    <row r="79" spans="1:7" x14ac:dyDescent="0.25">
      <c r="A79" s="279"/>
      <c r="B79" t="s">
        <v>45</v>
      </c>
      <c r="C79" s="279">
        <v>45044</v>
      </c>
      <c r="D79" t="s">
        <v>575</v>
      </c>
    </row>
    <row r="80" spans="1:7" x14ac:dyDescent="0.25">
      <c r="A80" s="279"/>
      <c r="B80" t="s">
        <v>595</v>
      </c>
      <c r="C80" s="279">
        <v>45023</v>
      </c>
      <c r="D80" t="s">
        <v>573</v>
      </c>
      <c r="E80" t="s">
        <v>590</v>
      </c>
    </row>
    <row r="81" spans="1:5" x14ac:dyDescent="0.25">
      <c r="A81" s="279"/>
      <c r="B81" t="s">
        <v>595</v>
      </c>
      <c r="C81" s="279">
        <v>45023</v>
      </c>
      <c r="D81" t="s">
        <v>574</v>
      </c>
    </row>
    <row r="82" spans="1:5" x14ac:dyDescent="0.25">
      <c r="A82" s="279"/>
      <c r="B82" t="s">
        <v>595</v>
      </c>
      <c r="C82" s="279">
        <v>45023</v>
      </c>
      <c r="D82" t="s">
        <v>575</v>
      </c>
    </row>
    <row r="83" spans="1:5" x14ac:dyDescent="0.25">
      <c r="A83" s="279"/>
      <c r="B83" t="s">
        <v>95</v>
      </c>
      <c r="C83" s="279">
        <v>45001</v>
      </c>
      <c r="D83" t="s">
        <v>582</v>
      </c>
      <c r="E83" t="s">
        <v>583</v>
      </c>
    </row>
    <row r="84" spans="1:5" x14ac:dyDescent="0.25">
      <c r="A84" s="279"/>
      <c r="B84" t="s">
        <v>95</v>
      </c>
      <c r="C84" s="279">
        <v>45001</v>
      </c>
      <c r="D84" t="s">
        <v>576</v>
      </c>
    </row>
    <row r="85" spans="1:5" x14ac:dyDescent="0.25">
      <c r="A85" s="279"/>
      <c r="B85" t="s">
        <v>95</v>
      </c>
      <c r="C85" s="279">
        <v>45001</v>
      </c>
      <c r="D85" t="s">
        <v>578</v>
      </c>
    </row>
    <row r="86" spans="1:5" x14ac:dyDescent="0.25">
      <c r="A86" s="279"/>
      <c r="B86" t="s">
        <v>95</v>
      </c>
      <c r="C86" s="279">
        <v>45001</v>
      </c>
      <c r="D86" t="s">
        <v>574</v>
      </c>
    </row>
    <row r="87" spans="1:5" x14ac:dyDescent="0.25">
      <c r="A87" s="279"/>
      <c r="B87" t="s">
        <v>95</v>
      </c>
      <c r="C87" s="279">
        <v>45001</v>
      </c>
      <c r="D87" t="s">
        <v>575</v>
      </c>
    </row>
    <row r="88" spans="1:5" x14ac:dyDescent="0.25">
      <c r="A88" s="279"/>
      <c r="B88" t="s">
        <v>596</v>
      </c>
      <c r="C88" s="279">
        <v>44974</v>
      </c>
      <c r="D88" t="s">
        <v>573</v>
      </c>
      <c r="E88" t="s">
        <v>597</v>
      </c>
    </row>
    <row r="89" spans="1:5" x14ac:dyDescent="0.25">
      <c r="A89" s="279"/>
      <c r="B89" t="s">
        <v>596</v>
      </c>
      <c r="C89" s="279">
        <v>44974</v>
      </c>
      <c r="D89" t="s">
        <v>574</v>
      </c>
    </row>
    <row r="90" spans="1:5" x14ac:dyDescent="0.25">
      <c r="A90" s="279"/>
      <c r="B90" t="s">
        <v>596</v>
      </c>
      <c r="C90" s="279">
        <v>44974</v>
      </c>
      <c r="D90" t="s">
        <v>575</v>
      </c>
    </row>
    <row r="91" spans="1:5" x14ac:dyDescent="0.25">
      <c r="A91" s="279"/>
      <c r="B91" t="s">
        <v>598</v>
      </c>
      <c r="C91" s="279">
        <v>44953</v>
      </c>
      <c r="D91" t="s">
        <v>573</v>
      </c>
      <c r="E91" t="s">
        <v>555</v>
      </c>
    </row>
    <row r="92" spans="1:5" x14ac:dyDescent="0.25">
      <c r="A92" s="279"/>
      <c r="B92" t="s">
        <v>599</v>
      </c>
      <c r="C92" s="279">
        <v>44938</v>
      </c>
      <c r="D92" t="s">
        <v>600</v>
      </c>
    </row>
    <row r="93" spans="1:5" x14ac:dyDescent="0.25">
      <c r="A93" s="279"/>
      <c r="B93" t="s">
        <v>143</v>
      </c>
      <c r="C93" s="279">
        <v>44897</v>
      </c>
      <c r="D93" t="s">
        <v>573</v>
      </c>
      <c r="E93" t="s">
        <v>601</v>
      </c>
    </row>
    <row r="94" spans="1:5" x14ac:dyDescent="0.25">
      <c r="A94" s="279"/>
      <c r="B94" t="s">
        <v>143</v>
      </c>
      <c r="C94" s="279">
        <v>44897</v>
      </c>
      <c r="D94" t="s">
        <v>574</v>
      </c>
    </row>
    <row r="95" spans="1:5" x14ac:dyDescent="0.25">
      <c r="A95" s="279"/>
      <c r="B95" t="s">
        <v>143</v>
      </c>
      <c r="C95" s="279">
        <v>44897</v>
      </c>
      <c r="D95" t="s">
        <v>575</v>
      </c>
    </row>
    <row r="96" spans="1:5" x14ac:dyDescent="0.25">
      <c r="A96" s="279"/>
      <c r="B96" t="s">
        <v>602</v>
      </c>
      <c r="C96" s="279">
        <v>44869</v>
      </c>
      <c r="D96" t="s">
        <v>27</v>
      </c>
    </row>
    <row r="97" spans="1:5" x14ac:dyDescent="0.25">
      <c r="A97" s="279"/>
      <c r="B97" t="s">
        <v>108</v>
      </c>
      <c r="C97" s="279">
        <v>44848</v>
      </c>
      <c r="D97" t="s">
        <v>576</v>
      </c>
      <c r="E97" t="s">
        <v>585</v>
      </c>
    </row>
    <row r="98" spans="1:5" x14ac:dyDescent="0.25">
      <c r="A98" s="279"/>
      <c r="B98" t="s">
        <v>108</v>
      </c>
      <c r="C98" s="279">
        <v>44848</v>
      </c>
      <c r="D98" t="s">
        <v>573</v>
      </c>
    </row>
    <row r="99" spans="1:5" x14ac:dyDescent="0.25">
      <c r="A99" s="279"/>
      <c r="B99" t="s">
        <v>108</v>
      </c>
      <c r="C99" s="279">
        <v>44848</v>
      </c>
      <c r="D99" t="s">
        <v>578</v>
      </c>
    </row>
    <row r="100" spans="1:5" x14ac:dyDescent="0.25">
      <c r="A100" s="279"/>
      <c r="B100" t="s">
        <v>108</v>
      </c>
      <c r="C100" s="279">
        <v>44848</v>
      </c>
      <c r="D100" t="s">
        <v>574</v>
      </c>
    </row>
    <row r="101" spans="1:5" x14ac:dyDescent="0.25">
      <c r="A101" s="279"/>
      <c r="B101" t="s">
        <v>51</v>
      </c>
      <c r="C101" s="279">
        <v>44834</v>
      </c>
      <c r="D101" t="s">
        <v>27</v>
      </c>
      <c r="E101" t="s">
        <v>586</v>
      </c>
    </row>
    <row r="102" spans="1:5" x14ac:dyDescent="0.25">
      <c r="A102" s="279"/>
      <c r="B102" t="s">
        <v>51</v>
      </c>
      <c r="C102" s="279">
        <v>44834</v>
      </c>
      <c r="D102" t="s">
        <v>576</v>
      </c>
    </row>
    <row r="103" spans="1:5" x14ac:dyDescent="0.25">
      <c r="A103" s="279"/>
      <c r="B103" t="s">
        <v>51</v>
      </c>
      <c r="C103" s="279">
        <v>44834</v>
      </c>
      <c r="D103" t="s">
        <v>573</v>
      </c>
    </row>
    <row r="104" spans="1:5" x14ac:dyDescent="0.25">
      <c r="A104" s="279"/>
      <c r="B104" t="s">
        <v>51</v>
      </c>
      <c r="C104" s="279">
        <v>44834</v>
      </c>
      <c r="D104" t="s">
        <v>578</v>
      </c>
    </row>
    <row r="105" spans="1:5" x14ac:dyDescent="0.25">
      <c r="A105" s="279"/>
      <c r="B105" t="s">
        <v>51</v>
      </c>
      <c r="C105" s="279">
        <v>44834</v>
      </c>
      <c r="D105" t="s">
        <v>574</v>
      </c>
    </row>
    <row r="106" spans="1:5" x14ac:dyDescent="0.25">
      <c r="A106" s="279"/>
      <c r="B106" t="s">
        <v>51</v>
      </c>
      <c r="C106" s="279">
        <v>44834</v>
      </c>
      <c r="D106" t="s">
        <v>575</v>
      </c>
    </row>
    <row r="107" spans="1:5" x14ac:dyDescent="0.25">
      <c r="A107" s="279"/>
      <c r="B107" t="s">
        <v>118</v>
      </c>
      <c r="C107" s="279">
        <v>44792</v>
      </c>
      <c r="D107" t="s">
        <v>582</v>
      </c>
      <c r="E107" t="s">
        <v>590</v>
      </c>
    </row>
    <row r="108" spans="1:5" x14ac:dyDescent="0.25">
      <c r="A108" s="279"/>
      <c r="B108" t="s">
        <v>118</v>
      </c>
      <c r="C108" s="279">
        <v>44792</v>
      </c>
      <c r="D108" t="s">
        <v>576</v>
      </c>
    </row>
    <row r="109" spans="1:5" x14ac:dyDescent="0.25">
      <c r="A109" s="279"/>
      <c r="B109" t="s">
        <v>118</v>
      </c>
      <c r="C109" s="279">
        <v>44792</v>
      </c>
      <c r="D109" t="s">
        <v>573</v>
      </c>
    </row>
    <row r="110" spans="1:5" x14ac:dyDescent="0.25">
      <c r="A110" s="279"/>
      <c r="B110" t="s">
        <v>118</v>
      </c>
      <c r="C110" s="279">
        <v>44792</v>
      </c>
      <c r="D110" t="s">
        <v>578</v>
      </c>
    </row>
    <row r="111" spans="1:5" x14ac:dyDescent="0.25">
      <c r="A111" s="279"/>
      <c r="B111" t="s">
        <v>118</v>
      </c>
      <c r="C111" s="279">
        <v>44792</v>
      </c>
      <c r="D111" t="s">
        <v>574</v>
      </c>
    </row>
    <row r="112" spans="1:5" x14ac:dyDescent="0.25">
      <c r="A112" s="279"/>
      <c r="B112" t="s">
        <v>118</v>
      </c>
      <c r="C112" s="279">
        <v>44792</v>
      </c>
      <c r="D112" t="s">
        <v>575</v>
      </c>
    </row>
    <row r="113" spans="1:5" x14ac:dyDescent="0.25">
      <c r="A113" s="279"/>
      <c r="B113" t="s">
        <v>94</v>
      </c>
      <c r="C113" s="279">
        <v>44770</v>
      </c>
      <c r="D113" t="s">
        <v>582</v>
      </c>
      <c r="E113" t="s">
        <v>583</v>
      </c>
    </row>
    <row r="114" spans="1:5" x14ac:dyDescent="0.25">
      <c r="A114" s="279"/>
      <c r="B114" t="s">
        <v>94</v>
      </c>
      <c r="C114" s="279">
        <v>44770</v>
      </c>
      <c r="D114" t="s">
        <v>573</v>
      </c>
    </row>
    <row r="115" spans="1:5" x14ac:dyDescent="0.25">
      <c r="A115" s="279"/>
      <c r="B115" t="s">
        <v>94</v>
      </c>
      <c r="C115" s="279">
        <v>44770</v>
      </c>
      <c r="D115" t="s">
        <v>578</v>
      </c>
    </row>
    <row r="116" spans="1:5" x14ac:dyDescent="0.25">
      <c r="A116" s="279"/>
      <c r="B116" t="s">
        <v>94</v>
      </c>
      <c r="C116" s="279">
        <v>44770</v>
      </c>
      <c r="D116" t="s">
        <v>574</v>
      </c>
    </row>
    <row r="117" spans="1:5" x14ac:dyDescent="0.25">
      <c r="A117" s="279"/>
      <c r="B117" t="s">
        <v>94</v>
      </c>
      <c r="C117" s="279">
        <v>44770</v>
      </c>
      <c r="D117" t="s">
        <v>575</v>
      </c>
    </row>
    <row r="118" spans="1:5" x14ac:dyDescent="0.25">
      <c r="A118" s="279"/>
      <c r="B118" t="s">
        <v>129</v>
      </c>
      <c r="C118" s="279">
        <v>44743</v>
      </c>
      <c r="D118" t="s">
        <v>576</v>
      </c>
      <c r="E118" t="s">
        <v>577</v>
      </c>
    </row>
    <row r="119" spans="1:5" x14ac:dyDescent="0.25">
      <c r="A119" s="279"/>
      <c r="B119" t="s">
        <v>129</v>
      </c>
      <c r="C119" s="279">
        <v>44743</v>
      </c>
      <c r="D119" t="s">
        <v>573</v>
      </c>
    </row>
    <row r="120" spans="1:5" x14ac:dyDescent="0.25">
      <c r="A120" s="279"/>
      <c r="B120" t="s">
        <v>129</v>
      </c>
      <c r="C120" s="279">
        <v>44743</v>
      </c>
      <c r="D120" t="s">
        <v>578</v>
      </c>
    </row>
    <row r="121" spans="1:5" x14ac:dyDescent="0.25">
      <c r="A121" s="279"/>
      <c r="B121" t="s">
        <v>129</v>
      </c>
      <c r="C121" s="279">
        <v>44743</v>
      </c>
      <c r="D121" t="s">
        <v>574</v>
      </c>
    </row>
    <row r="122" spans="1:5" x14ac:dyDescent="0.25">
      <c r="A122" s="279"/>
      <c r="B122" t="s">
        <v>129</v>
      </c>
      <c r="C122" s="279">
        <v>44743</v>
      </c>
      <c r="D122" t="s">
        <v>575</v>
      </c>
    </row>
    <row r="123" spans="1:5" x14ac:dyDescent="0.25">
      <c r="A123" s="279"/>
      <c r="B123" t="s">
        <v>93</v>
      </c>
      <c r="C123" s="279">
        <v>44728</v>
      </c>
      <c r="D123" t="s">
        <v>582</v>
      </c>
      <c r="E123" t="s">
        <v>583</v>
      </c>
    </row>
    <row r="124" spans="1:5" x14ac:dyDescent="0.25">
      <c r="A124" s="279"/>
      <c r="B124" t="s">
        <v>93</v>
      </c>
      <c r="C124" s="279">
        <v>44728</v>
      </c>
      <c r="D124" t="s">
        <v>576</v>
      </c>
    </row>
    <row r="125" spans="1:5" x14ac:dyDescent="0.25">
      <c r="A125" s="279"/>
      <c r="B125" t="s">
        <v>93</v>
      </c>
      <c r="C125" s="279">
        <v>44728</v>
      </c>
      <c r="D125" t="s">
        <v>575</v>
      </c>
    </row>
    <row r="126" spans="1:5" x14ac:dyDescent="0.25">
      <c r="A126" s="279"/>
      <c r="B126" t="s">
        <v>93</v>
      </c>
      <c r="C126" s="279">
        <v>44728</v>
      </c>
      <c r="D126" t="s">
        <v>578</v>
      </c>
    </row>
    <row r="127" spans="1:5" x14ac:dyDescent="0.25">
      <c r="A127" s="279"/>
      <c r="B127" t="s">
        <v>42</v>
      </c>
      <c r="C127" s="279">
        <v>44698</v>
      </c>
      <c r="D127" t="s">
        <v>568</v>
      </c>
      <c r="E127" t="s">
        <v>549</v>
      </c>
    </row>
    <row r="128" spans="1:5" x14ac:dyDescent="0.25">
      <c r="A128" s="279"/>
      <c r="B128" t="s">
        <v>42</v>
      </c>
      <c r="C128" s="279">
        <v>44698</v>
      </c>
      <c r="D128" t="s">
        <v>570</v>
      </c>
      <c r="E128" t="s">
        <v>549</v>
      </c>
    </row>
    <row r="129" spans="1:5" x14ac:dyDescent="0.25">
      <c r="A129" s="279"/>
      <c r="B129" t="s">
        <v>42</v>
      </c>
      <c r="C129" s="279">
        <v>44649</v>
      </c>
      <c r="D129" t="s">
        <v>573</v>
      </c>
      <c r="E129" t="s">
        <v>549</v>
      </c>
    </row>
    <row r="130" spans="1:5" x14ac:dyDescent="0.25">
      <c r="A130" s="279"/>
      <c r="B130" t="s">
        <v>42</v>
      </c>
      <c r="C130" s="279">
        <v>44649</v>
      </c>
      <c r="D130" t="s">
        <v>574</v>
      </c>
      <c r="E130" t="s">
        <v>549</v>
      </c>
    </row>
    <row r="131" spans="1:5" x14ac:dyDescent="0.25">
      <c r="A131" s="279"/>
      <c r="B131" t="s">
        <v>599</v>
      </c>
      <c r="C131" s="279">
        <v>44617</v>
      </c>
      <c r="D131" t="s">
        <v>582</v>
      </c>
    </row>
    <row r="132" spans="1:5" x14ac:dyDescent="0.25">
      <c r="A132" s="279"/>
      <c r="B132" t="s">
        <v>599</v>
      </c>
      <c r="C132" s="279">
        <v>44617</v>
      </c>
      <c r="D132" t="s">
        <v>576</v>
      </c>
      <c r="E132" t="s">
        <v>577</v>
      </c>
    </row>
    <row r="133" spans="1:5" x14ac:dyDescent="0.25">
      <c r="A133" s="279"/>
      <c r="B133" t="s">
        <v>599</v>
      </c>
      <c r="C133" s="279">
        <v>44617</v>
      </c>
      <c r="D133" t="s">
        <v>573</v>
      </c>
    </row>
    <row r="134" spans="1:5" x14ac:dyDescent="0.25">
      <c r="A134" s="279"/>
      <c r="B134" t="s">
        <v>599</v>
      </c>
      <c r="C134" s="279">
        <v>44617</v>
      </c>
      <c r="D134" t="s">
        <v>578</v>
      </c>
    </row>
    <row r="135" spans="1:5" x14ac:dyDescent="0.25">
      <c r="A135" s="279"/>
      <c r="B135" t="s">
        <v>599</v>
      </c>
      <c r="C135" s="279">
        <v>44617</v>
      </c>
      <c r="D135" t="s">
        <v>574</v>
      </c>
    </row>
    <row r="136" spans="1:5" x14ac:dyDescent="0.25">
      <c r="A136" s="279"/>
      <c r="B136" t="s">
        <v>599</v>
      </c>
      <c r="C136" s="279">
        <v>44617</v>
      </c>
      <c r="D136" t="s">
        <v>575</v>
      </c>
    </row>
    <row r="137" spans="1:5" x14ac:dyDescent="0.25">
      <c r="A137" s="279"/>
      <c r="B137" t="s">
        <v>92</v>
      </c>
      <c r="C137" s="279">
        <v>44615</v>
      </c>
      <c r="D137" t="s">
        <v>582</v>
      </c>
      <c r="E137" t="s">
        <v>583</v>
      </c>
    </row>
    <row r="138" spans="1:5" x14ac:dyDescent="0.25">
      <c r="A138" s="279"/>
      <c r="B138" t="s">
        <v>92</v>
      </c>
      <c r="C138" s="279">
        <v>44615</v>
      </c>
      <c r="D138" t="s">
        <v>576</v>
      </c>
    </row>
    <row r="139" spans="1:5" x14ac:dyDescent="0.25">
      <c r="A139" s="279"/>
      <c r="B139" t="s">
        <v>92</v>
      </c>
      <c r="C139" s="279">
        <v>44615</v>
      </c>
      <c r="D139" t="s">
        <v>575</v>
      </c>
    </row>
    <row r="140" spans="1:5" x14ac:dyDescent="0.25">
      <c r="A140" s="279"/>
      <c r="B140" t="s">
        <v>92</v>
      </c>
      <c r="C140" s="279">
        <v>44615</v>
      </c>
      <c r="D140" t="s">
        <v>578</v>
      </c>
    </row>
    <row r="141" spans="1:5" x14ac:dyDescent="0.25">
      <c r="A141" s="279"/>
      <c r="B141" t="s">
        <v>43</v>
      </c>
      <c r="C141" s="279">
        <v>44519</v>
      </c>
      <c r="D141" t="s">
        <v>576</v>
      </c>
      <c r="E141" t="s">
        <v>603</v>
      </c>
    </row>
    <row r="142" spans="1:5" x14ac:dyDescent="0.25">
      <c r="A142" s="279"/>
      <c r="B142" t="s">
        <v>43</v>
      </c>
      <c r="C142" s="279">
        <v>44519</v>
      </c>
      <c r="D142" t="s">
        <v>573</v>
      </c>
    </row>
    <row r="143" spans="1:5" x14ac:dyDescent="0.25">
      <c r="A143" s="279"/>
      <c r="B143" t="s">
        <v>43</v>
      </c>
      <c r="C143" s="279">
        <v>44519</v>
      </c>
      <c r="D143" t="s">
        <v>578</v>
      </c>
    </row>
    <row r="144" spans="1:5" x14ac:dyDescent="0.25">
      <c r="A144" s="279"/>
      <c r="B144" t="s">
        <v>43</v>
      </c>
      <c r="C144" s="279">
        <v>44519</v>
      </c>
      <c r="D144" t="s">
        <v>574</v>
      </c>
    </row>
    <row r="145" spans="1:5" x14ac:dyDescent="0.25">
      <c r="A145" s="279"/>
      <c r="B145" t="s">
        <v>43</v>
      </c>
      <c r="C145" s="279">
        <v>44519</v>
      </c>
      <c r="D145" t="s">
        <v>575</v>
      </c>
    </row>
    <row r="146" spans="1:5" x14ac:dyDescent="0.25">
      <c r="A146" s="279"/>
      <c r="B146" t="s">
        <v>107</v>
      </c>
      <c r="C146" s="279">
        <v>44484</v>
      </c>
      <c r="D146" t="s">
        <v>576</v>
      </c>
      <c r="E146" t="s">
        <v>585</v>
      </c>
    </row>
    <row r="147" spans="1:5" x14ac:dyDescent="0.25">
      <c r="A147" s="279"/>
      <c r="B147" t="s">
        <v>107</v>
      </c>
      <c r="C147" s="279">
        <v>44484</v>
      </c>
      <c r="D147" t="s">
        <v>573</v>
      </c>
    </row>
    <row r="148" spans="1:5" x14ac:dyDescent="0.25">
      <c r="A148" s="279"/>
      <c r="B148" t="s">
        <v>107</v>
      </c>
      <c r="C148" s="279">
        <v>44484</v>
      </c>
      <c r="D148" t="s">
        <v>578</v>
      </c>
    </row>
    <row r="149" spans="1:5" x14ac:dyDescent="0.25">
      <c r="A149" s="279"/>
      <c r="B149" t="s">
        <v>107</v>
      </c>
      <c r="C149" s="279">
        <v>44484</v>
      </c>
      <c r="D149" t="s">
        <v>574</v>
      </c>
    </row>
    <row r="150" spans="1:5" x14ac:dyDescent="0.25">
      <c r="A150" s="279"/>
      <c r="B150" t="s">
        <v>37</v>
      </c>
      <c r="C150" s="279">
        <v>44470</v>
      </c>
      <c r="D150" t="s">
        <v>27</v>
      </c>
      <c r="E150" t="s">
        <v>585</v>
      </c>
    </row>
    <row r="151" spans="1:5" x14ac:dyDescent="0.25">
      <c r="A151" s="279"/>
      <c r="B151" t="s">
        <v>37</v>
      </c>
      <c r="C151" s="279">
        <v>44470</v>
      </c>
      <c r="D151" t="s">
        <v>576</v>
      </c>
    </row>
    <row r="152" spans="1:5" x14ac:dyDescent="0.25">
      <c r="A152" s="279"/>
      <c r="B152" t="s">
        <v>37</v>
      </c>
      <c r="C152" s="279">
        <v>44470</v>
      </c>
      <c r="D152" t="s">
        <v>573</v>
      </c>
    </row>
    <row r="153" spans="1:5" x14ac:dyDescent="0.25">
      <c r="A153" s="279"/>
      <c r="B153" t="s">
        <v>37</v>
      </c>
      <c r="C153" s="279">
        <v>44470</v>
      </c>
      <c r="D153" t="s">
        <v>578</v>
      </c>
    </row>
    <row r="154" spans="1:5" x14ac:dyDescent="0.25">
      <c r="A154" s="279"/>
      <c r="B154" t="s">
        <v>37</v>
      </c>
      <c r="C154" s="279">
        <v>44470</v>
      </c>
      <c r="D154" t="s">
        <v>574</v>
      </c>
    </row>
    <row r="155" spans="1:5" x14ac:dyDescent="0.25">
      <c r="A155" s="279"/>
      <c r="B155" t="s">
        <v>37</v>
      </c>
      <c r="C155" s="279">
        <v>44470</v>
      </c>
      <c r="D155" t="s">
        <v>575</v>
      </c>
    </row>
    <row r="156" spans="1:5" x14ac:dyDescent="0.25">
      <c r="A156" s="279"/>
      <c r="B156" t="s">
        <v>37</v>
      </c>
      <c r="C156" s="279">
        <v>44470</v>
      </c>
      <c r="D156" t="s">
        <v>604</v>
      </c>
    </row>
    <row r="157" spans="1:5" x14ac:dyDescent="0.25">
      <c r="A157" s="279"/>
      <c r="B157" t="s">
        <v>605</v>
      </c>
      <c r="C157" s="279">
        <v>44449</v>
      </c>
      <c r="D157" t="s">
        <v>27</v>
      </c>
      <c r="E157" t="s">
        <v>606</v>
      </c>
    </row>
    <row r="158" spans="1:5" x14ac:dyDescent="0.25">
      <c r="A158" s="279"/>
      <c r="B158" t="s">
        <v>605</v>
      </c>
      <c r="C158" s="279">
        <v>44449</v>
      </c>
      <c r="D158" t="s">
        <v>576</v>
      </c>
    </row>
    <row r="159" spans="1:5" x14ac:dyDescent="0.25">
      <c r="A159" s="279"/>
      <c r="B159" t="s">
        <v>605</v>
      </c>
      <c r="C159" s="279">
        <v>44449</v>
      </c>
      <c r="D159" t="s">
        <v>573</v>
      </c>
    </row>
    <row r="160" spans="1:5" x14ac:dyDescent="0.25">
      <c r="A160" s="279"/>
      <c r="B160" t="s">
        <v>605</v>
      </c>
      <c r="C160" s="279">
        <v>44449</v>
      </c>
      <c r="D160" t="s">
        <v>578</v>
      </c>
    </row>
    <row r="161" spans="1:5" x14ac:dyDescent="0.25">
      <c r="A161" s="279"/>
      <c r="B161" t="s">
        <v>605</v>
      </c>
      <c r="C161" s="279">
        <v>44449</v>
      </c>
      <c r="D161" t="s">
        <v>574</v>
      </c>
    </row>
    <row r="162" spans="1:5" x14ac:dyDescent="0.25">
      <c r="A162" s="279"/>
      <c r="B162" t="s">
        <v>605</v>
      </c>
      <c r="C162" s="279">
        <v>44449</v>
      </c>
      <c r="D162" t="s">
        <v>575</v>
      </c>
    </row>
    <row r="163" spans="1:5" x14ac:dyDescent="0.25">
      <c r="A163" s="279"/>
      <c r="B163" t="s">
        <v>49</v>
      </c>
      <c r="C163" s="279">
        <v>44428</v>
      </c>
      <c r="D163" t="s">
        <v>576</v>
      </c>
      <c r="E163" t="s">
        <v>590</v>
      </c>
    </row>
    <row r="164" spans="1:5" x14ac:dyDescent="0.25">
      <c r="A164" s="279"/>
      <c r="B164" t="s">
        <v>49</v>
      </c>
      <c r="C164" s="279">
        <v>44428</v>
      </c>
      <c r="D164" t="s">
        <v>573</v>
      </c>
    </row>
    <row r="165" spans="1:5" x14ac:dyDescent="0.25">
      <c r="A165" s="279"/>
      <c r="B165" t="s">
        <v>49</v>
      </c>
      <c r="C165" s="279">
        <v>44428</v>
      </c>
      <c r="D165" t="s">
        <v>578</v>
      </c>
    </row>
    <row r="166" spans="1:5" x14ac:dyDescent="0.25">
      <c r="A166" s="279"/>
      <c r="B166" t="s">
        <v>49</v>
      </c>
      <c r="C166" s="279">
        <v>44428</v>
      </c>
      <c r="D166" t="s">
        <v>574</v>
      </c>
    </row>
    <row r="167" spans="1:5" x14ac:dyDescent="0.25">
      <c r="A167" s="279"/>
      <c r="B167" t="s">
        <v>49</v>
      </c>
      <c r="C167" s="279">
        <v>44428</v>
      </c>
      <c r="D167" t="s">
        <v>575</v>
      </c>
    </row>
    <row r="168" spans="1:5" x14ac:dyDescent="0.25">
      <c r="A168" s="279"/>
      <c r="B168" t="s">
        <v>49</v>
      </c>
      <c r="C168" s="279">
        <v>44428</v>
      </c>
      <c r="D168" t="s">
        <v>604</v>
      </c>
    </row>
    <row r="169" spans="1:5" x14ac:dyDescent="0.25">
      <c r="A169" s="279"/>
      <c r="B169" t="s">
        <v>91</v>
      </c>
      <c r="C169" s="279">
        <v>44399</v>
      </c>
      <c r="D169" t="s">
        <v>582</v>
      </c>
      <c r="E169" t="s">
        <v>583</v>
      </c>
    </row>
    <row r="170" spans="1:5" x14ac:dyDescent="0.25">
      <c r="A170" s="279"/>
      <c r="B170" t="s">
        <v>91</v>
      </c>
      <c r="C170" s="279">
        <v>44399</v>
      </c>
      <c r="D170" t="s">
        <v>573</v>
      </c>
    </row>
    <row r="171" spans="1:5" x14ac:dyDescent="0.25">
      <c r="A171" s="279"/>
      <c r="B171" t="s">
        <v>91</v>
      </c>
      <c r="C171" s="279">
        <v>44399</v>
      </c>
      <c r="D171" t="s">
        <v>578</v>
      </c>
    </row>
    <row r="172" spans="1:5" x14ac:dyDescent="0.25">
      <c r="A172" s="279"/>
      <c r="B172" t="s">
        <v>91</v>
      </c>
      <c r="C172" s="279">
        <v>44399</v>
      </c>
      <c r="D172" t="s">
        <v>574</v>
      </c>
    </row>
    <row r="173" spans="1:5" x14ac:dyDescent="0.25">
      <c r="A173" s="279"/>
      <c r="B173" t="s">
        <v>91</v>
      </c>
      <c r="C173" s="279">
        <v>44399</v>
      </c>
      <c r="D173" t="s">
        <v>575</v>
      </c>
    </row>
    <row r="174" spans="1:5" x14ac:dyDescent="0.25">
      <c r="A174" s="279"/>
      <c r="B174" t="s">
        <v>128</v>
      </c>
      <c r="C174" s="279">
        <v>44393</v>
      </c>
      <c r="D174" t="s">
        <v>576</v>
      </c>
      <c r="E174" t="s">
        <v>577</v>
      </c>
    </row>
    <row r="175" spans="1:5" x14ac:dyDescent="0.25">
      <c r="A175" s="279"/>
      <c r="B175" t="s">
        <v>128</v>
      </c>
      <c r="C175" s="279">
        <v>44393</v>
      </c>
      <c r="D175" t="s">
        <v>573</v>
      </c>
    </row>
    <row r="176" spans="1:5" x14ac:dyDescent="0.25">
      <c r="A176" s="279"/>
      <c r="B176" t="s">
        <v>128</v>
      </c>
      <c r="C176" s="279">
        <v>44393</v>
      </c>
      <c r="D176" t="s">
        <v>578</v>
      </c>
    </row>
    <row r="177" spans="1:5" x14ac:dyDescent="0.25">
      <c r="A177" s="279"/>
      <c r="B177" t="s">
        <v>128</v>
      </c>
      <c r="C177" s="279">
        <v>44393</v>
      </c>
      <c r="D177" t="s">
        <v>574</v>
      </c>
    </row>
    <row r="178" spans="1:5" x14ac:dyDescent="0.25">
      <c r="A178" s="279"/>
      <c r="B178" t="s">
        <v>128</v>
      </c>
      <c r="C178" s="279">
        <v>44393</v>
      </c>
      <c r="D178" t="s">
        <v>575</v>
      </c>
    </row>
    <row r="179" spans="1:5" x14ac:dyDescent="0.25">
      <c r="A179" s="279"/>
      <c r="B179" t="s">
        <v>138</v>
      </c>
      <c r="C179" s="279">
        <v>44358</v>
      </c>
      <c r="D179" t="s">
        <v>573</v>
      </c>
      <c r="E179" t="s">
        <v>549</v>
      </c>
    </row>
    <row r="180" spans="1:5" x14ac:dyDescent="0.25">
      <c r="A180" s="279"/>
      <c r="B180" t="s">
        <v>138</v>
      </c>
      <c r="C180" s="279">
        <v>44358</v>
      </c>
      <c r="D180" t="s">
        <v>574</v>
      </c>
      <c r="E180" t="s">
        <v>549</v>
      </c>
    </row>
    <row r="181" spans="1:5" x14ac:dyDescent="0.25">
      <c r="A181" s="279"/>
      <c r="B181" t="s">
        <v>90</v>
      </c>
      <c r="C181" s="279">
        <v>44348</v>
      </c>
      <c r="D181" t="s">
        <v>582</v>
      </c>
      <c r="E181" t="s">
        <v>583</v>
      </c>
    </row>
    <row r="182" spans="1:5" x14ac:dyDescent="0.25">
      <c r="A182" s="279"/>
      <c r="B182" t="s">
        <v>90</v>
      </c>
      <c r="C182" s="279">
        <v>44348</v>
      </c>
      <c r="D182" t="s">
        <v>576</v>
      </c>
    </row>
    <row r="183" spans="1:5" x14ac:dyDescent="0.25">
      <c r="A183" s="279"/>
      <c r="B183" t="s">
        <v>90</v>
      </c>
      <c r="C183" s="279">
        <v>44348</v>
      </c>
      <c r="D183" t="s">
        <v>575</v>
      </c>
    </row>
    <row r="184" spans="1:5" x14ac:dyDescent="0.25">
      <c r="A184" s="279"/>
      <c r="B184" t="s">
        <v>90</v>
      </c>
      <c r="C184" s="279">
        <v>44348</v>
      </c>
      <c r="D184" t="s">
        <v>578</v>
      </c>
    </row>
    <row r="185" spans="1:5" x14ac:dyDescent="0.25">
      <c r="A185" s="279"/>
      <c r="B185" t="s">
        <v>607</v>
      </c>
      <c r="C185" s="279">
        <v>44337</v>
      </c>
      <c r="D185" t="s">
        <v>27</v>
      </c>
      <c r="E185" t="s">
        <v>608</v>
      </c>
    </row>
    <row r="186" spans="1:5" x14ac:dyDescent="0.25">
      <c r="A186" s="279"/>
      <c r="B186" t="s">
        <v>607</v>
      </c>
      <c r="C186" s="279">
        <v>44337</v>
      </c>
      <c r="D186" t="s">
        <v>576</v>
      </c>
    </row>
    <row r="187" spans="1:5" x14ac:dyDescent="0.25">
      <c r="A187" s="279"/>
      <c r="B187" t="s">
        <v>607</v>
      </c>
      <c r="C187" s="279">
        <v>44337</v>
      </c>
      <c r="D187" t="s">
        <v>573</v>
      </c>
    </row>
    <row r="188" spans="1:5" x14ac:dyDescent="0.25">
      <c r="A188" s="279"/>
      <c r="B188" t="s">
        <v>607</v>
      </c>
      <c r="C188" s="279">
        <v>44337</v>
      </c>
      <c r="D188" t="s">
        <v>575</v>
      </c>
    </row>
    <row r="189" spans="1:5" x14ac:dyDescent="0.25">
      <c r="A189" s="279"/>
      <c r="B189" t="s">
        <v>607</v>
      </c>
      <c r="C189" s="279">
        <v>44337</v>
      </c>
      <c r="D189" t="s">
        <v>578</v>
      </c>
    </row>
    <row r="190" spans="1:5" x14ac:dyDescent="0.25">
      <c r="A190" s="279"/>
      <c r="B190" t="s">
        <v>607</v>
      </c>
      <c r="C190" s="279">
        <v>44337</v>
      </c>
      <c r="D190" t="s">
        <v>574</v>
      </c>
    </row>
    <row r="191" spans="1:5" x14ac:dyDescent="0.25">
      <c r="A191" s="279"/>
      <c r="B191" t="s">
        <v>134</v>
      </c>
      <c r="C191" s="279">
        <v>44330</v>
      </c>
      <c r="D191" t="s">
        <v>576</v>
      </c>
      <c r="E191" t="s">
        <v>552</v>
      </c>
    </row>
    <row r="192" spans="1:5" x14ac:dyDescent="0.25">
      <c r="A192" s="279"/>
      <c r="B192" t="s">
        <v>134</v>
      </c>
      <c r="C192" s="279">
        <v>44330</v>
      </c>
      <c r="D192" t="s">
        <v>575</v>
      </c>
    </row>
    <row r="193" spans="1:5" x14ac:dyDescent="0.25">
      <c r="A193" s="279"/>
      <c r="B193" t="s">
        <v>134</v>
      </c>
      <c r="C193" s="279">
        <v>44330</v>
      </c>
      <c r="D193" t="s">
        <v>578</v>
      </c>
    </row>
    <row r="194" spans="1:5" x14ac:dyDescent="0.25">
      <c r="A194" s="279"/>
      <c r="B194" t="s">
        <v>602</v>
      </c>
      <c r="C194" s="279">
        <v>44281</v>
      </c>
      <c r="D194" t="s">
        <v>576</v>
      </c>
      <c r="E194" t="s">
        <v>609</v>
      </c>
    </row>
    <row r="195" spans="1:5" x14ac:dyDescent="0.25">
      <c r="A195" s="279"/>
      <c r="B195" t="s">
        <v>602</v>
      </c>
      <c r="C195" s="279">
        <v>44281</v>
      </c>
      <c r="D195" t="s">
        <v>573</v>
      </c>
    </row>
    <row r="196" spans="1:5" x14ac:dyDescent="0.25">
      <c r="A196" s="279"/>
      <c r="B196" t="s">
        <v>602</v>
      </c>
      <c r="C196" s="279">
        <v>44281</v>
      </c>
      <c r="D196" t="s">
        <v>575</v>
      </c>
    </row>
    <row r="197" spans="1:5" x14ac:dyDescent="0.25">
      <c r="A197" s="279"/>
      <c r="B197" t="s">
        <v>602</v>
      </c>
      <c r="C197" s="279">
        <v>44281</v>
      </c>
      <c r="D197" t="s">
        <v>578</v>
      </c>
    </row>
    <row r="198" spans="1:5" x14ac:dyDescent="0.25">
      <c r="A198" s="279"/>
      <c r="B198" t="s">
        <v>602</v>
      </c>
      <c r="C198" s="279">
        <v>44281</v>
      </c>
      <c r="D198" t="s">
        <v>574</v>
      </c>
    </row>
    <row r="199" spans="1:5" x14ac:dyDescent="0.25">
      <c r="A199" s="279"/>
      <c r="B199" t="s">
        <v>610</v>
      </c>
      <c r="C199" s="279">
        <v>44274</v>
      </c>
      <c r="D199" t="s">
        <v>27</v>
      </c>
      <c r="E199" t="s">
        <v>569</v>
      </c>
    </row>
    <row r="200" spans="1:5" x14ac:dyDescent="0.25">
      <c r="A200" s="279"/>
      <c r="B200" t="s">
        <v>42</v>
      </c>
      <c r="C200" s="279">
        <v>44264</v>
      </c>
      <c r="D200" t="s">
        <v>27</v>
      </c>
      <c r="E200" t="s">
        <v>611</v>
      </c>
    </row>
    <row r="201" spans="1:5" x14ac:dyDescent="0.25">
      <c r="A201" s="279"/>
      <c r="B201" t="s">
        <v>612</v>
      </c>
      <c r="C201" s="279">
        <v>44176</v>
      </c>
      <c r="D201" t="s">
        <v>613</v>
      </c>
      <c r="E201" t="s">
        <v>549</v>
      </c>
    </row>
    <row r="202" spans="1:5" x14ac:dyDescent="0.25">
      <c r="A202" s="279"/>
      <c r="B202" t="s">
        <v>612</v>
      </c>
      <c r="C202" s="279">
        <v>44176</v>
      </c>
      <c r="D202" t="s">
        <v>614</v>
      </c>
    </row>
    <row r="203" spans="1:5" x14ac:dyDescent="0.25">
      <c r="A203" s="279"/>
      <c r="B203" t="s">
        <v>138</v>
      </c>
      <c r="C203" s="279">
        <v>44159</v>
      </c>
      <c r="D203" t="s">
        <v>604</v>
      </c>
      <c r="E203" t="s">
        <v>549</v>
      </c>
    </row>
    <row r="204" spans="1:5" x14ac:dyDescent="0.25">
      <c r="A204" s="279"/>
      <c r="B204" t="s">
        <v>89</v>
      </c>
      <c r="C204" s="279">
        <v>44148</v>
      </c>
      <c r="D204" t="s">
        <v>582</v>
      </c>
      <c r="E204" t="s">
        <v>583</v>
      </c>
    </row>
    <row r="205" spans="1:5" x14ac:dyDescent="0.25">
      <c r="A205" s="279"/>
      <c r="B205" t="s">
        <v>89</v>
      </c>
      <c r="C205" s="279">
        <v>44148</v>
      </c>
      <c r="D205" t="s">
        <v>576</v>
      </c>
    </row>
    <row r="206" spans="1:5" x14ac:dyDescent="0.25">
      <c r="A206" s="279"/>
      <c r="B206" t="s">
        <v>89</v>
      </c>
      <c r="C206" s="279">
        <v>44148</v>
      </c>
      <c r="D206" t="s">
        <v>575</v>
      </c>
    </row>
    <row r="207" spans="1:5" x14ac:dyDescent="0.25">
      <c r="A207" s="279"/>
      <c r="B207" t="s">
        <v>89</v>
      </c>
      <c r="C207" s="279">
        <v>44148</v>
      </c>
      <c r="D207" t="s">
        <v>578</v>
      </c>
    </row>
    <row r="208" spans="1:5" x14ac:dyDescent="0.25">
      <c r="A208" s="279"/>
      <c r="B208" t="s">
        <v>142</v>
      </c>
      <c r="C208" s="279">
        <v>44148</v>
      </c>
      <c r="D208" t="s">
        <v>27</v>
      </c>
    </row>
    <row r="209" spans="1:5" x14ac:dyDescent="0.25">
      <c r="A209" s="279"/>
      <c r="B209" t="s">
        <v>34</v>
      </c>
      <c r="C209" s="279">
        <v>44147</v>
      </c>
      <c r="D209" t="s">
        <v>573</v>
      </c>
    </row>
    <row r="210" spans="1:5" x14ac:dyDescent="0.25">
      <c r="A210" s="279"/>
      <c r="B210" t="s">
        <v>35</v>
      </c>
      <c r="C210" s="279">
        <v>44147</v>
      </c>
      <c r="D210" t="s">
        <v>573</v>
      </c>
    </row>
    <row r="211" spans="1:5" x14ac:dyDescent="0.25">
      <c r="A211" s="279"/>
      <c r="B211" t="s">
        <v>34</v>
      </c>
      <c r="C211" s="279">
        <v>44145</v>
      </c>
      <c r="D211" t="s">
        <v>574</v>
      </c>
    </row>
    <row r="212" spans="1:5" x14ac:dyDescent="0.25">
      <c r="A212" s="279"/>
      <c r="B212" t="s">
        <v>35</v>
      </c>
      <c r="C212" s="279">
        <v>44145</v>
      </c>
      <c r="D212" t="s">
        <v>574</v>
      </c>
    </row>
    <row r="213" spans="1:5" x14ac:dyDescent="0.25">
      <c r="A213" s="279"/>
      <c r="B213" t="s">
        <v>142</v>
      </c>
      <c r="C213" s="279">
        <v>44141</v>
      </c>
      <c r="D213" t="s">
        <v>576</v>
      </c>
      <c r="E213" t="s">
        <v>601</v>
      </c>
    </row>
    <row r="214" spans="1:5" x14ac:dyDescent="0.25">
      <c r="A214" s="279"/>
      <c r="B214" t="s">
        <v>142</v>
      </c>
      <c r="C214" s="279">
        <v>44141</v>
      </c>
      <c r="D214" t="s">
        <v>575</v>
      </c>
    </row>
    <row r="215" spans="1:5" x14ac:dyDescent="0.25">
      <c r="A215" s="279"/>
      <c r="B215" t="s">
        <v>142</v>
      </c>
      <c r="C215" s="279">
        <v>44141</v>
      </c>
      <c r="D215" t="s">
        <v>578</v>
      </c>
    </row>
    <row r="216" spans="1:5" x14ac:dyDescent="0.25">
      <c r="A216" s="279"/>
      <c r="B216" t="s">
        <v>106</v>
      </c>
      <c r="C216" s="279">
        <v>44120</v>
      </c>
      <c r="D216" t="s">
        <v>576</v>
      </c>
      <c r="E216" t="s">
        <v>585</v>
      </c>
    </row>
    <row r="217" spans="1:5" x14ac:dyDescent="0.25">
      <c r="A217" s="279"/>
      <c r="B217" t="s">
        <v>106</v>
      </c>
      <c r="C217" s="279">
        <v>44120</v>
      </c>
      <c r="D217" t="s">
        <v>578</v>
      </c>
    </row>
    <row r="218" spans="1:5" x14ac:dyDescent="0.25">
      <c r="A218" s="279"/>
      <c r="B218" t="s">
        <v>35</v>
      </c>
      <c r="C218" s="279">
        <v>44113</v>
      </c>
      <c r="D218" t="s">
        <v>27</v>
      </c>
      <c r="E218" t="s">
        <v>615</v>
      </c>
    </row>
    <row r="219" spans="1:5" x14ac:dyDescent="0.25">
      <c r="A219" s="279"/>
      <c r="B219" t="s">
        <v>35</v>
      </c>
      <c r="C219" s="279">
        <v>44113</v>
      </c>
      <c r="D219" t="s">
        <v>576</v>
      </c>
    </row>
    <row r="220" spans="1:5" x14ac:dyDescent="0.25">
      <c r="A220" s="279"/>
      <c r="B220" t="s">
        <v>35</v>
      </c>
      <c r="C220" s="279">
        <v>44113</v>
      </c>
      <c r="D220" t="s">
        <v>575</v>
      </c>
    </row>
    <row r="221" spans="1:5" x14ac:dyDescent="0.25">
      <c r="A221" s="279"/>
      <c r="B221" t="s">
        <v>35</v>
      </c>
      <c r="C221" s="279">
        <v>44113</v>
      </c>
      <c r="D221" t="s">
        <v>578</v>
      </c>
    </row>
    <row r="222" spans="1:5" x14ac:dyDescent="0.25">
      <c r="A222" s="279"/>
      <c r="B222" t="s">
        <v>616</v>
      </c>
      <c r="C222" s="279">
        <v>44106</v>
      </c>
      <c r="D222" t="s">
        <v>576</v>
      </c>
      <c r="E222" t="s">
        <v>555</v>
      </c>
    </row>
    <row r="223" spans="1:5" x14ac:dyDescent="0.25">
      <c r="A223" s="279"/>
      <c r="B223" t="s">
        <v>616</v>
      </c>
      <c r="C223" s="279">
        <v>44106</v>
      </c>
      <c r="D223" t="s">
        <v>578</v>
      </c>
    </row>
    <row r="224" spans="1:5" x14ac:dyDescent="0.25">
      <c r="A224" s="279"/>
      <c r="B224" t="s">
        <v>616</v>
      </c>
      <c r="C224" s="279">
        <v>44106</v>
      </c>
      <c r="D224" t="s">
        <v>575</v>
      </c>
    </row>
    <row r="225" spans="1:5" x14ac:dyDescent="0.25">
      <c r="A225" s="279"/>
      <c r="B225" t="s">
        <v>88</v>
      </c>
      <c r="C225" s="279">
        <v>44082</v>
      </c>
      <c r="D225" t="s">
        <v>582</v>
      </c>
      <c r="E225" t="s">
        <v>583</v>
      </c>
    </row>
    <row r="226" spans="1:5" x14ac:dyDescent="0.25">
      <c r="A226" s="279"/>
      <c r="B226" t="s">
        <v>88</v>
      </c>
      <c r="C226" s="279">
        <v>44082</v>
      </c>
      <c r="D226" t="s">
        <v>576</v>
      </c>
    </row>
    <row r="227" spans="1:5" x14ac:dyDescent="0.25">
      <c r="A227" s="279"/>
      <c r="B227" t="s">
        <v>88</v>
      </c>
      <c r="C227" s="279">
        <v>44082</v>
      </c>
      <c r="D227" t="s">
        <v>575</v>
      </c>
    </row>
    <row r="228" spans="1:5" x14ac:dyDescent="0.25">
      <c r="A228" s="279"/>
      <c r="B228" t="s">
        <v>88</v>
      </c>
      <c r="C228" s="279">
        <v>44082</v>
      </c>
      <c r="D228" t="s">
        <v>578</v>
      </c>
    </row>
    <row r="229" spans="1:5" x14ac:dyDescent="0.25">
      <c r="A229" s="279"/>
      <c r="B229" t="s">
        <v>34</v>
      </c>
      <c r="C229" s="279">
        <v>44071</v>
      </c>
      <c r="D229" t="s">
        <v>576</v>
      </c>
      <c r="E229" t="s">
        <v>590</v>
      </c>
    </row>
    <row r="230" spans="1:5" x14ac:dyDescent="0.25">
      <c r="A230" s="279"/>
      <c r="B230" t="s">
        <v>34</v>
      </c>
      <c r="C230" s="279">
        <v>44071</v>
      </c>
      <c r="D230" t="s">
        <v>604</v>
      </c>
    </row>
    <row r="231" spans="1:5" x14ac:dyDescent="0.25">
      <c r="A231" s="279"/>
      <c r="B231" t="s">
        <v>34</v>
      </c>
      <c r="C231" s="279">
        <v>44071</v>
      </c>
      <c r="D231" t="s">
        <v>578</v>
      </c>
    </row>
    <row r="232" spans="1:5" x14ac:dyDescent="0.25">
      <c r="A232" s="279"/>
      <c r="B232" t="s">
        <v>34</v>
      </c>
      <c r="C232" s="279">
        <v>44071</v>
      </c>
      <c r="D232" t="s">
        <v>575</v>
      </c>
    </row>
    <row r="233" spans="1:5" x14ac:dyDescent="0.25">
      <c r="A233" s="279"/>
      <c r="B233" t="s">
        <v>617</v>
      </c>
      <c r="C233" s="279">
        <v>44057</v>
      </c>
      <c r="D233" t="s">
        <v>576</v>
      </c>
      <c r="E233" t="s">
        <v>618</v>
      </c>
    </row>
    <row r="234" spans="1:5" x14ac:dyDescent="0.25">
      <c r="A234" s="279"/>
      <c r="B234" t="s">
        <v>617</v>
      </c>
      <c r="C234" s="279">
        <v>44057</v>
      </c>
      <c r="D234" t="s">
        <v>578</v>
      </c>
    </row>
    <row r="235" spans="1:5" x14ac:dyDescent="0.25">
      <c r="A235" s="279"/>
      <c r="B235" t="s">
        <v>619</v>
      </c>
      <c r="C235" s="279">
        <v>44049</v>
      </c>
      <c r="D235" t="s">
        <v>568</v>
      </c>
      <c r="E235" t="s">
        <v>590</v>
      </c>
    </row>
    <row r="236" spans="1:5" x14ac:dyDescent="0.25">
      <c r="A236" s="279"/>
      <c r="B236" t="s">
        <v>619</v>
      </c>
      <c r="C236" s="279">
        <v>44049</v>
      </c>
      <c r="D236" t="s">
        <v>570</v>
      </c>
    </row>
    <row r="237" spans="1:5" x14ac:dyDescent="0.25">
      <c r="A237" s="279"/>
      <c r="B237" t="s">
        <v>620</v>
      </c>
      <c r="C237" s="279">
        <v>44026</v>
      </c>
      <c r="D237" t="s">
        <v>576</v>
      </c>
      <c r="E237" t="s">
        <v>621</v>
      </c>
    </row>
    <row r="238" spans="1:5" x14ac:dyDescent="0.25">
      <c r="A238" s="279"/>
      <c r="B238" t="s">
        <v>620</v>
      </c>
      <c r="C238" s="279">
        <v>44026</v>
      </c>
      <c r="D238" t="s">
        <v>575</v>
      </c>
    </row>
    <row r="239" spans="1:5" x14ac:dyDescent="0.25">
      <c r="A239" s="279"/>
      <c r="B239" t="s">
        <v>620</v>
      </c>
      <c r="C239" s="279">
        <v>44026</v>
      </c>
      <c r="D239" t="s">
        <v>578</v>
      </c>
    </row>
    <row r="240" spans="1:5" x14ac:dyDescent="0.25">
      <c r="A240" s="279"/>
      <c r="B240" t="s">
        <v>622</v>
      </c>
      <c r="C240" s="279">
        <v>44001</v>
      </c>
      <c r="D240" t="s">
        <v>27</v>
      </c>
      <c r="E240" t="s">
        <v>601</v>
      </c>
    </row>
    <row r="241" spans="1:5" x14ac:dyDescent="0.25">
      <c r="A241" s="279"/>
      <c r="B241" t="s">
        <v>87</v>
      </c>
      <c r="C241" s="279">
        <v>43987</v>
      </c>
      <c r="D241" t="s">
        <v>582</v>
      </c>
      <c r="E241" t="s">
        <v>583</v>
      </c>
    </row>
    <row r="242" spans="1:5" x14ac:dyDescent="0.25">
      <c r="A242" s="279"/>
      <c r="B242" t="s">
        <v>87</v>
      </c>
      <c r="C242" s="279">
        <v>43987</v>
      </c>
      <c r="D242" t="s">
        <v>576</v>
      </c>
    </row>
    <row r="243" spans="1:5" x14ac:dyDescent="0.25">
      <c r="A243" s="279"/>
      <c r="B243" t="s">
        <v>87</v>
      </c>
      <c r="C243" s="279">
        <v>43987</v>
      </c>
      <c r="D243" t="s">
        <v>575</v>
      </c>
    </row>
    <row r="244" spans="1:5" x14ac:dyDescent="0.25">
      <c r="A244" s="279"/>
      <c r="B244" t="s">
        <v>87</v>
      </c>
      <c r="C244" s="279">
        <v>43987</v>
      </c>
      <c r="D244" t="s">
        <v>578</v>
      </c>
    </row>
    <row r="245" spans="1:5" x14ac:dyDescent="0.25">
      <c r="A245" s="279"/>
      <c r="B245" t="s">
        <v>623</v>
      </c>
      <c r="C245" s="279">
        <v>43987</v>
      </c>
      <c r="D245" t="s">
        <v>575</v>
      </c>
      <c r="E245" t="s">
        <v>624</v>
      </c>
    </row>
    <row r="246" spans="1:5" x14ac:dyDescent="0.25">
      <c r="A246" s="279"/>
      <c r="B246" t="s">
        <v>86</v>
      </c>
      <c r="C246" s="279">
        <v>43816</v>
      </c>
      <c r="D246" t="s">
        <v>576</v>
      </c>
      <c r="E246" t="s">
        <v>583</v>
      </c>
    </row>
    <row r="247" spans="1:5" x14ac:dyDescent="0.25">
      <c r="A247" s="279"/>
      <c r="B247" t="s">
        <v>86</v>
      </c>
      <c r="C247" s="279">
        <v>43816</v>
      </c>
      <c r="D247" t="s">
        <v>578</v>
      </c>
      <c r="E247" t="s">
        <v>583</v>
      </c>
    </row>
    <row r="248" spans="1:5" x14ac:dyDescent="0.25">
      <c r="A248" s="279"/>
      <c r="B248" t="s">
        <v>86</v>
      </c>
      <c r="C248" s="279">
        <v>43784</v>
      </c>
      <c r="D248" t="s">
        <v>582</v>
      </c>
      <c r="E248" t="s">
        <v>583</v>
      </c>
    </row>
    <row r="249" spans="1:5" x14ac:dyDescent="0.25">
      <c r="A249" s="279"/>
      <c r="B249" t="s">
        <v>86</v>
      </c>
      <c r="C249" s="279">
        <v>43784</v>
      </c>
      <c r="D249" t="s">
        <v>575</v>
      </c>
      <c r="E249" t="s">
        <v>583</v>
      </c>
    </row>
    <row r="250" spans="1:5" x14ac:dyDescent="0.25">
      <c r="A250" s="279"/>
      <c r="B250" t="s">
        <v>138</v>
      </c>
      <c r="C250" s="279">
        <v>43784</v>
      </c>
      <c r="D250" t="s">
        <v>576</v>
      </c>
      <c r="E250" t="s">
        <v>549</v>
      </c>
    </row>
    <row r="251" spans="1:5" x14ac:dyDescent="0.25">
      <c r="A251" s="279"/>
      <c r="B251" t="s">
        <v>138</v>
      </c>
      <c r="C251" s="279">
        <v>43784</v>
      </c>
      <c r="D251" t="s">
        <v>575</v>
      </c>
      <c r="E251" t="s">
        <v>549</v>
      </c>
    </row>
    <row r="252" spans="1:5" x14ac:dyDescent="0.25">
      <c r="A252" s="279"/>
      <c r="B252" t="s">
        <v>138</v>
      </c>
      <c r="C252" s="279">
        <v>43784</v>
      </c>
      <c r="D252" t="s">
        <v>578</v>
      </c>
      <c r="E252" t="s">
        <v>549</v>
      </c>
    </row>
    <row r="253" spans="1:5" x14ac:dyDescent="0.25">
      <c r="A253" s="279"/>
      <c r="B253" t="s">
        <v>625</v>
      </c>
      <c r="C253" s="279">
        <v>43777</v>
      </c>
      <c r="D253" t="s">
        <v>576</v>
      </c>
      <c r="E253" t="s">
        <v>626</v>
      </c>
    </row>
    <row r="254" spans="1:5" x14ac:dyDescent="0.25">
      <c r="A254" s="279"/>
      <c r="B254" t="s">
        <v>625</v>
      </c>
      <c r="C254" s="279">
        <v>43777</v>
      </c>
      <c r="D254" t="s">
        <v>575</v>
      </c>
      <c r="E254" t="s">
        <v>626</v>
      </c>
    </row>
    <row r="255" spans="1:5" x14ac:dyDescent="0.25">
      <c r="A255" s="279"/>
      <c r="B255" t="s">
        <v>625</v>
      </c>
      <c r="C255" s="279">
        <v>43777</v>
      </c>
      <c r="D255" t="s">
        <v>578</v>
      </c>
      <c r="E255" t="s">
        <v>626</v>
      </c>
    </row>
    <row r="256" spans="1:5" x14ac:dyDescent="0.25">
      <c r="A256" s="279"/>
      <c r="B256" t="s">
        <v>610</v>
      </c>
      <c r="C256" s="279">
        <v>43756</v>
      </c>
      <c r="D256" t="s">
        <v>576</v>
      </c>
      <c r="E256" t="s">
        <v>569</v>
      </c>
    </row>
    <row r="257" spans="1:5" x14ac:dyDescent="0.25">
      <c r="A257" s="279"/>
      <c r="B257" t="s">
        <v>610</v>
      </c>
      <c r="C257" s="279">
        <v>43756</v>
      </c>
      <c r="D257" t="s">
        <v>575</v>
      </c>
      <c r="E257" t="s">
        <v>569</v>
      </c>
    </row>
    <row r="258" spans="1:5" x14ac:dyDescent="0.25">
      <c r="A258" s="279"/>
      <c r="B258" t="s">
        <v>610</v>
      </c>
      <c r="C258" s="279">
        <v>43756</v>
      </c>
      <c r="D258" t="s">
        <v>578</v>
      </c>
      <c r="E258" t="s">
        <v>569</v>
      </c>
    </row>
    <row r="259" spans="1:5" x14ac:dyDescent="0.25">
      <c r="A259" s="279"/>
      <c r="B259" t="s">
        <v>627</v>
      </c>
      <c r="C259" s="279">
        <v>43753</v>
      </c>
      <c r="D259" t="s">
        <v>576</v>
      </c>
      <c r="E259" t="s">
        <v>583</v>
      </c>
    </row>
    <row r="260" spans="1:5" x14ac:dyDescent="0.25">
      <c r="A260" s="279"/>
      <c r="B260" t="s">
        <v>627</v>
      </c>
      <c r="C260" s="279">
        <v>43753</v>
      </c>
      <c r="D260" t="s">
        <v>578</v>
      </c>
      <c r="E260" t="s">
        <v>583</v>
      </c>
    </row>
    <row r="261" spans="1:5" x14ac:dyDescent="0.25">
      <c r="A261" s="279"/>
      <c r="B261" t="s">
        <v>33</v>
      </c>
      <c r="C261" s="279">
        <v>43735</v>
      </c>
      <c r="D261" t="s">
        <v>27</v>
      </c>
      <c r="E261" t="s">
        <v>586</v>
      </c>
    </row>
    <row r="262" spans="1:5" x14ac:dyDescent="0.25">
      <c r="A262" s="279"/>
      <c r="B262" t="s">
        <v>33</v>
      </c>
      <c r="C262" s="279">
        <v>43735</v>
      </c>
      <c r="D262" t="s">
        <v>576</v>
      </c>
      <c r="E262" t="s">
        <v>586</v>
      </c>
    </row>
    <row r="263" spans="1:5" x14ac:dyDescent="0.25">
      <c r="A263" s="279"/>
      <c r="B263" t="s">
        <v>33</v>
      </c>
      <c r="C263" s="279">
        <v>43735</v>
      </c>
      <c r="D263" t="s">
        <v>575</v>
      </c>
      <c r="E263" t="s">
        <v>586</v>
      </c>
    </row>
    <row r="264" spans="1:5" x14ac:dyDescent="0.25">
      <c r="A264" s="279"/>
      <c r="B264" t="s">
        <v>33</v>
      </c>
      <c r="C264" s="279">
        <v>43735</v>
      </c>
      <c r="D264" t="s">
        <v>578</v>
      </c>
      <c r="E264" t="s">
        <v>586</v>
      </c>
    </row>
    <row r="265" spans="1:5" x14ac:dyDescent="0.25">
      <c r="A265" s="279"/>
      <c r="B265" t="s">
        <v>105</v>
      </c>
      <c r="C265" s="279">
        <v>43721</v>
      </c>
      <c r="D265" t="s">
        <v>576</v>
      </c>
      <c r="E265" t="s">
        <v>585</v>
      </c>
    </row>
    <row r="266" spans="1:5" x14ac:dyDescent="0.25">
      <c r="A266" s="279"/>
      <c r="B266" t="s">
        <v>105</v>
      </c>
      <c r="C266" s="279">
        <v>43721</v>
      </c>
      <c r="D266" t="s">
        <v>578</v>
      </c>
      <c r="E266" t="s">
        <v>585</v>
      </c>
    </row>
    <row r="267" spans="1:5" x14ac:dyDescent="0.25">
      <c r="A267" s="279"/>
      <c r="B267" t="s">
        <v>627</v>
      </c>
      <c r="C267" s="279">
        <v>43718</v>
      </c>
      <c r="D267" t="s">
        <v>582</v>
      </c>
      <c r="E267" t="s">
        <v>583</v>
      </c>
    </row>
    <row r="268" spans="1:5" x14ac:dyDescent="0.25">
      <c r="A268" s="279"/>
      <c r="B268" t="s">
        <v>627</v>
      </c>
      <c r="C268" s="279">
        <v>43718</v>
      </c>
      <c r="D268" t="s">
        <v>575</v>
      </c>
      <c r="E268" t="s">
        <v>583</v>
      </c>
    </row>
    <row r="269" spans="1:5" x14ac:dyDescent="0.25">
      <c r="A269" s="279"/>
      <c r="B269" t="s">
        <v>47</v>
      </c>
      <c r="C269" s="279">
        <v>43679</v>
      </c>
      <c r="D269" t="s">
        <v>576</v>
      </c>
      <c r="E269" t="s">
        <v>590</v>
      </c>
    </row>
    <row r="270" spans="1:5" x14ac:dyDescent="0.25">
      <c r="A270" s="279"/>
      <c r="B270" t="s">
        <v>47</v>
      </c>
      <c r="C270" s="279">
        <v>43679</v>
      </c>
      <c r="D270" t="s">
        <v>578</v>
      </c>
      <c r="E270" t="s">
        <v>590</v>
      </c>
    </row>
    <row r="271" spans="1:5" x14ac:dyDescent="0.25">
      <c r="A271" s="279"/>
      <c r="B271" t="s">
        <v>47</v>
      </c>
      <c r="C271" s="279">
        <v>43679</v>
      </c>
      <c r="D271" t="s">
        <v>575</v>
      </c>
      <c r="E271" t="s">
        <v>590</v>
      </c>
    </row>
    <row r="272" spans="1:5" x14ac:dyDescent="0.25">
      <c r="A272" s="279"/>
      <c r="B272" t="s">
        <v>85</v>
      </c>
      <c r="C272" s="279">
        <v>43662</v>
      </c>
      <c r="D272" t="s">
        <v>576</v>
      </c>
      <c r="E272" t="s">
        <v>583</v>
      </c>
    </row>
    <row r="273" spans="1:5" x14ac:dyDescent="0.25">
      <c r="A273" s="279"/>
      <c r="B273" t="s">
        <v>85</v>
      </c>
      <c r="C273" s="279">
        <v>43662</v>
      </c>
      <c r="D273" t="s">
        <v>578</v>
      </c>
      <c r="E273" t="s">
        <v>583</v>
      </c>
    </row>
    <row r="274" spans="1:5" x14ac:dyDescent="0.25">
      <c r="A274" s="279"/>
      <c r="B274" t="s">
        <v>628</v>
      </c>
      <c r="C274" s="279">
        <v>43651</v>
      </c>
      <c r="D274" t="s">
        <v>576</v>
      </c>
      <c r="E274" t="s">
        <v>629</v>
      </c>
    </row>
    <row r="275" spans="1:5" x14ac:dyDescent="0.25">
      <c r="A275" s="279"/>
      <c r="B275" t="s">
        <v>628</v>
      </c>
      <c r="C275" s="279">
        <v>43651</v>
      </c>
      <c r="D275" t="s">
        <v>575</v>
      </c>
      <c r="E275" t="s">
        <v>629</v>
      </c>
    </row>
    <row r="276" spans="1:5" x14ac:dyDescent="0.25">
      <c r="A276" s="279"/>
      <c r="B276" t="s">
        <v>628</v>
      </c>
      <c r="C276" s="279">
        <v>43651</v>
      </c>
      <c r="D276" t="s">
        <v>578</v>
      </c>
      <c r="E276" t="s">
        <v>629</v>
      </c>
    </row>
    <row r="277" spans="1:5" x14ac:dyDescent="0.25">
      <c r="A277" s="279"/>
      <c r="B277" t="s">
        <v>85</v>
      </c>
      <c r="C277" s="279">
        <v>43637</v>
      </c>
      <c r="D277" t="s">
        <v>582</v>
      </c>
      <c r="E277" t="s">
        <v>583</v>
      </c>
    </row>
    <row r="278" spans="1:5" x14ac:dyDescent="0.25">
      <c r="A278" s="279"/>
      <c r="B278" t="s">
        <v>85</v>
      </c>
      <c r="C278" s="279">
        <v>43637</v>
      </c>
      <c r="D278" t="s">
        <v>575</v>
      </c>
      <c r="E278" t="s">
        <v>583</v>
      </c>
    </row>
    <row r="279" spans="1:5" x14ac:dyDescent="0.25">
      <c r="A279" s="279"/>
      <c r="B279" t="s">
        <v>630</v>
      </c>
      <c r="C279" s="279">
        <v>43599</v>
      </c>
      <c r="D279" t="s">
        <v>576</v>
      </c>
      <c r="E279" t="s">
        <v>583</v>
      </c>
    </row>
    <row r="280" spans="1:5" x14ac:dyDescent="0.25">
      <c r="A280" s="279"/>
      <c r="B280" t="s">
        <v>630</v>
      </c>
      <c r="C280" s="279">
        <v>43599</v>
      </c>
      <c r="D280" t="s">
        <v>578</v>
      </c>
      <c r="E280" t="s">
        <v>583</v>
      </c>
    </row>
    <row r="281" spans="1:5" x14ac:dyDescent="0.25">
      <c r="A281" s="279"/>
      <c r="B281" t="s">
        <v>631</v>
      </c>
      <c r="C281" s="279">
        <v>43546</v>
      </c>
      <c r="D281" t="s">
        <v>27</v>
      </c>
      <c r="E281" t="s">
        <v>632</v>
      </c>
    </row>
    <row r="282" spans="1:5" x14ac:dyDescent="0.25">
      <c r="A282" s="279"/>
      <c r="B282" t="s">
        <v>630</v>
      </c>
      <c r="C282" s="279">
        <v>43522</v>
      </c>
      <c r="D282" t="s">
        <v>582</v>
      </c>
      <c r="E282" t="s">
        <v>583</v>
      </c>
    </row>
    <row r="283" spans="1:5" x14ac:dyDescent="0.25">
      <c r="A283" s="279"/>
      <c r="B283" t="s">
        <v>630</v>
      </c>
      <c r="C283" s="279">
        <v>43522</v>
      </c>
      <c r="D283" t="s">
        <v>575</v>
      </c>
      <c r="E283" t="s">
        <v>583</v>
      </c>
    </row>
    <row r="284" spans="1:5" x14ac:dyDescent="0.25">
      <c r="A284" s="279"/>
      <c r="B284" t="s">
        <v>633</v>
      </c>
      <c r="C284" s="279">
        <v>43518</v>
      </c>
      <c r="D284" t="s">
        <v>576</v>
      </c>
      <c r="E284" t="s">
        <v>552</v>
      </c>
    </row>
    <row r="285" spans="1:5" x14ac:dyDescent="0.25">
      <c r="A285" s="279"/>
      <c r="B285" t="s">
        <v>633</v>
      </c>
      <c r="C285" s="279">
        <v>43518</v>
      </c>
      <c r="D285" t="s">
        <v>575</v>
      </c>
      <c r="E285" t="s">
        <v>552</v>
      </c>
    </row>
    <row r="286" spans="1:5" x14ac:dyDescent="0.25">
      <c r="A286" s="279"/>
      <c r="B286" t="s">
        <v>633</v>
      </c>
      <c r="C286" s="279">
        <v>43518</v>
      </c>
      <c r="D286" t="s">
        <v>578</v>
      </c>
      <c r="E286" t="s">
        <v>552</v>
      </c>
    </row>
    <row r="287" spans="1:5" x14ac:dyDescent="0.25">
      <c r="A287" s="279"/>
      <c r="B287" t="s">
        <v>84</v>
      </c>
      <c r="C287" s="279">
        <v>43508</v>
      </c>
      <c r="D287" t="s">
        <v>576</v>
      </c>
      <c r="E287" t="s">
        <v>583</v>
      </c>
    </row>
    <row r="288" spans="1:5" x14ac:dyDescent="0.25">
      <c r="A288" s="279"/>
      <c r="B288" t="s">
        <v>84</v>
      </c>
      <c r="C288" s="279">
        <v>43508</v>
      </c>
      <c r="D288" t="s">
        <v>578</v>
      </c>
      <c r="E288" t="s">
        <v>583</v>
      </c>
    </row>
    <row r="289" spans="1:5" x14ac:dyDescent="0.25">
      <c r="A289" s="279"/>
      <c r="B289" t="s">
        <v>42</v>
      </c>
      <c r="C289" s="279">
        <v>43500</v>
      </c>
      <c r="D289" t="s">
        <v>576</v>
      </c>
      <c r="E289" t="s">
        <v>549</v>
      </c>
    </row>
    <row r="290" spans="1:5" x14ac:dyDescent="0.25">
      <c r="A290" s="279"/>
      <c r="B290" t="s">
        <v>42</v>
      </c>
      <c r="C290" s="279">
        <v>43500</v>
      </c>
      <c r="D290" t="s">
        <v>575</v>
      </c>
      <c r="E290" t="s">
        <v>549</v>
      </c>
    </row>
    <row r="291" spans="1:5" x14ac:dyDescent="0.25">
      <c r="A291" s="279"/>
      <c r="B291" t="s">
        <v>42</v>
      </c>
      <c r="C291" s="279">
        <v>43500</v>
      </c>
      <c r="D291" t="s">
        <v>578</v>
      </c>
      <c r="E291" t="s">
        <v>549</v>
      </c>
    </row>
    <row r="292" spans="1:5" x14ac:dyDescent="0.25">
      <c r="A292" s="279"/>
      <c r="B292" t="s">
        <v>634</v>
      </c>
      <c r="C292" s="279">
        <v>43497</v>
      </c>
      <c r="D292" t="s">
        <v>568</v>
      </c>
      <c r="E292" t="s">
        <v>635</v>
      </c>
    </row>
    <row r="293" spans="1:5" x14ac:dyDescent="0.25">
      <c r="A293" s="279"/>
      <c r="B293" t="s">
        <v>636</v>
      </c>
      <c r="C293" s="279">
        <v>43438</v>
      </c>
      <c r="D293" t="s">
        <v>576</v>
      </c>
      <c r="E293" t="s">
        <v>583</v>
      </c>
    </row>
    <row r="294" spans="1:5" x14ac:dyDescent="0.25">
      <c r="A294" s="279"/>
      <c r="B294" t="s">
        <v>636</v>
      </c>
      <c r="C294" s="279">
        <v>43438</v>
      </c>
      <c r="D294" t="s">
        <v>578</v>
      </c>
      <c r="E294" t="s">
        <v>583</v>
      </c>
    </row>
    <row r="295" spans="1:5" x14ac:dyDescent="0.25">
      <c r="A295" s="279"/>
      <c r="B295" t="s">
        <v>637</v>
      </c>
      <c r="C295" s="279">
        <v>43438</v>
      </c>
      <c r="D295" t="s">
        <v>576</v>
      </c>
      <c r="E295" t="s">
        <v>583</v>
      </c>
    </row>
    <row r="296" spans="1:5" x14ac:dyDescent="0.25">
      <c r="A296" s="279"/>
      <c r="B296" t="s">
        <v>637</v>
      </c>
      <c r="C296" s="279">
        <v>43438</v>
      </c>
      <c r="D296" t="s">
        <v>578</v>
      </c>
      <c r="E296" t="s">
        <v>583</v>
      </c>
    </row>
    <row r="297" spans="1:5" x14ac:dyDescent="0.25">
      <c r="A297" s="279"/>
      <c r="B297" t="s">
        <v>638</v>
      </c>
      <c r="C297" s="279">
        <v>43438</v>
      </c>
      <c r="D297" t="s">
        <v>568</v>
      </c>
      <c r="E297" t="s">
        <v>639</v>
      </c>
    </row>
    <row r="298" spans="1:5" x14ac:dyDescent="0.25">
      <c r="A298" s="279"/>
      <c r="B298" t="s">
        <v>638</v>
      </c>
      <c r="C298" s="279">
        <v>43438</v>
      </c>
      <c r="D298" t="s">
        <v>570</v>
      </c>
      <c r="E298" t="s">
        <v>639</v>
      </c>
    </row>
    <row r="299" spans="1:5" x14ac:dyDescent="0.25">
      <c r="A299" s="279"/>
      <c r="B299" t="s">
        <v>75</v>
      </c>
      <c r="C299" s="279">
        <v>43424</v>
      </c>
      <c r="D299" t="s">
        <v>576</v>
      </c>
      <c r="E299" t="s">
        <v>603</v>
      </c>
    </row>
    <row r="300" spans="1:5" x14ac:dyDescent="0.25">
      <c r="A300" s="279"/>
      <c r="B300" t="s">
        <v>75</v>
      </c>
      <c r="C300" s="279">
        <v>43424</v>
      </c>
      <c r="D300" t="s">
        <v>575</v>
      </c>
      <c r="E300" t="s">
        <v>603</v>
      </c>
    </row>
    <row r="301" spans="1:5" x14ac:dyDescent="0.25">
      <c r="A301" s="279"/>
      <c r="B301" t="s">
        <v>75</v>
      </c>
      <c r="C301" s="279">
        <v>43424</v>
      </c>
      <c r="D301" t="s">
        <v>578</v>
      </c>
      <c r="E301" t="s">
        <v>603</v>
      </c>
    </row>
    <row r="302" spans="1:5" x14ac:dyDescent="0.25">
      <c r="A302" s="279"/>
      <c r="B302" t="s">
        <v>84</v>
      </c>
      <c r="C302" s="279">
        <v>43420</v>
      </c>
      <c r="D302" t="s">
        <v>582</v>
      </c>
      <c r="E302" t="s">
        <v>583</v>
      </c>
    </row>
    <row r="303" spans="1:5" x14ac:dyDescent="0.25">
      <c r="A303" s="279"/>
      <c r="B303" t="s">
        <v>84</v>
      </c>
      <c r="C303" s="279">
        <v>43420</v>
      </c>
      <c r="D303" t="s">
        <v>575</v>
      </c>
      <c r="E303" t="s">
        <v>583</v>
      </c>
    </row>
    <row r="304" spans="1:5" x14ac:dyDescent="0.25">
      <c r="A304" s="279"/>
      <c r="B304" t="s">
        <v>640</v>
      </c>
      <c r="C304" s="279">
        <v>43417</v>
      </c>
      <c r="D304" t="s">
        <v>576</v>
      </c>
      <c r="E304" t="s">
        <v>583</v>
      </c>
    </row>
    <row r="305" spans="1:5" x14ac:dyDescent="0.25">
      <c r="A305" s="279"/>
      <c r="B305" t="s">
        <v>640</v>
      </c>
      <c r="C305" s="279">
        <v>43417</v>
      </c>
      <c r="D305" t="s">
        <v>578</v>
      </c>
      <c r="E305" t="s">
        <v>583</v>
      </c>
    </row>
    <row r="306" spans="1:5" x14ac:dyDescent="0.25">
      <c r="A306" s="279"/>
      <c r="B306" t="s">
        <v>69</v>
      </c>
      <c r="C306" s="279">
        <v>43371</v>
      </c>
      <c r="D306" t="s">
        <v>27</v>
      </c>
      <c r="E306" t="s">
        <v>586</v>
      </c>
    </row>
    <row r="307" spans="1:5" x14ac:dyDescent="0.25">
      <c r="A307" s="279"/>
      <c r="B307" t="s">
        <v>69</v>
      </c>
      <c r="C307" s="279">
        <v>43371</v>
      </c>
      <c r="D307" t="s">
        <v>641</v>
      </c>
      <c r="E307" t="s">
        <v>586</v>
      </c>
    </row>
    <row r="308" spans="1:5" x14ac:dyDescent="0.25">
      <c r="A308" s="279"/>
      <c r="B308" t="s">
        <v>69</v>
      </c>
      <c r="C308" s="279">
        <v>43371</v>
      </c>
      <c r="D308" t="s">
        <v>576</v>
      </c>
      <c r="E308" t="s">
        <v>586</v>
      </c>
    </row>
    <row r="309" spans="1:5" x14ac:dyDescent="0.25">
      <c r="A309" s="279"/>
      <c r="B309" t="s">
        <v>69</v>
      </c>
      <c r="C309" s="279">
        <v>43371</v>
      </c>
      <c r="D309" t="s">
        <v>575</v>
      </c>
      <c r="E309" t="s">
        <v>586</v>
      </c>
    </row>
    <row r="310" spans="1:5" x14ac:dyDescent="0.25">
      <c r="A310" s="279"/>
      <c r="B310" t="s">
        <v>69</v>
      </c>
      <c r="C310" s="279">
        <v>43371</v>
      </c>
      <c r="D310" t="s">
        <v>642</v>
      </c>
      <c r="E310" t="s">
        <v>586</v>
      </c>
    </row>
    <row r="311" spans="1:5" x14ac:dyDescent="0.25">
      <c r="A311" s="279"/>
      <c r="B311" t="s">
        <v>69</v>
      </c>
      <c r="C311" s="279">
        <v>43371</v>
      </c>
      <c r="D311" t="s">
        <v>578</v>
      </c>
      <c r="E311" t="s">
        <v>586</v>
      </c>
    </row>
    <row r="312" spans="1:5" x14ac:dyDescent="0.25">
      <c r="A312" s="279"/>
      <c r="B312" t="s">
        <v>104</v>
      </c>
      <c r="C312" s="279">
        <v>43357</v>
      </c>
      <c r="D312" t="s">
        <v>576</v>
      </c>
      <c r="E312" t="s">
        <v>585</v>
      </c>
    </row>
    <row r="313" spans="1:5" x14ac:dyDescent="0.25">
      <c r="A313" s="279"/>
      <c r="B313" t="s">
        <v>104</v>
      </c>
      <c r="C313" s="279">
        <v>43357</v>
      </c>
      <c r="D313" t="s">
        <v>578</v>
      </c>
      <c r="E313" t="s">
        <v>585</v>
      </c>
    </row>
    <row r="314" spans="1:5" x14ac:dyDescent="0.25">
      <c r="A314" s="279"/>
      <c r="B314" t="s">
        <v>78</v>
      </c>
      <c r="C314" s="279">
        <v>43354</v>
      </c>
      <c r="D314" t="s">
        <v>576</v>
      </c>
      <c r="E314" t="s">
        <v>583</v>
      </c>
    </row>
    <row r="315" spans="1:5" x14ac:dyDescent="0.25">
      <c r="A315" s="279"/>
      <c r="B315" t="s">
        <v>78</v>
      </c>
      <c r="C315" s="279">
        <v>43354</v>
      </c>
      <c r="D315" t="s">
        <v>578</v>
      </c>
      <c r="E315" t="s">
        <v>583</v>
      </c>
    </row>
    <row r="316" spans="1:5" x14ac:dyDescent="0.25">
      <c r="A316" s="279"/>
      <c r="B316" t="s">
        <v>126</v>
      </c>
      <c r="C316" s="279">
        <v>43350</v>
      </c>
      <c r="D316" t="s">
        <v>576</v>
      </c>
      <c r="E316" t="s">
        <v>590</v>
      </c>
    </row>
    <row r="317" spans="1:5" x14ac:dyDescent="0.25">
      <c r="A317" s="279"/>
      <c r="B317" t="s">
        <v>126</v>
      </c>
      <c r="C317" s="279">
        <v>43350</v>
      </c>
      <c r="D317" t="s">
        <v>578</v>
      </c>
      <c r="E317" t="s">
        <v>590</v>
      </c>
    </row>
    <row r="318" spans="1:5" x14ac:dyDescent="0.25">
      <c r="A318" s="279"/>
      <c r="B318" t="s">
        <v>622</v>
      </c>
      <c r="C318" s="279">
        <v>43333</v>
      </c>
      <c r="D318" t="s">
        <v>575</v>
      </c>
      <c r="E318" t="s">
        <v>601</v>
      </c>
    </row>
    <row r="319" spans="1:5" x14ac:dyDescent="0.25">
      <c r="A319" s="279"/>
      <c r="B319" t="s">
        <v>643</v>
      </c>
      <c r="C319" s="279">
        <v>43327</v>
      </c>
      <c r="D319" t="s">
        <v>568</v>
      </c>
      <c r="E319" t="s">
        <v>644</v>
      </c>
    </row>
    <row r="320" spans="1:5" x14ac:dyDescent="0.25">
      <c r="A320" s="279"/>
      <c r="B320" t="s">
        <v>643</v>
      </c>
      <c r="C320" s="279">
        <v>43327</v>
      </c>
      <c r="D320" t="s">
        <v>570</v>
      </c>
      <c r="E320" t="s">
        <v>644</v>
      </c>
    </row>
    <row r="321" spans="1:5" x14ac:dyDescent="0.25">
      <c r="A321" s="279"/>
      <c r="B321" t="s">
        <v>116</v>
      </c>
      <c r="C321" s="279">
        <v>43322</v>
      </c>
      <c r="D321" t="s">
        <v>576</v>
      </c>
      <c r="E321" t="s">
        <v>590</v>
      </c>
    </row>
    <row r="322" spans="1:5" x14ac:dyDescent="0.25">
      <c r="A322" s="279"/>
      <c r="B322" t="s">
        <v>116</v>
      </c>
      <c r="C322" s="279">
        <v>43322</v>
      </c>
      <c r="D322" t="s">
        <v>575</v>
      </c>
      <c r="E322" t="s">
        <v>590</v>
      </c>
    </row>
    <row r="323" spans="1:5" x14ac:dyDescent="0.25">
      <c r="A323" s="279"/>
      <c r="B323" t="s">
        <v>116</v>
      </c>
      <c r="C323" s="279">
        <v>43322</v>
      </c>
      <c r="D323" t="s">
        <v>578</v>
      </c>
      <c r="E323" t="s">
        <v>590</v>
      </c>
    </row>
    <row r="324" spans="1:5" x14ac:dyDescent="0.25">
      <c r="A324" s="279"/>
      <c r="B324" t="s">
        <v>83</v>
      </c>
      <c r="C324" s="279">
        <v>43312</v>
      </c>
      <c r="D324" t="s">
        <v>576</v>
      </c>
      <c r="E324" t="s">
        <v>583</v>
      </c>
    </row>
    <row r="325" spans="1:5" x14ac:dyDescent="0.25">
      <c r="A325" s="279"/>
      <c r="B325" t="s">
        <v>83</v>
      </c>
      <c r="C325" s="279">
        <v>43312</v>
      </c>
      <c r="D325" t="s">
        <v>578</v>
      </c>
      <c r="E325" t="s">
        <v>583</v>
      </c>
    </row>
    <row r="326" spans="1:5" x14ac:dyDescent="0.25">
      <c r="A326" s="279"/>
      <c r="B326" t="s">
        <v>640</v>
      </c>
      <c r="C326" s="279">
        <v>43273</v>
      </c>
      <c r="D326" t="s">
        <v>582</v>
      </c>
      <c r="E326" t="s">
        <v>583</v>
      </c>
    </row>
    <row r="327" spans="1:5" x14ac:dyDescent="0.25">
      <c r="A327" s="279"/>
      <c r="B327" t="s">
        <v>640</v>
      </c>
      <c r="C327" s="279">
        <v>43273</v>
      </c>
      <c r="D327" t="s">
        <v>575</v>
      </c>
      <c r="E327" t="s">
        <v>583</v>
      </c>
    </row>
    <row r="328" spans="1:5" x14ac:dyDescent="0.25">
      <c r="A328" s="279"/>
      <c r="B328" t="s">
        <v>645</v>
      </c>
      <c r="C328" s="279">
        <v>43270</v>
      </c>
      <c r="D328" t="s">
        <v>576</v>
      </c>
      <c r="E328" t="s">
        <v>583</v>
      </c>
    </row>
    <row r="329" spans="1:5" x14ac:dyDescent="0.25">
      <c r="A329" s="279"/>
      <c r="B329" t="s">
        <v>645</v>
      </c>
      <c r="C329" s="279">
        <v>43270</v>
      </c>
      <c r="D329" t="s">
        <v>578</v>
      </c>
      <c r="E329" t="s">
        <v>583</v>
      </c>
    </row>
    <row r="330" spans="1:5" x14ac:dyDescent="0.25">
      <c r="A330" s="279"/>
      <c r="B330" t="s">
        <v>82</v>
      </c>
      <c r="C330" s="279">
        <v>43270</v>
      </c>
      <c r="D330" t="s">
        <v>576</v>
      </c>
      <c r="E330" t="s">
        <v>583</v>
      </c>
    </row>
    <row r="331" spans="1:5" x14ac:dyDescent="0.25">
      <c r="A331" s="279"/>
      <c r="B331" t="s">
        <v>82</v>
      </c>
      <c r="C331" s="279">
        <v>43270</v>
      </c>
      <c r="D331" t="s">
        <v>578</v>
      </c>
      <c r="E331" t="s">
        <v>583</v>
      </c>
    </row>
    <row r="332" spans="1:5" x14ac:dyDescent="0.25">
      <c r="A332" s="279"/>
      <c r="B332" t="s">
        <v>631</v>
      </c>
      <c r="C332" s="279">
        <v>43260</v>
      </c>
      <c r="D332" t="s">
        <v>576</v>
      </c>
      <c r="E332" t="s">
        <v>632</v>
      </c>
    </row>
    <row r="333" spans="1:5" x14ac:dyDescent="0.25">
      <c r="A333" s="279"/>
      <c r="B333" t="s">
        <v>631</v>
      </c>
      <c r="C333" s="279">
        <v>43260</v>
      </c>
      <c r="D333" t="s">
        <v>575</v>
      </c>
      <c r="E333" t="s">
        <v>632</v>
      </c>
    </row>
    <row r="334" spans="1:5" x14ac:dyDescent="0.25">
      <c r="A334" s="279"/>
      <c r="B334" t="s">
        <v>631</v>
      </c>
      <c r="C334" s="279">
        <v>43260</v>
      </c>
      <c r="D334" t="s">
        <v>578</v>
      </c>
      <c r="E334" t="s">
        <v>632</v>
      </c>
    </row>
    <row r="335" spans="1:5" x14ac:dyDescent="0.25">
      <c r="A335" s="279"/>
      <c r="B335" t="s">
        <v>68</v>
      </c>
      <c r="C335" s="279">
        <v>43237</v>
      </c>
      <c r="D335" t="s">
        <v>575</v>
      </c>
      <c r="E335" t="s">
        <v>646</v>
      </c>
    </row>
    <row r="336" spans="1:5" x14ac:dyDescent="0.25">
      <c r="A336" s="279"/>
      <c r="B336" t="s">
        <v>647</v>
      </c>
      <c r="C336" s="279">
        <v>43203</v>
      </c>
      <c r="D336" t="s">
        <v>578</v>
      </c>
      <c r="E336" t="s">
        <v>618</v>
      </c>
    </row>
    <row r="337" spans="1:5" x14ac:dyDescent="0.25">
      <c r="A337" s="279"/>
      <c r="B337" t="s">
        <v>648</v>
      </c>
      <c r="C337" s="279">
        <v>43182</v>
      </c>
      <c r="D337" t="s">
        <v>576</v>
      </c>
      <c r="E337" t="s">
        <v>609</v>
      </c>
    </row>
    <row r="338" spans="1:5" x14ac:dyDescent="0.25">
      <c r="A338" s="279"/>
      <c r="B338" t="s">
        <v>648</v>
      </c>
      <c r="C338" s="279">
        <v>43182</v>
      </c>
      <c r="D338" t="s">
        <v>575</v>
      </c>
      <c r="E338" t="s">
        <v>609</v>
      </c>
    </row>
    <row r="339" spans="1:5" x14ac:dyDescent="0.25">
      <c r="A339" s="279"/>
      <c r="B339" t="s">
        <v>648</v>
      </c>
      <c r="C339" s="279">
        <v>43182</v>
      </c>
      <c r="D339" t="s">
        <v>578</v>
      </c>
      <c r="E339" t="s">
        <v>609</v>
      </c>
    </row>
    <row r="340" spans="1:5" x14ac:dyDescent="0.25">
      <c r="A340" s="279"/>
      <c r="B340" t="s">
        <v>649</v>
      </c>
      <c r="C340" s="279">
        <v>43179</v>
      </c>
      <c r="D340" t="s">
        <v>576</v>
      </c>
      <c r="E340" t="s">
        <v>583</v>
      </c>
    </row>
    <row r="341" spans="1:5" x14ac:dyDescent="0.25">
      <c r="A341" s="279"/>
      <c r="B341" t="s">
        <v>649</v>
      </c>
      <c r="C341" s="279">
        <v>43179</v>
      </c>
      <c r="D341" t="s">
        <v>578</v>
      </c>
      <c r="E341" t="s">
        <v>583</v>
      </c>
    </row>
    <row r="342" spans="1:5" x14ac:dyDescent="0.25">
      <c r="A342" s="279"/>
      <c r="B342" t="s">
        <v>622</v>
      </c>
      <c r="C342" s="279">
        <v>43175</v>
      </c>
      <c r="D342" t="s">
        <v>576</v>
      </c>
      <c r="E342" t="s">
        <v>601</v>
      </c>
    </row>
    <row r="343" spans="1:5" x14ac:dyDescent="0.25">
      <c r="A343" s="279"/>
      <c r="B343" t="s">
        <v>622</v>
      </c>
      <c r="C343" s="279">
        <v>43175</v>
      </c>
      <c r="D343" t="s">
        <v>578</v>
      </c>
      <c r="E343" t="s">
        <v>601</v>
      </c>
    </row>
    <row r="344" spans="1:5" x14ac:dyDescent="0.25">
      <c r="A344" s="279"/>
      <c r="B344" t="s">
        <v>650</v>
      </c>
      <c r="C344" s="279">
        <v>43165</v>
      </c>
      <c r="D344" t="s">
        <v>568</v>
      </c>
      <c r="E344" t="s">
        <v>651</v>
      </c>
    </row>
    <row r="345" spans="1:5" x14ac:dyDescent="0.25">
      <c r="A345" s="279"/>
      <c r="B345" t="s">
        <v>650</v>
      </c>
      <c r="C345" s="279">
        <v>43165</v>
      </c>
      <c r="D345" t="s">
        <v>570</v>
      </c>
      <c r="E345" t="s">
        <v>651</v>
      </c>
    </row>
    <row r="346" spans="1:5" x14ac:dyDescent="0.25">
      <c r="A346" s="279"/>
      <c r="B346" t="s">
        <v>637</v>
      </c>
      <c r="C346" s="279">
        <v>43158</v>
      </c>
      <c r="D346" t="s">
        <v>582</v>
      </c>
      <c r="E346" t="s">
        <v>583</v>
      </c>
    </row>
    <row r="347" spans="1:5" x14ac:dyDescent="0.25">
      <c r="A347" s="279"/>
      <c r="B347" t="s">
        <v>637</v>
      </c>
      <c r="C347" s="279">
        <v>43158</v>
      </c>
      <c r="D347" t="s">
        <v>575</v>
      </c>
      <c r="E347" t="s">
        <v>583</v>
      </c>
    </row>
    <row r="348" spans="1:5" x14ac:dyDescent="0.25">
      <c r="A348" s="279"/>
      <c r="B348" t="s">
        <v>652</v>
      </c>
      <c r="C348" s="279">
        <v>43147</v>
      </c>
      <c r="D348" t="s">
        <v>27</v>
      </c>
      <c r="E348" t="s">
        <v>606</v>
      </c>
    </row>
    <row r="349" spans="1:5" x14ac:dyDescent="0.25">
      <c r="A349" s="279"/>
      <c r="B349" t="s">
        <v>652</v>
      </c>
      <c r="C349" s="279">
        <v>43147</v>
      </c>
      <c r="D349" t="s">
        <v>576</v>
      </c>
      <c r="E349" t="s">
        <v>606</v>
      </c>
    </row>
    <row r="350" spans="1:5" x14ac:dyDescent="0.25">
      <c r="A350" s="279"/>
      <c r="B350" t="s">
        <v>652</v>
      </c>
      <c r="C350" s="279">
        <v>43147</v>
      </c>
      <c r="D350" t="s">
        <v>575</v>
      </c>
      <c r="E350" t="s">
        <v>606</v>
      </c>
    </row>
    <row r="351" spans="1:5" x14ac:dyDescent="0.25">
      <c r="A351" s="279"/>
      <c r="B351" t="s">
        <v>652</v>
      </c>
      <c r="C351" s="279">
        <v>43147</v>
      </c>
      <c r="D351" t="s">
        <v>578</v>
      </c>
      <c r="E351" t="s">
        <v>606</v>
      </c>
    </row>
    <row r="352" spans="1:5" x14ac:dyDescent="0.25">
      <c r="A352" s="279"/>
      <c r="B352" t="s">
        <v>653</v>
      </c>
      <c r="C352" s="279">
        <v>43133</v>
      </c>
      <c r="D352" t="s">
        <v>576</v>
      </c>
      <c r="E352" t="s">
        <v>618</v>
      </c>
    </row>
    <row r="353" spans="1:5" x14ac:dyDescent="0.25">
      <c r="A353" s="279"/>
      <c r="B353" t="s">
        <v>653</v>
      </c>
      <c r="C353" s="279">
        <v>43133</v>
      </c>
      <c r="D353" t="s">
        <v>578</v>
      </c>
      <c r="E353" t="s">
        <v>618</v>
      </c>
    </row>
    <row r="354" spans="1:5" x14ac:dyDescent="0.25">
      <c r="A354" s="279"/>
      <c r="B354" t="s">
        <v>79</v>
      </c>
      <c r="C354" s="279">
        <v>43108</v>
      </c>
      <c r="D354" t="s">
        <v>576</v>
      </c>
      <c r="E354" t="s">
        <v>583</v>
      </c>
    </row>
    <row r="355" spans="1:5" x14ac:dyDescent="0.25">
      <c r="A355" s="279"/>
      <c r="B355" t="s">
        <v>79</v>
      </c>
      <c r="C355" s="279">
        <v>43108</v>
      </c>
      <c r="D355" t="s">
        <v>578</v>
      </c>
      <c r="E355" t="s">
        <v>583</v>
      </c>
    </row>
    <row r="356" spans="1:5" x14ac:dyDescent="0.25">
      <c r="A356" s="279"/>
      <c r="B356" t="s">
        <v>137</v>
      </c>
      <c r="C356" s="279">
        <v>43056</v>
      </c>
      <c r="D356" t="s">
        <v>576</v>
      </c>
      <c r="E356" t="s">
        <v>603</v>
      </c>
    </row>
    <row r="357" spans="1:5" x14ac:dyDescent="0.25">
      <c r="A357" s="279"/>
      <c r="B357" t="s">
        <v>137</v>
      </c>
      <c r="C357" s="279">
        <v>43056</v>
      </c>
      <c r="D357" t="s">
        <v>575</v>
      </c>
      <c r="E357" t="s">
        <v>603</v>
      </c>
    </row>
    <row r="358" spans="1:5" x14ac:dyDescent="0.25">
      <c r="A358" s="279"/>
      <c r="B358" t="s">
        <v>137</v>
      </c>
      <c r="C358" s="279">
        <v>43056</v>
      </c>
      <c r="D358" t="s">
        <v>578</v>
      </c>
      <c r="E358" t="s">
        <v>603</v>
      </c>
    </row>
    <row r="359" spans="1:5" x14ac:dyDescent="0.25">
      <c r="A359" s="279"/>
      <c r="B359" t="s">
        <v>81</v>
      </c>
      <c r="C359" s="279">
        <v>43053</v>
      </c>
      <c r="D359" t="s">
        <v>576</v>
      </c>
      <c r="E359" t="s">
        <v>583</v>
      </c>
    </row>
    <row r="360" spans="1:5" x14ac:dyDescent="0.25">
      <c r="A360" s="279"/>
      <c r="B360" t="s">
        <v>81</v>
      </c>
      <c r="C360" s="279">
        <v>43053</v>
      </c>
      <c r="D360" t="s">
        <v>578</v>
      </c>
      <c r="E360" t="s">
        <v>583</v>
      </c>
    </row>
    <row r="361" spans="1:5" x14ac:dyDescent="0.25">
      <c r="A361" s="279"/>
      <c r="B361" t="s">
        <v>80</v>
      </c>
      <c r="C361" s="279">
        <v>43053</v>
      </c>
      <c r="D361" t="s">
        <v>576</v>
      </c>
      <c r="E361" t="s">
        <v>583</v>
      </c>
    </row>
    <row r="362" spans="1:5" x14ac:dyDescent="0.25">
      <c r="A362" s="279"/>
      <c r="B362" t="s">
        <v>80</v>
      </c>
      <c r="C362" s="279">
        <v>43053</v>
      </c>
      <c r="D362" t="s">
        <v>578</v>
      </c>
      <c r="E362" t="s">
        <v>583</v>
      </c>
    </row>
    <row r="363" spans="1:5" x14ac:dyDescent="0.25">
      <c r="A363" s="279"/>
      <c r="B363" t="s">
        <v>40</v>
      </c>
      <c r="C363" s="279">
        <v>43053</v>
      </c>
      <c r="D363" t="s">
        <v>576</v>
      </c>
      <c r="E363" t="s">
        <v>566</v>
      </c>
    </row>
    <row r="364" spans="1:5" x14ac:dyDescent="0.25">
      <c r="A364" s="279"/>
      <c r="B364" t="s">
        <v>40</v>
      </c>
      <c r="C364" s="279">
        <v>43053</v>
      </c>
      <c r="D364" t="s">
        <v>578</v>
      </c>
      <c r="E364" t="s">
        <v>566</v>
      </c>
    </row>
    <row r="365" spans="1:5" x14ac:dyDescent="0.25">
      <c r="A365" s="279"/>
      <c r="B365" t="s">
        <v>83</v>
      </c>
      <c r="C365" s="279">
        <v>43049</v>
      </c>
      <c r="D365" t="s">
        <v>582</v>
      </c>
      <c r="E365" t="s">
        <v>583</v>
      </c>
    </row>
    <row r="366" spans="1:5" x14ac:dyDescent="0.25">
      <c r="A366" s="279"/>
      <c r="B366" t="s">
        <v>83</v>
      </c>
      <c r="C366" s="279">
        <v>43049</v>
      </c>
      <c r="D366" t="s">
        <v>575</v>
      </c>
      <c r="E366" t="s">
        <v>583</v>
      </c>
    </row>
    <row r="367" spans="1:5" x14ac:dyDescent="0.25">
      <c r="A367" s="279"/>
      <c r="B367" t="s">
        <v>141</v>
      </c>
      <c r="C367" s="279">
        <v>43049</v>
      </c>
      <c r="D367" t="s">
        <v>576</v>
      </c>
      <c r="E367" t="s">
        <v>626</v>
      </c>
    </row>
    <row r="368" spans="1:5" x14ac:dyDescent="0.25">
      <c r="A368" s="279"/>
      <c r="B368" t="s">
        <v>141</v>
      </c>
      <c r="C368" s="279">
        <v>43049</v>
      </c>
      <c r="D368" t="s">
        <v>575</v>
      </c>
      <c r="E368" t="s">
        <v>626</v>
      </c>
    </row>
    <row r="369" spans="1:5" x14ac:dyDescent="0.25">
      <c r="A369" s="279"/>
      <c r="B369" t="s">
        <v>141</v>
      </c>
      <c r="C369" s="279">
        <v>43049</v>
      </c>
      <c r="D369" t="s">
        <v>578</v>
      </c>
      <c r="E369" t="s">
        <v>626</v>
      </c>
    </row>
    <row r="370" spans="1:5" x14ac:dyDescent="0.25">
      <c r="A370" s="279"/>
      <c r="B370" t="s">
        <v>67</v>
      </c>
      <c r="C370" s="279">
        <v>43007</v>
      </c>
      <c r="D370" t="s">
        <v>27</v>
      </c>
      <c r="E370" t="s">
        <v>586</v>
      </c>
    </row>
    <row r="371" spans="1:5" x14ac:dyDescent="0.25">
      <c r="A371" s="279"/>
      <c r="B371" t="s">
        <v>67</v>
      </c>
      <c r="C371" s="279">
        <v>43007</v>
      </c>
      <c r="D371" t="s">
        <v>641</v>
      </c>
      <c r="E371" t="s">
        <v>586</v>
      </c>
    </row>
    <row r="372" spans="1:5" x14ac:dyDescent="0.25">
      <c r="A372" s="279"/>
      <c r="B372" t="s">
        <v>67</v>
      </c>
      <c r="C372" s="279">
        <v>43007</v>
      </c>
      <c r="D372" t="s">
        <v>576</v>
      </c>
      <c r="E372" t="s">
        <v>586</v>
      </c>
    </row>
    <row r="373" spans="1:5" x14ac:dyDescent="0.25">
      <c r="A373" s="279"/>
      <c r="B373" t="s">
        <v>67</v>
      </c>
      <c r="C373" s="279">
        <v>43007</v>
      </c>
      <c r="D373" t="s">
        <v>575</v>
      </c>
      <c r="E373" t="s">
        <v>586</v>
      </c>
    </row>
    <row r="374" spans="1:5" x14ac:dyDescent="0.25">
      <c r="A374" s="279"/>
      <c r="B374" t="s">
        <v>67</v>
      </c>
      <c r="C374" s="279">
        <v>43007</v>
      </c>
      <c r="D374" t="s">
        <v>642</v>
      </c>
      <c r="E374" t="s">
        <v>586</v>
      </c>
    </row>
    <row r="375" spans="1:5" x14ac:dyDescent="0.25">
      <c r="A375" s="279"/>
      <c r="B375" t="s">
        <v>67</v>
      </c>
      <c r="C375" s="279">
        <v>43007</v>
      </c>
      <c r="D375" t="s">
        <v>578</v>
      </c>
      <c r="E375" t="s">
        <v>586</v>
      </c>
    </row>
    <row r="376" spans="1:5" x14ac:dyDescent="0.25">
      <c r="A376" s="279"/>
      <c r="B376" t="s">
        <v>103</v>
      </c>
      <c r="C376" s="279">
        <v>42993</v>
      </c>
      <c r="D376" t="s">
        <v>576</v>
      </c>
      <c r="E376" t="s">
        <v>618</v>
      </c>
    </row>
    <row r="377" spans="1:5" x14ac:dyDescent="0.25">
      <c r="A377" s="279"/>
      <c r="B377" t="s">
        <v>103</v>
      </c>
      <c r="C377" s="279">
        <v>42993</v>
      </c>
      <c r="D377" t="s">
        <v>578</v>
      </c>
      <c r="E377" t="s">
        <v>618</v>
      </c>
    </row>
    <row r="378" spans="1:5" x14ac:dyDescent="0.25">
      <c r="A378" s="279"/>
      <c r="B378" t="s">
        <v>125</v>
      </c>
      <c r="C378" s="279">
        <v>42993</v>
      </c>
      <c r="D378" t="s">
        <v>576</v>
      </c>
      <c r="E378" t="s">
        <v>590</v>
      </c>
    </row>
    <row r="379" spans="1:5" x14ac:dyDescent="0.25">
      <c r="A379" s="279"/>
      <c r="B379" t="s">
        <v>125</v>
      </c>
      <c r="C379" s="279">
        <v>42993</v>
      </c>
      <c r="D379" t="s">
        <v>578</v>
      </c>
      <c r="E379" t="s">
        <v>590</v>
      </c>
    </row>
    <row r="380" spans="1:5" x14ac:dyDescent="0.25">
      <c r="A380" s="279"/>
      <c r="B380" t="s">
        <v>115</v>
      </c>
      <c r="C380" s="279">
        <v>42969</v>
      </c>
      <c r="D380" t="s">
        <v>576</v>
      </c>
      <c r="E380" t="s">
        <v>590</v>
      </c>
    </row>
    <row r="381" spans="1:5" x14ac:dyDescent="0.25">
      <c r="A381" s="279"/>
      <c r="B381" t="s">
        <v>115</v>
      </c>
      <c r="C381" s="279">
        <v>42969</v>
      </c>
      <c r="D381" t="s">
        <v>578</v>
      </c>
      <c r="E381" t="s">
        <v>590</v>
      </c>
    </row>
    <row r="382" spans="1:5" x14ac:dyDescent="0.25">
      <c r="A382" s="279"/>
      <c r="B382" t="s">
        <v>645</v>
      </c>
      <c r="C382" s="279">
        <v>42885</v>
      </c>
      <c r="D382" t="s">
        <v>582</v>
      </c>
      <c r="E382" t="s">
        <v>583</v>
      </c>
    </row>
    <row r="383" spans="1:5" x14ac:dyDescent="0.25">
      <c r="A383" s="279"/>
      <c r="B383" t="s">
        <v>645</v>
      </c>
      <c r="C383" s="279">
        <v>42885</v>
      </c>
      <c r="D383" t="s">
        <v>575</v>
      </c>
      <c r="E383" t="s">
        <v>583</v>
      </c>
    </row>
    <row r="384" spans="1:5" x14ac:dyDescent="0.25">
      <c r="A384" s="279"/>
      <c r="B384" t="s">
        <v>82</v>
      </c>
      <c r="C384" s="279">
        <v>42885</v>
      </c>
      <c r="D384" t="s">
        <v>582</v>
      </c>
      <c r="E384" t="s">
        <v>583</v>
      </c>
    </row>
    <row r="385" spans="1:5" x14ac:dyDescent="0.25">
      <c r="A385" s="279"/>
      <c r="B385" t="s">
        <v>82</v>
      </c>
      <c r="C385" s="279">
        <v>42885</v>
      </c>
      <c r="D385" t="s">
        <v>575</v>
      </c>
      <c r="E385" t="s">
        <v>583</v>
      </c>
    </row>
    <row r="386" spans="1:5" x14ac:dyDescent="0.25">
      <c r="A386" s="279"/>
      <c r="B386" t="s">
        <v>133</v>
      </c>
      <c r="C386" s="279">
        <v>42815</v>
      </c>
      <c r="D386" t="s">
        <v>576</v>
      </c>
      <c r="E386" t="s">
        <v>552</v>
      </c>
    </row>
    <row r="387" spans="1:5" x14ac:dyDescent="0.25">
      <c r="A387" s="279"/>
      <c r="B387" t="s">
        <v>133</v>
      </c>
      <c r="C387" s="279">
        <v>42815</v>
      </c>
      <c r="D387" t="s">
        <v>575</v>
      </c>
      <c r="E387" t="s">
        <v>552</v>
      </c>
    </row>
    <row r="388" spans="1:5" x14ac:dyDescent="0.25">
      <c r="A388" s="279"/>
      <c r="B388" t="s">
        <v>133</v>
      </c>
      <c r="C388" s="279">
        <v>42815</v>
      </c>
      <c r="D388" t="s">
        <v>578</v>
      </c>
      <c r="E388" t="s">
        <v>552</v>
      </c>
    </row>
    <row r="389" spans="1:5" x14ac:dyDescent="0.25">
      <c r="A389" s="279"/>
      <c r="B389" t="s">
        <v>654</v>
      </c>
      <c r="C389" s="279">
        <v>42762</v>
      </c>
      <c r="D389" t="s">
        <v>578</v>
      </c>
      <c r="E389" t="s">
        <v>655</v>
      </c>
    </row>
    <row r="390" spans="1:5" x14ac:dyDescent="0.25">
      <c r="A390" s="279"/>
      <c r="B390" t="s">
        <v>81</v>
      </c>
      <c r="C390" s="279">
        <v>42759</v>
      </c>
      <c r="D390" t="s">
        <v>582</v>
      </c>
      <c r="E390" t="s">
        <v>583</v>
      </c>
    </row>
    <row r="391" spans="1:5" x14ac:dyDescent="0.25">
      <c r="A391" s="279"/>
      <c r="B391" t="s">
        <v>81</v>
      </c>
      <c r="C391" s="279">
        <v>42759</v>
      </c>
      <c r="D391" t="s">
        <v>575</v>
      </c>
      <c r="E391" t="s">
        <v>583</v>
      </c>
    </row>
    <row r="392" spans="1:5" x14ac:dyDescent="0.25">
      <c r="A392" s="279"/>
      <c r="B392" t="s">
        <v>656</v>
      </c>
      <c r="C392" s="279">
        <v>42752</v>
      </c>
      <c r="D392" t="s">
        <v>568</v>
      </c>
      <c r="E392" t="s">
        <v>657</v>
      </c>
    </row>
    <row r="393" spans="1:5" x14ac:dyDescent="0.25">
      <c r="A393" s="279"/>
      <c r="B393" t="s">
        <v>656</v>
      </c>
      <c r="C393" s="279">
        <v>42752</v>
      </c>
      <c r="D393" t="s">
        <v>570</v>
      </c>
      <c r="E393" t="s">
        <v>657</v>
      </c>
    </row>
    <row r="394" spans="1:5" x14ac:dyDescent="0.25">
      <c r="A394" s="279"/>
      <c r="B394" t="s">
        <v>80</v>
      </c>
      <c r="C394" s="279">
        <v>42675</v>
      </c>
      <c r="D394" t="s">
        <v>582</v>
      </c>
      <c r="E394" t="s">
        <v>583</v>
      </c>
    </row>
    <row r="395" spans="1:5" x14ac:dyDescent="0.25">
      <c r="A395" s="279"/>
      <c r="B395" t="s">
        <v>80</v>
      </c>
      <c r="C395" s="279">
        <v>42675</v>
      </c>
      <c r="D395" t="s">
        <v>575</v>
      </c>
      <c r="E395" t="s">
        <v>583</v>
      </c>
    </row>
    <row r="396" spans="1:5" x14ac:dyDescent="0.25">
      <c r="A396" s="279"/>
      <c r="B396" t="s">
        <v>479</v>
      </c>
      <c r="C396" s="279">
        <v>42671</v>
      </c>
      <c r="D396" t="s">
        <v>576</v>
      </c>
      <c r="E396" t="s">
        <v>549</v>
      </c>
    </row>
    <row r="397" spans="1:5" x14ac:dyDescent="0.25">
      <c r="A397" s="279"/>
      <c r="B397" t="s">
        <v>479</v>
      </c>
      <c r="C397" s="279">
        <v>42671</v>
      </c>
      <c r="D397" t="s">
        <v>575</v>
      </c>
      <c r="E397" t="s">
        <v>549</v>
      </c>
    </row>
    <row r="398" spans="1:5" x14ac:dyDescent="0.25">
      <c r="A398" s="279"/>
      <c r="B398" t="s">
        <v>479</v>
      </c>
      <c r="C398" s="279">
        <v>42671</v>
      </c>
      <c r="D398" t="s">
        <v>578</v>
      </c>
      <c r="E398" t="s">
        <v>549</v>
      </c>
    </row>
    <row r="399" spans="1:5" x14ac:dyDescent="0.25">
      <c r="A399" s="279"/>
      <c r="B399" t="s">
        <v>74</v>
      </c>
      <c r="C399" s="279">
        <v>42664</v>
      </c>
      <c r="D399" t="s">
        <v>576</v>
      </c>
      <c r="E399" t="s">
        <v>603</v>
      </c>
    </row>
    <row r="400" spans="1:5" x14ac:dyDescent="0.25">
      <c r="A400" s="279"/>
      <c r="B400" t="s">
        <v>74</v>
      </c>
      <c r="C400" s="279">
        <v>42664</v>
      </c>
      <c r="D400" t="s">
        <v>575</v>
      </c>
      <c r="E400" t="s">
        <v>603</v>
      </c>
    </row>
    <row r="401" spans="1:5" x14ac:dyDescent="0.25">
      <c r="A401" s="279"/>
      <c r="B401" t="s">
        <v>74</v>
      </c>
      <c r="C401" s="279">
        <v>42664</v>
      </c>
      <c r="D401" t="s">
        <v>578</v>
      </c>
      <c r="E401" t="s">
        <v>603</v>
      </c>
    </row>
    <row r="402" spans="1:5" x14ac:dyDescent="0.25">
      <c r="A402" s="279"/>
      <c r="B402" t="s">
        <v>658</v>
      </c>
      <c r="C402" s="279">
        <v>42661</v>
      </c>
      <c r="D402" t="s">
        <v>570</v>
      </c>
      <c r="E402" t="s">
        <v>569</v>
      </c>
    </row>
    <row r="403" spans="1:5" x14ac:dyDescent="0.25">
      <c r="A403" s="279"/>
      <c r="B403" t="s">
        <v>658</v>
      </c>
      <c r="C403" s="279">
        <v>42661</v>
      </c>
      <c r="D403" t="s">
        <v>568</v>
      </c>
      <c r="E403" t="s">
        <v>569</v>
      </c>
    </row>
    <row r="404" spans="1:5" x14ac:dyDescent="0.25">
      <c r="A404" s="279"/>
      <c r="B404" t="s">
        <v>66</v>
      </c>
      <c r="C404" s="279">
        <v>42654</v>
      </c>
      <c r="D404" t="s">
        <v>568</v>
      </c>
      <c r="E404" t="s">
        <v>659</v>
      </c>
    </row>
    <row r="405" spans="1:5" x14ac:dyDescent="0.25">
      <c r="A405" s="279"/>
      <c r="B405" t="s">
        <v>66</v>
      </c>
      <c r="C405" s="279">
        <v>42654</v>
      </c>
      <c r="D405" t="s">
        <v>570</v>
      </c>
      <c r="E405" t="s">
        <v>659</v>
      </c>
    </row>
    <row r="406" spans="1:5" x14ac:dyDescent="0.25">
      <c r="A406" s="279"/>
      <c r="B406" t="s">
        <v>66</v>
      </c>
      <c r="C406" s="279">
        <v>42654</v>
      </c>
      <c r="D406" t="s">
        <v>575</v>
      </c>
      <c r="E406" t="s">
        <v>659</v>
      </c>
    </row>
    <row r="407" spans="1:5" x14ac:dyDescent="0.25">
      <c r="A407" s="279"/>
      <c r="B407" t="s">
        <v>660</v>
      </c>
      <c r="C407" s="279">
        <v>42640</v>
      </c>
      <c r="D407" t="s">
        <v>568</v>
      </c>
      <c r="E407" t="s">
        <v>577</v>
      </c>
    </row>
    <row r="408" spans="1:5" x14ac:dyDescent="0.25">
      <c r="A408" s="279"/>
      <c r="B408" t="s">
        <v>65</v>
      </c>
      <c r="C408" s="279">
        <v>42640</v>
      </c>
      <c r="D408" t="s">
        <v>641</v>
      </c>
      <c r="E408" t="s">
        <v>661</v>
      </c>
    </row>
    <row r="409" spans="1:5" x14ac:dyDescent="0.25">
      <c r="A409" s="279"/>
      <c r="B409" t="s">
        <v>65</v>
      </c>
      <c r="C409" s="279">
        <v>42640</v>
      </c>
      <c r="D409" t="s">
        <v>576</v>
      </c>
      <c r="E409" t="s">
        <v>661</v>
      </c>
    </row>
    <row r="410" spans="1:5" x14ac:dyDescent="0.25">
      <c r="A410" s="279"/>
      <c r="B410" t="s">
        <v>65</v>
      </c>
      <c r="C410" s="279">
        <v>42640</v>
      </c>
      <c r="D410" t="s">
        <v>575</v>
      </c>
      <c r="E410" t="s">
        <v>661</v>
      </c>
    </row>
    <row r="411" spans="1:5" x14ac:dyDescent="0.25">
      <c r="A411" s="279"/>
      <c r="B411" t="s">
        <v>65</v>
      </c>
      <c r="C411" s="279">
        <v>42640</v>
      </c>
      <c r="D411" t="s">
        <v>642</v>
      </c>
      <c r="E411" t="s">
        <v>661</v>
      </c>
    </row>
    <row r="412" spans="1:5" x14ac:dyDescent="0.25">
      <c r="A412" s="279"/>
      <c r="B412" t="s">
        <v>65</v>
      </c>
      <c r="C412" s="279">
        <v>42640</v>
      </c>
      <c r="D412" t="s">
        <v>578</v>
      </c>
      <c r="E412" t="s">
        <v>661</v>
      </c>
    </row>
    <row r="413" spans="1:5" x14ac:dyDescent="0.25">
      <c r="A413" s="279"/>
      <c r="B413" t="s">
        <v>102</v>
      </c>
      <c r="C413" s="279">
        <v>42626</v>
      </c>
      <c r="D413" t="s">
        <v>576</v>
      </c>
      <c r="E413" t="s">
        <v>618</v>
      </c>
    </row>
    <row r="414" spans="1:5" x14ac:dyDescent="0.25">
      <c r="A414" s="279"/>
      <c r="B414" t="s">
        <v>102</v>
      </c>
      <c r="C414" s="279">
        <v>42626</v>
      </c>
      <c r="D414" t="s">
        <v>578</v>
      </c>
      <c r="E414" t="s">
        <v>618</v>
      </c>
    </row>
    <row r="415" spans="1:5" x14ac:dyDescent="0.25">
      <c r="A415" s="279"/>
      <c r="B415" t="s">
        <v>114</v>
      </c>
      <c r="C415" s="279">
        <v>42605</v>
      </c>
      <c r="D415" t="s">
        <v>641</v>
      </c>
      <c r="E415" t="s">
        <v>590</v>
      </c>
    </row>
    <row r="416" spans="1:5" x14ac:dyDescent="0.25">
      <c r="A416" s="279"/>
      <c r="B416" t="s">
        <v>114</v>
      </c>
      <c r="C416" s="279">
        <v>42605</v>
      </c>
      <c r="D416" t="s">
        <v>576</v>
      </c>
      <c r="E416" t="s">
        <v>590</v>
      </c>
    </row>
    <row r="417" spans="1:5" x14ac:dyDescent="0.25">
      <c r="A417" s="279"/>
      <c r="B417" t="s">
        <v>114</v>
      </c>
      <c r="C417" s="279">
        <v>42605</v>
      </c>
      <c r="D417" t="s">
        <v>642</v>
      </c>
      <c r="E417" t="s">
        <v>590</v>
      </c>
    </row>
    <row r="418" spans="1:5" x14ac:dyDescent="0.25">
      <c r="A418" s="279"/>
      <c r="B418" t="s">
        <v>114</v>
      </c>
      <c r="C418" s="279">
        <v>42605</v>
      </c>
      <c r="D418" t="s">
        <v>578</v>
      </c>
      <c r="E418" t="s">
        <v>590</v>
      </c>
    </row>
    <row r="419" spans="1:5" x14ac:dyDescent="0.25">
      <c r="A419" s="279"/>
      <c r="B419" t="s">
        <v>660</v>
      </c>
      <c r="C419" s="279">
        <v>42569</v>
      </c>
      <c r="D419" t="s">
        <v>570</v>
      </c>
      <c r="E419" t="s">
        <v>577</v>
      </c>
    </row>
    <row r="420" spans="1:5" x14ac:dyDescent="0.25">
      <c r="A420" s="279"/>
      <c r="B420" t="s">
        <v>124</v>
      </c>
      <c r="C420" s="279">
        <v>42557</v>
      </c>
      <c r="D420" t="s">
        <v>568</v>
      </c>
      <c r="E420" t="s">
        <v>590</v>
      </c>
    </row>
    <row r="421" spans="1:5" x14ac:dyDescent="0.25">
      <c r="A421" s="279"/>
      <c r="B421" t="s">
        <v>124</v>
      </c>
      <c r="C421" s="279">
        <v>42557</v>
      </c>
      <c r="D421" t="s">
        <v>570</v>
      </c>
      <c r="E421" t="s">
        <v>590</v>
      </c>
    </row>
    <row r="422" spans="1:5" x14ac:dyDescent="0.25">
      <c r="A422" s="279"/>
      <c r="B422" t="s">
        <v>662</v>
      </c>
      <c r="C422" s="279">
        <v>42542</v>
      </c>
      <c r="D422" t="s">
        <v>568</v>
      </c>
      <c r="E422" t="s">
        <v>663</v>
      </c>
    </row>
    <row r="423" spans="1:5" x14ac:dyDescent="0.25">
      <c r="A423" s="279"/>
      <c r="B423" t="s">
        <v>662</v>
      </c>
      <c r="C423" s="279">
        <v>42542</v>
      </c>
      <c r="D423" t="s">
        <v>570</v>
      </c>
      <c r="E423" t="s">
        <v>663</v>
      </c>
    </row>
    <row r="424" spans="1:5" x14ac:dyDescent="0.25">
      <c r="A424" s="279"/>
      <c r="B424" t="s">
        <v>79</v>
      </c>
      <c r="C424" s="279">
        <v>42528</v>
      </c>
      <c r="D424" t="s">
        <v>582</v>
      </c>
      <c r="E424" t="s">
        <v>583</v>
      </c>
    </row>
    <row r="425" spans="1:5" x14ac:dyDescent="0.25">
      <c r="A425" s="279"/>
      <c r="B425" t="s">
        <v>79</v>
      </c>
      <c r="C425" s="279">
        <v>42528</v>
      </c>
      <c r="D425" t="s">
        <v>575</v>
      </c>
      <c r="E425" t="s">
        <v>583</v>
      </c>
    </row>
    <row r="426" spans="1:5" x14ac:dyDescent="0.25">
      <c r="A426" s="279"/>
      <c r="B426" t="s">
        <v>664</v>
      </c>
      <c r="C426" s="279">
        <v>42528</v>
      </c>
      <c r="D426" t="s">
        <v>576</v>
      </c>
      <c r="E426" t="s">
        <v>603</v>
      </c>
    </row>
    <row r="427" spans="1:5" x14ac:dyDescent="0.25">
      <c r="A427" s="279"/>
      <c r="B427" t="s">
        <v>664</v>
      </c>
      <c r="C427" s="279">
        <v>42528</v>
      </c>
      <c r="D427" t="s">
        <v>575</v>
      </c>
      <c r="E427" t="s">
        <v>603</v>
      </c>
    </row>
    <row r="428" spans="1:5" x14ac:dyDescent="0.25">
      <c r="A428" s="279"/>
      <c r="B428" t="s">
        <v>664</v>
      </c>
      <c r="C428" s="279">
        <v>42528</v>
      </c>
      <c r="D428" t="s">
        <v>578</v>
      </c>
      <c r="E428" t="s">
        <v>603</v>
      </c>
    </row>
    <row r="429" spans="1:5" x14ac:dyDescent="0.25">
      <c r="A429" s="279"/>
      <c r="B429" t="s">
        <v>665</v>
      </c>
      <c r="C429" s="279">
        <v>42500</v>
      </c>
      <c r="D429" t="s">
        <v>568</v>
      </c>
      <c r="E429" t="s">
        <v>569</v>
      </c>
    </row>
    <row r="430" spans="1:5" x14ac:dyDescent="0.25">
      <c r="A430" s="279"/>
      <c r="B430" t="s">
        <v>665</v>
      </c>
      <c r="C430" s="279">
        <v>42500</v>
      </c>
      <c r="D430" t="s">
        <v>570</v>
      </c>
      <c r="E430" t="s">
        <v>569</v>
      </c>
    </row>
    <row r="431" spans="1:5" x14ac:dyDescent="0.25">
      <c r="A431" s="279"/>
      <c r="B431" t="s">
        <v>139</v>
      </c>
      <c r="C431" s="279">
        <v>42444</v>
      </c>
      <c r="D431" t="s">
        <v>575</v>
      </c>
      <c r="E431" t="s">
        <v>626</v>
      </c>
    </row>
    <row r="432" spans="1:5" x14ac:dyDescent="0.25">
      <c r="A432" s="279"/>
      <c r="B432" t="s">
        <v>666</v>
      </c>
      <c r="C432" s="279">
        <v>42444</v>
      </c>
      <c r="D432" t="s">
        <v>576</v>
      </c>
      <c r="E432" t="s">
        <v>618</v>
      </c>
    </row>
    <row r="433" spans="1:5" x14ac:dyDescent="0.25">
      <c r="A433" s="279"/>
      <c r="B433" t="s">
        <v>666</v>
      </c>
      <c r="C433" s="279">
        <v>42444</v>
      </c>
      <c r="D433" t="s">
        <v>578</v>
      </c>
      <c r="E433" t="s">
        <v>618</v>
      </c>
    </row>
    <row r="434" spans="1:5" x14ac:dyDescent="0.25">
      <c r="A434" s="279"/>
      <c r="B434" t="s">
        <v>667</v>
      </c>
      <c r="C434" s="279">
        <v>42423</v>
      </c>
      <c r="D434" t="s">
        <v>576</v>
      </c>
      <c r="E434" t="s">
        <v>569</v>
      </c>
    </row>
    <row r="435" spans="1:5" x14ac:dyDescent="0.25">
      <c r="A435" s="279"/>
      <c r="B435" t="s">
        <v>667</v>
      </c>
      <c r="C435" s="279">
        <v>42423</v>
      </c>
      <c r="D435" t="s">
        <v>575</v>
      </c>
      <c r="E435" t="s">
        <v>569</v>
      </c>
    </row>
    <row r="436" spans="1:5" x14ac:dyDescent="0.25">
      <c r="A436" s="279"/>
      <c r="B436" t="s">
        <v>667</v>
      </c>
      <c r="C436" s="279">
        <v>42423</v>
      </c>
      <c r="D436" t="s">
        <v>578</v>
      </c>
      <c r="E436" t="s">
        <v>569</v>
      </c>
    </row>
    <row r="437" spans="1:5" x14ac:dyDescent="0.25">
      <c r="A437" s="279"/>
      <c r="B437" t="s">
        <v>668</v>
      </c>
      <c r="C437" s="279">
        <v>42409</v>
      </c>
      <c r="D437" t="s">
        <v>576</v>
      </c>
      <c r="E437" t="s">
        <v>632</v>
      </c>
    </row>
    <row r="438" spans="1:5" x14ac:dyDescent="0.25">
      <c r="A438" s="279"/>
      <c r="B438" t="s">
        <v>668</v>
      </c>
      <c r="C438" s="279">
        <v>42409</v>
      </c>
      <c r="D438" t="s">
        <v>575</v>
      </c>
      <c r="E438" t="s">
        <v>632</v>
      </c>
    </row>
    <row r="439" spans="1:5" x14ac:dyDescent="0.25">
      <c r="A439" s="279"/>
      <c r="B439" t="s">
        <v>668</v>
      </c>
      <c r="C439" s="279">
        <v>42409</v>
      </c>
      <c r="D439" t="s">
        <v>578</v>
      </c>
      <c r="E439" t="s">
        <v>632</v>
      </c>
    </row>
    <row r="440" spans="1:5" x14ac:dyDescent="0.25">
      <c r="A440" s="279"/>
      <c r="B440" t="s">
        <v>78</v>
      </c>
      <c r="C440" s="279">
        <v>42346</v>
      </c>
      <c r="D440" t="s">
        <v>582</v>
      </c>
      <c r="E440" t="s">
        <v>583</v>
      </c>
    </row>
    <row r="441" spans="1:5" x14ac:dyDescent="0.25">
      <c r="A441" s="279"/>
      <c r="B441" t="s">
        <v>78</v>
      </c>
      <c r="C441" s="279">
        <v>42346</v>
      </c>
      <c r="D441" t="s">
        <v>575</v>
      </c>
      <c r="E441" t="s">
        <v>583</v>
      </c>
    </row>
    <row r="442" spans="1:5" x14ac:dyDescent="0.25">
      <c r="A442" s="279"/>
      <c r="B442" t="s">
        <v>59</v>
      </c>
      <c r="C442" s="279">
        <v>42332</v>
      </c>
      <c r="D442" t="s">
        <v>568</v>
      </c>
      <c r="E442" t="s">
        <v>669</v>
      </c>
    </row>
    <row r="443" spans="1:5" x14ac:dyDescent="0.25">
      <c r="A443" s="279"/>
      <c r="B443" t="s">
        <v>59</v>
      </c>
      <c r="C443" s="279">
        <v>42332</v>
      </c>
      <c r="D443" t="s">
        <v>570</v>
      </c>
      <c r="E443" t="s">
        <v>669</v>
      </c>
    </row>
    <row r="444" spans="1:5" x14ac:dyDescent="0.25">
      <c r="A444" s="279"/>
      <c r="B444" t="s">
        <v>670</v>
      </c>
      <c r="C444" s="279">
        <v>42327</v>
      </c>
      <c r="D444" t="s">
        <v>568</v>
      </c>
      <c r="E444" t="s">
        <v>671</v>
      </c>
    </row>
    <row r="445" spans="1:5" x14ac:dyDescent="0.25">
      <c r="A445" s="279"/>
      <c r="B445" t="s">
        <v>670</v>
      </c>
      <c r="C445" s="279">
        <v>42327</v>
      </c>
      <c r="D445" t="s">
        <v>570</v>
      </c>
      <c r="E445" t="s">
        <v>671</v>
      </c>
    </row>
    <row r="446" spans="1:5" x14ac:dyDescent="0.25">
      <c r="A446" s="279"/>
      <c r="B446" t="s">
        <v>136</v>
      </c>
      <c r="C446" s="279">
        <v>42325</v>
      </c>
      <c r="D446" t="s">
        <v>576</v>
      </c>
      <c r="E446" t="s">
        <v>603</v>
      </c>
    </row>
    <row r="447" spans="1:5" x14ac:dyDescent="0.25">
      <c r="A447" s="279"/>
      <c r="B447" t="s">
        <v>136</v>
      </c>
      <c r="C447" s="279">
        <v>42325</v>
      </c>
      <c r="D447" t="s">
        <v>575</v>
      </c>
      <c r="E447" t="s">
        <v>603</v>
      </c>
    </row>
    <row r="448" spans="1:5" x14ac:dyDescent="0.25">
      <c r="A448" s="279"/>
      <c r="B448" t="s">
        <v>136</v>
      </c>
      <c r="C448" s="279">
        <v>42325</v>
      </c>
      <c r="D448" t="s">
        <v>578</v>
      </c>
      <c r="E448" t="s">
        <v>603</v>
      </c>
    </row>
    <row r="449" spans="1:5" x14ac:dyDescent="0.25">
      <c r="A449" s="279"/>
      <c r="B449" t="s">
        <v>139</v>
      </c>
      <c r="C449" s="279">
        <v>42311</v>
      </c>
      <c r="D449" t="s">
        <v>576</v>
      </c>
      <c r="E449" t="s">
        <v>626</v>
      </c>
    </row>
    <row r="450" spans="1:5" x14ac:dyDescent="0.25">
      <c r="A450" s="279"/>
      <c r="B450" t="s">
        <v>139</v>
      </c>
      <c r="C450" s="279">
        <v>42311</v>
      </c>
      <c r="D450" t="s">
        <v>578</v>
      </c>
      <c r="E450" t="s">
        <v>626</v>
      </c>
    </row>
    <row r="451" spans="1:5" x14ac:dyDescent="0.25">
      <c r="A451" s="279"/>
      <c r="B451" t="s">
        <v>672</v>
      </c>
      <c r="C451" s="279">
        <v>42290</v>
      </c>
      <c r="D451" t="s">
        <v>568</v>
      </c>
      <c r="E451" t="s">
        <v>673</v>
      </c>
    </row>
    <row r="452" spans="1:5" x14ac:dyDescent="0.25">
      <c r="A452" s="279"/>
      <c r="B452" t="s">
        <v>672</v>
      </c>
      <c r="C452" s="279">
        <v>42290</v>
      </c>
      <c r="D452" t="s">
        <v>570</v>
      </c>
      <c r="E452" t="s">
        <v>673</v>
      </c>
    </row>
    <row r="453" spans="1:5" x14ac:dyDescent="0.25">
      <c r="A453" s="279"/>
      <c r="B453" t="s">
        <v>140</v>
      </c>
      <c r="C453" s="279">
        <v>42277</v>
      </c>
      <c r="D453" t="s">
        <v>568</v>
      </c>
      <c r="E453" t="s">
        <v>674</v>
      </c>
    </row>
    <row r="454" spans="1:5" x14ac:dyDescent="0.25">
      <c r="A454" s="279"/>
      <c r="B454" t="s">
        <v>140</v>
      </c>
      <c r="C454" s="279">
        <v>42277</v>
      </c>
      <c r="D454" t="s">
        <v>570</v>
      </c>
      <c r="E454" t="s">
        <v>674</v>
      </c>
    </row>
    <row r="455" spans="1:5" x14ac:dyDescent="0.25">
      <c r="A455" s="279"/>
      <c r="B455" t="s">
        <v>123</v>
      </c>
      <c r="C455" s="279">
        <v>42276</v>
      </c>
      <c r="D455" t="s">
        <v>576</v>
      </c>
      <c r="E455" t="s">
        <v>590</v>
      </c>
    </row>
    <row r="456" spans="1:5" x14ac:dyDescent="0.25">
      <c r="A456" s="279"/>
      <c r="B456" t="s">
        <v>123</v>
      </c>
      <c r="C456" s="279">
        <v>42276</v>
      </c>
      <c r="D456" t="s">
        <v>578</v>
      </c>
      <c r="E456" t="s">
        <v>590</v>
      </c>
    </row>
    <row r="457" spans="1:5" x14ac:dyDescent="0.25">
      <c r="A457" s="279"/>
      <c r="B457" t="s">
        <v>64</v>
      </c>
      <c r="C457" s="279">
        <v>42269</v>
      </c>
      <c r="D457" t="s">
        <v>568</v>
      </c>
      <c r="E457" t="s">
        <v>618</v>
      </c>
    </row>
    <row r="458" spans="1:5" x14ac:dyDescent="0.25">
      <c r="A458" s="279"/>
      <c r="B458" t="s">
        <v>64</v>
      </c>
      <c r="C458" s="279">
        <v>42269</v>
      </c>
      <c r="D458" t="s">
        <v>570</v>
      </c>
      <c r="E458" t="s">
        <v>618</v>
      </c>
    </row>
    <row r="459" spans="1:5" x14ac:dyDescent="0.25">
      <c r="A459" s="279"/>
      <c r="B459" t="s">
        <v>64</v>
      </c>
      <c r="C459" s="279">
        <v>42269</v>
      </c>
      <c r="D459" t="s">
        <v>641</v>
      </c>
      <c r="E459" t="s">
        <v>618</v>
      </c>
    </row>
    <row r="460" spans="1:5" x14ac:dyDescent="0.25">
      <c r="A460" s="279"/>
      <c r="B460" t="s">
        <v>64</v>
      </c>
      <c r="C460" s="279">
        <v>42269</v>
      </c>
      <c r="D460" t="s">
        <v>576</v>
      </c>
      <c r="E460" t="s">
        <v>618</v>
      </c>
    </row>
    <row r="461" spans="1:5" x14ac:dyDescent="0.25">
      <c r="A461" s="279"/>
      <c r="B461" t="s">
        <v>64</v>
      </c>
      <c r="C461" s="279">
        <v>42269</v>
      </c>
      <c r="D461" t="s">
        <v>575</v>
      </c>
      <c r="E461" t="s">
        <v>618</v>
      </c>
    </row>
    <row r="462" spans="1:5" x14ac:dyDescent="0.25">
      <c r="A462" s="279"/>
      <c r="B462" t="s">
        <v>64</v>
      </c>
      <c r="C462" s="279">
        <v>42269</v>
      </c>
      <c r="D462" t="s">
        <v>642</v>
      </c>
      <c r="E462" t="s">
        <v>618</v>
      </c>
    </row>
    <row r="463" spans="1:5" x14ac:dyDescent="0.25">
      <c r="A463" s="279"/>
      <c r="B463" t="s">
        <v>64</v>
      </c>
      <c r="C463" s="279">
        <v>42269</v>
      </c>
      <c r="D463" t="s">
        <v>578</v>
      </c>
      <c r="E463" t="s">
        <v>618</v>
      </c>
    </row>
    <row r="464" spans="1:5" x14ac:dyDescent="0.25">
      <c r="A464" s="279"/>
      <c r="B464" t="s">
        <v>101</v>
      </c>
      <c r="C464" s="279">
        <v>42262</v>
      </c>
      <c r="D464" t="s">
        <v>641</v>
      </c>
      <c r="E464" t="s">
        <v>618</v>
      </c>
    </row>
    <row r="465" spans="1:5" x14ac:dyDescent="0.25">
      <c r="A465" s="279"/>
      <c r="B465" t="s">
        <v>101</v>
      </c>
      <c r="C465" s="279">
        <v>42262</v>
      </c>
      <c r="D465" t="s">
        <v>576</v>
      </c>
      <c r="E465" t="s">
        <v>618</v>
      </c>
    </row>
    <row r="466" spans="1:5" x14ac:dyDescent="0.25">
      <c r="A466" s="279"/>
      <c r="B466" t="s">
        <v>101</v>
      </c>
      <c r="C466" s="279">
        <v>42262</v>
      </c>
      <c r="D466" t="s">
        <v>642</v>
      </c>
      <c r="E466" t="s">
        <v>618</v>
      </c>
    </row>
    <row r="467" spans="1:5" x14ac:dyDescent="0.25">
      <c r="A467" s="279"/>
      <c r="B467" t="s">
        <v>101</v>
      </c>
      <c r="C467" s="279">
        <v>42262</v>
      </c>
      <c r="D467" t="s">
        <v>578</v>
      </c>
      <c r="E467" t="s">
        <v>618</v>
      </c>
    </row>
    <row r="468" spans="1:5" x14ac:dyDescent="0.25">
      <c r="A468" s="279"/>
      <c r="B468" t="s">
        <v>113</v>
      </c>
      <c r="C468" s="279">
        <v>42241</v>
      </c>
      <c r="D468" t="s">
        <v>641</v>
      </c>
      <c r="E468" t="s">
        <v>590</v>
      </c>
    </row>
    <row r="469" spans="1:5" x14ac:dyDescent="0.25">
      <c r="A469" s="279"/>
      <c r="B469" t="s">
        <v>113</v>
      </c>
      <c r="C469" s="279">
        <v>42241</v>
      </c>
      <c r="D469" t="s">
        <v>576</v>
      </c>
      <c r="E469" t="s">
        <v>590</v>
      </c>
    </row>
    <row r="470" spans="1:5" x14ac:dyDescent="0.25">
      <c r="A470" s="279"/>
      <c r="B470" t="s">
        <v>113</v>
      </c>
      <c r="C470" s="279">
        <v>42241</v>
      </c>
      <c r="D470" t="s">
        <v>642</v>
      </c>
      <c r="E470" t="s">
        <v>590</v>
      </c>
    </row>
    <row r="471" spans="1:5" x14ac:dyDescent="0.25">
      <c r="A471" s="279"/>
      <c r="B471" t="s">
        <v>113</v>
      </c>
      <c r="C471" s="279">
        <v>42241</v>
      </c>
      <c r="D471" t="s">
        <v>578</v>
      </c>
      <c r="E471" t="s">
        <v>590</v>
      </c>
    </row>
    <row r="472" spans="1:5" x14ac:dyDescent="0.25">
      <c r="A472" s="279"/>
      <c r="B472" t="s">
        <v>675</v>
      </c>
      <c r="C472" s="279">
        <v>42199</v>
      </c>
      <c r="D472" t="s">
        <v>576</v>
      </c>
      <c r="E472" t="s">
        <v>590</v>
      </c>
    </row>
    <row r="473" spans="1:5" x14ac:dyDescent="0.25">
      <c r="A473" s="279"/>
      <c r="B473" t="s">
        <v>675</v>
      </c>
      <c r="C473" s="279">
        <v>42199</v>
      </c>
      <c r="D473" t="s">
        <v>578</v>
      </c>
      <c r="E473" t="s">
        <v>590</v>
      </c>
    </row>
    <row r="474" spans="1:5" x14ac:dyDescent="0.25">
      <c r="A474" s="279"/>
      <c r="B474" t="s">
        <v>77</v>
      </c>
      <c r="C474" s="279">
        <v>42143</v>
      </c>
      <c r="D474" t="s">
        <v>582</v>
      </c>
      <c r="E474" t="s">
        <v>583</v>
      </c>
    </row>
    <row r="475" spans="1:5" x14ac:dyDescent="0.25">
      <c r="A475" s="279"/>
      <c r="B475" t="s">
        <v>77</v>
      </c>
      <c r="C475" s="279">
        <v>42143</v>
      </c>
      <c r="D475" t="s">
        <v>576</v>
      </c>
      <c r="E475" t="s">
        <v>583</v>
      </c>
    </row>
    <row r="476" spans="1:5" x14ac:dyDescent="0.25">
      <c r="A476" s="279"/>
      <c r="B476" t="s">
        <v>77</v>
      </c>
      <c r="C476" s="279">
        <v>42143</v>
      </c>
      <c r="D476" t="s">
        <v>575</v>
      </c>
      <c r="E476" t="s">
        <v>583</v>
      </c>
    </row>
    <row r="477" spans="1:5" x14ac:dyDescent="0.25">
      <c r="A477" s="279"/>
      <c r="B477" t="s">
        <v>77</v>
      </c>
      <c r="C477" s="279">
        <v>42143</v>
      </c>
      <c r="D477" t="s">
        <v>578</v>
      </c>
      <c r="E477" t="s">
        <v>583</v>
      </c>
    </row>
    <row r="478" spans="1:5" x14ac:dyDescent="0.25">
      <c r="A478" s="279"/>
      <c r="B478" t="s">
        <v>676</v>
      </c>
      <c r="C478" s="279">
        <v>42115</v>
      </c>
      <c r="D478" t="s">
        <v>568</v>
      </c>
      <c r="E478" t="s">
        <v>677</v>
      </c>
    </row>
    <row r="479" spans="1:5" x14ac:dyDescent="0.25">
      <c r="A479" s="279"/>
      <c r="B479" t="s">
        <v>676</v>
      </c>
      <c r="C479" s="279">
        <v>42115</v>
      </c>
      <c r="D479" t="s">
        <v>570</v>
      </c>
      <c r="E479" t="s">
        <v>677</v>
      </c>
    </row>
    <row r="480" spans="1:5" x14ac:dyDescent="0.25">
      <c r="A480" s="279"/>
      <c r="B480" t="s">
        <v>649</v>
      </c>
      <c r="C480" s="279">
        <v>42094</v>
      </c>
      <c r="D480" t="s">
        <v>582</v>
      </c>
      <c r="E480" t="s">
        <v>583</v>
      </c>
    </row>
    <row r="481" spans="1:5" x14ac:dyDescent="0.25">
      <c r="A481" s="279"/>
      <c r="B481" t="s">
        <v>649</v>
      </c>
      <c r="C481" s="279">
        <v>42094</v>
      </c>
      <c r="D481" t="s">
        <v>575</v>
      </c>
      <c r="E481" t="s">
        <v>583</v>
      </c>
    </row>
    <row r="482" spans="1:5" x14ac:dyDescent="0.25">
      <c r="A482" s="279"/>
      <c r="B482" t="s">
        <v>73</v>
      </c>
      <c r="C482" s="279">
        <v>42080</v>
      </c>
      <c r="D482" t="s">
        <v>641</v>
      </c>
      <c r="E482" t="s">
        <v>678</v>
      </c>
    </row>
    <row r="483" spans="1:5" x14ac:dyDescent="0.25">
      <c r="A483" s="279"/>
      <c r="B483" t="s">
        <v>73</v>
      </c>
      <c r="C483" s="279">
        <v>42080</v>
      </c>
      <c r="D483" t="s">
        <v>576</v>
      </c>
      <c r="E483" t="s">
        <v>678</v>
      </c>
    </row>
    <row r="484" spans="1:5" x14ac:dyDescent="0.25">
      <c r="A484" s="279"/>
      <c r="B484" t="s">
        <v>73</v>
      </c>
      <c r="C484" s="279">
        <v>42080</v>
      </c>
      <c r="D484" t="s">
        <v>575</v>
      </c>
      <c r="E484" t="s">
        <v>678</v>
      </c>
    </row>
    <row r="485" spans="1:5" x14ac:dyDescent="0.25">
      <c r="A485" s="279"/>
      <c r="B485" t="s">
        <v>73</v>
      </c>
      <c r="C485" s="279">
        <v>42080</v>
      </c>
      <c r="D485" t="s">
        <v>642</v>
      </c>
      <c r="E485" t="s">
        <v>678</v>
      </c>
    </row>
    <row r="486" spans="1:5" x14ac:dyDescent="0.25">
      <c r="A486" s="279"/>
      <c r="B486" t="s">
        <v>73</v>
      </c>
      <c r="C486" s="279">
        <v>42080</v>
      </c>
      <c r="D486" t="s">
        <v>578</v>
      </c>
      <c r="E486" t="s">
        <v>678</v>
      </c>
    </row>
    <row r="487" spans="1:5" x14ac:dyDescent="0.25">
      <c r="A487" s="279"/>
      <c r="B487" t="s">
        <v>40</v>
      </c>
      <c r="C487" s="279">
        <v>42052</v>
      </c>
      <c r="D487" t="s">
        <v>582</v>
      </c>
      <c r="E487" t="s">
        <v>566</v>
      </c>
    </row>
    <row r="488" spans="1:5" x14ac:dyDescent="0.25">
      <c r="A488" s="279"/>
      <c r="B488" t="s">
        <v>636</v>
      </c>
      <c r="C488" s="279">
        <v>42017</v>
      </c>
      <c r="D488" t="s">
        <v>582</v>
      </c>
      <c r="E488" t="s">
        <v>583</v>
      </c>
    </row>
    <row r="489" spans="1:5" x14ac:dyDescent="0.25">
      <c r="A489" s="279"/>
      <c r="B489" t="s">
        <v>636</v>
      </c>
      <c r="C489" s="279">
        <v>42017</v>
      </c>
      <c r="D489" t="s">
        <v>575</v>
      </c>
      <c r="E489" t="s">
        <v>583</v>
      </c>
    </row>
    <row r="490" spans="1:5" x14ac:dyDescent="0.25">
      <c r="A490" s="279"/>
      <c r="B490" t="s">
        <v>679</v>
      </c>
      <c r="C490" s="279">
        <v>41975</v>
      </c>
      <c r="D490" t="s">
        <v>568</v>
      </c>
      <c r="E490" t="s">
        <v>569</v>
      </c>
    </row>
    <row r="491" spans="1:5" x14ac:dyDescent="0.25">
      <c r="A491" s="279"/>
      <c r="B491" t="s">
        <v>679</v>
      </c>
      <c r="C491" s="279">
        <v>41975</v>
      </c>
      <c r="D491" t="s">
        <v>570</v>
      </c>
      <c r="E491" t="s">
        <v>569</v>
      </c>
    </row>
    <row r="492" spans="1:5" x14ac:dyDescent="0.25">
      <c r="A492" s="279"/>
      <c r="B492" t="s">
        <v>680</v>
      </c>
      <c r="C492" s="279">
        <v>41961</v>
      </c>
      <c r="D492" t="s">
        <v>641</v>
      </c>
      <c r="E492" t="s">
        <v>552</v>
      </c>
    </row>
    <row r="493" spans="1:5" x14ac:dyDescent="0.25">
      <c r="A493" s="279"/>
      <c r="B493" t="s">
        <v>680</v>
      </c>
      <c r="C493" s="279">
        <v>41961</v>
      </c>
      <c r="D493" t="s">
        <v>576</v>
      </c>
      <c r="E493" t="s">
        <v>552</v>
      </c>
    </row>
    <row r="494" spans="1:5" x14ac:dyDescent="0.25">
      <c r="A494" s="279"/>
      <c r="B494" t="s">
        <v>680</v>
      </c>
      <c r="C494" s="279">
        <v>41961</v>
      </c>
      <c r="D494" t="s">
        <v>575</v>
      </c>
      <c r="E494" t="s">
        <v>552</v>
      </c>
    </row>
    <row r="495" spans="1:5" x14ac:dyDescent="0.25">
      <c r="A495" s="279"/>
      <c r="B495" t="s">
        <v>680</v>
      </c>
      <c r="C495" s="279">
        <v>41961</v>
      </c>
      <c r="D495" t="s">
        <v>642</v>
      </c>
      <c r="E495" t="s">
        <v>552</v>
      </c>
    </row>
    <row r="496" spans="1:5" x14ac:dyDescent="0.25">
      <c r="A496" s="279"/>
      <c r="B496" t="s">
        <v>680</v>
      </c>
      <c r="C496" s="279">
        <v>41961</v>
      </c>
      <c r="D496" t="s">
        <v>578</v>
      </c>
      <c r="E496" t="s">
        <v>552</v>
      </c>
    </row>
    <row r="497" spans="1:5" x14ac:dyDescent="0.25">
      <c r="A497" s="279"/>
      <c r="B497" t="s">
        <v>122</v>
      </c>
      <c r="C497" s="279">
        <v>41940</v>
      </c>
      <c r="D497" t="s">
        <v>576</v>
      </c>
      <c r="E497" t="s">
        <v>590</v>
      </c>
    </row>
    <row r="498" spans="1:5" x14ac:dyDescent="0.25">
      <c r="A498" s="279"/>
      <c r="B498" t="s">
        <v>122</v>
      </c>
      <c r="C498" s="279">
        <v>41940</v>
      </c>
      <c r="D498" t="s">
        <v>578</v>
      </c>
      <c r="E498" t="s">
        <v>590</v>
      </c>
    </row>
    <row r="499" spans="1:5" x14ac:dyDescent="0.25">
      <c r="A499" s="279"/>
      <c r="B499" t="s">
        <v>681</v>
      </c>
      <c r="C499" s="279">
        <v>41936</v>
      </c>
      <c r="D499" t="s">
        <v>570</v>
      </c>
      <c r="E499" t="s">
        <v>682</v>
      </c>
    </row>
    <row r="500" spans="1:5" x14ac:dyDescent="0.25">
      <c r="A500" s="279"/>
      <c r="B500" t="s">
        <v>681</v>
      </c>
      <c r="C500" s="279">
        <v>41934</v>
      </c>
      <c r="D500" t="s">
        <v>568</v>
      </c>
      <c r="E500" t="s">
        <v>682</v>
      </c>
    </row>
    <row r="501" spans="1:5" x14ac:dyDescent="0.25">
      <c r="A501" s="279"/>
      <c r="B501" t="s">
        <v>683</v>
      </c>
      <c r="C501" s="279">
        <v>41926</v>
      </c>
      <c r="D501" t="s">
        <v>576</v>
      </c>
      <c r="E501" t="s">
        <v>569</v>
      </c>
    </row>
    <row r="502" spans="1:5" x14ac:dyDescent="0.25">
      <c r="A502" s="279"/>
      <c r="B502" t="s">
        <v>62</v>
      </c>
      <c r="C502" s="279">
        <v>41905</v>
      </c>
      <c r="D502" t="s">
        <v>568</v>
      </c>
      <c r="E502" t="s">
        <v>618</v>
      </c>
    </row>
    <row r="503" spans="1:5" x14ac:dyDescent="0.25">
      <c r="A503" s="279"/>
      <c r="B503" t="s">
        <v>62</v>
      </c>
      <c r="C503" s="279">
        <v>41905</v>
      </c>
      <c r="D503" t="s">
        <v>570</v>
      </c>
      <c r="E503" t="s">
        <v>618</v>
      </c>
    </row>
    <row r="504" spans="1:5" x14ac:dyDescent="0.25">
      <c r="A504" s="279"/>
      <c r="B504" t="s">
        <v>62</v>
      </c>
      <c r="C504" s="279">
        <v>41905</v>
      </c>
      <c r="D504" t="s">
        <v>684</v>
      </c>
      <c r="E504" t="s">
        <v>618</v>
      </c>
    </row>
    <row r="505" spans="1:5" x14ac:dyDescent="0.25">
      <c r="A505" s="279"/>
      <c r="B505" t="s">
        <v>62</v>
      </c>
      <c r="C505" s="279">
        <v>41905</v>
      </c>
      <c r="D505" t="s">
        <v>641</v>
      </c>
      <c r="E505" t="s">
        <v>618</v>
      </c>
    </row>
    <row r="506" spans="1:5" x14ac:dyDescent="0.25">
      <c r="A506" s="279"/>
      <c r="B506" t="s">
        <v>62</v>
      </c>
      <c r="C506" s="279">
        <v>41905</v>
      </c>
      <c r="D506" t="s">
        <v>576</v>
      </c>
      <c r="E506" t="s">
        <v>618</v>
      </c>
    </row>
    <row r="507" spans="1:5" x14ac:dyDescent="0.25">
      <c r="A507" s="279"/>
      <c r="B507" t="s">
        <v>62</v>
      </c>
      <c r="C507" s="279">
        <v>41905</v>
      </c>
      <c r="D507" t="s">
        <v>685</v>
      </c>
      <c r="E507" t="s">
        <v>618</v>
      </c>
    </row>
    <row r="508" spans="1:5" x14ac:dyDescent="0.25">
      <c r="A508" s="279"/>
      <c r="B508" t="s">
        <v>62</v>
      </c>
      <c r="C508" s="279">
        <v>41905</v>
      </c>
      <c r="D508" t="s">
        <v>686</v>
      </c>
      <c r="E508" t="s">
        <v>618</v>
      </c>
    </row>
    <row r="509" spans="1:5" x14ac:dyDescent="0.25">
      <c r="A509" s="279"/>
      <c r="B509" t="s">
        <v>62</v>
      </c>
      <c r="C509" s="279">
        <v>41905</v>
      </c>
      <c r="D509" t="s">
        <v>575</v>
      </c>
      <c r="E509" t="s">
        <v>618</v>
      </c>
    </row>
    <row r="510" spans="1:5" x14ac:dyDescent="0.25">
      <c r="A510" s="279"/>
      <c r="B510" t="s">
        <v>62</v>
      </c>
      <c r="C510" s="279">
        <v>41905</v>
      </c>
      <c r="D510" t="s">
        <v>642</v>
      </c>
      <c r="E510" t="s">
        <v>618</v>
      </c>
    </row>
    <row r="511" spans="1:5" x14ac:dyDescent="0.25">
      <c r="A511" s="279"/>
      <c r="B511" t="s">
        <v>62</v>
      </c>
      <c r="C511" s="279">
        <v>41905</v>
      </c>
      <c r="D511" t="s">
        <v>578</v>
      </c>
      <c r="E511" t="s">
        <v>618</v>
      </c>
    </row>
    <row r="512" spans="1:5" x14ac:dyDescent="0.25">
      <c r="A512" s="279"/>
      <c r="B512" t="s">
        <v>62</v>
      </c>
      <c r="C512" s="279">
        <v>41905</v>
      </c>
      <c r="D512" t="s">
        <v>687</v>
      </c>
      <c r="E512" t="s">
        <v>618</v>
      </c>
    </row>
    <row r="513" spans="1:5" x14ac:dyDescent="0.25">
      <c r="A513" s="279"/>
      <c r="B513" t="s">
        <v>688</v>
      </c>
      <c r="C513" s="279">
        <v>41899</v>
      </c>
      <c r="D513" t="s">
        <v>575</v>
      </c>
      <c r="E513" t="s">
        <v>569</v>
      </c>
    </row>
    <row r="514" spans="1:5" x14ac:dyDescent="0.25">
      <c r="A514" s="279"/>
      <c r="B514" t="s">
        <v>100</v>
      </c>
      <c r="C514" s="279">
        <v>41891</v>
      </c>
      <c r="D514" t="s">
        <v>641</v>
      </c>
      <c r="E514" t="s">
        <v>618</v>
      </c>
    </row>
    <row r="515" spans="1:5" x14ac:dyDescent="0.25">
      <c r="A515" s="279"/>
      <c r="B515" t="s">
        <v>100</v>
      </c>
      <c r="C515" s="279">
        <v>41891</v>
      </c>
      <c r="D515" t="s">
        <v>576</v>
      </c>
      <c r="E515" t="s">
        <v>618</v>
      </c>
    </row>
    <row r="516" spans="1:5" x14ac:dyDescent="0.25">
      <c r="A516" s="279"/>
      <c r="B516" t="s">
        <v>100</v>
      </c>
      <c r="C516" s="279">
        <v>41891</v>
      </c>
      <c r="D516" t="s">
        <v>642</v>
      </c>
      <c r="E516" t="s">
        <v>618</v>
      </c>
    </row>
    <row r="517" spans="1:5" x14ac:dyDescent="0.25">
      <c r="A517" s="279"/>
      <c r="B517" t="s">
        <v>100</v>
      </c>
      <c r="C517" s="279">
        <v>41891</v>
      </c>
      <c r="D517" t="s">
        <v>578</v>
      </c>
      <c r="E517" t="s">
        <v>618</v>
      </c>
    </row>
    <row r="518" spans="1:5" x14ac:dyDescent="0.25">
      <c r="A518" s="279"/>
      <c r="B518" t="s">
        <v>40</v>
      </c>
      <c r="C518" s="279">
        <v>41884</v>
      </c>
      <c r="D518" t="s">
        <v>575</v>
      </c>
      <c r="E518" t="s">
        <v>566</v>
      </c>
    </row>
    <row r="519" spans="1:5" x14ac:dyDescent="0.25">
      <c r="A519" s="279"/>
      <c r="B519" t="s">
        <v>689</v>
      </c>
      <c r="C519" s="279">
        <v>41877</v>
      </c>
      <c r="D519" t="s">
        <v>568</v>
      </c>
      <c r="E519" t="s">
        <v>590</v>
      </c>
    </row>
    <row r="520" spans="1:5" x14ac:dyDescent="0.25">
      <c r="A520" s="279"/>
      <c r="B520" t="s">
        <v>689</v>
      </c>
      <c r="C520" s="279">
        <v>41877</v>
      </c>
      <c r="D520" t="s">
        <v>570</v>
      </c>
      <c r="E520" t="s">
        <v>590</v>
      </c>
    </row>
    <row r="521" spans="1:5" x14ac:dyDescent="0.25">
      <c r="A521" s="279"/>
      <c r="B521" t="s">
        <v>112</v>
      </c>
      <c r="C521" s="279">
        <v>41877</v>
      </c>
      <c r="D521" t="s">
        <v>641</v>
      </c>
      <c r="E521" t="s">
        <v>590</v>
      </c>
    </row>
    <row r="522" spans="1:5" x14ac:dyDescent="0.25">
      <c r="A522" s="279"/>
      <c r="B522" t="s">
        <v>112</v>
      </c>
      <c r="C522" s="279">
        <v>41877</v>
      </c>
      <c r="D522" t="s">
        <v>576</v>
      </c>
      <c r="E522" t="s">
        <v>590</v>
      </c>
    </row>
    <row r="523" spans="1:5" x14ac:dyDescent="0.25">
      <c r="A523" s="279"/>
      <c r="B523" t="s">
        <v>112</v>
      </c>
      <c r="C523" s="279">
        <v>41877</v>
      </c>
      <c r="D523" t="s">
        <v>642</v>
      </c>
      <c r="E523" t="s">
        <v>590</v>
      </c>
    </row>
    <row r="524" spans="1:5" x14ac:dyDescent="0.25">
      <c r="A524" s="279"/>
      <c r="B524" t="s">
        <v>112</v>
      </c>
      <c r="C524" s="279">
        <v>41877</v>
      </c>
      <c r="D524" t="s">
        <v>578</v>
      </c>
      <c r="E524" t="s">
        <v>590</v>
      </c>
    </row>
    <row r="525" spans="1:5" x14ac:dyDescent="0.25">
      <c r="A525" s="279"/>
      <c r="B525" t="s">
        <v>690</v>
      </c>
      <c r="C525" s="279">
        <v>41870</v>
      </c>
      <c r="D525" t="s">
        <v>641</v>
      </c>
      <c r="E525" t="s">
        <v>569</v>
      </c>
    </row>
    <row r="526" spans="1:5" x14ac:dyDescent="0.25">
      <c r="A526" s="279"/>
      <c r="B526" t="s">
        <v>690</v>
      </c>
      <c r="C526" s="279">
        <v>41870</v>
      </c>
      <c r="D526" t="s">
        <v>576</v>
      </c>
      <c r="E526" t="s">
        <v>569</v>
      </c>
    </row>
    <row r="527" spans="1:5" x14ac:dyDescent="0.25">
      <c r="A527" s="279"/>
      <c r="B527" t="s">
        <v>690</v>
      </c>
      <c r="C527" s="279">
        <v>41814</v>
      </c>
      <c r="D527" t="s">
        <v>575</v>
      </c>
      <c r="E527" t="s">
        <v>569</v>
      </c>
    </row>
    <row r="528" spans="1:5" x14ac:dyDescent="0.25">
      <c r="A528" s="279"/>
      <c r="B528" t="s">
        <v>691</v>
      </c>
      <c r="C528" s="279">
        <v>41807</v>
      </c>
      <c r="D528" t="s">
        <v>576</v>
      </c>
      <c r="E528" t="s">
        <v>677</v>
      </c>
    </row>
    <row r="529" spans="1:5" x14ac:dyDescent="0.25">
      <c r="A529" s="279"/>
      <c r="B529" t="s">
        <v>691</v>
      </c>
      <c r="C529" s="279">
        <v>41807</v>
      </c>
      <c r="D529" t="s">
        <v>578</v>
      </c>
      <c r="E529" t="s">
        <v>677</v>
      </c>
    </row>
    <row r="530" spans="1:5" x14ac:dyDescent="0.25">
      <c r="A530" s="279"/>
      <c r="B530" t="s">
        <v>683</v>
      </c>
      <c r="C530" s="279">
        <v>41766</v>
      </c>
      <c r="D530" t="s">
        <v>642</v>
      </c>
      <c r="E530" t="s">
        <v>569</v>
      </c>
    </row>
    <row r="531" spans="1:5" x14ac:dyDescent="0.25">
      <c r="A531" s="279"/>
      <c r="B531" t="s">
        <v>459</v>
      </c>
      <c r="C531" s="279">
        <v>41744</v>
      </c>
      <c r="D531" t="s">
        <v>641</v>
      </c>
      <c r="E531" t="s">
        <v>618</v>
      </c>
    </row>
    <row r="532" spans="1:5" x14ac:dyDescent="0.25">
      <c r="A532" s="279"/>
      <c r="B532" t="s">
        <v>459</v>
      </c>
      <c r="C532" s="279">
        <v>41744</v>
      </c>
      <c r="D532" t="s">
        <v>642</v>
      </c>
      <c r="E532" t="s">
        <v>618</v>
      </c>
    </row>
    <row r="533" spans="1:5" x14ac:dyDescent="0.25">
      <c r="A533" s="279"/>
      <c r="B533" t="s">
        <v>477</v>
      </c>
      <c r="C533" s="279">
        <v>41709</v>
      </c>
      <c r="D533" t="s">
        <v>575</v>
      </c>
      <c r="E533" t="s">
        <v>549</v>
      </c>
    </row>
    <row r="534" spans="1:5" x14ac:dyDescent="0.25">
      <c r="A534" s="279"/>
      <c r="B534" t="s">
        <v>477</v>
      </c>
      <c r="C534" s="279">
        <v>41709</v>
      </c>
      <c r="D534" t="s">
        <v>642</v>
      </c>
      <c r="E534" t="s">
        <v>549</v>
      </c>
    </row>
    <row r="535" spans="1:5" x14ac:dyDescent="0.25">
      <c r="A535" s="279"/>
      <c r="B535" t="s">
        <v>477</v>
      </c>
      <c r="C535" s="279">
        <v>41709</v>
      </c>
      <c r="D535" t="s">
        <v>578</v>
      </c>
      <c r="E535" t="s">
        <v>549</v>
      </c>
    </row>
    <row r="536" spans="1:5" x14ac:dyDescent="0.25">
      <c r="A536" s="279"/>
      <c r="B536" t="s">
        <v>458</v>
      </c>
      <c r="C536" s="279">
        <v>41698</v>
      </c>
      <c r="D536" t="s">
        <v>687</v>
      </c>
      <c r="E536" t="s">
        <v>618</v>
      </c>
    </row>
    <row r="537" spans="1:5" x14ac:dyDescent="0.25">
      <c r="A537" s="279"/>
      <c r="B537" t="s">
        <v>690</v>
      </c>
      <c r="C537" s="279">
        <v>41695</v>
      </c>
      <c r="D537" t="s">
        <v>642</v>
      </c>
      <c r="E537" t="s">
        <v>569</v>
      </c>
    </row>
    <row r="538" spans="1:5" x14ac:dyDescent="0.25">
      <c r="A538" s="279"/>
      <c r="B538" t="s">
        <v>690</v>
      </c>
      <c r="C538" s="279">
        <v>41695</v>
      </c>
      <c r="D538" t="s">
        <v>578</v>
      </c>
      <c r="E538" t="s">
        <v>569</v>
      </c>
    </row>
    <row r="539" spans="1:5" x14ac:dyDescent="0.25">
      <c r="A539" s="279"/>
      <c r="B539" t="s">
        <v>692</v>
      </c>
      <c r="C539" s="279">
        <v>41669</v>
      </c>
      <c r="D539" t="s">
        <v>568</v>
      </c>
      <c r="E539" t="s">
        <v>693</v>
      </c>
    </row>
    <row r="540" spans="1:5" x14ac:dyDescent="0.25">
      <c r="A540" s="279"/>
      <c r="B540" t="s">
        <v>692</v>
      </c>
      <c r="C540" s="279">
        <v>41669</v>
      </c>
      <c r="D540" t="s">
        <v>570</v>
      </c>
      <c r="E540" t="s">
        <v>693</v>
      </c>
    </row>
    <row r="541" spans="1:5" x14ac:dyDescent="0.25">
      <c r="A541" s="279"/>
      <c r="B541" t="s">
        <v>120</v>
      </c>
      <c r="C541" s="279">
        <v>41631</v>
      </c>
      <c r="D541" t="s">
        <v>568</v>
      </c>
      <c r="E541" t="s">
        <v>590</v>
      </c>
    </row>
    <row r="542" spans="1:5" x14ac:dyDescent="0.25">
      <c r="A542" s="279"/>
      <c r="B542" t="s">
        <v>694</v>
      </c>
      <c r="C542" s="279">
        <v>41625</v>
      </c>
      <c r="D542" t="s">
        <v>570</v>
      </c>
      <c r="E542" t="s">
        <v>695</v>
      </c>
    </row>
    <row r="543" spans="1:5" x14ac:dyDescent="0.25">
      <c r="A543" s="279"/>
      <c r="B543" t="s">
        <v>683</v>
      </c>
      <c r="C543" s="279">
        <v>41617</v>
      </c>
      <c r="D543" t="s">
        <v>578</v>
      </c>
      <c r="E543" t="s">
        <v>569</v>
      </c>
    </row>
    <row r="544" spans="1:5" x14ac:dyDescent="0.25">
      <c r="A544" s="279"/>
      <c r="B544" t="s">
        <v>696</v>
      </c>
      <c r="C544" s="279">
        <v>41613</v>
      </c>
      <c r="D544" t="s">
        <v>568</v>
      </c>
      <c r="E544" t="s">
        <v>644</v>
      </c>
    </row>
    <row r="545" spans="1:5" x14ac:dyDescent="0.25">
      <c r="A545" s="279"/>
      <c r="B545" t="s">
        <v>696</v>
      </c>
      <c r="C545" s="279">
        <v>41613</v>
      </c>
      <c r="D545" t="s">
        <v>570</v>
      </c>
      <c r="E545" t="s">
        <v>644</v>
      </c>
    </row>
    <row r="546" spans="1:5" x14ac:dyDescent="0.25">
      <c r="A546" s="279"/>
      <c r="B546" t="s">
        <v>697</v>
      </c>
      <c r="C546" s="279">
        <v>41600</v>
      </c>
      <c r="D546" t="s">
        <v>578</v>
      </c>
      <c r="E546" t="s">
        <v>626</v>
      </c>
    </row>
    <row r="547" spans="1:5" x14ac:dyDescent="0.25">
      <c r="A547" s="279"/>
      <c r="B547" t="s">
        <v>120</v>
      </c>
      <c r="C547" s="279">
        <v>41600</v>
      </c>
      <c r="D547" t="s">
        <v>578</v>
      </c>
      <c r="E547" t="s">
        <v>590</v>
      </c>
    </row>
    <row r="548" spans="1:5" x14ac:dyDescent="0.25">
      <c r="A548" s="279"/>
      <c r="B548" t="s">
        <v>698</v>
      </c>
      <c r="C548" s="279">
        <v>41600</v>
      </c>
      <c r="D548" t="s">
        <v>578</v>
      </c>
      <c r="E548" t="s">
        <v>603</v>
      </c>
    </row>
    <row r="549" spans="1:5" x14ac:dyDescent="0.25">
      <c r="A549" s="279"/>
      <c r="B549" t="s">
        <v>697</v>
      </c>
      <c r="C549" s="279">
        <v>41597</v>
      </c>
      <c r="D549" t="s">
        <v>641</v>
      </c>
      <c r="E549" t="s">
        <v>626</v>
      </c>
    </row>
    <row r="550" spans="1:5" x14ac:dyDescent="0.25">
      <c r="A550" s="279"/>
      <c r="B550" t="s">
        <v>697</v>
      </c>
      <c r="C550" s="279">
        <v>41597</v>
      </c>
      <c r="D550" t="s">
        <v>575</v>
      </c>
      <c r="E550" t="s">
        <v>626</v>
      </c>
    </row>
    <row r="551" spans="1:5" x14ac:dyDescent="0.25">
      <c r="A551" s="279"/>
      <c r="B551" t="s">
        <v>697</v>
      </c>
      <c r="C551" s="279">
        <v>41597</v>
      </c>
      <c r="D551" t="s">
        <v>642</v>
      </c>
      <c r="E551" t="s">
        <v>626</v>
      </c>
    </row>
    <row r="552" spans="1:5" x14ac:dyDescent="0.25">
      <c r="A552" s="279"/>
      <c r="B552" t="s">
        <v>699</v>
      </c>
      <c r="C552" s="279">
        <v>41597</v>
      </c>
      <c r="D552" t="s">
        <v>576</v>
      </c>
      <c r="E552" t="s">
        <v>590</v>
      </c>
    </row>
    <row r="553" spans="1:5" x14ac:dyDescent="0.25">
      <c r="A553" s="279"/>
      <c r="B553" t="s">
        <v>699</v>
      </c>
      <c r="C553" s="279">
        <v>41597</v>
      </c>
      <c r="D553" t="s">
        <v>578</v>
      </c>
      <c r="E553" t="s">
        <v>590</v>
      </c>
    </row>
    <row r="554" spans="1:5" x14ac:dyDescent="0.25">
      <c r="A554" s="279"/>
      <c r="B554" t="s">
        <v>458</v>
      </c>
      <c r="C554" s="279">
        <v>41597</v>
      </c>
      <c r="D554" t="s">
        <v>578</v>
      </c>
      <c r="E554" t="s">
        <v>618</v>
      </c>
    </row>
    <row r="555" spans="1:5" x14ac:dyDescent="0.25">
      <c r="A555" s="279"/>
      <c r="B555" t="s">
        <v>697</v>
      </c>
      <c r="C555" s="279">
        <v>41593</v>
      </c>
      <c r="D555" t="s">
        <v>576</v>
      </c>
      <c r="E555" t="s">
        <v>626</v>
      </c>
    </row>
    <row r="556" spans="1:5" x14ac:dyDescent="0.25">
      <c r="A556" s="279"/>
      <c r="B556" t="s">
        <v>120</v>
      </c>
      <c r="C556" s="279">
        <v>41593</v>
      </c>
      <c r="D556" t="s">
        <v>576</v>
      </c>
      <c r="E556" t="s">
        <v>590</v>
      </c>
    </row>
    <row r="557" spans="1:5" x14ac:dyDescent="0.25">
      <c r="A557" s="279"/>
      <c r="B557" t="s">
        <v>698</v>
      </c>
      <c r="C557" s="279">
        <v>41593</v>
      </c>
      <c r="D557" t="s">
        <v>576</v>
      </c>
      <c r="E557" t="s">
        <v>603</v>
      </c>
    </row>
    <row r="558" spans="1:5" x14ac:dyDescent="0.25">
      <c r="A558" s="279"/>
      <c r="B558" t="s">
        <v>700</v>
      </c>
      <c r="C558" s="279">
        <v>41590</v>
      </c>
      <c r="D558" t="s">
        <v>575</v>
      </c>
      <c r="E558" t="s">
        <v>618</v>
      </c>
    </row>
    <row r="559" spans="1:5" x14ac:dyDescent="0.25">
      <c r="A559" s="279"/>
      <c r="B559" t="s">
        <v>458</v>
      </c>
      <c r="C559" s="279">
        <v>41590</v>
      </c>
      <c r="D559" t="s">
        <v>576</v>
      </c>
      <c r="E559" t="s">
        <v>618</v>
      </c>
    </row>
    <row r="560" spans="1:5" x14ac:dyDescent="0.25">
      <c r="A560" s="279"/>
      <c r="B560" t="s">
        <v>698</v>
      </c>
      <c r="C560" s="279">
        <v>41576</v>
      </c>
      <c r="D560" t="s">
        <v>641</v>
      </c>
      <c r="E560" t="s">
        <v>603</v>
      </c>
    </row>
    <row r="561" spans="1:5" x14ac:dyDescent="0.25">
      <c r="A561" s="279"/>
      <c r="B561" t="s">
        <v>698</v>
      </c>
      <c r="C561" s="279">
        <v>41576</v>
      </c>
      <c r="D561" t="s">
        <v>575</v>
      </c>
      <c r="E561" t="s">
        <v>603</v>
      </c>
    </row>
    <row r="562" spans="1:5" x14ac:dyDescent="0.25">
      <c r="A562" s="279"/>
      <c r="B562" t="s">
        <v>698</v>
      </c>
      <c r="C562" s="279">
        <v>41576</v>
      </c>
      <c r="D562" t="s">
        <v>642</v>
      </c>
      <c r="E562" t="s">
        <v>603</v>
      </c>
    </row>
    <row r="563" spans="1:5" x14ac:dyDescent="0.25">
      <c r="A563" s="279"/>
      <c r="B563" t="s">
        <v>701</v>
      </c>
      <c r="C563" s="279">
        <v>41572</v>
      </c>
      <c r="D563" t="s">
        <v>575</v>
      </c>
      <c r="E563" t="s">
        <v>702</v>
      </c>
    </row>
    <row r="564" spans="1:5" x14ac:dyDescent="0.25">
      <c r="A564" s="279"/>
      <c r="B564" t="s">
        <v>703</v>
      </c>
      <c r="C564" s="279">
        <v>41570</v>
      </c>
      <c r="D564" t="s">
        <v>568</v>
      </c>
      <c r="E564" t="s">
        <v>569</v>
      </c>
    </row>
    <row r="565" spans="1:5" x14ac:dyDescent="0.25">
      <c r="A565" s="279"/>
      <c r="B565" t="s">
        <v>704</v>
      </c>
      <c r="C565" s="279">
        <v>41569</v>
      </c>
      <c r="D565" t="s">
        <v>582</v>
      </c>
      <c r="E565" t="s">
        <v>673</v>
      </c>
    </row>
    <row r="566" spans="1:5" x14ac:dyDescent="0.25">
      <c r="A566" s="279"/>
      <c r="B566" t="s">
        <v>704</v>
      </c>
      <c r="C566" s="279">
        <v>41569</v>
      </c>
      <c r="D566" t="s">
        <v>575</v>
      </c>
      <c r="E566" t="s">
        <v>673</v>
      </c>
    </row>
    <row r="567" spans="1:5" x14ac:dyDescent="0.25">
      <c r="A567" s="279"/>
      <c r="B567" t="s">
        <v>705</v>
      </c>
      <c r="C567" s="279">
        <v>41554</v>
      </c>
      <c r="D567" t="s">
        <v>570</v>
      </c>
      <c r="E567" t="s">
        <v>644</v>
      </c>
    </row>
    <row r="568" spans="1:5" x14ac:dyDescent="0.25">
      <c r="A568" s="279"/>
      <c r="B568" t="s">
        <v>458</v>
      </c>
      <c r="C568" s="279">
        <v>41541</v>
      </c>
      <c r="D568" t="s">
        <v>684</v>
      </c>
      <c r="E568" t="s">
        <v>618</v>
      </c>
    </row>
    <row r="569" spans="1:5" x14ac:dyDescent="0.25">
      <c r="A569" s="279"/>
      <c r="B569" t="s">
        <v>458</v>
      </c>
      <c r="C569" s="279">
        <v>41541</v>
      </c>
      <c r="D569" t="s">
        <v>706</v>
      </c>
      <c r="E569" t="s">
        <v>618</v>
      </c>
    </row>
    <row r="570" spans="1:5" x14ac:dyDescent="0.25">
      <c r="A570" s="279"/>
      <c r="B570" t="s">
        <v>458</v>
      </c>
      <c r="C570" s="279">
        <v>41541</v>
      </c>
      <c r="D570" t="s">
        <v>641</v>
      </c>
      <c r="E570" t="s">
        <v>618</v>
      </c>
    </row>
    <row r="571" spans="1:5" x14ac:dyDescent="0.25">
      <c r="A571" s="279"/>
      <c r="B571" t="s">
        <v>458</v>
      </c>
      <c r="C571" s="279">
        <v>41541</v>
      </c>
      <c r="D571" t="s">
        <v>707</v>
      </c>
      <c r="E571" t="s">
        <v>618</v>
      </c>
    </row>
    <row r="572" spans="1:5" x14ac:dyDescent="0.25">
      <c r="A572" s="279"/>
      <c r="B572" t="s">
        <v>458</v>
      </c>
      <c r="C572" s="279">
        <v>41541</v>
      </c>
      <c r="D572" t="s">
        <v>685</v>
      </c>
      <c r="E572" t="s">
        <v>618</v>
      </c>
    </row>
    <row r="573" spans="1:5" x14ac:dyDescent="0.25">
      <c r="A573" s="279"/>
      <c r="B573" t="s">
        <v>458</v>
      </c>
      <c r="C573" s="279">
        <v>41541</v>
      </c>
      <c r="D573" t="s">
        <v>686</v>
      </c>
      <c r="E573" t="s">
        <v>618</v>
      </c>
    </row>
    <row r="574" spans="1:5" x14ac:dyDescent="0.25">
      <c r="A574" s="279"/>
      <c r="B574" t="s">
        <v>458</v>
      </c>
      <c r="C574" s="279">
        <v>41541</v>
      </c>
      <c r="D574" t="s">
        <v>575</v>
      </c>
      <c r="E574" t="s">
        <v>618</v>
      </c>
    </row>
    <row r="575" spans="1:5" x14ac:dyDescent="0.25">
      <c r="A575" s="279"/>
      <c r="B575" t="s">
        <v>458</v>
      </c>
      <c r="C575" s="279">
        <v>41541</v>
      </c>
      <c r="D575" t="s">
        <v>642</v>
      </c>
      <c r="E575" t="s">
        <v>618</v>
      </c>
    </row>
    <row r="576" spans="1:5" x14ac:dyDescent="0.25">
      <c r="A576" s="279"/>
      <c r="B576" t="s">
        <v>458</v>
      </c>
      <c r="C576" s="279">
        <v>41540</v>
      </c>
      <c r="D576" t="s">
        <v>568</v>
      </c>
      <c r="E576" t="s">
        <v>618</v>
      </c>
    </row>
    <row r="577" spans="1:5" x14ac:dyDescent="0.25">
      <c r="A577" s="279"/>
      <c r="B577" t="s">
        <v>458</v>
      </c>
      <c r="C577" s="279">
        <v>41540</v>
      </c>
      <c r="D577" t="s">
        <v>570</v>
      </c>
      <c r="E577" t="s">
        <v>618</v>
      </c>
    </row>
    <row r="578" spans="1:5" x14ac:dyDescent="0.25">
      <c r="A578" s="279"/>
      <c r="B578" t="s">
        <v>458</v>
      </c>
      <c r="C578" s="279">
        <v>41540</v>
      </c>
      <c r="D578" t="s">
        <v>708</v>
      </c>
      <c r="E578" t="s">
        <v>618</v>
      </c>
    </row>
    <row r="579" spans="1:5" x14ac:dyDescent="0.25">
      <c r="A579" s="279"/>
      <c r="B579" t="s">
        <v>709</v>
      </c>
      <c r="C579" s="279">
        <v>41529</v>
      </c>
      <c r="D579" t="s">
        <v>687</v>
      </c>
      <c r="E579" t="s">
        <v>710</v>
      </c>
    </row>
    <row r="580" spans="1:5" x14ac:dyDescent="0.25">
      <c r="A580" s="279"/>
      <c r="B580" t="s">
        <v>711</v>
      </c>
      <c r="C580" s="279">
        <v>41527</v>
      </c>
      <c r="D580" t="s">
        <v>641</v>
      </c>
      <c r="E580" t="s">
        <v>618</v>
      </c>
    </row>
    <row r="581" spans="1:5" x14ac:dyDescent="0.25">
      <c r="A581" s="279"/>
      <c r="B581" t="s">
        <v>711</v>
      </c>
      <c r="C581" s="279">
        <v>41527</v>
      </c>
      <c r="D581" t="s">
        <v>642</v>
      </c>
      <c r="E581" t="s">
        <v>618</v>
      </c>
    </row>
    <row r="582" spans="1:5" x14ac:dyDescent="0.25">
      <c r="A582" s="279"/>
      <c r="B582" t="s">
        <v>712</v>
      </c>
      <c r="C582" s="279">
        <v>41515</v>
      </c>
      <c r="D582" t="s">
        <v>582</v>
      </c>
      <c r="E582" t="s">
        <v>713</v>
      </c>
    </row>
    <row r="583" spans="1:5" x14ac:dyDescent="0.25">
      <c r="A583" s="279"/>
      <c r="B583" t="s">
        <v>714</v>
      </c>
      <c r="C583" s="279">
        <v>41514</v>
      </c>
      <c r="D583" t="s">
        <v>715</v>
      </c>
      <c r="E583" t="s">
        <v>674</v>
      </c>
    </row>
    <row r="584" spans="1:5" x14ac:dyDescent="0.25">
      <c r="A584" s="279"/>
      <c r="B584" t="s">
        <v>120</v>
      </c>
      <c r="C584" s="279">
        <v>41513</v>
      </c>
      <c r="D584" t="s">
        <v>570</v>
      </c>
      <c r="E584" t="s">
        <v>590</v>
      </c>
    </row>
    <row r="585" spans="1:5" x14ac:dyDescent="0.25">
      <c r="A585" s="279"/>
      <c r="B585" t="s">
        <v>120</v>
      </c>
      <c r="C585" s="279">
        <v>41513</v>
      </c>
      <c r="D585" t="s">
        <v>641</v>
      </c>
      <c r="E585" t="s">
        <v>590</v>
      </c>
    </row>
    <row r="586" spans="1:5" x14ac:dyDescent="0.25">
      <c r="A586" s="279"/>
      <c r="B586" t="s">
        <v>120</v>
      </c>
      <c r="C586" s="279">
        <v>41513</v>
      </c>
      <c r="D586" t="s">
        <v>642</v>
      </c>
      <c r="E586" t="s">
        <v>590</v>
      </c>
    </row>
    <row r="587" spans="1:5" x14ac:dyDescent="0.25">
      <c r="A587" s="279"/>
      <c r="B587" t="s">
        <v>703</v>
      </c>
      <c r="C587" s="279">
        <v>41501</v>
      </c>
      <c r="D587" t="s">
        <v>570</v>
      </c>
      <c r="E587" t="s">
        <v>569</v>
      </c>
    </row>
    <row r="588" spans="1:5" x14ac:dyDescent="0.25">
      <c r="A588" s="279"/>
      <c r="B588" t="s">
        <v>716</v>
      </c>
      <c r="C588" s="279">
        <v>41493</v>
      </c>
      <c r="D588" t="s">
        <v>570</v>
      </c>
      <c r="E588" t="s">
        <v>717</v>
      </c>
    </row>
    <row r="589" spans="1:5" x14ac:dyDescent="0.25">
      <c r="A589" s="279"/>
      <c r="B589" t="s">
        <v>709</v>
      </c>
      <c r="C589" s="279">
        <v>41486</v>
      </c>
      <c r="D589" t="s">
        <v>715</v>
      </c>
      <c r="E589" t="s">
        <v>710</v>
      </c>
    </row>
    <row r="590" spans="1:5" x14ac:dyDescent="0.25">
      <c r="A590" s="279"/>
      <c r="B590" t="s">
        <v>718</v>
      </c>
      <c r="C590" s="279">
        <v>41479</v>
      </c>
      <c r="D590" t="s">
        <v>568</v>
      </c>
      <c r="E590" t="s">
        <v>635</v>
      </c>
    </row>
    <row r="591" spans="1:5" x14ac:dyDescent="0.25">
      <c r="A591" s="279"/>
      <c r="B591" t="s">
        <v>718</v>
      </c>
      <c r="C591" s="279">
        <v>41479</v>
      </c>
      <c r="D591" t="s">
        <v>570</v>
      </c>
      <c r="E591" t="s">
        <v>635</v>
      </c>
    </row>
    <row r="592" spans="1:5" x14ac:dyDescent="0.25">
      <c r="A592" s="279"/>
      <c r="B592" t="s">
        <v>719</v>
      </c>
      <c r="C592" s="279">
        <v>41464</v>
      </c>
      <c r="D592" t="s">
        <v>641</v>
      </c>
      <c r="E592" t="s">
        <v>590</v>
      </c>
    </row>
    <row r="593" spans="1:5" x14ac:dyDescent="0.25">
      <c r="A593" s="279"/>
      <c r="B593" t="s">
        <v>719</v>
      </c>
      <c r="C593" s="279">
        <v>41464</v>
      </c>
      <c r="D593" t="s">
        <v>642</v>
      </c>
      <c r="E593" t="s">
        <v>590</v>
      </c>
    </row>
    <row r="594" spans="1:5" x14ac:dyDescent="0.25">
      <c r="A594" s="279"/>
      <c r="B594" t="s">
        <v>720</v>
      </c>
      <c r="C594" s="279">
        <v>41463</v>
      </c>
      <c r="D594" t="s">
        <v>721</v>
      </c>
      <c r="E594" t="s">
        <v>618</v>
      </c>
    </row>
    <row r="595" spans="1:5" x14ac:dyDescent="0.25">
      <c r="A595" s="279"/>
      <c r="B595" t="s">
        <v>722</v>
      </c>
      <c r="C595" s="279">
        <v>41450</v>
      </c>
      <c r="D595" t="s">
        <v>582</v>
      </c>
      <c r="E595" t="s">
        <v>583</v>
      </c>
    </row>
    <row r="596" spans="1:5" x14ac:dyDescent="0.25">
      <c r="A596" s="279"/>
      <c r="B596" t="s">
        <v>722</v>
      </c>
      <c r="C596" s="279">
        <v>41450</v>
      </c>
      <c r="D596" t="s">
        <v>575</v>
      </c>
      <c r="E596" t="s">
        <v>583</v>
      </c>
    </row>
    <row r="597" spans="1:5" x14ac:dyDescent="0.25">
      <c r="A597" s="279"/>
      <c r="B597" t="s">
        <v>723</v>
      </c>
      <c r="C597" s="279">
        <v>41449</v>
      </c>
      <c r="D597" t="s">
        <v>724</v>
      </c>
      <c r="E597" t="s">
        <v>663</v>
      </c>
    </row>
    <row r="598" spans="1:5" x14ac:dyDescent="0.25">
      <c r="A598" s="279"/>
      <c r="B598" t="s">
        <v>725</v>
      </c>
      <c r="C598" s="279">
        <v>41438</v>
      </c>
      <c r="D598" t="s">
        <v>715</v>
      </c>
      <c r="E598" t="s">
        <v>726</v>
      </c>
    </row>
    <row r="599" spans="1:5" x14ac:dyDescent="0.25">
      <c r="A599" s="279"/>
      <c r="B599" t="s">
        <v>725</v>
      </c>
      <c r="C599" s="279">
        <v>41422</v>
      </c>
      <c r="D599" t="s">
        <v>687</v>
      </c>
      <c r="E599" t="s">
        <v>726</v>
      </c>
    </row>
    <row r="600" spans="1:5" x14ac:dyDescent="0.25">
      <c r="A600" s="279"/>
      <c r="B600" t="s">
        <v>727</v>
      </c>
      <c r="C600" s="279">
        <v>41422</v>
      </c>
      <c r="D600" t="s">
        <v>641</v>
      </c>
      <c r="E600" t="s">
        <v>728</v>
      </c>
    </row>
    <row r="601" spans="1:5" x14ac:dyDescent="0.25">
      <c r="A601" s="279"/>
      <c r="B601" t="s">
        <v>727</v>
      </c>
      <c r="C601" s="279">
        <v>41422</v>
      </c>
      <c r="D601" t="s">
        <v>642</v>
      </c>
      <c r="E601" t="s">
        <v>728</v>
      </c>
    </row>
    <row r="602" spans="1:5" x14ac:dyDescent="0.25">
      <c r="A602" s="279"/>
      <c r="B602" t="s">
        <v>729</v>
      </c>
      <c r="C602" s="279">
        <v>41417</v>
      </c>
      <c r="D602" t="s">
        <v>730</v>
      </c>
      <c r="E602" t="s">
        <v>731</v>
      </c>
    </row>
    <row r="603" spans="1:5" x14ac:dyDescent="0.25">
      <c r="A603" s="279"/>
      <c r="B603" t="s">
        <v>732</v>
      </c>
      <c r="C603" s="279">
        <v>41416</v>
      </c>
      <c r="D603" t="s">
        <v>687</v>
      </c>
      <c r="E603" t="s">
        <v>733</v>
      </c>
    </row>
    <row r="604" spans="1:5" x14ac:dyDescent="0.25">
      <c r="A604" s="279"/>
      <c r="B604" t="s">
        <v>734</v>
      </c>
      <c r="C604" s="279">
        <v>41396</v>
      </c>
      <c r="D604" t="s">
        <v>568</v>
      </c>
      <c r="E604" t="s">
        <v>569</v>
      </c>
    </row>
    <row r="605" spans="1:5" x14ac:dyDescent="0.25">
      <c r="A605" s="279"/>
      <c r="B605" t="s">
        <v>735</v>
      </c>
      <c r="C605" s="279">
        <v>41359</v>
      </c>
      <c r="D605" t="s">
        <v>641</v>
      </c>
      <c r="E605" t="s">
        <v>590</v>
      </c>
    </row>
    <row r="606" spans="1:5" x14ac:dyDescent="0.25">
      <c r="A606" s="279"/>
      <c r="B606" t="s">
        <v>735</v>
      </c>
      <c r="C606" s="279">
        <v>41359</v>
      </c>
      <c r="D606" t="s">
        <v>642</v>
      </c>
      <c r="E606" t="s">
        <v>590</v>
      </c>
    </row>
    <row r="607" spans="1:5" x14ac:dyDescent="0.25">
      <c r="A607" s="279"/>
      <c r="B607" t="s">
        <v>736</v>
      </c>
      <c r="C607" s="279">
        <v>41359</v>
      </c>
      <c r="D607" t="s">
        <v>641</v>
      </c>
      <c r="E607" t="s">
        <v>737</v>
      </c>
    </row>
    <row r="608" spans="1:5" x14ac:dyDescent="0.25">
      <c r="A608" s="279"/>
      <c r="B608" t="s">
        <v>736</v>
      </c>
      <c r="C608" s="279">
        <v>41359</v>
      </c>
      <c r="D608" t="s">
        <v>642</v>
      </c>
      <c r="E608" t="s">
        <v>737</v>
      </c>
    </row>
    <row r="609" spans="1:5" x14ac:dyDescent="0.25">
      <c r="A609" s="279"/>
      <c r="B609" t="s">
        <v>738</v>
      </c>
      <c r="C609" s="279">
        <v>41358</v>
      </c>
      <c r="D609" t="s">
        <v>687</v>
      </c>
      <c r="E609" t="s">
        <v>583</v>
      </c>
    </row>
    <row r="610" spans="1:5" x14ac:dyDescent="0.25">
      <c r="A610" s="279"/>
      <c r="B610" t="s">
        <v>739</v>
      </c>
      <c r="C610" s="279">
        <v>41354</v>
      </c>
      <c r="D610" t="s">
        <v>687</v>
      </c>
      <c r="E610" t="s">
        <v>618</v>
      </c>
    </row>
    <row r="611" spans="1:5" x14ac:dyDescent="0.25">
      <c r="A611" s="279"/>
      <c r="B611" t="s">
        <v>740</v>
      </c>
      <c r="C611" s="279">
        <v>41352</v>
      </c>
      <c r="D611" t="s">
        <v>741</v>
      </c>
      <c r="E611" t="s">
        <v>601</v>
      </c>
    </row>
    <row r="612" spans="1:5" x14ac:dyDescent="0.25">
      <c r="A612" s="279"/>
      <c r="B612" t="s">
        <v>712</v>
      </c>
      <c r="C612" s="279">
        <v>41339</v>
      </c>
      <c r="D612" t="s">
        <v>575</v>
      </c>
      <c r="E612" t="s">
        <v>713</v>
      </c>
    </row>
    <row r="613" spans="1:5" x14ac:dyDescent="0.25">
      <c r="A613" s="279"/>
      <c r="B613" t="s">
        <v>742</v>
      </c>
      <c r="C613" s="279">
        <v>41338</v>
      </c>
      <c r="D613" t="s">
        <v>582</v>
      </c>
      <c r="E613" t="s">
        <v>673</v>
      </c>
    </row>
    <row r="614" spans="1:5" x14ac:dyDescent="0.25">
      <c r="A614" s="279"/>
      <c r="B614" t="s">
        <v>742</v>
      </c>
      <c r="C614" s="279">
        <v>41338</v>
      </c>
      <c r="D614" t="s">
        <v>575</v>
      </c>
      <c r="E614" t="s">
        <v>673</v>
      </c>
    </row>
    <row r="615" spans="1:5" x14ac:dyDescent="0.25">
      <c r="A615" s="279"/>
      <c r="B615" t="s">
        <v>714</v>
      </c>
      <c r="C615" s="279">
        <v>41333</v>
      </c>
      <c r="D615" t="s">
        <v>568</v>
      </c>
      <c r="E615" t="s">
        <v>674</v>
      </c>
    </row>
    <row r="616" spans="1:5" x14ac:dyDescent="0.25">
      <c r="A616" s="279"/>
      <c r="B616" t="s">
        <v>714</v>
      </c>
      <c r="C616" s="279">
        <v>41333</v>
      </c>
      <c r="D616" t="s">
        <v>570</v>
      </c>
      <c r="E616" t="s">
        <v>674</v>
      </c>
    </row>
    <row r="617" spans="1:5" x14ac:dyDescent="0.25">
      <c r="A617" s="279"/>
      <c r="B617" t="s">
        <v>743</v>
      </c>
      <c r="C617" s="279">
        <v>41324</v>
      </c>
      <c r="D617" t="s">
        <v>641</v>
      </c>
      <c r="E617" t="s">
        <v>744</v>
      </c>
    </row>
    <row r="618" spans="1:5" x14ac:dyDescent="0.25">
      <c r="A618" s="279"/>
      <c r="B618" t="s">
        <v>743</v>
      </c>
      <c r="C618" s="279">
        <v>41324</v>
      </c>
      <c r="D618" t="s">
        <v>575</v>
      </c>
      <c r="E618" t="s">
        <v>744</v>
      </c>
    </row>
    <row r="619" spans="1:5" x14ac:dyDescent="0.25">
      <c r="A619" s="279"/>
      <c r="B619" t="s">
        <v>743</v>
      </c>
      <c r="C619" s="279">
        <v>41324</v>
      </c>
      <c r="D619" t="s">
        <v>642</v>
      </c>
      <c r="E619" t="s">
        <v>744</v>
      </c>
    </row>
    <row r="620" spans="1:5" x14ac:dyDescent="0.25">
      <c r="A620" s="279"/>
      <c r="B620" t="s">
        <v>723</v>
      </c>
      <c r="C620" s="279">
        <v>41311</v>
      </c>
      <c r="D620" t="s">
        <v>568</v>
      </c>
      <c r="E620" t="s">
        <v>663</v>
      </c>
    </row>
    <row r="621" spans="1:5" x14ac:dyDescent="0.25">
      <c r="A621" s="279"/>
      <c r="B621" t="s">
        <v>745</v>
      </c>
      <c r="C621" s="279">
        <v>41310</v>
      </c>
      <c r="D621" t="s">
        <v>641</v>
      </c>
      <c r="E621" t="s">
        <v>678</v>
      </c>
    </row>
    <row r="622" spans="1:5" x14ac:dyDescent="0.25">
      <c r="A622" s="279"/>
      <c r="B622" t="s">
        <v>745</v>
      </c>
      <c r="C622" s="279">
        <v>41310</v>
      </c>
      <c r="D622" t="s">
        <v>575</v>
      </c>
      <c r="E622" t="s">
        <v>678</v>
      </c>
    </row>
    <row r="623" spans="1:5" x14ac:dyDescent="0.25">
      <c r="A623" s="279"/>
      <c r="B623" t="s">
        <v>745</v>
      </c>
      <c r="C623" s="279">
        <v>41310</v>
      </c>
      <c r="D623" t="s">
        <v>642</v>
      </c>
      <c r="E623" t="s">
        <v>678</v>
      </c>
    </row>
    <row r="624" spans="1:5" x14ac:dyDescent="0.25">
      <c r="A624" s="279"/>
      <c r="B624" t="s">
        <v>746</v>
      </c>
      <c r="C624" s="279">
        <v>41304</v>
      </c>
      <c r="D624" t="s">
        <v>715</v>
      </c>
      <c r="E624" t="s">
        <v>569</v>
      </c>
    </row>
    <row r="625" spans="1:5" x14ac:dyDescent="0.25">
      <c r="A625" s="279"/>
      <c r="B625" t="s">
        <v>747</v>
      </c>
      <c r="C625" s="279">
        <v>41262</v>
      </c>
      <c r="D625" t="s">
        <v>730</v>
      </c>
      <c r="E625" t="s">
        <v>731</v>
      </c>
    </row>
    <row r="626" spans="1:5" x14ac:dyDescent="0.25">
      <c r="A626" s="279"/>
      <c r="B626" t="s">
        <v>747</v>
      </c>
      <c r="C626" s="279">
        <v>41262</v>
      </c>
      <c r="D626" t="s">
        <v>582</v>
      </c>
      <c r="E626" t="s">
        <v>731</v>
      </c>
    </row>
    <row r="627" spans="1:5" x14ac:dyDescent="0.25">
      <c r="A627" s="279"/>
      <c r="B627" t="s">
        <v>748</v>
      </c>
      <c r="C627" s="279">
        <v>41261</v>
      </c>
      <c r="D627" t="s">
        <v>575</v>
      </c>
      <c r="E627" t="s">
        <v>646</v>
      </c>
    </row>
    <row r="628" spans="1:5" x14ac:dyDescent="0.25">
      <c r="A628" s="279"/>
      <c r="B628" t="s">
        <v>476</v>
      </c>
      <c r="C628" s="279">
        <v>41231</v>
      </c>
      <c r="D628" t="s">
        <v>741</v>
      </c>
      <c r="E628" t="s">
        <v>552</v>
      </c>
    </row>
    <row r="629" spans="1:5" x14ac:dyDescent="0.25">
      <c r="A629" s="279"/>
      <c r="B629" t="s">
        <v>749</v>
      </c>
      <c r="C629" s="279">
        <v>41231</v>
      </c>
      <c r="D629" t="s">
        <v>741</v>
      </c>
      <c r="E629" t="s">
        <v>590</v>
      </c>
    </row>
    <row r="630" spans="1:5" x14ac:dyDescent="0.25">
      <c r="A630" s="279"/>
      <c r="B630" t="s">
        <v>720</v>
      </c>
      <c r="C630" s="279">
        <v>41231</v>
      </c>
      <c r="D630" t="s">
        <v>741</v>
      </c>
      <c r="E630" t="s">
        <v>618</v>
      </c>
    </row>
    <row r="631" spans="1:5" x14ac:dyDescent="0.25">
      <c r="A631" s="279"/>
      <c r="B631" t="s">
        <v>750</v>
      </c>
      <c r="C631" s="279">
        <v>41226</v>
      </c>
      <c r="D631" t="s">
        <v>582</v>
      </c>
      <c r="E631" t="s">
        <v>583</v>
      </c>
    </row>
    <row r="632" spans="1:5" x14ac:dyDescent="0.25">
      <c r="A632" s="279"/>
      <c r="B632" t="s">
        <v>750</v>
      </c>
      <c r="C632" s="279">
        <v>41226</v>
      </c>
      <c r="D632" t="s">
        <v>575</v>
      </c>
      <c r="E632" t="s">
        <v>583</v>
      </c>
    </row>
    <row r="633" spans="1:5" x14ac:dyDescent="0.25">
      <c r="A633" s="279"/>
      <c r="B633" t="s">
        <v>749</v>
      </c>
      <c r="C633" s="279">
        <v>41214</v>
      </c>
      <c r="D633" t="s">
        <v>570</v>
      </c>
      <c r="E633" t="s">
        <v>590</v>
      </c>
    </row>
    <row r="634" spans="1:5" x14ac:dyDescent="0.25">
      <c r="A634" s="279"/>
      <c r="B634" t="s">
        <v>740</v>
      </c>
      <c r="C634" s="279">
        <v>41212</v>
      </c>
      <c r="D634" t="s">
        <v>568</v>
      </c>
      <c r="E634" t="s">
        <v>601</v>
      </c>
    </row>
    <row r="635" spans="1:5" x14ac:dyDescent="0.25">
      <c r="A635" s="279"/>
      <c r="B635" t="s">
        <v>740</v>
      </c>
      <c r="C635" s="279">
        <v>41212</v>
      </c>
      <c r="D635" t="s">
        <v>570</v>
      </c>
      <c r="E635" t="s">
        <v>601</v>
      </c>
    </row>
    <row r="636" spans="1:5" x14ac:dyDescent="0.25">
      <c r="A636" s="279"/>
      <c r="B636" t="s">
        <v>740</v>
      </c>
      <c r="C636" s="279">
        <v>41212</v>
      </c>
      <c r="D636" t="s">
        <v>724</v>
      </c>
      <c r="E636" t="s">
        <v>601</v>
      </c>
    </row>
    <row r="637" spans="1:5" x14ac:dyDescent="0.25">
      <c r="A637" s="279"/>
      <c r="B637" t="s">
        <v>740</v>
      </c>
      <c r="C637" s="279">
        <v>41212</v>
      </c>
      <c r="D637" t="s">
        <v>641</v>
      </c>
      <c r="E637" t="s">
        <v>601</v>
      </c>
    </row>
    <row r="638" spans="1:5" x14ac:dyDescent="0.25">
      <c r="A638" s="279"/>
      <c r="B638" t="s">
        <v>740</v>
      </c>
      <c r="C638" s="279">
        <v>41212</v>
      </c>
      <c r="D638" t="s">
        <v>685</v>
      </c>
      <c r="E638" t="s">
        <v>601</v>
      </c>
    </row>
    <row r="639" spans="1:5" x14ac:dyDescent="0.25">
      <c r="A639" s="279"/>
      <c r="B639" t="s">
        <v>740</v>
      </c>
      <c r="C639" s="279">
        <v>41212</v>
      </c>
      <c r="D639" t="s">
        <v>575</v>
      </c>
      <c r="E639" t="s">
        <v>601</v>
      </c>
    </row>
    <row r="640" spans="1:5" x14ac:dyDescent="0.25">
      <c r="A640" s="279"/>
      <c r="B640" t="s">
        <v>740</v>
      </c>
      <c r="C640" s="279">
        <v>41212</v>
      </c>
      <c r="D640" t="s">
        <v>642</v>
      </c>
      <c r="E640" t="s">
        <v>601</v>
      </c>
    </row>
    <row r="641" spans="1:5" x14ac:dyDescent="0.25">
      <c r="A641" s="279"/>
      <c r="B641" t="s">
        <v>751</v>
      </c>
      <c r="C641" s="279">
        <v>41208</v>
      </c>
      <c r="D641" t="s">
        <v>575</v>
      </c>
      <c r="E641" t="s">
        <v>702</v>
      </c>
    </row>
    <row r="642" spans="1:5" x14ac:dyDescent="0.25">
      <c r="A642" s="279"/>
      <c r="B642" t="s">
        <v>729</v>
      </c>
      <c r="C642" s="279">
        <v>41205</v>
      </c>
      <c r="D642" t="s">
        <v>582</v>
      </c>
      <c r="E642" t="s">
        <v>731</v>
      </c>
    </row>
    <row r="643" spans="1:5" x14ac:dyDescent="0.25">
      <c r="A643" s="279"/>
      <c r="B643" t="s">
        <v>752</v>
      </c>
      <c r="C643" s="279">
        <v>41205</v>
      </c>
      <c r="D643" t="s">
        <v>641</v>
      </c>
      <c r="E643" t="s">
        <v>753</v>
      </c>
    </row>
    <row r="644" spans="1:5" x14ac:dyDescent="0.25">
      <c r="A644" s="279"/>
      <c r="B644" t="s">
        <v>752</v>
      </c>
      <c r="C644" s="279">
        <v>41205</v>
      </c>
      <c r="D644" t="s">
        <v>575</v>
      </c>
      <c r="E644" t="s">
        <v>753</v>
      </c>
    </row>
    <row r="645" spans="1:5" x14ac:dyDescent="0.25">
      <c r="A645" s="279"/>
      <c r="B645" t="s">
        <v>752</v>
      </c>
      <c r="C645" s="279">
        <v>41205</v>
      </c>
      <c r="D645" t="s">
        <v>642</v>
      </c>
      <c r="E645" t="s">
        <v>753</v>
      </c>
    </row>
    <row r="646" spans="1:5" x14ac:dyDescent="0.25">
      <c r="A646" s="279"/>
      <c r="B646" t="s">
        <v>720</v>
      </c>
      <c r="C646" s="279">
        <v>41177</v>
      </c>
      <c r="D646" t="s">
        <v>570</v>
      </c>
      <c r="E646" t="s">
        <v>618</v>
      </c>
    </row>
    <row r="647" spans="1:5" x14ac:dyDescent="0.25">
      <c r="A647" s="279"/>
      <c r="B647" t="s">
        <v>720</v>
      </c>
      <c r="C647" s="279">
        <v>41177</v>
      </c>
      <c r="D647" t="s">
        <v>708</v>
      </c>
      <c r="E647" t="s">
        <v>618</v>
      </c>
    </row>
    <row r="648" spans="1:5" x14ac:dyDescent="0.25">
      <c r="A648" s="279"/>
      <c r="B648" t="s">
        <v>720</v>
      </c>
      <c r="C648" s="279">
        <v>41177</v>
      </c>
      <c r="D648" t="s">
        <v>684</v>
      </c>
      <c r="E648" t="s">
        <v>618</v>
      </c>
    </row>
    <row r="649" spans="1:5" x14ac:dyDescent="0.25">
      <c r="A649" s="279"/>
      <c r="B649" t="s">
        <v>720</v>
      </c>
      <c r="C649" s="279">
        <v>41177</v>
      </c>
      <c r="D649" t="s">
        <v>706</v>
      </c>
      <c r="E649" t="s">
        <v>618</v>
      </c>
    </row>
    <row r="650" spans="1:5" x14ac:dyDescent="0.25">
      <c r="A650" s="279"/>
      <c r="B650" t="s">
        <v>720</v>
      </c>
      <c r="C650" s="279">
        <v>41177</v>
      </c>
      <c r="D650" t="s">
        <v>641</v>
      </c>
      <c r="E650" t="s">
        <v>618</v>
      </c>
    </row>
    <row r="651" spans="1:5" x14ac:dyDescent="0.25">
      <c r="A651" s="279"/>
      <c r="B651" t="s">
        <v>720</v>
      </c>
      <c r="C651" s="279">
        <v>41177</v>
      </c>
      <c r="D651" t="s">
        <v>707</v>
      </c>
      <c r="E651" t="s">
        <v>618</v>
      </c>
    </row>
    <row r="652" spans="1:5" x14ac:dyDescent="0.25">
      <c r="A652" s="279"/>
      <c r="B652" t="s">
        <v>720</v>
      </c>
      <c r="C652" s="279">
        <v>41177</v>
      </c>
      <c r="D652" t="s">
        <v>685</v>
      </c>
      <c r="E652" t="s">
        <v>618</v>
      </c>
    </row>
    <row r="653" spans="1:5" x14ac:dyDescent="0.25">
      <c r="A653" s="279"/>
      <c r="B653" t="s">
        <v>720</v>
      </c>
      <c r="C653" s="279">
        <v>41177</v>
      </c>
      <c r="D653" t="s">
        <v>686</v>
      </c>
      <c r="E653" t="s">
        <v>618</v>
      </c>
    </row>
    <row r="654" spans="1:5" x14ac:dyDescent="0.25">
      <c r="A654" s="279"/>
      <c r="B654" t="s">
        <v>720</v>
      </c>
      <c r="C654" s="279">
        <v>41177</v>
      </c>
      <c r="D654" t="s">
        <v>575</v>
      </c>
      <c r="E654" t="s">
        <v>618</v>
      </c>
    </row>
    <row r="655" spans="1:5" x14ac:dyDescent="0.25">
      <c r="A655" s="279"/>
      <c r="B655" t="s">
        <v>720</v>
      </c>
      <c r="C655" s="279">
        <v>41177</v>
      </c>
      <c r="D655" t="s">
        <v>642</v>
      </c>
      <c r="E655" t="s">
        <v>618</v>
      </c>
    </row>
    <row r="656" spans="1:5" x14ac:dyDescent="0.25">
      <c r="A656" s="279"/>
      <c r="B656" t="s">
        <v>754</v>
      </c>
      <c r="C656" s="279">
        <v>41176</v>
      </c>
      <c r="D656" t="s">
        <v>755</v>
      </c>
      <c r="E656" t="s">
        <v>644</v>
      </c>
    </row>
    <row r="657" spans="1:5" x14ac:dyDescent="0.25">
      <c r="A657" s="279"/>
      <c r="B657" t="s">
        <v>756</v>
      </c>
      <c r="C657" s="279">
        <v>41163</v>
      </c>
      <c r="D657" t="s">
        <v>641</v>
      </c>
      <c r="E657" t="s">
        <v>618</v>
      </c>
    </row>
    <row r="658" spans="1:5" x14ac:dyDescent="0.25">
      <c r="A658" s="279"/>
      <c r="B658" t="s">
        <v>756</v>
      </c>
      <c r="C658" s="279">
        <v>41163</v>
      </c>
      <c r="D658" t="s">
        <v>642</v>
      </c>
      <c r="E658" t="s">
        <v>618</v>
      </c>
    </row>
    <row r="659" spans="1:5" x14ac:dyDescent="0.25">
      <c r="A659" s="279"/>
      <c r="B659" t="s">
        <v>757</v>
      </c>
      <c r="C659" s="279">
        <v>41156</v>
      </c>
      <c r="D659" t="s">
        <v>582</v>
      </c>
      <c r="E659" t="s">
        <v>673</v>
      </c>
    </row>
    <row r="660" spans="1:5" x14ac:dyDescent="0.25">
      <c r="A660" s="279"/>
      <c r="B660" t="s">
        <v>757</v>
      </c>
      <c r="C660" s="279">
        <v>41156</v>
      </c>
      <c r="D660" t="s">
        <v>575</v>
      </c>
      <c r="E660" t="s">
        <v>673</v>
      </c>
    </row>
    <row r="661" spans="1:5" x14ac:dyDescent="0.25">
      <c r="A661" s="279"/>
      <c r="B661" t="s">
        <v>758</v>
      </c>
      <c r="C661" s="279">
        <v>41150</v>
      </c>
      <c r="D661" t="s">
        <v>755</v>
      </c>
      <c r="E661" t="s">
        <v>644</v>
      </c>
    </row>
    <row r="662" spans="1:5" x14ac:dyDescent="0.25">
      <c r="A662" s="279"/>
      <c r="B662" t="s">
        <v>758</v>
      </c>
      <c r="C662" s="279">
        <v>41150</v>
      </c>
      <c r="D662" t="s">
        <v>570</v>
      </c>
      <c r="E662" t="s">
        <v>644</v>
      </c>
    </row>
    <row r="663" spans="1:5" x14ac:dyDescent="0.25">
      <c r="A663" s="279"/>
      <c r="B663" t="s">
        <v>749</v>
      </c>
      <c r="C663" s="279">
        <v>41149</v>
      </c>
      <c r="D663" t="s">
        <v>641</v>
      </c>
      <c r="E663" t="s">
        <v>590</v>
      </c>
    </row>
    <row r="664" spans="1:5" x14ac:dyDescent="0.25">
      <c r="A664" s="279"/>
      <c r="B664" t="s">
        <v>749</v>
      </c>
      <c r="C664" s="279">
        <v>41149</v>
      </c>
      <c r="D664" t="s">
        <v>685</v>
      </c>
      <c r="E664" t="s">
        <v>590</v>
      </c>
    </row>
    <row r="665" spans="1:5" x14ac:dyDescent="0.25">
      <c r="A665" s="279"/>
      <c r="B665" t="s">
        <v>749</v>
      </c>
      <c r="C665" s="279">
        <v>41149</v>
      </c>
      <c r="D665" t="s">
        <v>686</v>
      </c>
      <c r="E665" t="s">
        <v>590</v>
      </c>
    </row>
    <row r="666" spans="1:5" x14ac:dyDescent="0.25">
      <c r="A666" s="279"/>
      <c r="B666" t="s">
        <v>749</v>
      </c>
      <c r="C666" s="279">
        <v>41149</v>
      </c>
      <c r="D666" t="s">
        <v>642</v>
      </c>
      <c r="E666" t="s">
        <v>590</v>
      </c>
    </row>
    <row r="667" spans="1:5" x14ac:dyDescent="0.25">
      <c r="A667" s="279"/>
      <c r="B667" t="s">
        <v>759</v>
      </c>
      <c r="C667" s="279">
        <v>41114</v>
      </c>
      <c r="D667" t="s">
        <v>755</v>
      </c>
      <c r="E667" t="s">
        <v>728</v>
      </c>
    </row>
    <row r="668" spans="1:5" x14ac:dyDescent="0.25">
      <c r="A668" s="279"/>
      <c r="B668" t="s">
        <v>759</v>
      </c>
      <c r="C668" s="279">
        <v>41114</v>
      </c>
      <c r="D668" t="s">
        <v>570</v>
      </c>
      <c r="E668" t="s">
        <v>728</v>
      </c>
    </row>
    <row r="669" spans="1:5" x14ac:dyDescent="0.25">
      <c r="A669" s="279"/>
      <c r="B669" t="s">
        <v>760</v>
      </c>
      <c r="C669" s="279">
        <v>41103</v>
      </c>
      <c r="D669" t="s">
        <v>687</v>
      </c>
      <c r="E669" t="s">
        <v>603</v>
      </c>
    </row>
    <row r="670" spans="1:5" x14ac:dyDescent="0.25">
      <c r="A670" s="279"/>
      <c r="B670" t="s">
        <v>761</v>
      </c>
      <c r="C670" s="279">
        <v>41101</v>
      </c>
      <c r="D670" t="s">
        <v>762</v>
      </c>
      <c r="E670" t="s">
        <v>569</v>
      </c>
    </row>
    <row r="671" spans="1:5" x14ac:dyDescent="0.25">
      <c r="A671" s="279"/>
      <c r="B671" t="s">
        <v>763</v>
      </c>
      <c r="C671" s="279">
        <v>41100</v>
      </c>
      <c r="D671" t="s">
        <v>570</v>
      </c>
      <c r="E671" t="s">
        <v>764</v>
      </c>
    </row>
    <row r="672" spans="1:5" x14ac:dyDescent="0.25">
      <c r="A672" s="279"/>
      <c r="B672" t="s">
        <v>765</v>
      </c>
      <c r="C672" s="279">
        <v>41100</v>
      </c>
      <c r="D672" t="s">
        <v>641</v>
      </c>
      <c r="E672" t="s">
        <v>590</v>
      </c>
    </row>
    <row r="673" spans="1:5" x14ac:dyDescent="0.25">
      <c r="A673" s="279"/>
      <c r="B673" t="s">
        <v>765</v>
      </c>
      <c r="C673" s="279">
        <v>41100</v>
      </c>
      <c r="D673" t="s">
        <v>642</v>
      </c>
      <c r="E673" t="s">
        <v>590</v>
      </c>
    </row>
    <row r="674" spans="1:5" x14ac:dyDescent="0.25">
      <c r="A674" s="279"/>
      <c r="B674" t="s">
        <v>766</v>
      </c>
      <c r="C674" s="279">
        <v>41093</v>
      </c>
      <c r="D674" t="s">
        <v>575</v>
      </c>
      <c r="E674" t="s">
        <v>767</v>
      </c>
    </row>
    <row r="675" spans="1:5" x14ac:dyDescent="0.25">
      <c r="A675" s="279"/>
      <c r="B675" t="s">
        <v>768</v>
      </c>
      <c r="C675" s="279">
        <v>41085</v>
      </c>
      <c r="D675" t="s">
        <v>755</v>
      </c>
      <c r="E675" t="s">
        <v>769</v>
      </c>
    </row>
    <row r="676" spans="1:5" x14ac:dyDescent="0.25">
      <c r="A676" s="279"/>
      <c r="B676" t="s">
        <v>770</v>
      </c>
      <c r="C676" s="279">
        <v>41080</v>
      </c>
      <c r="D676" t="s">
        <v>724</v>
      </c>
      <c r="E676" t="s">
        <v>603</v>
      </c>
    </row>
    <row r="677" spans="1:5" x14ac:dyDescent="0.25">
      <c r="A677" s="279"/>
      <c r="B677" t="s">
        <v>771</v>
      </c>
      <c r="C677" s="279">
        <v>41053</v>
      </c>
      <c r="D677" t="s">
        <v>575</v>
      </c>
      <c r="E677" t="s">
        <v>772</v>
      </c>
    </row>
    <row r="678" spans="1:5" x14ac:dyDescent="0.25">
      <c r="A678" s="279"/>
      <c r="B678" t="s">
        <v>725</v>
      </c>
      <c r="C678" s="279">
        <v>41051</v>
      </c>
      <c r="D678" t="s">
        <v>568</v>
      </c>
      <c r="E678" t="s">
        <v>726</v>
      </c>
    </row>
    <row r="679" spans="1:5" x14ac:dyDescent="0.25">
      <c r="A679" s="279"/>
      <c r="B679" t="s">
        <v>773</v>
      </c>
      <c r="C679" s="279">
        <v>41046</v>
      </c>
      <c r="D679" t="s">
        <v>570</v>
      </c>
      <c r="E679" t="s">
        <v>569</v>
      </c>
    </row>
    <row r="680" spans="1:5" x14ac:dyDescent="0.25">
      <c r="A680" s="279"/>
      <c r="B680" t="s">
        <v>774</v>
      </c>
      <c r="C680" s="279">
        <v>41023</v>
      </c>
      <c r="D680" t="s">
        <v>641</v>
      </c>
      <c r="E680" t="s">
        <v>618</v>
      </c>
    </row>
    <row r="681" spans="1:5" x14ac:dyDescent="0.25">
      <c r="A681" s="279"/>
      <c r="B681" t="s">
        <v>774</v>
      </c>
      <c r="C681" s="279">
        <v>41023</v>
      </c>
      <c r="D681" t="s">
        <v>575</v>
      </c>
      <c r="E681" t="s">
        <v>618</v>
      </c>
    </row>
    <row r="682" spans="1:5" x14ac:dyDescent="0.25">
      <c r="A682" s="279"/>
      <c r="B682" t="s">
        <v>774</v>
      </c>
      <c r="C682" s="279">
        <v>41023</v>
      </c>
      <c r="D682" t="s">
        <v>642</v>
      </c>
      <c r="E682" t="s">
        <v>618</v>
      </c>
    </row>
    <row r="683" spans="1:5" x14ac:dyDescent="0.25">
      <c r="A683" s="279"/>
      <c r="B683" t="s">
        <v>775</v>
      </c>
      <c r="C683" s="279">
        <v>41014</v>
      </c>
      <c r="D683" t="s">
        <v>570</v>
      </c>
      <c r="E683" t="s">
        <v>601</v>
      </c>
    </row>
    <row r="684" spans="1:5" x14ac:dyDescent="0.25">
      <c r="A684" s="279"/>
      <c r="B684" t="s">
        <v>776</v>
      </c>
      <c r="C684" s="279">
        <v>41009</v>
      </c>
      <c r="D684" t="s">
        <v>570</v>
      </c>
      <c r="E684" t="s">
        <v>644</v>
      </c>
    </row>
    <row r="685" spans="1:5" x14ac:dyDescent="0.25">
      <c r="A685" s="279"/>
      <c r="B685" t="s">
        <v>777</v>
      </c>
      <c r="C685" s="279">
        <v>40995</v>
      </c>
      <c r="D685" t="s">
        <v>641</v>
      </c>
      <c r="E685" t="s">
        <v>590</v>
      </c>
    </row>
    <row r="686" spans="1:5" x14ac:dyDescent="0.25">
      <c r="A686" s="279"/>
      <c r="B686" t="s">
        <v>777</v>
      </c>
      <c r="C686" s="279">
        <v>40995</v>
      </c>
      <c r="D686" t="s">
        <v>642</v>
      </c>
      <c r="E686" t="s">
        <v>590</v>
      </c>
    </row>
    <row r="687" spans="1:5" x14ac:dyDescent="0.25">
      <c r="A687" s="279"/>
      <c r="B687" t="s">
        <v>739</v>
      </c>
      <c r="C687" s="279">
        <v>40983</v>
      </c>
      <c r="D687" t="s">
        <v>568</v>
      </c>
      <c r="E687" t="s">
        <v>618</v>
      </c>
    </row>
    <row r="688" spans="1:5" x14ac:dyDescent="0.25">
      <c r="A688" s="279"/>
      <c r="B688" t="s">
        <v>778</v>
      </c>
      <c r="C688" s="279">
        <v>40983</v>
      </c>
      <c r="D688" t="s">
        <v>570</v>
      </c>
      <c r="E688" t="s">
        <v>733</v>
      </c>
    </row>
    <row r="689" spans="1:5" x14ac:dyDescent="0.25">
      <c r="A689" s="279"/>
      <c r="B689" t="s">
        <v>761</v>
      </c>
      <c r="C689" s="279">
        <v>40981</v>
      </c>
      <c r="D689" t="s">
        <v>570</v>
      </c>
      <c r="E689" t="s">
        <v>569</v>
      </c>
    </row>
    <row r="690" spans="1:5" x14ac:dyDescent="0.25">
      <c r="A690" s="279"/>
      <c r="B690" t="s">
        <v>779</v>
      </c>
      <c r="C690" s="279">
        <v>40981</v>
      </c>
      <c r="D690" t="s">
        <v>641</v>
      </c>
      <c r="E690" t="s">
        <v>780</v>
      </c>
    </row>
    <row r="691" spans="1:5" x14ac:dyDescent="0.25">
      <c r="A691" s="279"/>
      <c r="B691" t="s">
        <v>779</v>
      </c>
      <c r="C691" s="279">
        <v>40981</v>
      </c>
      <c r="D691" t="s">
        <v>575</v>
      </c>
      <c r="E691" t="s">
        <v>780</v>
      </c>
    </row>
    <row r="692" spans="1:5" x14ac:dyDescent="0.25">
      <c r="A692" s="279"/>
      <c r="B692" t="s">
        <v>781</v>
      </c>
      <c r="C692" s="279">
        <v>40981</v>
      </c>
      <c r="D692" t="s">
        <v>641</v>
      </c>
      <c r="E692" t="s">
        <v>618</v>
      </c>
    </row>
    <row r="693" spans="1:5" x14ac:dyDescent="0.25">
      <c r="A693" s="279"/>
      <c r="B693" t="s">
        <v>781</v>
      </c>
      <c r="C693" s="279">
        <v>40981</v>
      </c>
      <c r="D693" t="s">
        <v>642</v>
      </c>
      <c r="E693" t="s">
        <v>618</v>
      </c>
    </row>
    <row r="694" spans="1:5" x14ac:dyDescent="0.25">
      <c r="A694" s="279"/>
      <c r="B694" t="s">
        <v>782</v>
      </c>
      <c r="C694" s="279">
        <v>40974</v>
      </c>
      <c r="D694" t="s">
        <v>582</v>
      </c>
      <c r="E694" t="s">
        <v>673</v>
      </c>
    </row>
    <row r="695" spans="1:5" x14ac:dyDescent="0.25">
      <c r="A695" s="279"/>
      <c r="B695" t="s">
        <v>782</v>
      </c>
      <c r="C695" s="279">
        <v>40974</v>
      </c>
      <c r="D695" t="s">
        <v>575</v>
      </c>
      <c r="E695" t="s">
        <v>673</v>
      </c>
    </row>
    <row r="696" spans="1:5" x14ac:dyDescent="0.25">
      <c r="A696" s="279"/>
      <c r="B696" t="s">
        <v>725</v>
      </c>
      <c r="C696" s="279">
        <v>40974</v>
      </c>
      <c r="D696" t="s">
        <v>570</v>
      </c>
      <c r="E696" t="s">
        <v>726</v>
      </c>
    </row>
    <row r="697" spans="1:5" x14ac:dyDescent="0.25">
      <c r="A697" s="279"/>
      <c r="B697" t="s">
        <v>476</v>
      </c>
      <c r="C697" s="279">
        <v>40974</v>
      </c>
      <c r="D697" t="s">
        <v>641</v>
      </c>
      <c r="E697" t="s">
        <v>552</v>
      </c>
    </row>
    <row r="698" spans="1:5" x14ac:dyDescent="0.25">
      <c r="A698" s="279"/>
      <c r="B698" t="s">
        <v>476</v>
      </c>
      <c r="C698" s="279">
        <v>40974</v>
      </c>
      <c r="D698" t="s">
        <v>575</v>
      </c>
      <c r="E698" t="s">
        <v>552</v>
      </c>
    </row>
    <row r="699" spans="1:5" x14ac:dyDescent="0.25">
      <c r="A699" s="279"/>
      <c r="B699" t="s">
        <v>476</v>
      </c>
      <c r="C699" s="279">
        <v>40974</v>
      </c>
      <c r="D699" t="s">
        <v>642</v>
      </c>
      <c r="E699" t="s">
        <v>552</v>
      </c>
    </row>
    <row r="700" spans="1:5" x14ac:dyDescent="0.25">
      <c r="A700" s="279"/>
      <c r="B700" t="s">
        <v>723</v>
      </c>
      <c r="C700" s="279">
        <v>40968</v>
      </c>
      <c r="D700" t="s">
        <v>570</v>
      </c>
      <c r="E700" t="s">
        <v>663</v>
      </c>
    </row>
    <row r="701" spans="1:5" x14ac:dyDescent="0.25">
      <c r="A701" s="279"/>
      <c r="B701" t="s">
        <v>783</v>
      </c>
      <c r="C701" s="279">
        <v>40968</v>
      </c>
      <c r="D701" t="s">
        <v>582</v>
      </c>
      <c r="E701" t="s">
        <v>784</v>
      </c>
    </row>
    <row r="702" spans="1:5" x14ac:dyDescent="0.25">
      <c r="A702" s="279"/>
      <c r="B702" t="s">
        <v>783</v>
      </c>
      <c r="C702" s="279">
        <v>40968</v>
      </c>
      <c r="D702" t="s">
        <v>575</v>
      </c>
      <c r="E702" t="s">
        <v>784</v>
      </c>
    </row>
    <row r="703" spans="1:5" x14ac:dyDescent="0.25">
      <c r="A703" s="279"/>
      <c r="B703" t="s">
        <v>785</v>
      </c>
      <c r="C703" s="279">
        <v>40967</v>
      </c>
      <c r="D703" t="s">
        <v>641</v>
      </c>
      <c r="E703" t="s">
        <v>618</v>
      </c>
    </row>
    <row r="704" spans="1:5" x14ac:dyDescent="0.25">
      <c r="A704" s="279"/>
      <c r="B704" t="s">
        <v>785</v>
      </c>
      <c r="C704" s="279">
        <v>40967</v>
      </c>
      <c r="D704" t="s">
        <v>642</v>
      </c>
      <c r="E704" t="s">
        <v>618</v>
      </c>
    </row>
    <row r="705" spans="1:5" x14ac:dyDescent="0.25">
      <c r="A705" s="279"/>
      <c r="B705" t="s">
        <v>746</v>
      </c>
      <c r="C705" s="279">
        <v>40961</v>
      </c>
      <c r="D705" t="s">
        <v>685</v>
      </c>
      <c r="E705" t="s">
        <v>569</v>
      </c>
    </row>
    <row r="706" spans="1:5" x14ac:dyDescent="0.25">
      <c r="A706" s="279"/>
      <c r="B706" t="s">
        <v>786</v>
      </c>
      <c r="C706" s="279">
        <v>40960</v>
      </c>
      <c r="D706" t="s">
        <v>641</v>
      </c>
      <c r="E706" t="s">
        <v>787</v>
      </c>
    </row>
    <row r="707" spans="1:5" x14ac:dyDescent="0.25">
      <c r="A707" s="279"/>
      <c r="B707" t="s">
        <v>786</v>
      </c>
      <c r="C707" s="279">
        <v>40960</v>
      </c>
      <c r="D707" t="s">
        <v>575</v>
      </c>
      <c r="E707" t="s">
        <v>787</v>
      </c>
    </row>
    <row r="708" spans="1:5" x14ac:dyDescent="0.25">
      <c r="A708" s="279"/>
      <c r="B708" t="s">
        <v>786</v>
      </c>
      <c r="C708" s="279">
        <v>40960</v>
      </c>
      <c r="D708" t="s">
        <v>642</v>
      </c>
      <c r="E708" t="s">
        <v>787</v>
      </c>
    </row>
    <row r="709" spans="1:5" x14ac:dyDescent="0.25">
      <c r="A709" s="279"/>
      <c r="B709" t="s">
        <v>779</v>
      </c>
      <c r="C709" s="279">
        <v>40954</v>
      </c>
      <c r="D709" t="s">
        <v>642</v>
      </c>
      <c r="E709" t="s">
        <v>780</v>
      </c>
    </row>
    <row r="710" spans="1:5" x14ac:dyDescent="0.25">
      <c r="A710" s="279"/>
      <c r="B710" t="s">
        <v>709</v>
      </c>
      <c r="C710" s="279">
        <v>40954</v>
      </c>
      <c r="D710" t="s">
        <v>568</v>
      </c>
      <c r="E710" t="s">
        <v>710</v>
      </c>
    </row>
    <row r="711" spans="1:5" x14ac:dyDescent="0.25">
      <c r="A711" s="279"/>
      <c r="B711" t="s">
        <v>788</v>
      </c>
      <c r="C711" s="279">
        <v>40949</v>
      </c>
      <c r="D711" t="s">
        <v>641</v>
      </c>
      <c r="E711" t="s">
        <v>618</v>
      </c>
    </row>
    <row r="712" spans="1:5" x14ac:dyDescent="0.25">
      <c r="A712" s="279"/>
      <c r="B712" t="s">
        <v>788</v>
      </c>
      <c r="C712" s="279">
        <v>40949</v>
      </c>
      <c r="D712" t="s">
        <v>642</v>
      </c>
      <c r="E712" t="s">
        <v>618</v>
      </c>
    </row>
    <row r="713" spans="1:5" x14ac:dyDescent="0.25">
      <c r="A713" s="279"/>
      <c r="B713" t="s">
        <v>747</v>
      </c>
      <c r="C713" s="279">
        <v>40947</v>
      </c>
      <c r="D713" t="s">
        <v>642</v>
      </c>
      <c r="E713" t="s">
        <v>731</v>
      </c>
    </row>
    <row r="714" spans="1:5" x14ac:dyDescent="0.25">
      <c r="A714" s="279"/>
      <c r="B714" t="s">
        <v>747</v>
      </c>
      <c r="C714" s="279">
        <v>40946</v>
      </c>
      <c r="D714" t="s">
        <v>641</v>
      </c>
      <c r="E714" t="s">
        <v>731</v>
      </c>
    </row>
    <row r="715" spans="1:5" x14ac:dyDescent="0.25">
      <c r="A715" s="279"/>
      <c r="B715" t="s">
        <v>747</v>
      </c>
      <c r="C715" s="279">
        <v>40946</v>
      </c>
      <c r="D715" t="s">
        <v>575</v>
      </c>
      <c r="E715" t="s">
        <v>731</v>
      </c>
    </row>
    <row r="716" spans="1:5" x14ac:dyDescent="0.25">
      <c r="A716" s="279"/>
      <c r="B716" t="s">
        <v>789</v>
      </c>
      <c r="C716" s="279">
        <v>40946</v>
      </c>
      <c r="D716" t="s">
        <v>641</v>
      </c>
      <c r="E716" t="s">
        <v>790</v>
      </c>
    </row>
    <row r="717" spans="1:5" x14ac:dyDescent="0.25">
      <c r="A717" s="279"/>
      <c r="B717" t="s">
        <v>789</v>
      </c>
      <c r="C717" s="279">
        <v>40946</v>
      </c>
      <c r="D717" t="s">
        <v>575</v>
      </c>
      <c r="E717" t="s">
        <v>790</v>
      </c>
    </row>
    <row r="718" spans="1:5" x14ac:dyDescent="0.25">
      <c r="A718" s="279"/>
      <c r="B718" t="s">
        <v>789</v>
      </c>
      <c r="C718" s="279">
        <v>40946</v>
      </c>
      <c r="D718" t="s">
        <v>642</v>
      </c>
      <c r="E718" t="s">
        <v>790</v>
      </c>
    </row>
    <row r="719" spans="1:5" x14ac:dyDescent="0.25">
      <c r="A719" s="279"/>
      <c r="B719" t="s">
        <v>791</v>
      </c>
      <c r="C719" s="279">
        <v>40912</v>
      </c>
      <c r="D719" t="s">
        <v>792</v>
      </c>
      <c r="E719" t="s">
        <v>590</v>
      </c>
    </row>
    <row r="720" spans="1:5" x14ac:dyDescent="0.25">
      <c r="A720" s="279"/>
      <c r="B720" t="s">
        <v>791</v>
      </c>
      <c r="C720" s="279">
        <v>40912</v>
      </c>
      <c r="D720" t="s">
        <v>762</v>
      </c>
      <c r="E720" t="s">
        <v>590</v>
      </c>
    </row>
    <row r="721" spans="1:5" x14ac:dyDescent="0.25">
      <c r="A721" s="279"/>
      <c r="B721" t="s">
        <v>793</v>
      </c>
      <c r="C721" s="279">
        <v>40899</v>
      </c>
      <c r="D721" t="s">
        <v>568</v>
      </c>
      <c r="E721" t="s">
        <v>794</v>
      </c>
    </row>
    <row r="722" spans="1:5" x14ac:dyDescent="0.25">
      <c r="A722" s="279"/>
      <c r="B722" t="s">
        <v>732</v>
      </c>
      <c r="C722" s="279">
        <v>40899</v>
      </c>
      <c r="D722" t="s">
        <v>568</v>
      </c>
      <c r="E722" t="s">
        <v>733</v>
      </c>
    </row>
    <row r="723" spans="1:5" x14ac:dyDescent="0.25">
      <c r="A723" s="279"/>
      <c r="B723" t="s">
        <v>795</v>
      </c>
      <c r="C723" s="279">
        <v>40897</v>
      </c>
      <c r="D723" t="s">
        <v>575</v>
      </c>
      <c r="E723" t="s">
        <v>796</v>
      </c>
    </row>
    <row r="724" spans="1:5" x14ac:dyDescent="0.25">
      <c r="A724" s="279"/>
      <c r="B724" t="s">
        <v>598</v>
      </c>
      <c r="C724" s="279">
        <v>40893</v>
      </c>
      <c r="D724" t="s">
        <v>568</v>
      </c>
      <c r="E724" t="s">
        <v>726</v>
      </c>
    </row>
    <row r="725" spans="1:5" x14ac:dyDescent="0.25">
      <c r="A725" s="279"/>
      <c r="B725" t="s">
        <v>734</v>
      </c>
      <c r="C725" s="279">
        <v>40893</v>
      </c>
      <c r="D725" t="s">
        <v>570</v>
      </c>
      <c r="E725" t="s">
        <v>569</v>
      </c>
    </row>
    <row r="726" spans="1:5" x14ac:dyDescent="0.25">
      <c r="A726" s="279"/>
      <c r="B726" t="s">
        <v>797</v>
      </c>
      <c r="C726" s="279">
        <v>40892</v>
      </c>
      <c r="D726" t="s">
        <v>570</v>
      </c>
      <c r="E726" t="s">
        <v>798</v>
      </c>
    </row>
    <row r="727" spans="1:5" x14ac:dyDescent="0.25">
      <c r="A727" s="279"/>
      <c r="B727" t="s">
        <v>709</v>
      </c>
      <c r="C727" s="279">
        <v>40892</v>
      </c>
      <c r="D727" t="s">
        <v>570</v>
      </c>
      <c r="E727" t="s">
        <v>710</v>
      </c>
    </row>
    <row r="728" spans="1:5" x14ac:dyDescent="0.25">
      <c r="A728" s="279"/>
      <c r="B728" t="s">
        <v>746</v>
      </c>
      <c r="C728" s="279">
        <v>40891</v>
      </c>
      <c r="D728" t="s">
        <v>568</v>
      </c>
      <c r="E728" t="s">
        <v>569</v>
      </c>
    </row>
    <row r="729" spans="1:5" x14ac:dyDescent="0.25">
      <c r="A729" s="279"/>
      <c r="B729" t="s">
        <v>739</v>
      </c>
      <c r="C729" s="279">
        <v>40891</v>
      </c>
      <c r="D729" t="s">
        <v>582</v>
      </c>
      <c r="E729" t="s">
        <v>618</v>
      </c>
    </row>
    <row r="730" spans="1:5" x14ac:dyDescent="0.25">
      <c r="A730" s="279"/>
      <c r="B730" t="s">
        <v>799</v>
      </c>
      <c r="C730" s="279">
        <v>40885</v>
      </c>
      <c r="D730" t="s">
        <v>570</v>
      </c>
      <c r="E730" t="s">
        <v>800</v>
      </c>
    </row>
    <row r="731" spans="1:5" x14ac:dyDescent="0.25">
      <c r="A731" s="279"/>
      <c r="B731" t="s">
        <v>739</v>
      </c>
      <c r="C731" s="279">
        <v>40864</v>
      </c>
      <c r="D731" t="s">
        <v>642</v>
      </c>
      <c r="E731" t="s">
        <v>618</v>
      </c>
    </row>
    <row r="732" spans="1:5" x14ac:dyDescent="0.25">
      <c r="A732" s="279"/>
      <c r="B732" t="s">
        <v>801</v>
      </c>
      <c r="C732" s="279">
        <v>40862</v>
      </c>
      <c r="D732" t="s">
        <v>684</v>
      </c>
      <c r="E732" t="s">
        <v>802</v>
      </c>
    </row>
    <row r="733" spans="1:5" x14ac:dyDescent="0.25">
      <c r="A733" s="279"/>
      <c r="B733" t="s">
        <v>801</v>
      </c>
      <c r="C733" s="279">
        <v>40862</v>
      </c>
      <c r="D733" t="s">
        <v>641</v>
      </c>
      <c r="E733" t="s">
        <v>803</v>
      </c>
    </row>
    <row r="734" spans="1:5" x14ac:dyDescent="0.25">
      <c r="A734" s="279"/>
      <c r="B734" t="s">
        <v>801</v>
      </c>
      <c r="C734" s="279">
        <v>40862</v>
      </c>
      <c r="D734" t="s">
        <v>686</v>
      </c>
      <c r="E734" t="s">
        <v>802</v>
      </c>
    </row>
    <row r="735" spans="1:5" x14ac:dyDescent="0.25">
      <c r="A735" s="279"/>
      <c r="B735" t="s">
        <v>801</v>
      </c>
      <c r="C735" s="279">
        <v>40862</v>
      </c>
      <c r="D735" t="s">
        <v>575</v>
      </c>
      <c r="E735" t="s">
        <v>803</v>
      </c>
    </row>
    <row r="736" spans="1:5" x14ac:dyDescent="0.25">
      <c r="A736" s="279"/>
      <c r="B736" t="s">
        <v>801</v>
      </c>
      <c r="C736" s="279">
        <v>40862</v>
      </c>
      <c r="D736" t="s">
        <v>804</v>
      </c>
      <c r="E736" t="s">
        <v>803</v>
      </c>
    </row>
    <row r="737" spans="1:5" x14ac:dyDescent="0.25">
      <c r="A737" s="279"/>
      <c r="B737" t="s">
        <v>801</v>
      </c>
      <c r="C737" s="279">
        <v>40862</v>
      </c>
      <c r="D737" t="s">
        <v>642</v>
      </c>
      <c r="E737" t="s">
        <v>803</v>
      </c>
    </row>
    <row r="738" spans="1:5" x14ac:dyDescent="0.25">
      <c r="A738" s="279"/>
      <c r="B738" t="s">
        <v>805</v>
      </c>
      <c r="C738" s="279">
        <v>40859</v>
      </c>
      <c r="D738" t="s">
        <v>568</v>
      </c>
      <c r="E738" t="s">
        <v>663</v>
      </c>
    </row>
    <row r="739" spans="1:5" x14ac:dyDescent="0.25">
      <c r="A739" s="279"/>
      <c r="B739" t="s">
        <v>806</v>
      </c>
      <c r="C739" s="279">
        <v>40850</v>
      </c>
      <c r="D739" t="s">
        <v>570</v>
      </c>
      <c r="E739" t="s">
        <v>644</v>
      </c>
    </row>
    <row r="740" spans="1:5" x14ac:dyDescent="0.25">
      <c r="A740" s="279"/>
      <c r="B740" t="s">
        <v>807</v>
      </c>
      <c r="C740" s="279">
        <v>40848</v>
      </c>
      <c r="D740" t="s">
        <v>641</v>
      </c>
      <c r="E740" t="s">
        <v>808</v>
      </c>
    </row>
    <row r="741" spans="1:5" x14ac:dyDescent="0.25">
      <c r="A741" s="279"/>
      <c r="B741" t="s">
        <v>807</v>
      </c>
      <c r="C741" s="279">
        <v>40848</v>
      </c>
      <c r="D741" t="s">
        <v>686</v>
      </c>
      <c r="E741" t="s">
        <v>809</v>
      </c>
    </row>
    <row r="742" spans="1:5" x14ac:dyDescent="0.25">
      <c r="A742" s="279"/>
      <c r="B742" t="s">
        <v>807</v>
      </c>
      <c r="C742" s="279">
        <v>40848</v>
      </c>
      <c r="D742" t="s">
        <v>642</v>
      </c>
      <c r="E742" t="s">
        <v>808</v>
      </c>
    </row>
    <row r="743" spans="1:5" x14ac:dyDescent="0.25">
      <c r="A743" s="279"/>
      <c r="B743" t="s">
        <v>598</v>
      </c>
      <c r="C743" s="279">
        <v>40848</v>
      </c>
      <c r="D743" t="s">
        <v>810</v>
      </c>
      <c r="E743" t="s">
        <v>726</v>
      </c>
    </row>
    <row r="744" spans="1:5" x14ac:dyDescent="0.25">
      <c r="A744" s="279"/>
      <c r="B744" t="s">
        <v>463</v>
      </c>
      <c r="C744" s="279">
        <v>40841</v>
      </c>
      <c r="D744" t="s">
        <v>641</v>
      </c>
      <c r="E744" t="s">
        <v>603</v>
      </c>
    </row>
    <row r="745" spans="1:5" x14ac:dyDescent="0.25">
      <c r="A745" s="279"/>
      <c r="B745" t="s">
        <v>463</v>
      </c>
      <c r="C745" s="279">
        <v>40841</v>
      </c>
      <c r="D745" t="s">
        <v>575</v>
      </c>
      <c r="E745" t="s">
        <v>603</v>
      </c>
    </row>
    <row r="746" spans="1:5" x14ac:dyDescent="0.25">
      <c r="A746" s="279"/>
      <c r="B746" t="s">
        <v>463</v>
      </c>
      <c r="C746" s="279">
        <v>40841</v>
      </c>
      <c r="D746" t="s">
        <v>642</v>
      </c>
      <c r="E746" t="s">
        <v>603</v>
      </c>
    </row>
    <row r="747" spans="1:5" x14ac:dyDescent="0.25">
      <c r="A747" s="279"/>
      <c r="B747" t="s">
        <v>811</v>
      </c>
      <c r="C747" s="279">
        <v>40837</v>
      </c>
      <c r="D747" t="s">
        <v>575</v>
      </c>
      <c r="E747" t="s">
        <v>702</v>
      </c>
    </row>
    <row r="748" spans="1:5" x14ac:dyDescent="0.25">
      <c r="A748" s="279"/>
      <c r="B748" t="s">
        <v>812</v>
      </c>
      <c r="C748" s="279">
        <v>40834</v>
      </c>
      <c r="D748" t="s">
        <v>684</v>
      </c>
      <c r="E748" t="s">
        <v>673</v>
      </c>
    </row>
    <row r="749" spans="1:5" x14ac:dyDescent="0.25">
      <c r="A749" s="279"/>
      <c r="B749" t="s">
        <v>812</v>
      </c>
      <c r="C749" s="279">
        <v>40834</v>
      </c>
      <c r="D749" t="s">
        <v>582</v>
      </c>
      <c r="E749" t="s">
        <v>583</v>
      </c>
    </row>
    <row r="750" spans="1:5" x14ac:dyDescent="0.25">
      <c r="A750" s="279"/>
      <c r="B750" t="s">
        <v>812</v>
      </c>
      <c r="C750" s="279">
        <v>40834</v>
      </c>
      <c r="D750" t="s">
        <v>641</v>
      </c>
      <c r="E750" t="s">
        <v>813</v>
      </c>
    </row>
    <row r="751" spans="1:5" x14ac:dyDescent="0.25">
      <c r="A751" s="279"/>
      <c r="B751" t="s">
        <v>812</v>
      </c>
      <c r="C751" s="279">
        <v>40834</v>
      </c>
      <c r="D751" t="s">
        <v>575</v>
      </c>
      <c r="E751" t="s">
        <v>583</v>
      </c>
    </row>
    <row r="752" spans="1:5" x14ac:dyDescent="0.25">
      <c r="A752" s="279"/>
      <c r="B752" t="s">
        <v>812</v>
      </c>
      <c r="C752" s="279">
        <v>40834</v>
      </c>
      <c r="D752" t="s">
        <v>642</v>
      </c>
      <c r="E752" t="s">
        <v>813</v>
      </c>
    </row>
    <row r="753" spans="1:5" x14ac:dyDescent="0.25">
      <c r="A753" s="279"/>
      <c r="B753" t="s">
        <v>814</v>
      </c>
      <c r="C753" s="279">
        <v>40826</v>
      </c>
      <c r="D753" t="s">
        <v>715</v>
      </c>
      <c r="E753" t="s">
        <v>566</v>
      </c>
    </row>
    <row r="754" spans="1:5" x14ac:dyDescent="0.25">
      <c r="A754" s="279"/>
      <c r="B754" t="s">
        <v>815</v>
      </c>
      <c r="C754" s="279">
        <v>40821</v>
      </c>
      <c r="D754" t="s">
        <v>642</v>
      </c>
      <c r="E754" t="s">
        <v>618</v>
      </c>
    </row>
    <row r="755" spans="1:5" x14ac:dyDescent="0.25">
      <c r="A755" s="279"/>
      <c r="B755" t="s">
        <v>815</v>
      </c>
      <c r="C755" s="279">
        <v>40820</v>
      </c>
      <c r="D755" t="s">
        <v>641</v>
      </c>
      <c r="E755" t="s">
        <v>618</v>
      </c>
    </row>
    <row r="756" spans="1:5" x14ac:dyDescent="0.25">
      <c r="A756" s="279"/>
      <c r="B756" t="s">
        <v>816</v>
      </c>
      <c r="C756" s="279">
        <v>40820</v>
      </c>
      <c r="D756" t="s">
        <v>641</v>
      </c>
      <c r="E756" t="s">
        <v>744</v>
      </c>
    </row>
    <row r="757" spans="1:5" x14ac:dyDescent="0.25">
      <c r="A757" s="279"/>
      <c r="B757" t="s">
        <v>816</v>
      </c>
      <c r="C757" s="279">
        <v>40820</v>
      </c>
      <c r="D757" t="s">
        <v>642</v>
      </c>
      <c r="E757" t="s">
        <v>744</v>
      </c>
    </row>
    <row r="758" spans="1:5" x14ac:dyDescent="0.25">
      <c r="A758" s="279"/>
      <c r="B758" t="s">
        <v>817</v>
      </c>
      <c r="C758" s="279">
        <v>40817</v>
      </c>
      <c r="D758" t="s">
        <v>755</v>
      </c>
      <c r="E758" t="s">
        <v>644</v>
      </c>
    </row>
    <row r="759" spans="1:5" x14ac:dyDescent="0.25">
      <c r="A759" s="279"/>
      <c r="B759" t="s">
        <v>818</v>
      </c>
      <c r="C759" s="279">
        <v>40813</v>
      </c>
      <c r="D759" t="s">
        <v>568</v>
      </c>
      <c r="E759" t="s">
        <v>618</v>
      </c>
    </row>
    <row r="760" spans="1:5" x14ac:dyDescent="0.25">
      <c r="A760" s="279"/>
      <c r="B760" t="s">
        <v>818</v>
      </c>
      <c r="C760" s="279">
        <v>40813</v>
      </c>
      <c r="D760" t="s">
        <v>570</v>
      </c>
      <c r="E760" t="s">
        <v>618</v>
      </c>
    </row>
    <row r="761" spans="1:5" x14ac:dyDescent="0.25">
      <c r="A761" s="279"/>
      <c r="B761" t="s">
        <v>818</v>
      </c>
      <c r="C761" s="279">
        <v>40813</v>
      </c>
      <c r="D761" t="s">
        <v>582</v>
      </c>
      <c r="E761" t="s">
        <v>618</v>
      </c>
    </row>
    <row r="762" spans="1:5" x14ac:dyDescent="0.25">
      <c r="A762" s="279"/>
      <c r="B762" t="s">
        <v>818</v>
      </c>
      <c r="C762" s="279">
        <v>40813</v>
      </c>
      <c r="D762" t="s">
        <v>819</v>
      </c>
      <c r="E762" t="s">
        <v>618</v>
      </c>
    </row>
    <row r="763" spans="1:5" x14ac:dyDescent="0.25">
      <c r="A763" s="279"/>
      <c r="B763" t="s">
        <v>818</v>
      </c>
      <c r="C763" s="279">
        <v>40813</v>
      </c>
      <c r="D763" t="s">
        <v>706</v>
      </c>
      <c r="E763" t="s">
        <v>618</v>
      </c>
    </row>
    <row r="764" spans="1:5" x14ac:dyDescent="0.25">
      <c r="A764" s="279"/>
      <c r="B764" t="s">
        <v>818</v>
      </c>
      <c r="C764" s="279">
        <v>40813</v>
      </c>
      <c r="D764" t="s">
        <v>641</v>
      </c>
      <c r="E764" t="s">
        <v>618</v>
      </c>
    </row>
    <row r="765" spans="1:5" x14ac:dyDescent="0.25">
      <c r="A765" s="279"/>
      <c r="B765" t="s">
        <v>818</v>
      </c>
      <c r="C765" s="279">
        <v>40813</v>
      </c>
      <c r="D765" t="s">
        <v>707</v>
      </c>
      <c r="E765" t="s">
        <v>618</v>
      </c>
    </row>
    <row r="766" spans="1:5" x14ac:dyDescent="0.25">
      <c r="A766" s="279"/>
      <c r="B766" t="s">
        <v>818</v>
      </c>
      <c r="C766" s="279">
        <v>40813</v>
      </c>
      <c r="D766" t="s">
        <v>685</v>
      </c>
      <c r="E766" t="s">
        <v>618</v>
      </c>
    </row>
    <row r="767" spans="1:5" x14ac:dyDescent="0.25">
      <c r="A767" s="279"/>
      <c r="B767" t="s">
        <v>818</v>
      </c>
      <c r="C767" s="279">
        <v>40813</v>
      </c>
      <c r="D767" t="s">
        <v>820</v>
      </c>
      <c r="E767" t="s">
        <v>618</v>
      </c>
    </row>
    <row r="768" spans="1:5" x14ac:dyDescent="0.25">
      <c r="A768" s="279"/>
      <c r="B768" t="s">
        <v>818</v>
      </c>
      <c r="C768" s="279">
        <v>40813</v>
      </c>
      <c r="D768" t="s">
        <v>686</v>
      </c>
      <c r="E768" t="s">
        <v>618</v>
      </c>
    </row>
    <row r="769" spans="1:5" x14ac:dyDescent="0.25">
      <c r="A769" s="279"/>
      <c r="B769" t="s">
        <v>818</v>
      </c>
      <c r="C769" s="279">
        <v>40813</v>
      </c>
      <c r="D769" t="s">
        <v>575</v>
      </c>
      <c r="E769" t="s">
        <v>618</v>
      </c>
    </row>
    <row r="770" spans="1:5" x14ac:dyDescent="0.25">
      <c r="A770" s="279"/>
      <c r="B770" t="s">
        <v>818</v>
      </c>
      <c r="C770" s="279">
        <v>40813</v>
      </c>
      <c r="D770" t="s">
        <v>642</v>
      </c>
      <c r="E770" t="s">
        <v>618</v>
      </c>
    </row>
    <row r="771" spans="1:5" x14ac:dyDescent="0.25">
      <c r="A771" s="279"/>
      <c r="B771" t="s">
        <v>738</v>
      </c>
      <c r="C771" s="279">
        <v>40808</v>
      </c>
      <c r="D771" t="s">
        <v>570</v>
      </c>
      <c r="E771" t="s">
        <v>821</v>
      </c>
    </row>
    <row r="772" spans="1:5" x14ac:dyDescent="0.25">
      <c r="A772" s="279"/>
      <c r="B772" t="s">
        <v>738</v>
      </c>
      <c r="C772" s="279">
        <v>40808</v>
      </c>
      <c r="D772" t="s">
        <v>582</v>
      </c>
      <c r="E772" t="s">
        <v>583</v>
      </c>
    </row>
    <row r="773" spans="1:5" x14ac:dyDescent="0.25">
      <c r="A773" s="279"/>
      <c r="B773" t="s">
        <v>738</v>
      </c>
      <c r="C773" s="279">
        <v>40808</v>
      </c>
      <c r="D773" t="s">
        <v>575</v>
      </c>
      <c r="E773" t="s">
        <v>583</v>
      </c>
    </row>
    <row r="774" spans="1:5" x14ac:dyDescent="0.25">
      <c r="A774" s="279"/>
      <c r="B774" t="s">
        <v>822</v>
      </c>
      <c r="C774" s="279">
        <v>40808</v>
      </c>
      <c r="D774" t="s">
        <v>641</v>
      </c>
      <c r="E774" t="s">
        <v>823</v>
      </c>
    </row>
    <row r="775" spans="1:5" x14ac:dyDescent="0.25">
      <c r="A775" s="279"/>
      <c r="B775" t="s">
        <v>822</v>
      </c>
      <c r="C775" s="279">
        <v>40808</v>
      </c>
      <c r="D775" t="s">
        <v>642</v>
      </c>
      <c r="E775" t="s">
        <v>823</v>
      </c>
    </row>
    <row r="776" spans="1:5" x14ac:dyDescent="0.25">
      <c r="A776" s="279"/>
      <c r="B776" t="s">
        <v>775</v>
      </c>
      <c r="C776" s="279">
        <v>40806</v>
      </c>
      <c r="D776" t="s">
        <v>792</v>
      </c>
      <c r="E776" t="s">
        <v>601</v>
      </c>
    </row>
    <row r="777" spans="1:5" x14ac:dyDescent="0.25">
      <c r="A777" s="279"/>
      <c r="B777" t="s">
        <v>775</v>
      </c>
      <c r="C777" s="279">
        <v>40806</v>
      </c>
      <c r="D777" t="s">
        <v>762</v>
      </c>
      <c r="E777" t="s">
        <v>601</v>
      </c>
    </row>
    <row r="778" spans="1:5" x14ac:dyDescent="0.25">
      <c r="A778" s="279"/>
      <c r="B778" t="s">
        <v>824</v>
      </c>
      <c r="C778" s="279">
        <v>40795</v>
      </c>
      <c r="D778" t="s">
        <v>641</v>
      </c>
      <c r="E778" t="s">
        <v>618</v>
      </c>
    </row>
    <row r="779" spans="1:5" x14ac:dyDescent="0.25">
      <c r="A779" s="279"/>
      <c r="B779" t="s">
        <v>824</v>
      </c>
      <c r="C779" s="279">
        <v>40795</v>
      </c>
      <c r="D779" t="s">
        <v>642</v>
      </c>
      <c r="E779" t="s">
        <v>618</v>
      </c>
    </row>
    <row r="780" spans="1:5" x14ac:dyDescent="0.25">
      <c r="A780" s="279"/>
      <c r="B780" t="s">
        <v>825</v>
      </c>
      <c r="C780" s="279">
        <v>40792</v>
      </c>
      <c r="D780" t="s">
        <v>582</v>
      </c>
      <c r="E780" t="s">
        <v>590</v>
      </c>
    </row>
    <row r="781" spans="1:5" x14ac:dyDescent="0.25">
      <c r="A781" s="279"/>
      <c r="B781" t="s">
        <v>825</v>
      </c>
      <c r="C781" s="279">
        <v>40792</v>
      </c>
      <c r="D781" t="s">
        <v>575</v>
      </c>
      <c r="E781" t="s">
        <v>590</v>
      </c>
    </row>
    <row r="782" spans="1:5" x14ac:dyDescent="0.25">
      <c r="A782" s="279"/>
      <c r="B782" t="s">
        <v>826</v>
      </c>
      <c r="C782" s="279">
        <v>40787</v>
      </c>
      <c r="D782" t="s">
        <v>568</v>
      </c>
      <c r="E782" t="s">
        <v>827</v>
      </c>
    </row>
    <row r="783" spans="1:5" x14ac:dyDescent="0.25">
      <c r="A783" s="279"/>
      <c r="B783" t="s">
        <v>828</v>
      </c>
      <c r="C783" s="279">
        <v>40785</v>
      </c>
      <c r="D783" t="s">
        <v>582</v>
      </c>
      <c r="E783" t="s">
        <v>583</v>
      </c>
    </row>
    <row r="784" spans="1:5" x14ac:dyDescent="0.25">
      <c r="A784" s="279"/>
      <c r="B784" t="s">
        <v>828</v>
      </c>
      <c r="C784" s="279">
        <v>40785</v>
      </c>
      <c r="D784" t="s">
        <v>575</v>
      </c>
      <c r="E784" t="s">
        <v>583</v>
      </c>
    </row>
    <row r="785" spans="1:5" x14ac:dyDescent="0.25">
      <c r="A785" s="279"/>
      <c r="B785" t="s">
        <v>829</v>
      </c>
      <c r="C785" s="279">
        <v>40785</v>
      </c>
      <c r="D785" t="s">
        <v>568</v>
      </c>
      <c r="E785" t="s">
        <v>590</v>
      </c>
    </row>
    <row r="786" spans="1:5" x14ac:dyDescent="0.25">
      <c r="A786" s="279"/>
      <c r="B786" t="s">
        <v>829</v>
      </c>
      <c r="C786" s="279">
        <v>40785</v>
      </c>
      <c r="D786" t="s">
        <v>830</v>
      </c>
      <c r="E786" t="s">
        <v>590</v>
      </c>
    </row>
    <row r="787" spans="1:5" x14ac:dyDescent="0.25">
      <c r="A787" s="279"/>
      <c r="B787" t="s">
        <v>829</v>
      </c>
      <c r="C787" s="279">
        <v>40785</v>
      </c>
      <c r="D787" t="s">
        <v>570</v>
      </c>
      <c r="E787" t="s">
        <v>590</v>
      </c>
    </row>
    <row r="788" spans="1:5" x14ac:dyDescent="0.25">
      <c r="A788" s="279"/>
      <c r="B788" t="s">
        <v>829</v>
      </c>
      <c r="C788" s="279">
        <v>40785</v>
      </c>
      <c r="D788" t="s">
        <v>706</v>
      </c>
      <c r="E788" t="s">
        <v>590</v>
      </c>
    </row>
    <row r="789" spans="1:5" x14ac:dyDescent="0.25">
      <c r="A789" s="279"/>
      <c r="B789" t="s">
        <v>829</v>
      </c>
      <c r="C789" s="279">
        <v>40785</v>
      </c>
      <c r="D789" t="s">
        <v>641</v>
      </c>
      <c r="E789" t="s">
        <v>590</v>
      </c>
    </row>
    <row r="790" spans="1:5" x14ac:dyDescent="0.25">
      <c r="A790" s="279"/>
      <c r="B790" t="s">
        <v>829</v>
      </c>
      <c r="C790" s="279">
        <v>40785</v>
      </c>
      <c r="D790" t="s">
        <v>707</v>
      </c>
      <c r="E790" t="s">
        <v>590</v>
      </c>
    </row>
    <row r="791" spans="1:5" x14ac:dyDescent="0.25">
      <c r="A791" s="279"/>
      <c r="B791" t="s">
        <v>829</v>
      </c>
      <c r="C791" s="279">
        <v>40785</v>
      </c>
      <c r="D791" t="s">
        <v>686</v>
      </c>
      <c r="E791" t="s">
        <v>590</v>
      </c>
    </row>
    <row r="792" spans="1:5" x14ac:dyDescent="0.25">
      <c r="A792" s="279"/>
      <c r="B792" t="s">
        <v>829</v>
      </c>
      <c r="C792" s="279">
        <v>40785</v>
      </c>
      <c r="D792" t="s">
        <v>642</v>
      </c>
      <c r="E792" t="s">
        <v>590</v>
      </c>
    </row>
    <row r="793" spans="1:5" x14ac:dyDescent="0.25">
      <c r="A793" s="279"/>
      <c r="B793" t="s">
        <v>831</v>
      </c>
      <c r="C793" s="279">
        <v>40780</v>
      </c>
      <c r="D793" t="s">
        <v>568</v>
      </c>
      <c r="E793" t="s">
        <v>733</v>
      </c>
    </row>
    <row r="794" spans="1:5" x14ac:dyDescent="0.25">
      <c r="A794" s="279"/>
      <c r="B794" t="s">
        <v>831</v>
      </c>
      <c r="C794" s="279">
        <v>40780</v>
      </c>
      <c r="D794" t="s">
        <v>570</v>
      </c>
      <c r="E794" t="s">
        <v>733</v>
      </c>
    </row>
    <row r="795" spans="1:5" x14ac:dyDescent="0.25">
      <c r="A795" s="279"/>
      <c r="B795" t="s">
        <v>598</v>
      </c>
      <c r="C795" s="279">
        <v>40773</v>
      </c>
      <c r="D795" t="s">
        <v>832</v>
      </c>
      <c r="E795" t="s">
        <v>726</v>
      </c>
    </row>
    <row r="796" spans="1:5" x14ac:dyDescent="0.25">
      <c r="A796" s="279"/>
      <c r="B796" t="s">
        <v>833</v>
      </c>
      <c r="C796" s="279">
        <v>40771</v>
      </c>
      <c r="D796" t="s">
        <v>792</v>
      </c>
      <c r="E796" t="s">
        <v>834</v>
      </c>
    </row>
    <row r="797" spans="1:5" x14ac:dyDescent="0.25">
      <c r="A797" s="279"/>
      <c r="B797" t="s">
        <v>835</v>
      </c>
      <c r="C797" s="279">
        <v>40764</v>
      </c>
      <c r="D797" t="s">
        <v>755</v>
      </c>
      <c r="E797" t="s">
        <v>769</v>
      </c>
    </row>
    <row r="798" spans="1:5" x14ac:dyDescent="0.25">
      <c r="A798" s="279"/>
      <c r="B798" t="s">
        <v>836</v>
      </c>
      <c r="C798" s="279">
        <v>40759</v>
      </c>
      <c r="D798" t="s">
        <v>570</v>
      </c>
      <c r="E798" t="s">
        <v>837</v>
      </c>
    </row>
    <row r="799" spans="1:5" x14ac:dyDescent="0.25">
      <c r="A799" s="279"/>
      <c r="B799" t="s">
        <v>838</v>
      </c>
      <c r="C799" s="279">
        <v>40746</v>
      </c>
      <c r="D799" t="s">
        <v>570</v>
      </c>
      <c r="E799" t="s">
        <v>769</v>
      </c>
    </row>
    <row r="800" spans="1:5" x14ac:dyDescent="0.25">
      <c r="A800" s="279"/>
      <c r="B800" t="s">
        <v>839</v>
      </c>
      <c r="C800" s="279">
        <v>40736</v>
      </c>
      <c r="D800" t="s">
        <v>570</v>
      </c>
      <c r="E800" t="s">
        <v>590</v>
      </c>
    </row>
    <row r="801" spans="1:5" x14ac:dyDescent="0.25">
      <c r="A801" s="279"/>
      <c r="B801" t="s">
        <v>839</v>
      </c>
      <c r="C801" s="279">
        <v>40736</v>
      </c>
      <c r="D801" t="s">
        <v>641</v>
      </c>
      <c r="E801" t="s">
        <v>590</v>
      </c>
    </row>
    <row r="802" spans="1:5" x14ac:dyDescent="0.25">
      <c r="A802" s="279"/>
      <c r="B802" t="s">
        <v>839</v>
      </c>
      <c r="C802" s="279">
        <v>40736</v>
      </c>
      <c r="D802" t="s">
        <v>642</v>
      </c>
      <c r="E802" t="s">
        <v>590</v>
      </c>
    </row>
    <row r="803" spans="1:5" x14ac:dyDescent="0.25">
      <c r="A803" s="279"/>
      <c r="B803" t="s">
        <v>840</v>
      </c>
      <c r="C803" s="279">
        <v>40736</v>
      </c>
      <c r="D803" t="s">
        <v>819</v>
      </c>
      <c r="E803" t="s">
        <v>808</v>
      </c>
    </row>
    <row r="804" spans="1:5" x14ac:dyDescent="0.25">
      <c r="A804" s="279"/>
      <c r="B804" t="s">
        <v>840</v>
      </c>
      <c r="C804" s="279">
        <v>40736</v>
      </c>
      <c r="D804" t="s">
        <v>641</v>
      </c>
      <c r="E804" t="s">
        <v>808</v>
      </c>
    </row>
    <row r="805" spans="1:5" x14ac:dyDescent="0.25">
      <c r="A805" s="279"/>
      <c r="B805" t="s">
        <v>840</v>
      </c>
      <c r="C805" s="279">
        <v>40736</v>
      </c>
      <c r="D805" t="s">
        <v>686</v>
      </c>
      <c r="E805" t="s">
        <v>808</v>
      </c>
    </row>
    <row r="806" spans="1:5" x14ac:dyDescent="0.25">
      <c r="A806" s="279"/>
      <c r="B806" t="s">
        <v>840</v>
      </c>
      <c r="C806" s="279">
        <v>40736</v>
      </c>
      <c r="D806" t="s">
        <v>575</v>
      </c>
      <c r="E806" t="s">
        <v>808</v>
      </c>
    </row>
    <row r="807" spans="1:5" x14ac:dyDescent="0.25">
      <c r="A807" s="279"/>
      <c r="B807" t="s">
        <v>840</v>
      </c>
      <c r="C807" s="279">
        <v>40736</v>
      </c>
      <c r="D807" t="s">
        <v>642</v>
      </c>
      <c r="E807" t="s">
        <v>808</v>
      </c>
    </row>
    <row r="808" spans="1:5" x14ac:dyDescent="0.25">
      <c r="A808" s="279"/>
      <c r="B808" t="s">
        <v>746</v>
      </c>
      <c r="C808" s="279">
        <v>40716</v>
      </c>
      <c r="D808" t="s">
        <v>687</v>
      </c>
      <c r="E808" t="s">
        <v>569</v>
      </c>
    </row>
    <row r="809" spans="1:5" x14ac:dyDescent="0.25">
      <c r="A809" s="279"/>
      <c r="B809" t="s">
        <v>841</v>
      </c>
      <c r="C809" s="279">
        <v>40708</v>
      </c>
      <c r="D809" t="s">
        <v>641</v>
      </c>
      <c r="E809" t="s">
        <v>842</v>
      </c>
    </row>
    <row r="810" spans="1:5" x14ac:dyDescent="0.25">
      <c r="A810" s="279"/>
      <c r="B810" t="s">
        <v>841</v>
      </c>
      <c r="C810" s="279">
        <v>40708</v>
      </c>
      <c r="D810" t="s">
        <v>642</v>
      </c>
      <c r="E810" t="s">
        <v>842</v>
      </c>
    </row>
    <row r="811" spans="1:5" x14ac:dyDescent="0.25">
      <c r="A811" s="279"/>
      <c r="B811" t="s">
        <v>654</v>
      </c>
      <c r="C811" s="279">
        <v>40708</v>
      </c>
      <c r="D811" t="s">
        <v>570</v>
      </c>
      <c r="E811" t="s">
        <v>655</v>
      </c>
    </row>
    <row r="812" spans="1:5" x14ac:dyDescent="0.25">
      <c r="A812" s="279"/>
      <c r="B812" t="s">
        <v>654</v>
      </c>
      <c r="C812" s="279">
        <v>40708</v>
      </c>
      <c r="D812" t="s">
        <v>641</v>
      </c>
      <c r="E812" t="s">
        <v>655</v>
      </c>
    </row>
    <row r="813" spans="1:5" x14ac:dyDescent="0.25">
      <c r="A813" s="279"/>
      <c r="B813" t="s">
        <v>654</v>
      </c>
      <c r="C813" s="279">
        <v>40708</v>
      </c>
      <c r="D813" t="s">
        <v>575</v>
      </c>
      <c r="E813" t="s">
        <v>655</v>
      </c>
    </row>
    <row r="814" spans="1:5" x14ac:dyDescent="0.25">
      <c r="A814" s="279"/>
      <c r="B814" t="s">
        <v>654</v>
      </c>
      <c r="C814" s="279">
        <v>40708</v>
      </c>
      <c r="D814" t="s">
        <v>642</v>
      </c>
      <c r="E814" t="s">
        <v>655</v>
      </c>
    </row>
    <row r="815" spans="1:5" x14ac:dyDescent="0.25">
      <c r="A815" s="279"/>
      <c r="B815" t="s">
        <v>843</v>
      </c>
      <c r="C815" s="279">
        <v>40696</v>
      </c>
      <c r="D815" t="s">
        <v>844</v>
      </c>
      <c r="E815" t="s">
        <v>845</v>
      </c>
    </row>
    <row r="816" spans="1:5" x14ac:dyDescent="0.25">
      <c r="A816" s="279"/>
      <c r="B816" t="s">
        <v>846</v>
      </c>
      <c r="C816" s="279">
        <v>40694</v>
      </c>
      <c r="D816" t="s">
        <v>582</v>
      </c>
      <c r="E816" t="s">
        <v>583</v>
      </c>
    </row>
    <row r="817" spans="1:5" x14ac:dyDescent="0.25">
      <c r="A817" s="279"/>
      <c r="B817" t="s">
        <v>846</v>
      </c>
      <c r="C817" s="279">
        <v>40694</v>
      </c>
      <c r="D817" t="s">
        <v>575</v>
      </c>
      <c r="E817" t="s">
        <v>583</v>
      </c>
    </row>
    <row r="818" spans="1:5" x14ac:dyDescent="0.25">
      <c r="A818" s="279"/>
      <c r="B818" t="s">
        <v>847</v>
      </c>
      <c r="C818" s="279">
        <v>40659</v>
      </c>
      <c r="D818" t="s">
        <v>575</v>
      </c>
      <c r="E818" t="s">
        <v>713</v>
      </c>
    </row>
    <row r="819" spans="1:5" x14ac:dyDescent="0.25">
      <c r="A819" s="279"/>
      <c r="B819" t="s">
        <v>825</v>
      </c>
      <c r="C819" s="279">
        <v>40631</v>
      </c>
      <c r="D819" t="s">
        <v>570</v>
      </c>
      <c r="E819" t="s">
        <v>590</v>
      </c>
    </row>
    <row r="820" spans="1:5" x14ac:dyDescent="0.25">
      <c r="A820" s="279"/>
      <c r="B820" t="s">
        <v>825</v>
      </c>
      <c r="C820" s="279">
        <v>40631</v>
      </c>
      <c r="D820" t="s">
        <v>641</v>
      </c>
      <c r="E820" t="s">
        <v>590</v>
      </c>
    </row>
    <row r="821" spans="1:5" x14ac:dyDescent="0.25">
      <c r="A821" s="279"/>
      <c r="B821" t="s">
        <v>825</v>
      </c>
      <c r="C821" s="279">
        <v>40631</v>
      </c>
      <c r="D821" t="s">
        <v>686</v>
      </c>
      <c r="E821" t="s">
        <v>590</v>
      </c>
    </row>
    <row r="822" spans="1:5" x14ac:dyDescent="0.25">
      <c r="A822" s="279"/>
      <c r="B822" t="s">
        <v>825</v>
      </c>
      <c r="C822" s="279">
        <v>40631</v>
      </c>
      <c r="D822" t="s">
        <v>642</v>
      </c>
      <c r="E822" t="s">
        <v>590</v>
      </c>
    </row>
    <row r="823" spans="1:5" x14ac:dyDescent="0.25">
      <c r="A823" s="279"/>
      <c r="B823" t="s">
        <v>836</v>
      </c>
      <c r="C823" s="279">
        <v>40631</v>
      </c>
      <c r="D823" t="s">
        <v>641</v>
      </c>
      <c r="E823" t="s">
        <v>848</v>
      </c>
    </row>
    <row r="824" spans="1:5" x14ac:dyDescent="0.25">
      <c r="A824" s="279"/>
      <c r="B824" t="s">
        <v>836</v>
      </c>
      <c r="C824" s="279">
        <v>40631</v>
      </c>
      <c r="D824" t="s">
        <v>575</v>
      </c>
      <c r="E824" t="s">
        <v>848</v>
      </c>
    </row>
    <row r="825" spans="1:5" x14ac:dyDescent="0.25">
      <c r="A825" s="279"/>
      <c r="B825" t="s">
        <v>836</v>
      </c>
      <c r="C825" s="279">
        <v>40631</v>
      </c>
      <c r="D825" t="s">
        <v>642</v>
      </c>
      <c r="E825" t="s">
        <v>848</v>
      </c>
    </row>
    <row r="826" spans="1:5" x14ac:dyDescent="0.25">
      <c r="A826" s="279"/>
      <c r="B826" t="s">
        <v>849</v>
      </c>
      <c r="C826" s="279">
        <v>40629</v>
      </c>
      <c r="D826" t="s">
        <v>684</v>
      </c>
      <c r="E826" t="s">
        <v>813</v>
      </c>
    </row>
    <row r="827" spans="1:5" x14ac:dyDescent="0.25">
      <c r="A827" s="279"/>
      <c r="B827" t="s">
        <v>850</v>
      </c>
      <c r="C827" s="279">
        <v>40624</v>
      </c>
      <c r="D827" t="s">
        <v>684</v>
      </c>
      <c r="E827" t="s">
        <v>851</v>
      </c>
    </row>
    <row r="828" spans="1:5" x14ac:dyDescent="0.25">
      <c r="A828" s="279"/>
      <c r="B828" t="s">
        <v>852</v>
      </c>
      <c r="C828" s="279">
        <v>40624</v>
      </c>
      <c r="D828" t="s">
        <v>641</v>
      </c>
      <c r="E828" t="s">
        <v>744</v>
      </c>
    </row>
    <row r="829" spans="1:5" x14ac:dyDescent="0.25">
      <c r="A829" s="279"/>
      <c r="B829" t="s">
        <v>852</v>
      </c>
      <c r="C829" s="279">
        <v>40624</v>
      </c>
      <c r="D829" t="s">
        <v>575</v>
      </c>
      <c r="E829" t="s">
        <v>744</v>
      </c>
    </row>
    <row r="830" spans="1:5" x14ac:dyDescent="0.25">
      <c r="A830" s="279"/>
      <c r="B830" t="s">
        <v>852</v>
      </c>
      <c r="C830" s="279">
        <v>40624</v>
      </c>
      <c r="D830" t="s">
        <v>642</v>
      </c>
      <c r="E830" t="s">
        <v>744</v>
      </c>
    </row>
    <row r="831" spans="1:5" x14ac:dyDescent="0.25">
      <c r="A831" s="279"/>
      <c r="B831" t="s">
        <v>853</v>
      </c>
      <c r="C831" s="279">
        <v>40620</v>
      </c>
      <c r="D831" t="s">
        <v>755</v>
      </c>
      <c r="E831" t="s">
        <v>854</v>
      </c>
    </row>
    <row r="832" spans="1:5" x14ac:dyDescent="0.25">
      <c r="A832" s="279"/>
      <c r="B832" t="s">
        <v>855</v>
      </c>
      <c r="C832" s="279">
        <v>40610</v>
      </c>
      <c r="D832" t="s">
        <v>575</v>
      </c>
      <c r="E832" t="s">
        <v>856</v>
      </c>
    </row>
    <row r="833" spans="1:5" x14ac:dyDescent="0.25">
      <c r="A833" s="279"/>
      <c r="B833" t="s">
        <v>857</v>
      </c>
      <c r="C833" s="279">
        <v>40610</v>
      </c>
      <c r="D833" t="s">
        <v>582</v>
      </c>
      <c r="E833" t="s">
        <v>552</v>
      </c>
    </row>
    <row r="834" spans="1:5" x14ac:dyDescent="0.25">
      <c r="A834" s="279"/>
      <c r="B834" t="s">
        <v>857</v>
      </c>
      <c r="C834" s="279">
        <v>40610</v>
      </c>
      <c r="D834" t="s">
        <v>641</v>
      </c>
      <c r="E834" t="s">
        <v>552</v>
      </c>
    </row>
    <row r="835" spans="1:5" x14ac:dyDescent="0.25">
      <c r="A835" s="279"/>
      <c r="B835" t="s">
        <v>857</v>
      </c>
      <c r="C835" s="279">
        <v>40610</v>
      </c>
      <c r="D835" t="s">
        <v>575</v>
      </c>
      <c r="E835" t="s">
        <v>552</v>
      </c>
    </row>
    <row r="836" spans="1:5" x14ac:dyDescent="0.25">
      <c r="A836" s="279"/>
      <c r="B836" t="s">
        <v>857</v>
      </c>
      <c r="C836" s="279">
        <v>40610</v>
      </c>
      <c r="D836" t="s">
        <v>642</v>
      </c>
      <c r="E836" t="s">
        <v>552</v>
      </c>
    </row>
    <row r="837" spans="1:5" x14ac:dyDescent="0.25">
      <c r="A837" s="279"/>
      <c r="B837" t="s">
        <v>858</v>
      </c>
      <c r="C837" s="279">
        <v>40603</v>
      </c>
      <c r="D837" t="s">
        <v>570</v>
      </c>
      <c r="E837" t="s">
        <v>859</v>
      </c>
    </row>
    <row r="838" spans="1:5" x14ac:dyDescent="0.25">
      <c r="A838" s="279"/>
      <c r="B838" t="s">
        <v>858</v>
      </c>
      <c r="C838" s="279">
        <v>40603</v>
      </c>
      <c r="D838" t="s">
        <v>641</v>
      </c>
      <c r="E838" t="s">
        <v>618</v>
      </c>
    </row>
    <row r="839" spans="1:5" x14ac:dyDescent="0.25">
      <c r="A839" s="279"/>
      <c r="B839" t="s">
        <v>858</v>
      </c>
      <c r="C839" s="279">
        <v>40603</v>
      </c>
      <c r="D839" t="s">
        <v>642</v>
      </c>
      <c r="E839" t="s">
        <v>618</v>
      </c>
    </row>
    <row r="840" spans="1:5" x14ac:dyDescent="0.25">
      <c r="A840" s="279"/>
      <c r="B840" t="s">
        <v>860</v>
      </c>
      <c r="C840" s="279">
        <v>40599</v>
      </c>
      <c r="D840" t="s">
        <v>819</v>
      </c>
      <c r="E840" t="s">
        <v>861</v>
      </c>
    </row>
    <row r="841" spans="1:5" x14ac:dyDescent="0.25">
      <c r="A841" s="279"/>
      <c r="B841" t="s">
        <v>860</v>
      </c>
      <c r="C841" s="279">
        <v>40599</v>
      </c>
      <c r="D841" t="s">
        <v>641</v>
      </c>
      <c r="E841" t="s">
        <v>861</v>
      </c>
    </row>
    <row r="842" spans="1:5" x14ac:dyDescent="0.25">
      <c r="A842" s="279"/>
      <c r="B842" t="s">
        <v>860</v>
      </c>
      <c r="C842" s="279">
        <v>40599</v>
      </c>
      <c r="D842" t="s">
        <v>686</v>
      </c>
      <c r="E842" t="s">
        <v>861</v>
      </c>
    </row>
    <row r="843" spans="1:5" x14ac:dyDescent="0.25">
      <c r="A843" s="279"/>
      <c r="B843" t="s">
        <v>860</v>
      </c>
      <c r="C843" s="279">
        <v>40599</v>
      </c>
      <c r="D843" t="s">
        <v>642</v>
      </c>
      <c r="E843" t="s">
        <v>861</v>
      </c>
    </row>
    <row r="844" spans="1:5" x14ac:dyDescent="0.25">
      <c r="A844" s="279"/>
      <c r="B844" t="s">
        <v>761</v>
      </c>
      <c r="C844" s="279">
        <v>40596</v>
      </c>
      <c r="D844" t="s">
        <v>819</v>
      </c>
      <c r="E844" t="s">
        <v>569</v>
      </c>
    </row>
    <row r="845" spans="1:5" x14ac:dyDescent="0.25">
      <c r="A845" s="279"/>
      <c r="B845" t="s">
        <v>862</v>
      </c>
      <c r="C845" s="279">
        <v>40596</v>
      </c>
      <c r="D845" t="s">
        <v>641</v>
      </c>
      <c r="E845" t="s">
        <v>863</v>
      </c>
    </row>
    <row r="846" spans="1:5" x14ac:dyDescent="0.25">
      <c r="A846" s="279"/>
      <c r="B846" t="s">
        <v>862</v>
      </c>
      <c r="C846" s="279">
        <v>40596</v>
      </c>
      <c r="D846" t="s">
        <v>575</v>
      </c>
      <c r="E846" t="s">
        <v>863</v>
      </c>
    </row>
    <row r="847" spans="1:5" x14ac:dyDescent="0.25">
      <c r="A847" s="279"/>
      <c r="B847" t="s">
        <v>862</v>
      </c>
      <c r="C847" s="279">
        <v>40596</v>
      </c>
      <c r="D847" t="s">
        <v>642</v>
      </c>
      <c r="E847" t="s">
        <v>863</v>
      </c>
    </row>
    <row r="848" spans="1:5" x14ac:dyDescent="0.25">
      <c r="A848" s="279"/>
      <c r="B848" t="s">
        <v>864</v>
      </c>
      <c r="C848" s="279">
        <v>40593</v>
      </c>
      <c r="D848" t="s">
        <v>568</v>
      </c>
      <c r="E848" t="s">
        <v>569</v>
      </c>
    </row>
    <row r="849" spans="1:5" x14ac:dyDescent="0.25">
      <c r="A849" s="279"/>
      <c r="B849" t="s">
        <v>739</v>
      </c>
      <c r="C849" s="279">
        <v>40584</v>
      </c>
      <c r="D849" t="s">
        <v>570</v>
      </c>
      <c r="E849" t="s">
        <v>618</v>
      </c>
    </row>
    <row r="850" spans="1:5" x14ac:dyDescent="0.25">
      <c r="A850" s="279"/>
      <c r="B850" t="s">
        <v>865</v>
      </c>
      <c r="C850" s="279">
        <v>40568</v>
      </c>
      <c r="D850" t="s">
        <v>641</v>
      </c>
      <c r="E850" t="s">
        <v>866</v>
      </c>
    </row>
    <row r="851" spans="1:5" x14ac:dyDescent="0.25">
      <c r="A851" s="279"/>
      <c r="B851" t="s">
        <v>867</v>
      </c>
      <c r="C851" s="279">
        <v>40568</v>
      </c>
      <c r="D851" t="s">
        <v>641</v>
      </c>
      <c r="E851" t="s">
        <v>678</v>
      </c>
    </row>
    <row r="852" spans="1:5" x14ac:dyDescent="0.25">
      <c r="A852" s="279"/>
      <c r="B852" t="s">
        <v>867</v>
      </c>
      <c r="C852" s="279">
        <v>40568</v>
      </c>
      <c r="D852" t="s">
        <v>575</v>
      </c>
      <c r="E852" t="s">
        <v>678</v>
      </c>
    </row>
    <row r="853" spans="1:5" x14ac:dyDescent="0.25">
      <c r="A853" s="279"/>
      <c r="B853" t="s">
        <v>867</v>
      </c>
      <c r="C853" s="279">
        <v>40568</v>
      </c>
      <c r="D853" t="s">
        <v>642</v>
      </c>
      <c r="E853" t="s">
        <v>678</v>
      </c>
    </row>
    <row r="854" spans="1:5" x14ac:dyDescent="0.25">
      <c r="A854" s="279"/>
      <c r="B854" t="s">
        <v>598</v>
      </c>
      <c r="C854" s="279">
        <v>40568</v>
      </c>
      <c r="D854" t="s">
        <v>570</v>
      </c>
      <c r="E854" t="s">
        <v>726</v>
      </c>
    </row>
    <row r="855" spans="1:5" x14ac:dyDescent="0.25">
      <c r="A855" s="279"/>
      <c r="B855" t="s">
        <v>598</v>
      </c>
      <c r="C855" s="279">
        <v>40568</v>
      </c>
      <c r="D855" t="s">
        <v>574</v>
      </c>
    </row>
    <row r="856" spans="1:5" x14ac:dyDescent="0.25">
      <c r="A856" s="279"/>
      <c r="B856" t="s">
        <v>598</v>
      </c>
      <c r="C856" s="279">
        <v>40568</v>
      </c>
      <c r="D856" t="s">
        <v>575</v>
      </c>
    </row>
    <row r="857" spans="1:5" x14ac:dyDescent="0.25">
      <c r="A857" s="279"/>
      <c r="B857" t="s">
        <v>868</v>
      </c>
      <c r="C857" s="279">
        <v>40562</v>
      </c>
      <c r="D857" t="s">
        <v>642</v>
      </c>
      <c r="E857" t="s">
        <v>808</v>
      </c>
    </row>
    <row r="858" spans="1:5" x14ac:dyDescent="0.25">
      <c r="A858" s="279"/>
      <c r="B858" t="s">
        <v>868</v>
      </c>
      <c r="C858" s="279">
        <v>40561</v>
      </c>
      <c r="D858" t="s">
        <v>641</v>
      </c>
      <c r="E858" t="s">
        <v>808</v>
      </c>
    </row>
    <row r="859" spans="1:5" x14ac:dyDescent="0.25">
      <c r="A859" s="279"/>
      <c r="B859" t="s">
        <v>869</v>
      </c>
      <c r="C859" s="279">
        <v>40561</v>
      </c>
      <c r="D859" t="s">
        <v>641</v>
      </c>
      <c r="E859" t="s">
        <v>552</v>
      </c>
    </row>
    <row r="860" spans="1:5" x14ac:dyDescent="0.25">
      <c r="A860" s="279"/>
      <c r="B860" t="s">
        <v>826</v>
      </c>
      <c r="C860" s="279">
        <v>40534</v>
      </c>
      <c r="D860" t="s">
        <v>641</v>
      </c>
      <c r="E860" t="s">
        <v>827</v>
      </c>
    </row>
    <row r="861" spans="1:5" x14ac:dyDescent="0.25">
      <c r="A861" s="279"/>
      <c r="B861" t="s">
        <v>855</v>
      </c>
      <c r="C861" s="279">
        <v>40533</v>
      </c>
      <c r="D861" t="s">
        <v>792</v>
      </c>
      <c r="E861" t="s">
        <v>856</v>
      </c>
    </row>
    <row r="862" spans="1:5" x14ac:dyDescent="0.25">
      <c r="A862" s="279"/>
      <c r="B862" t="s">
        <v>870</v>
      </c>
      <c r="C862" s="279">
        <v>40528</v>
      </c>
      <c r="D862" t="s">
        <v>570</v>
      </c>
      <c r="E862" t="s">
        <v>644</v>
      </c>
    </row>
    <row r="863" spans="1:5" x14ac:dyDescent="0.25">
      <c r="A863" s="279"/>
      <c r="B863" t="s">
        <v>732</v>
      </c>
      <c r="C863" s="279">
        <v>40528</v>
      </c>
      <c r="D863" t="s">
        <v>570</v>
      </c>
      <c r="E863" t="s">
        <v>733</v>
      </c>
    </row>
    <row r="864" spans="1:5" x14ac:dyDescent="0.25">
      <c r="A864" s="279"/>
      <c r="B864" t="s">
        <v>871</v>
      </c>
      <c r="C864" s="279">
        <v>40528</v>
      </c>
      <c r="D864" t="s">
        <v>570</v>
      </c>
      <c r="E864" t="s">
        <v>794</v>
      </c>
    </row>
    <row r="865" spans="1:5" x14ac:dyDescent="0.25">
      <c r="A865" s="279"/>
      <c r="B865" t="s">
        <v>770</v>
      </c>
      <c r="C865" s="279">
        <v>40528</v>
      </c>
      <c r="D865" t="s">
        <v>570</v>
      </c>
      <c r="E865" t="s">
        <v>603</v>
      </c>
    </row>
    <row r="866" spans="1:5" x14ac:dyDescent="0.25">
      <c r="A866" s="279"/>
      <c r="B866" t="s">
        <v>872</v>
      </c>
      <c r="C866" s="279">
        <v>40526</v>
      </c>
      <c r="D866" t="s">
        <v>570</v>
      </c>
      <c r="E866" t="s">
        <v>644</v>
      </c>
    </row>
    <row r="867" spans="1:5" x14ac:dyDescent="0.25">
      <c r="A867" s="279"/>
      <c r="B867" t="s">
        <v>873</v>
      </c>
      <c r="C867" s="279">
        <v>40526</v>
      </c>
      <c r="D867" t="s">
        <v>582</v>
      </c>
      <c r="E867" t="s">
        <v>874</v>
      </c>
    </row>
    <row r="868" spans="1:5" x14ac:dyDescent="0.25">
      <c r="A868" s="279"/>
      <c r="B868" t="s">
        <v>875</v>
      </c>
      <c r="C868" s="279">
        <v>40526</v>
      </c>
      <c r="D868" t="s">
        <v>582</v>
      </c>
      <c r="E868" t="s">
        <v>874</v>
      </c>
    </row>
    <row r="869" spans="1:5" x14ac:dyDescent="0.25">
      <c r="A869" s="279"/>
      <c r="B869" t="s">
        <v>776</v>
      </c>
      <c r="C869" s="279">
        <v>40521</v>
      </c>
      <c r="D869" t="s">
        <v>570</v>
      </c>
      <c r="E869" t="s">
        <v>644</v>
      </c>
    </row>
    <row r="870" spans="1:5" x14ac:dyDescent="0.25">
      <c r="A870" s="279"/>
      <c r="B870" t="s">
        <v>876</v>
      </c>
      <c r="C870" s="279">
        <v>40514</v>
      </c>
      <c r="D870" t="s">
        <v>570</v>
      </c>
      <c r="E870" t="s">
        <v>877</v>
      </c>
    </row>
    <row r="871" spans="1:5" x14ac:dyDescent="0.25">
      <c r="A871" s="279"/>
      <c r="B871" t="s">
        <v>873</v>
      </c>
      <c r="C871" s="279">
        <v>40512</v>
      </c>
      <c r="D871" t="s">
        <v>575</v>
      </c>
      <c r="E871" t="s">
        <v>874</v>
      </c>
    </row>
    <row r="872" spans="1:5" x14ac:dyDescent="0.25">
      <c r="A872" s="279"/>
      <c r="B872" t="s">
        <v>878</v>
      </c>
      <c r="C872" s="279">
        <v>40508</v>
      </c>
      <c r="D872" t="s">
        <v>879</v>
      </c>
      <c r="E872" t="s">
        <v>802</v>
      </c>
    </row>
    <row r="873" spans="1:5" x14ac:dyDescent="0.25">
      <c r="A873" s="279"/>
      <c r="B873" t="s">
        <v>880</v>
      </c>
      <c r="C873" s="279">
        <v>40507</v>
      </c>
      <c r="D873" t="s">
        <v>570</v>
      </c>
      <c r="E873" t="s">
        <v>644</v>
      </c>
    </row>
    <row r="874" spans="1:5" x14ac:dyDescent="0.25">
      <c r="A874" s="279"/>
      <c r="B874" t="s">
        <v>881</v>
      </c>
      <c r="C874" s="279">
        <v>40506</v>
      </c>
      <c r="D874" t="s">
        <v>570</v>
      </c>
      <c r="E874" t="s">
        <v>644</v>
      </c>
    </row>
    <row r="875" spans="1:5" x14ac:dyDescent="0.25">
      <c r="A875" s="279"/>
      <c r="B875" t="s">
        <v>739</v>
      </c>
      <c r="C875" s="279">
        <v>40499</v>
      </c>
      <c r="D875" t="s">
        <v>641</v>
      </c>
      <c r="E875" t="s">
        <v>618</v>
      </c>
    </row>
    <row r="876" spans="1:5" x14ac:dyDescent="0.25">
      <c r="A876" s="279"/>
      <c r="B876" t="s">
        <v>882</v>
      </c>
      <c r="C876" s="279">
        <v>40499</v>
      </c>
      <c r="D876" t="s">
        <v>570</v>
      </c>
      <c r="E876" t="s">
        <v>644</v>
      </c>
    </row>
    <row r="877" spans="1:5" x14ac:dyDescent="0.25">
      <c r="A877" s="279"/>
      <c r="B877" t="s">
        <v>883</v>
      </c>
      <c r="C877" s="279">
        <v>40498</v>
      </c>
      <c r="D877" t="s">
        <v>568</v>
      </c>
      <c r="E877" t="s">
        <v>601</v>
      </c>
    </row>
    <row r="878" spans="1:5" x14ac:dyDescent="0.25">
      <c r="A878" s="279"/>
      <c r="B878" t="s">
        <v>883</v>
      </c>
      <c r="C878" s="279">
        <v>40498</v>
      </c>
      <c r="D878" t="s">
        <v>570</v>
      </c>
      <c r="E878" t="s">
        <v>601</v>
      </c>
    </row>
    <row r="879" spans="1:5" x14ac:dyDescent="0.25">
      <c r="A879" s="279"/>
      <c r="B879" t="s">
        <v>883</v>
      </c>
      <c r="C879" s="279">
        <v>40498</v>
      </c>
      <c r="D879" t="s">
        <v>708</v>
      </c>
      <c r="E879" t="s">
        <v>601</v>
      </c>
    </row>
    <row r="880" spans="1:5" x14ac:dyDescent="0.25">
      <c r="A880" s="279"/>
      <c r="B880" t="s">
        <v>883</v>
      </c>
      <c r="C880" s="279">
        <v>40498</v>
      </c>
      <c r="D880" t="s">
        <v>641</v>
      </c>
      <c r="E880" t="s">
        <v>601</v>
      </c>
    </row>
    <row r="881" spans="1:5" x14ac:dyDescent="0.25">
      <c r="A881" s="279"/>
      <c r="B881" t="s">
        <v>883</v>
      </c>
      <c r="C881" s="279">
        <v>40498</v>
      </c>
      <c r="D881" t="s">
        <v>575</v>
      </c>
      <c r="E881" t="s">
        <v>601</v>
      </c>
    </row>
    <row r="882" spans="1:5" x14ac:dyDescent="0.25">
      <c r="A882" s="279"/>
      <c r="B882" t="s">
        <v>883</v>
      </c>
      <c r="C882" s="279">
        <v>40498</v>
      </c>
      <c r="D882" t="s">
        <v>642</v>
      </c>
      <c r="E882" t="s">
        <v>601</v>
      </c>
    </row>
    <row r="883" spans="1:5" x14ac:dyDescent="0.25">
      <c r="A883" s="279"/>
      <c r="B883" t="s">
        <v>883</v>
      </c>
      <c r="C883" s="279">
        <v>40498</v>
      </c>
      <c r="D883" t="s">
        <v>884</v>
      </c>
      <c r="E883" t="s">
        <v>601</v>
      </c>
    </row>
    <row r="884" spans="1:5" x14ac:dyDescent="0.25">
      <c r="A884" s="279"/>
      <c r="B884" t="s">
        <v>883</v>
      </c>
      <c r="C884" s="279">
        <v>40498</v>
      </c>
      <c r="D884" t="s">
        <v>686</v>
      </c>
      <c r="E884" t="s">
        <v>601</v>
      </c>
    </row>
    <row r="885" spans="1:5" x14ac:dyDescent="0.25">
      <c r="A885" s="279"/>
      <c r="B885" t="s">
        <v>883</v>
      </c>
      <c r="C885" s="279">
        <v>40498</v>
      </c>
      <c r="D885" t="s">
        <v>687</v>
      </c>
      <c r="E885" t="s">
        <v>601</v>
      </c>
    </row>
    <row r="886" spans="1:5" x14ac:dyDescent="0.25">
      <c r="A886" s="279"/>
      <c r="B886" t="s">
        <v>885</v>
      </c>
      <c r="C886" s="279">
        <v>40498</v>
      </c>
      <c r="D886" t="s">
        <v>819</v>
      </c>
      <c r="E886" t="s">
        <v>808</v>
      </c>
    </row>
    <row r="887" spans="1:5" x14ac:dyDescent="0.25">
      <c r="A887" s="279"/>
      <c r="B887" t="s">
        <v>885</v>
      </c>
      <c r="C887" s="279">
        <v>40498</v>
      </c>
      <c r="D887" t="s">
        <v>641</v>
      </c>
      <c r="E887" t="s">
        <v>808</v>
      </c>
    </row>
    <row r="888" spans="1:5" x14ac:dyDescent="0.25">
      <c r="A888" s="279"/>
      <c r="B888" t="s">
        <v>885</v>
      </c>
      <c r="C888" s="279">
        <v>40498</v>
      </c>
      <c r="D888" t="s">
        <v>686</v>
      </c>
      <c r="E888" t="s">
        <v>808</v>
      </c>
    </row>
    <row r="889" spans="1:5" x14ac:dyDescent="0.25">
      <c r="A889" s="279"/>
      <c r="B889" t="s">
        <v>885</v>
      </c>
      <c r="C889" s="279">
        <v>40498</v>
      </c>
      <c r="D889" t="s">
        <v>575</v>
      </c>
      <c r="E889" t="s">
        <v>808</v>
      </c>
    </row>
    <row r="890" spans="1:5" x14ac:dyDescent="0.25">
      <c r="A890" s="279"/>
      <c r="B890" t="s">
        <v>885</v>
      </c>
      <c r="C890" s="279">
        <v>40498</v>
      </c>
      <c r="D890" t="s">
        <v>642</v>
      </c>
      <c r="E890" t="s">
        <v>808</v>
      </c>
    </row>
    <row r="891" spans="1:5" x14ac:dyDescent="0.25">
      <c r="A891" s="279"/>
      <c r="B891" t="s">
        <v>886</v>
      </c>
      <c r="C891" s="279">
        <v>40498</v>
      </c>
      <c r="D891" t="s">
        <v>686</v>
      </c>
      <c r="E891" t="s">
        <v>618</v>
      </c>
    </row>
    <row r="892" spans="1:5" x14ac:dyDescent="0.25">
      <c r="A892" s="279"/>
      <c r="B892" t="s">
        <v>887</v>
      </c>
      <c r="C892" s="279">
        <v>40498</v>
      </c>
      <c r="D892" t="s">
        <v>641</v>
      </c>
      <c r="E892" t="s">
        <v>618</v>
      </c>
    </row>
    <row r="893" spans="1:5" x14ac:dyDescent="0.25">
      <c r="A893" s="279"/>
      <c r="B893" t="s">
        <v>887</v>
      </c>
      <c r="C893" s="279">
        <v>40498</v>
      </c>
      <c r="D893" t="s">
        <v>686</v>
      </c>
      <c r="E893" t="s">
        <v>618</v>
      </c>
    </row>
    <row r="894" spans="1:5" x14ac:dyDescent="0.25">
      <c r="A894" s="279"/>
      <c r="B894" t="s">
        <v>887</v>
      </c>
      <c r="C894" s="279">
        <v>40498</v>
      </c>
      <c r="D894" t="s">
        <v>642</v>
      </c>
      <c r="E894" t="s">
        <v>618</v>
      </c>
    </row>
    <row r="895" spans="1:5" x14ac:dyDescent="0.25">
      <c r="A895" s="279"/>
      <c r="B895" t="s">
        <v>888</v>
      </c>
      <c r="C895" s="279">
        <v>40498</v>
      </c>
      <c r="D895" t="s">
        <v>641</v>
      </c>
      <c r="E895" t="s">
        <v>808</v>
      </c>
    </row>
    <row r="896" spans="1:5" x14ac:dyDescent="0.25">
      <c r="A896" s="279"/>
      <c r="B896" t="s">
        <v>888</v>
      </c>
      <c r="C896" s="279">
        <v>40498</v>
      </c>
      <c r="D896" t="s">
        <v>686</v>
      </c>
      <c r="E896" t="s">
        <v>808</v>
      </c>
    </row>
    <row r="897" spans="1:5" x14ac:dyDescent="0.25">
      <c r="A897" s="279"/>
      <c r="B897" t="s">
        <v>888</v>
      </c>
      <c r="C897" s="279">
        <v>40498</v>
      </c>
      <c r="D897" t="s">
        <v>575</v>
      </c>
      <c r="E897" t="s">
        <v>808</v>
      </c>
    </row>
    <row r="898" spans="1:5" x14ac:dyDescent="0.25">
      <c r="A898" s="279"/>
      <c r="B898" t="s">
        <v>888</v>
      </c>
      <c r="C898" s="279">
        <v>40498</v>
      </c>
      <c r="D898" t="s">
        <v>642</v>
      </c>
      <c r="E898" t="s">
        <v>808</v>
      </c>
    </row>
    <row r="899" spans="1:5" x14ac:dyDescent="0.25">
      <c r="A899" s="279"/>
      <c r="B899" t="s">
        <v>849</v>
      </c>
      <c r="C899" s="279">
        <v>40494</v>
      </c>
      <c r="D899" t="s">
        <v>686</v>
      </c>
      <c r="E899" t="s">
        <v>813</v>
      </c>
    </row>
    <row r="900" spans="1:5" x14ac:dyDescent="0.25">
      <c r="A900" s="279"/>
      <c r="B900" t="s">
        <v>889</v>
      </c>
      <c r="C900" s="279">
        <v>40493</v>
      </c>
      <c r="D900" t="s">
        <v>724</v>
      </c>
      <c r="E900" t="s">
        <v>890</v>
      </c>
    </row>
    <row r="901" spans="1:5" x14ac:dyDescent="0.25">
      <c r="A901" s="279"/>
      <c r="B901" t="s">
        <v>891</v>
      </c>
      <c r="C901" s="279">
        <v>40487</v>
      </c>
      <c r="D901" t="s">
        <v>570</v>
      </c>
      <c r="E901" t="s">
        <v>618</v>
      </c>
    </row>
    <row r="902" spans="1:5" x14ac:dyDescent="0.25">
      <c r="A902" s="279"/>
      <c r="B902" t="s">
        <v>892</v>
      </c>
      <c r="C902" s="279">
        <v>40486</v>
      </c>
      <c r="D902" t="s">
        <v>570</v>
      </c>
      <c r="E902" t="s">
        <v>644</v>
      </c>
    </row>
    <row r="903" spans="1:5" x14ac:dyDescent="0.25">
      <c r="A903" s="279"/>
      <c r="B903" t="s">
        <v>783</v>
      </c>
      <c r="C903" s="279">
        <v>40485</v>
      </c>
      <c r="D903" t="s">
        <v>642</v>
      </c>
      <c r="E903" t="s">
        <v>784</v>
      </c>
    </row>
    <row r="904" spans="1:5" x14ac:dyDescent="0.25">
      <c r="A904" s="279"/>
      <c r="B904" t="s">
        <v>783</v>
      </c>
      <c r="C904" s="279">
        <v>40484</v>
      </c>
      <c r="D904" t="s">
        <v>641</v>
      </c>
      <c r="E904" t="s">
        <v>784</v>
      </c>
    </row>
    <row r="905" spans="1:5" x14ac:dyDescent="0.25">
      <c r="A905" s="279"/>
      <c r="B905" t="s">
        <v>783</v>
      </c>
      <c r="C905" s="279">
        <v>40484</v>
      </c>
      <c r="D905" t="s">
        <v>707</v>
      </c>
      <c r="E905" t="s">
        <v>784</v>
      </c>
    </row>
    <row r="906" spans="1:5" x14ac:dyDescent="0.25">
      <c r="A906" s="279"/>
      <c r="B906" t="s">
        <v>893</v>
      </c>
      <c r="C906" s="279">
        <v>40480</v>
      </c>
      <c r="D906" t="s">
        <v>575</v>
      </c>
      <c r="E906" t="s">
        <v>702</v>
      </c>
    </row>
    <row r="907" spans="1:5" x14ac:dyDescent="0.25">
      <c r="A907" s="279"/>
      <c r="B907" t="s">
        <v>894</v>
      </c>
      <c r="C907" s="279">
        <v>40477</v>
      </c>
      <c r="D907" t="s">
        <v>582</v>
      </c>
      <c r="E907" t="s">
        <v>583</v>
      </c>
    </row>
    <row r="908" spans="1:5" x14ac:dyDescent="0.25">
      <c r="A908" s="279"/>
      <c r="B908" t="s">
        <v>894</v>
      </c>
      <c r="C908" s="279">
        <v>40477</v>
      </c>
      <c r="D908" t="s">
        <v>575</v>
      </c>
      <c r="E908" t="s">
        <v>583</v>
      </c>
    </row>
    <row r="909" spans="1:5" x14ac:dyDescent="0.25">
      <c r="A909" s="279"/>
      <c r="B909" t="s">
        <v>849</v>
      </c>
      <c r="C909" s="279">
        <v>40477</v>
      </c>
      <c r="D909" t="s">
        <v>879</v>
      </c>
      <c r="E909" t="s">
        <v>813</v>
      </c>
    </row>
    <row r="910" spans="1:5" x14ac:dyDescent="0.25">
      <c r="A910" s="279"/>
      <c r="B910" t="s">
        <v>849</v>
      </c>
      <c r="C910" s="279">
        <v>40477</v>
      </c>
      <c r="D910" t="s">
        <v>641</v>
      </c>
      <c r="E910" t="s">
        <v>813</v>
      </c>
    </row>
    <row r="911" spans="1:5" x14ac:dyDescent="0.25">
      <c r="A911" s="279"/>
      <c r="B911" t="s">
        <v>849</v>
      </c>
      <c r="C911" s="279">
        <v>40477</v>
      </c>
      <c r="D911" t="s">
        <v>642</v>
      </c>
      <c r="E911" t="s">
        <v>813</v>
      </c>
    </row>
    <row r="912" spans="1:5" x14ac:dyDescent="0.25">
      <c r="A912" s="279"/>
      <c r="B912" t="s">
        <v>895</v>
      </c>
      <c r="C912" s="279">
        <v>40477</v>
      </c>
      <c r="D912" t="s">
        <v>819</v>
      </c>
      <c r="E912" t="s">
        <v>877</v>
      </c>
    </row>
    <row r="913" spans="1:5" x14ac:dyDescent="0.25">
      <c r="A913" s="279"/>
      <c r="B913" t="s">
        <v>895</v>
      </c>
      <c r="C913" s="279">
        <v>40477</v>
      </c>
      <c r="D913" t="s">
        <v>641</v>
      </c>
      <c r="E913" t="s">
        <v>877</v>
      </c>
    </row>
    <row r="914" spans="1:5" x14ac:dyDescent="0.25">
      <c r="A914" s="279"/>
      <c r="B914" t="s">
        <v>895</v>
      </c>
      <c r="C914" s="279">
        <v>40477</v>
      </c>
      <c r="D914" t="s">
        <v>686</v>
      </c>
      <c r="E914" t="s">
        <v>877</v>
      </c>
    </row>
    <row r="915" spans="1:5" x14ac:dyDescent="0.25">
      <c r="A915" s="279"/>
      <c r="B915" t="s">
        <v>895</v>
      </c>
      <c r="C915" s="279">
        <v>40477</v>
      </c>
      <c r="D915" t="s">
        <v>642</v>
      </c>
      <c r="E915" t="s">
        <v>877</v>
      </c>
    </row>
    <row r="916" spans="1:5" x14ac:dyDescent="0.25">
      <c r="A916" s="279"/>
      <c r="B916" t="s">
        <v>896</v>
      </c>
      <c r="C916" s="279">
        <v>40477</v>
      </c>
      <c r="D916" t="s">
        <v>641</v>
      </c>
      <c r="E916" t="s">
        <v>673</v>
      </c>
    </row>
    <row r="917" spans="1:5" x14ac:dyDescent="0.25">
      <c r="A917" s="279"/>
      <c r="B917" t="s">
        <v>896</v>
      </c>
      <c r="C917" s="279">
        <v>40477</v>
      </c>
      <c r="D917" t="s">
        <v>686</v>
      </c>
      <c r="E917" t="s">
        <v>673</v>
      </c>
    </row>
    <row r="918" spans="1:5" x14ac:dyDescent="0.25">
      <c r="A918" s="279"/>
      <c r="B918" t="s">
        <v>896</v>
      </c>
      <c r="C918" s="279">
        <v>40477</v>
      </c>
      <c r="D918" t="s">
        <v>642</v>
      </c>
      <c r="E918" t="s">
        <v>673</v>
      </c>
    </row>
    <row r="919" spans="1:5" x14ac:dyDescent="0.25">
      <c r="A919" s="279"/>
      <c r="B919" t="s">
        <v>897</v>
      </c>
      <c r="C919" s="279">
        <v>40477</v>
      </c>
      <c r="D919" t="s">
        <v>641</v>
      </c>
      <c r="E919" t="s">
        <v>808</v>
      </c>
    </row>
    <row r="920" spans="1:5" x14ac:dyDescent="0.25">
      <c r="A920" s="279"/>
      <c r="B920" t="s">
        <v>897</v>
      </c>
      <c r="C920" s="279">
        <v>40477</v>
      </c>
      <c r="D920" t="s">
        <v>686</v>
      </c>
      <c r="E920" t="s">
        <v>809</v>
      </c>
    </row>
    <row r="921" spans="1:5" x14ac:dyDescent="0.25">
      <c r="A921" s="279"/>
      <c r="B921" t="s">
        <v>897</v>
      </c>
      <c r="C921" s="279">
        <v>40477</v>
      </c>
      <c r="D921" t="s">
        <v>642</v>
      </c>
      <c r="E921" t="s">
        <v>808</v>
      </c>
    </row>
    <row r="922" spans="1:5" x14ac:dyDescent="0.25">
      <c r="A922" s="279"/>
      <c r="B922" t="s">
        <v>875</v>
      </c>
      <c r="C922" s="279">
        <v>40477</v>
      </c>
      <c r="D922" t="s">
        <v>575</v>
      </c>
      <c r="E922" t="s">
        <v>874</v>
      </c>
    </row>
    <row r="923" spans="1:5" x14ac:dyDescent="0.25">
      <c r="A923" s="279"/>
      <c r="B923" t="s">
        <v>729</v>
      </c>
      <c r="C923" s="279">
        <v>40476</v>
      </c>
      <c r="D923" t="s">
        <v>575</v>
      </c>
      <c r="E923" t="s">
        <v>731</v>
      </c>
    </row>
    <row r="924" spans="1:5" x14ac:dyDescent="0.25">
      <c r="A924" s="279"/>
      <c r="B924" t="s">
        <v>849</v>
      </c>
      <c r="C924" s="279">
        <v>40472</v>
      </c>
      <c r="D924" t="s">
        <v>687</v>
      </c>
      <c r="E924" t="s">
        <v>663</v>
      </c>
    </row>
    <row r="925" spans="1:5" x14ac:dyDescent="0.25">
      <c r="A925" s="279"/>
      <c r="B925" t="s">
        <v>826</v>
      </c>
      <c r="C925" s="279">
        <v>40472</v>
      </c>
      <c r="D925" t="s">
        <v>687</v>
      </c>
      <c r="E925" t="s">
        <v>827</v>
      </c>
    </row>
    <row r="926" spans="1:5" x14ac:dyDescent="0.25">
      <c r="A926" s="279"/>
      <c r="B926" t="s">
        <v>898</v>
      </c>
      <c r="C926" s="279">
        <v>40472</v>
      </c>
      <c r="D926" t="s">
        <v>568</v>
      </c>
      <c r="E926" t="s">
        <v>663</v>
      </c>
    </row>
    <row r="927" spans="1:5" x14ac:dyDescent="0.25">
      <c r="A927" s="279"/>
      <c r="B927" t="s">
        <v>898</v>
      </c>
      <c r="C927" s="279">
        <v>40472</v>
      </c>
      <c r="D927" t="s">
        <v>570</v>
      </c>
      <c r="E927" t="s">
        <v>663</v>
      </c>
    </row>
    <row r="928" spans="1:5" x14ac:dyDescent="0.25">
      <c r="A928" s="279"/>
      <c r="B928" t="s">
        <v>899</v>
      </c>
      <c r="C928" s="279">
        <v>40472</v>
      </c>
      <c r="D928" t="s">
        <v>687</v>
      </c>
      <c r="E928" t="s">
        <v>900</v>
      </c>
    </row>
    <row r="929" spans="1:5" x14ac:dyDescent="0.25">
      <c r="A929" s="279"/>
      <c r="B929" t="s">
        <v>901</v>
      </c>
      <c r="C929" s="279">
        <v>40470</v>
      </c>
      <c r="D929" t="s">
        <v>570</v>
      </c>
      <c r="E929" t="s">
        <v>590</v>
      </c>
    </row>
    <row r="930" spans="1:5" x14ac:dyDescent="0.25">
      <c r="A930" s="279"/>
      <c r="B930" t="s">
        <v>901</v>
      </c>
      <c r="C930" s="279">
        <v>40470</v>
      </c>
      <c r="D930" t="s">
        <v>641</v>
      </c>
      <c r="E930" t="s">
        <v>590</v>
      </c>
    </row>
    <row r="931" spans="1:5" x14ac:dyDescent="0.25">
      <c r="A931" s="279"/>
      <c r="B931" t="s">
        <v>901</v>
      </c>
      <c r="C931" s="279">
        <v>40470</v>
      </c>
      <c r="D931" t="s">
        <v>642</v>
      </c>
      <c r="E931" t="s">
        <v>590</v>
      </c>
    </row>
    <row r="932" spans="1:5" x14ac:dyDescent="0.25">
      <c r="A932" s="279"/>
      <c r="B932" t="s">
        <v>902</v>
      </c>
      <c r="C932" s="279">
        <v>40466</v>
      </c>
      <c r="D932" t="s">
        <v>804</v>
      </c>
      <c r="E932" t="s">
        <v>803</v>
      </c>
    </row>
    <row r="933" spans="1:5" x14ac:dyDescent="0.25">
      <c r="A933" s="279"/>
      <c r="B933" t="s">
        <v>903</v>
      </c>
      <c r="C933" s="279">
        <v>40463</v>
      </c>
      <c r="D933" t="s">
        <v>641</v>
      </c>
      <c r="E933" t="s">
        <v>753</v>
      </c>
    </row>
    <row r="934" spans="1:5" x14ac:dyDescent="0.25">
      <c r="A934" s="279"/>
      <c r="B934" t="s">
        <v>903</v>
      </c>
      <c r="C934" s="279">
        <v>40463</v>
      </c>
      <c r="D934" t="s">
        <v>575</v>
      </c>
      <c r="E934" t="s">
        <v>753</v>
      </c>
    </row>
    <row r="935" spans="1:5" x14ac:dyDescent="0.25">
      <c r="A935" s="279"/>
      <c r="B935" t="s">
        <v>903</v>
      </c>
      <c r="C935" s="279">
        <v>40463</v>
      </c>
      <c r="D935" t="s">
        <v>642</v>
      </c>
      <c r="E935" t="s">
        <v>753</v>
      </c>
    </row>
    <row r="936" spans="1:5" x14ac:dyDescent="0.25">
      <c r="A936" s="279"/>
      <c r="B936" t="s">
        <v>904</v>
      </c>
      <c r="C936" s="279">
        <v>40463</v>
      </c>
      <c r="D936" t="s">
        <v>641</v>
      </c>
      <c r="E936" t="s">
        <v>905</v>
      </c>
    </row>
    <row r="937" spans="1:5" x14ac:dyDescent="0.25">
      <c r="A937" s="279"/>
      <c r="B937" t="s">
        <v>904</v>
      </c>
      <c r="C937" s="279">
        <v>40463</v>
      </c>
      <c r="D937" t="s">
        <v>642</v>
      </c>
      <c r="E937" t="s">
        <v>905</v>
      </c>
    </row>
    <row r="938" spans="1:5" x14ac:dyDescent="0.25">
      <c r="A938" s="279"/>
      <c r="B938" t="s">
        <v>739</v>
      </c>
      <c r="C938" s="279">
        <v>40456</v>
      </c>
      <c r="D938" t="s">
        <v>686</v>
      </c>
      <c r="E938" t="s">
        <v>618</v>
      </c>
    </row>
    <row r="939" spans="1:5" x14ac:dyDescent="0.25">
      <c r="A939" s="279"/>
      <c r="B939" t="s">
        <v>906</v>
      </c>
      <c r="C939" s="279">
        <v>40449</v>
      </c>
      <c r="D939" t="s">
        <v>819</v>
      </c>
      <c r="E939" t="s">
        <v>861</v>
      </c>
    </row>
    <row r="940" spans="1:5" x14ac:dyDescent="0.25">
      <c r="A940" s="279"/>
      <c r="B940" t="s">
        <v>906</v>
      </c>
      <c r="C940" s="279">
        <v>40449</v>
      </c>
      <c r="D940" t="s">
        <v>641</v>
      </c>
      <c r="E940" t="s">
        <v>861</v>
      </c>
    </row>
    <row r="941" spans="1:5" x14ac:dyDescent="0.25">
      <c r="A941" s="279"/>
      <c r="B941" t="s">
        <v>906</v>
      </c>
      <c r="C941" s="279">
        <v>40449</v>
      </c>
      <c r="D941" t="s">
        <v>686</v>
      </c>
      <c r="E941" t="s">
        <v>861</v>
      </c>
    </row>
    <row r="942" spans="1:5" x14ac:dyDescent="0.25">
      <c r="A942" s="279"/>
      <c r="B942" t="s">
        <v>906</v>
      </c>
      <c r="C942" s="279">
        <v>40449</v>
      </c>
      <c r="D942" t="s">
        <v>642</v>
      </c>
      <c r="E942" t="s">
        <v>861</v>
      </c>
    </row>
    <row r="943" spans="1:5" x14ac:dyDescent="0.25">
      <c r="A943" s="279"/>
      <c r="B943" t="s">
        <v>907</v>
      </c>
      <c r="C943" s="279">
        <v>40449</v>
      </c>
      <c r="D943" t="s">
        <v>568</v>
      </c>
      <c r="E943" t="s">
        <v>859</v>
      </c>
    </row>
    <row r="944" spans="1:5" x14ac:dyDescent="0.25">
      <c r="A944" s="279"/>
      <c r="B944" t="s">
        <v>907</v>
      </c>
      <c r="C944" s="279">
        <v>40449</v>
      </c>
      <c r="D944" t="s">
        <v>832</v>
      </c>
      <c r="E944" t="s">
        <v>859</v>
      </c>
    </row>
    <row r="945" spans="1:5" x14ac:dyDescent="0.25">
      <c r="A945" s="279"/>
      <c r="B945" t="s">
        <v>907</v>
      </c>
      <c r="C945" s="279">
        <v>40449</v>
      </c>
      <c r="D945" t="s">
        <v>570</v>
      </c>
      <c r="E945" t="s">
        <v>859</v>
      </c>
    </row>
    <row r="946" spans="1:5" x14ac:dyDescent="0.25">
      <c r="A946" s="279"/>
      <c r="B946" t="s">
        <v>907</v>
      </c>
      <c r="C946" s="279">
        <v>40449</v>
      </c>
      <c r="D946" t="s">
        <v>908</v>
      </c>
      <c r="E946" t="s">
        <v>859</v>
      </c>
    </row>
    <row r="947" spans="1:5" x14ac:dyDescent="0.25">
      <c r="A947" s="279"/>
      <c r="B947" t="s">
        <v>907</v>
      </c>
      <c r="C947" s="279">
        <v>40449</v>
      </c>
      <c r="D947" t="s">
        <v>582</v>
      </c>
      <c r="E947" t="s">
        <v>618</v>
      </c>
    </row>
    <row r="948" spans="1:5" x14ac:dyDescent="0.25">
      <c r="A948" s="279"/>
      <c r="B948" t="s">
        <v>907</v>
      </c>
      <c r="C948" s="279">
        <v>40449</v>
      </c>
      <c r="D948" t="s">
        <v>819</v>
      </c>
      <c r="E948" t="s">
        <v>909</v>
      </c>
    </row>
    <row r="949" spans="1:5" x14ac:dyDescent="0.25">
      <c r="A949" s="279"/>
      <c r="B949" t="s">
        <v>907</v>
      </c>
      <c r="C949" s="279">
        <v>40449</v>
      </c>
      <c r="D949" t="s">
        <v>706</v>
      </c>
      <c r="E949" t="s">
        <v>859</v>
      </c>
    </row>
    <row r="950" spans="1:5" x14ac:dyDescent="0.25">
      <c r="A950" s="279"/>
      <c r="B950" t="s">
        <v>907</v>
      </c>
      <c r="C950" s="279">
        <v>40449</v>
      </c>
      <c r="D950" t="s">
        <v>641</v>
      </c>
      <c r="E950" t="s">
        <v>618</v>
      </c>
    </row>
    <row r="951" spans="1:5" x14ac:dyDescent="0.25">
      <c r="A951" s="279"/>
      <c r="B951" t="s">
        <v>907</v>
      </c>
      <c r="C951" s="279">
        <v>40449</v>
      </c>
      <c r="D951" t="s">
        <v>707</v>
      </c>
      <c r="E951" t="s">
        <v>859</v>
      </c>
    </row>
    <row r="952" spans="1:5" x14ac:dyDescent="0.25">
      <c r="A952" s="279"/>
      <c r="B952" t="s">
        <v>907</v>
      </c>
      <c r="C952" s="279">
        <v>40449</v>
      </c>
      <c r="D952" t="s">
        <v>686</v>
      </c>
      <c r="E952" t="s">
        <v>618</v>
      </c>
    </row>
    <row r="953" spans="1:5" x14ac:dyDescent="0.25">
      <c r="A953" s="279"/>
      <c r="B953" t="s">
        <v>907</v>
      </c>
      <c r="C953" s="279">
        <v>40449</v>
      </c>
      <c r="D953" t="s">
        <v>575</v>
      </c>
      <c r="E953" t="s">
        <v>618</v>
      </c>
    </row>
    <row r="954" spans="1:5" x14ac:dyDescent="0.25">
      <c r="A954" s="279"/>
      <c r="B954" t="s">
        <v>907</v>
      </c>
      <c r="C954" s="279">
        <v>40449</v>
      </c>
      <c r="D954" t="s">
        <v>642</v>
      </c>
      <c r="E954" t="s">
        <v>618</v>
      </c>
    </row>
    <row r="955" spans="1:5" x14ac:dyDescent="0.25">
      <c r="A955" s="279"/>
      <c r="B955" t="s">
        <v>873</v>
      </c>
      <c r="C955" s="279">
        <v>40443</v>
      </c>
      <c r="D955" t="s">
        <v>642</v>
      </c>
      <c r="E955" t="s">
        <v>874</v>
      </c>
    </row>
    <row r="956" spans="1:5" x14ac:dyDescent="0.25">
      <c r="A956" s="279"/>
      <c r="B956" t="s">
        <v>873</v>
      </c>
      <c r="C956" s="279">
        <v>40442</v>
      </c>
      <c r="D956" t="s">
        <v>641</v>
      </c>
      <c r="E956" t="s">
        <v>874</v>
      </c>
    </row>
    <row r="957" spans="1:5" x14ac:dyDescent="0.25">
      <c r="A957" s="279"/>
      <c r="B957" t="s">
        <v>910</v>
      </c>
      <c r="C957" s="279">
        <v>40430</v>
      </c>
      <c r="D957" t="s">
        <v>570</v>
      </c>
      <c r="E957" t="s">
        <v>911</v>
      </c>
    </row>
    <row r="958" spans="1:5" x14ac:dyDescent="0.25">
      <c r="A958" s="279"/>
      <c r="B958" t="s">
        <v>912</v>
      </c>
      <c r="C958" s="279">
        <v>40428</v>
      </c>
      <c r="D958" t="s">
        <v>686</v>
      </c>
      <c r="E958" t="s">
        <v>618</v>
      </c>
    </row>
    <row r="959" spans="1:5" x14ac:dyDescent="0.25">
      <c r="A959" s="279"/>
      <c r="B959" t="s">
        <v>913</v>
      </c>
      <c r="C959" s="279">
        <v>40428</v>
      </c>
      <c r="D959" t="s">
        <v>641</v>
      </c>
      <c r="E959" t="s">
        <v>618</v>
      </c>
    </row>
    <row r="960" spans="1:5" x14ac:dyDescent="0.25">
      <c r="A960" s="279"/>
      <c r="B960" t="s">
        <v>913</v>
      </c>
      <c r="C960" s="279">
        <v>40428</v>
      </c>
      <c r="D960" t="s">
        <v>642</v>
      </c>
      <c r="E960" t="s">
        <v>618</v>
      </c>
    </row>
    <row r="961" spans="1:5" x14ac:dyDescent="0.25">
      <c r="A961" s="279"/>
      <c r="B961" t="s">
        <v>914</v>
      </c>
      <c r="C961" s="279">
        <v>40421</v>
      </c>
      <c r="D961" t="s">
        <v>755</v>
      </c>
      <c r="E961" t="s">
        <v>769</v>
      </c>
    </row>
    <row r="962" spans="1:5" x14ac:dyDescent="0.25">
      <c r="A962" s="279"/>
      <c r="B962" t="s">
        <v>915</v>
      </c>
      <c r="C962" s="279">
        <v>40416</v>
      </c>
      <c r="D962" t="s">
        <v>570</v>
      </c>
      <c r="E962" t="s">
        <v>916</v>
      </c>
    </row>
    <row r="963" spans="1:5" x14ac:dyDescent="0.25">
      <c r="A963" s="279"/>
      <c r="B963" t="s">
        <v>729</v>
      </c>
      <c r="C963" s="279">
        <v>40415</v>
      </c>
      <c r="D963" t="s">
        <v>641</v>
      </c>
      <c r="E963" t="s">
        <v>731</v>
      </c>
    </row>
    <row r="964" spans="1:5" x14ac:dyDescent="0.25">
      <c r="A964" s="279"/>
      <c r="B964" t="s">
        <v>729</v>
      </c>
      <c r="C964" s="279">
        <v>40415</v>
      </c>
      <c r="D964" t="s">
        <v>642</v>
      </c>
      <c r="E964" t="s">
        <v>731</v>
      </c>
    </row>
    <row r="965" spans="1:5" x14ac:dyDescent="0.25">
      <c r="A965" s="279"/>
      <c r="B965" t="s">
        <v>917</v>
      </c>
      <c r="C965" s="279">
        <v>40400</v>
      </c>
      <c r="D965" t="s">
        <v>715</v>
      </c>
      <c r="E965" t="s">
        <v>918</v>
      </c>
    </row>
    <row r="966" spans="1:5" x14ac:dyDescent="0.25">
      <c r="A966" s="279"/>
      <c r="B966" t="s">
        <v>917</v>
      </c>
      <c r="C966" s="279">
        <v>40400</v>
      </c>
      <c r="D966" t="s">
        <v>706</v>
      </c>
      <c r="E966" t="s">
        <v>918</v>
      </c>
    </row>
    <row r="967" spans="1:5" x14ac:dyDescent="0.25">
      <c r="A967" s="279"/>
      <c r="B967" t="s">
        <v>917</v>
      </c>
      <c r="C967" s="279">
        <v>40400</v>
      </c>
      <c r="D967" t="s">
        <v>641</v>
      </c>
      <c r="E967" t="s">
        <v>918</v>
      </c>
    </row>
    <row r="968" spans="1:5" x14ac:dyDescent="0.25">
      <c r="A968" s="279"/>
      <c r="B968" t="s">
        <v>917</v>
      </c>
      <c r="C968" s="279">
        <v>40400</v>
      </c>
      <c r="D968" t="s">
        <v>707</v>
      </c>
      <c r="E968" t="s">
        <v>918</v>
      </c>
    </row>
    <row r="969" spans="1:5" x14ac:dyDescent="0.25">
      <c r="A969" s="279"/>
      <c r="B969" t="s">
        <v>917</v>
      </c>
      <c r="C969" s="279">
        <v>40400</v>
      </c>
      <c r="D969" t="s">
        <v>686</v>
      </c>
      <c r="E969" t="s">
        <v>918</v>
      </c>
    </row>
    <row r="970" spans="1:5" x14ac:dyDescent="0.25">
      <c r="A970" s="279"/>
      <c r="B970" t="s">
        <v>917</v>
      </c>
      <c r="C970" s="279">
        <v>40400</v>
      </c>
      <c r="D970" t="s">
        <v>642</v>
      </c>
      <c r="E970" t="s">
        <v>918</v>
      </c>
    </row>
    <row r="971" spans="1:5" x14ac:dyDescent="0.25">
      <c r="A971" s="279"/>
      <c r="B971" t="s">
        <v>917</v>
      </c>
      <c r="C971" s="279">
        <v>40396</v>
      </c>
      <c r="D971" t="s">
        <v>570</v>
      </c>
      <c r="E971" t="s">
        <v>918</v>
      </c>
    </row>
    <row r="972" spans="1:5" x14ac:dyDescent="0.25">
      <c r="A972" s="279"/>
      <c r="B972" t="s">
        <v>814</v>
      </c>
      <c r="C972" s="279">
        <v>40388</v>
      </c>
      <c r="D972" t="s">
        <v>568</v>
      </c>
      <c r="E972" t="s">
        <v>566</v>
      </c>
    </row>
    <row r="973" spans="1:5" x14ac:dyDescent="0.25">
      <c r="A973" s="279"/>
      <c r="B973" t="s">
        <v>814</v>
      </c>
      <c r="C973" s="279">
        <v>40388</v>
      </c>
      <c r="D973" t="s">
        <v>570</v>
      </c>
      <c r="E973" t="s">
        <v>566</v>
      </c>
    </row>
    <row r="974" spans="1:5" x14ac:dyDescent="0.25">
      <c r="A974" s="279"/>
      <c r="B974" t="s">
        <v>919</v>
      </c>
      <c r="C974" s="279">
        <v>40386</v>
      </c>
      <c r="D974" t="s">
        <v>575</v>
      </c>
      <c r="E974" t="s">
        <v>920</v>
      </c>
    </row>
    <row r="975" spans="1:5" x14ac:dyDescent="0.25">
      <c r="A975" s="279"/>
      <c r="B975" t="s">
        <v>921</v>
      </c>
      <c r="C975" s="279">
        <v>40379</v>
      </c>
      <c r="D975" t="s">
        <v>568</v>
      </c>
      <c r="E975" t="s">
        <v>583</v>
      </c>
    </row>
    <row r="976" spans="1:5" x14ac:dyDescent="0.25">
      <c r="A976" s="279"/>
      <c r="B976" t="s">
        <v>922</v>
      </c>
      <c r="C976" s="279">
        <v>40379</v>
      </c>
      <c r="D976" t="s">
        <v>575</v>
      </c>
      <c r="E976" t="s">
        <v>566</v>
      </c>
    </row>
    <row r="977" spans="1:5" x14ac:dyDescent="0.25">
      <c r="A977" s="279"/>
      <c r="B977" t="s">
        <v>875</v>
      </c>
      <c r="C977" s="279">
        <v>40373</v>
      </c>
      <c r="D977" t="s">
        <v>642</v>
      </c>
      <c r="E977" t="s">
        <v>874</v>
      </c>
    </row>
    <row r="978" spans="1:5" x14ac:dyDescent="0.25">
      <c r="A978" s="279"/>
      <c r="B978" t="s">
        <v>923</v>
      </c>
      <c r="C978" s="279">
        <v>40372</v>
      </c>
      <c r="D978" t="s">
        <v>706</v>
      </c>
      <c r="E978" t="s">
        <v>918</v>
      </c>
    </row>
    <row r="979" spans="1:5" x14ac:dyDescent="0.25">
      <c r="A979" s="279"/>
      <c r="B979" t="s">
        <v>923</v>
      </c>
      <c r="C979" s="279">
        <v>40372</v>
      </c>
      <c r="D979" t="s">
        <v>641</v>
      </c>
      <c r="E979" t="s">
        <v>918</v>
      </c>
    </row>
    <row r="980" spans="1:5" x14ac:dyDescent="0.25">
      <c r="A980" s="279"/>
      <c r="B980" t="s">
        <v>923</v>
      </c>
      <c r="C980" s="279">
        <v>40372</v>
      </c>
      <c r="D980" t="s">
        <v>642</v>
      </c>
      <c r="E980" t="s">
        <v>918</v>
      </c>
    </row>
    <row r="981" spans="1:5" x14ac:dyDescent="0.25">
      <c r="A981" s="279"/>
      <c r="B981" t="s">
        <v>875</v>
      </c>
      <c r="C981" s="279">
        <v>40372</v>
      </c>
      <c r="D981" t="s">
        <v>641</v>
      </c>
      <c r="E981" t="s">
        <v>874</v>
      </c>
    </row>
    <row r="982" spans="1:5" x14ac:dyDescent="0.25">
      <c r="A982" s="279"/>
      <c r="B982" t="s">
        <v>924</v>
      </c>
      <c r="C982" s="279">
        <v>40360</v>
      </c>
      <c r="D982" t="s">
        <v>570</v>
      </c>
      <c r="E982" t="s">
        <v>925</v>
      </c>
    </row>
    <row r="983" spans="1:5" x14ac:dyDescent="0.25">
      <c r="A983" s="279"/>
      <c r="B983" t="s">
        <v>926</v>
      </c>
      <c r="C983" s="279">
        <v>40358</v>
      </c>
      <c r="D983" t="s">
        <v>575</v>
      </c>
      <c r="E983" t="s">
        <v>927</v>
      </c>
    </row>
    <row r="984" spans="1:5" x14ac:dyDescent="0.25">
      <c r="A984" s="279"/>
      <c r="B984" t="s">
        <v>928</v>
      </c>
      <c r="C984" s="279">
        <v>40357</v>
      </c>
      <c r="D984" t="s">
        <v>570</v>
      </c>
      <c r="E984" t="s">
        <v>618</v>
      </c>
    </row>
    <row r="985" spans="1:5" x14ac:dyDescent="0.25">
      <c r="A985" s="279"/>
      <c r="B985" t="s">
        <v>929</v>
      </c>
      <c r="C985" s="279">
        <v>40353</v>
      </c>
      <c r="D985" t="s">
        <v>570</v>
      </c>
      <c r="E985" t="s">
        <v>918</v>
      </c>
    </row>
    <row r="986" spans="1:5" x14ac:dyDescent="0.25">
      <c r="A986" s="279"/>
      <c r="B986" t="s">
        <v>930</v>
      </c>
      <c r="C986" s="279">
        <v>40337</v>
      </c>
      <c r="D986" t="s">
        <v>570</v>
      </c>
      <c r="E986" t="s">
        <v>590</v>
      </c>
    </row>
    <row r="987" spans="1:5" x14ac:dyDescent="0.25">
      <c r="A987" s="279"/>
      <c r="B987" t="s">
        <v>930</v>
      </c>
      <c r="C987" s="279">
        <v>40337</v>
      </c>
      <c r="D987" t="s">
        <v>641</v>
      </c>
      <c r="E987" t="s">
        <v>590</v>
      </c>
    </row>
    <row r="988" spans="1:5" x14ac:dyDescent="0.25">
      <c r="A988" s="279"/>
      <c r="B988" t="s">
        <v>930</v>
      </c>
      <c r="C988" s="279">
        <v>40337</v>
      </c>
      <c r="D988" t="s">
        <v>686</v>
      </c>
      <c r="E988" t="s">
        <v>590</v>
      </c>
    </row>
    <row r="989" spans="1:5" x14ac:dyDescent="0.25">
      <c r="A989" s="279"/>
      <c r="B989" t="s">
        <v>930</v>
      </c>
      <c r="C989" s="279">
        <v>40337</v>
      </c>
      <c r="D989" t="s">
        <v>642</v>
      </c>
      <c r="E989" t="s">
        <v>590</v>
      </c>
    </row>
    <row r="990" spans="1:5" x14ac:dyDescent="0.25">
      <c r="A990" s="279"/>
      <c r="B990" t="s">
        <v>931</v>
      </c>
      <c r="C990" s="279">
        <v>40337</v>
      </c>
      <c r="D990" t="s">
        <v>641</v>
      </c>
      <c r="E990" t="s">
        <v>932</v>
      </c>
    </row>
    <row r="991" spans="1:5" x14ac:dyDescent="0.25">
      <c r="A991" s="279"/>
      <c r="B991" t="s">
        <v>931</v>
      </c>
      <c r="C991" s="279">
        <v>40337</v>
      </c>
      <c r="D991" t="s">
        <v>686</v>
      </c>
      <c r="E991" t="s">
        <v>932</v>
      </c>
    </row>
    <row r="992" spans="1:5" x14ac:dyDescent="0.25">
      <c r="A992" s="279"/>
      <c r="B992" t="s">
        <v>931</v>
      </c>
      <c r="C992" s="279">
        <v>40337</v>
      </c>
      <c r="D992" t="s">
        <v>642</v>
      </c>
      <c r="E992" t="s">
        <v>932</v>
      </c>
    </row>
    <row r="993" spans="1:5" x14ac:dyDescent="0.25">
      <c r="A993" s="279"/>
      <c r="B993" t="s">
        <v>933</v>
      </c>
      <c r="C993" s="279">
        <v>40330</v>
      </c>
      <c r="D993" t="s">
        <v>570</v>
      </c>
      <c r="E993" t="s">
        <v>663</v>
      </c>
    </row>
    <row r="994" spans="1:5" x14ac:dyDescent="0.25">
      <c r="A994" s="279"/>
      <c r="B994" t="s">
        <v>933</v>
      </c>
      <c r="C994" s="279">
        <v>40330</v>
      </c>
      <c r="D994" t="s">
        <v>582</v>
      </c>
      <c r="E994" t="s">
        <v>583</v>
      </c>
    </row>
    <row r="995" spans="1:5" x14ac:dyDescent="0.25">
      <c r="A995" s="279"/>
      <c r="B995" t="s">
        <v>933</v>
      </c>
      <c r="C995" s="279">
        <v>40330</v>
      </c>
      <c r="D995" t="s">
        <v>934</v>
      </c>
      <c r="E995" t="s">
        <v>583</v>
      </c>
    </row>
    <row r="996" spans="1:5" x14ac:dyDescent="0.25">
      <c r="A996" s="279"/>
      <c r="B996" t="s">
        <v>933</v>
      </c>
      <c r="C996" s="279">
        <v>40330</v>
      </c>
      <c r="D996" t="s">
        <v>575</v>
      </c>
      <c r="E996" t="s">
        <v>583</v>
      </c>
    </row>
    <row r="997" spans="1:5" x14ac:dyDescent="0.25">
      <c r="A997" s="279"/>
      <c r="B997" t="s">
        <v>935</v>
      </c>
      <c r="C997" s="279">
        <v>40324</v>
      </c>
      <c r="D997" t="s">
        <v>575</v>
      </c>
      <c r="E997" t="s">
        <v>936</v>
      </c>
    </row>
    <row r="998" spans="1:5" x14ac:dyDescent="0.25">
      <c r="A998" s="279"/>
      <c r="B998" t="s">
        <v>937</v>
      </c>
      <c r="C998" s="279">
        <v>40324</v>
      </c>
      <c r="D998" t="s">
        <v>755</v>
      </c>
      <c r="E998" t="s">
        <v>938</v>
      </c>
    </row>
    <row r="999" spans="1:5" x14ac:dyDescent="0.25">
      <c r="A999" s="279"/>
      <c r="B999" t="s">
        <v>939</v>
      </c>
      <c r="C999" s="279">
        <v>40309</v>
      </c>
      <c r="D999" t="s">
        <v>641</v>
      </c>
      <c r="E999" t="s">
        <v>803</v>
      </c>
    </row>
    <row r="1000" spans="1:5" x14ac:dyDescent="0.25">
      <c r="A1000" s="279"/>
      <c r="B1000" t="s">
        <v>939</v>
      </c>
      <c r="C1000" s="279">
        <v>40309</v>
      </c>
      <c r="D1000" t="s">
        <v>642</v>
      </c>
      <c r="E1000" t="s">
        <v>803</v>
      </c>
    </row>
    <row r="1001" spans="1:5" x14ac:dyDescent="0.25">
      <c r="A1001" s="279"/>
      <c r="B1001" t="s">
        <v>940</v>
      </c>
      <c r="C1001" s="279">
        <v>40308</v>
      </c>
      <c r="D1001" t="s">
        <v>570</v>
      </c>
      <c r="E1001" t="s">
        <v>803</v>
      </c>
    </row>
    <row r="1002" spans="1:5" x14ac:dyDescent="0.25">
      <c r="A1002" s="279"/>
      <c r="B1002" t="s">
        <v>928</v>
      </c>
      <c r="C1002" s="279">
        <v>40295</v>
      </c>
      <c r="D1002" t="s">
        <v>641</v>
      </c>
      <c r="E1002" t="s">
        <v>618</v>
      </c>
    </row>
    <row r="1003" spans="1:5" x14ac:dyDescent="0.25">
      <c r="A1003" s="279"/>
      <c r="B1003" t="s">
        <v>928</v>
      </c>
      <c r="C1003" s="279">
        <v>40295</v>
      </c>
      <c r="D1003" t="s">
        <v>707</v>
      </c>
      <c r="E1003" t="s">
        <v>859</v>
      </c>
    </row>
    <row r="1004" spans="1:5" x14ac:dyDescent="0.25">
      <c r="A1004" s="279"/>
      <c r="B1004" t="s">
        <v>928</v>
      </c>
      <c r="C1004" s="279">
        <v>40295</v>
      </c>
      <c r="D1004" t="s">
        <v>686</v>
      </c>
      <c r="E1004" t="s">
        <v>859</v>
      </c>
    </row>
    <row r="1005" spans="1:5" x14ac:dyDescent="0.25">
      <c r="A1005" s="279"/>
      <c r="B1005" t="s">
        <v>928</v>
      </c>
      <c r="C1005" s="279">
        <v>40295</v>
      </c>
      <c r="D1005" t="s">
        <v>642</v>
      </c>
      <c r="E1005" t="s">
        <v>618</v>
      </c>
    </row>
    <row r="1006" spans="1:5" x14ac:dyDescent="0.25">
      <c r="A1006" s="279"/>
      <c r="B1006" t="s">
        <v>941</v>
      </c>
      <c r="C1006" s="279">
        <v>40288</v>
      </c>
      <c r="D1006" t="s">
        <v>575</v>
      </c>
      <c r="E1006" t="s">
        <v>772</v>
      </c>
    </row>
    <row r="1007" spans="1:5" x14ac:dyDescent="0.25">
      <c r="A1007" s="279"/>
      <c r="B1007" t="s">
        <v>793</v>
      </c>
      <c r="C1007" s="279">
        <v>40287</v>
      </c>
      <c r="D1007" t="s">
        <v>819</v>
      </c>
      <c r="E1007" t="s">
        <v>794</v>
      </c>
    </row>
    <row r="1008" spans="1:5" x14ac:dyDescent="0.25">
      <c r="A1008" s="279"/>
      <c r="B1008" t="s">
        <v>942</v>
      </c>
      <c r="C1008" s="279">
        <v>40277</v>
      </c>
      <c r="D1008" t="s">
        <v>575</v>
      </c>
      <c r="E1008" t="s">
        <v>851</v>
      </c>
    </row>
    <row r="1009" spans="1:5" x14ac:dyDescent="0.25">
      <c r="A1009" s="279"/>
      <c r="B1009" t="s">
        <v>760</v>
      </c>
      <c r="C1009" s="279">
        <v>40269</v>
      </c>
      <c r="D1009" t="s">
        <v>570</v>
      </c>
      <c r="E1009" t="s">
        <v>603</v>
      </c>
    </row>
    <row r="1010" spans="1:5" x14ac:dyDescent="0.25">
      <c r="A1010" s="279"/>
      <c r="B1010" t="s">
        <v>943</v>
      </c>
      <c r="C1010" s="279">
        <v>40253</v>
      </c>
      <c r="D1010" t="s">
        <v>582</v>
      </c>
      <c r="E1010" t="s">
        <v>944</v>
      </c>
    </row>
    <row r="1011" spans="1:5" x14ac:dyDescent="0.25">
      <c r="A1011" s="279"/>
      <c r="B1011" t="s">
        <v>943</v>
      </c>
      <c r="C1011" s="279">
        <v>40253</v>
      </c>
      <c r="D1011" t="s">
        <v>641</v>
      </c>
      <c r="E1011" t="s">
        <v>944</v>
      </c>
    </row>
    <row r="1012" spans="1:5" x14ac:dyDescent="0.25">
      <c r="A1012" s="279"/>
      <c r="B1012" t="s">
        <v>943</v>
      </c>
      <c r="C1012" s="279">
        <v>40253</v>
      </c>
      <c r="D1012" t="s">
        <v>575</v>
      </c>
      <c r="E1012" t="s">
        <v>944</v>
      </c>
    </row>
    <row r="1013" spans="1:5" x14ac:dyDescent="0.25">
      <c r="A1013" s="279"/>
      <c r="B1013" t="s">
        <v>943</v>
      </c>
      <c r="C1013" s="279">
        <v>40253</v>
      </c>
      <c r="D1013" t="s">
        <v>642</v>
      </c>
      <c r="E1013" t="s">
        <v>944</v>
      </c>
    </row>
    <row r="1014" spans="1:5" x14ac:dyDescent="0.25">
      <c r="A1014" s="279"/>
      <c r="B1014" t="s">
        <v>945</v>
      </c>
      <c r="C1014" s="279">
        <v>40253</v>
      </c>
      <c r="D1014" t="s">
        <v>575</v>
      </c>
      <c r="E1014" t="s">
        <v>834</v>
      </c>
    </row>
    <row r="1015" spans="1:5" x14ac:dyDescent="0.25">
      <c r="A1015" s="279"/>
      <c r="B1015" t="s">
        <v>945</v>
      </c>
      <c r="C1015" s="279">
        <v>40253</v>
      </c>
      <c r="D1015" t="s">
        <v>642</v>
      </c>
      <c r="E1015" t="s">
        <v>834</v>
      </c>
    </row>
    <row r="1016" spans="1:5" x14ac:dyDescent="0.25">
      <c r="A1016" s="279"/>
      <c r="B1016" t="s">
        <v>770</v>
      </c>
      <c r="C1016" s="279">
        <v>40239</v>
      </c>
      <c r="D1016" t="s">
        <v>641</v>
      </c>
      <c r="E1016" t="s">
        <v>603</v>
      </c>
    </row>
    <row r="1017" spans="1:5" x14ac:dyDescent="0.25">
      <c r="A1017" s="279"/>
      <c r="B1017" t="s">
        <v>770</v>
      </c>
      <c r="C1017" s="279">
        <v>40239</v>
      </c>
      <c r="D1017" t="s">
        <v>575</v>
      </c>
      <c r="E1017" t="s">
        <v>632</v>
      </c>
    </row>
    <row r="1018" spans="1:5" x14ac:dyDescent="0.25">
      <c r="A1018" s="279"/>
      <c r="B1018" t="s">
        <v>770</v>
      </c>
      <c r="C1018" s="279">
        <v>40239</v>
      </c>
      <c r="D1018" t="s">
        <v>642</v>
      </c>
      <c r="E1018" t="s">
        <v>603</v>
      </c>
    </row>
    <row r="1019" spans="1:5" x14ac:dyDescent="0.25">
      <c r="A1019" s="279"/>
      <c r="B1019" t="s">
        <v>946</v>
      </c>
      <c r="C1019" s="279">
        <v>40234</v>
      </c>
      <c r="D1019" t="s">
        <v>707</v>
      </c>
      <c r="E1019" t="s">
        <v>947</v>
      </c>
    </row>
    <row r="1020" spans="1:5" x14ac:dyDescent="0.25">
      <c r="A1020" s="279"/>
      <c r="B1020" t="s">
        <v>946</v>
      </c>
      <c r="C1020" s="279">
        <v>40213</v>
      </c>
      <c r="D1020" t="s">
        <v>641</v>
      </c>
      <c r="E1020" t="s">
        <v>678</v>
      </c>
    </row>
    <row r="1021" spans="1:5" x14ac:dyDescent="0.25">
      <c r="A1021" s="279"/>
      <c r="B1021" t="s">
        <v>946</v>
      </c>
      <c r="C1021" s="279">
        <v>40213</v>
      </c>
      <c r="D1021" t="s">
        <v>642</v>
      </c>
      <c r="E1021" t="s">
        <v>678</v>
      </c>
    </row>
    <row r="1022" spans="1:5" x14ac:dyDescent="0.25">
      <c r="A1022" s="279"/>
      <c r="B1022" t="s">
        <v>948</v>
      </c>
      <c r="C1022" s="279">
        <v>40211</v>
      </c>
      <c r="D1022" t="s">
        <v>582</v>
      </c>
      <c r="E1022" t="s">
        <v>583</v>
      </c>
    </row>
    <row r="1023" spans="1:5" x14ac:dyDescent="0.25">
      <c r="A1023" s="279"/>
      <c r="B1023" t="s">
        <v>948</v>
      </c>
      <c r="C1023" s="279">
        <v>40211</v>
      </c>
      <c r="D1023" t="s">
        <v>575</v>
      </c>
      <c r="E1023" t="s">
        <v>583</v>
      </c>
    </row>
    <row r="1024" spans="1:5" x14ac:dyDescent="0.25">
      <c r="A1024" s="279"/>
      <c r="B1024" t="s">
        <v>949</v>
      </c>
      <c r="C1024" s="279">
        <v>40206</v>
      </c>
      <c r="D1024" t="s">
        <v>792</v>
      </c>
      <c r="E1024" t="s">
        <v>950</v>
      </c>
    </row>
    <row r="1025" spans="1:5" x14ac:dyDescent="0.25">
      <c r="A1025" s="279"/>
      <c r="B1025" t="s">
        <v>869</v>
      </c>
      <c r="C1025" s="279">
        <v>40204</v>
      </c>
      <c r="D1025" t="s">
        <v>575</v>
      </c>
      <c r="E1025" t="s">
        <v>552</v>
      </c>
    </row>
    <row r="1026" spans="1:5" x14ac:dyDescent="0.25">
      <c r="A1026" s="279"/>
      <c r="B1026" t="s">
        <v>869</v>
      </c>
      <c r="C1026" s="279">
        <v>40204</v>
      </c>
      <c r="D1026" t="s">
        <v>642</v>
      </c>
      <c r="E1026" t="s">
        <v>552</v>
      </c>
    </row>
    <row r="1027" spans="1:5" x14ac:dyDescent="0.25">
      <c r="A1027" s="279"/>
      <c r="B1027" t="s">
        <v>951</v>
      </c>
      <c r="C1027" s="279">
        <v>40193</v>
      </c>
      <c r="D1027" t="s">
        <v>570</v>
      </c>
      <c r="E1027" t="s">
        <v>952</v>
      </c>
    </row>
    <row r="1028" spans="1:5" x14ac:dyDescent="0.25">
      <c r="A1028" s="279"/>
      <c r="B1028" t="s">
        <v>855</v>
      </c>
      <c r="C1028" s="279">
        <v>40190</v>
      </c>
      <c r="D1028" t="s">
        <v>762</v>
      </c>
      <c r="E1028" t="s">
        <v>856</v>
      </c>
    </row>
    <row r="1029" spans="1:5" x14ac:dyDescent="0.25">
      <c r="A1029" s="279"/>
      <c r="B1029" t="s">
        <v>953</v>
      </c>
      <c r="C1029" s="279">
        <v>40190</v>
      </c>
      <c r="D1029" t="s">
        <v>641</v>
      </c>
      <c r="E1029" t="s">
        <v>954</v>
      </c>
    </row>
    <row r="1030" spans="1:5" x14ac:dyDescent="0.25">
      <c r="A1030" s="279"/>
      <c r="B1030" t="s">
        <v>953</v>
      </c>
      <c r="C1030" s="279">
        <v>40190</v>
      </c>
      <c r="D1030" t="s">
        <v>642</v>
      </c>
      <c r="E1030" t="s">
        <v>954</v>
      </c>
    </row>
    <row r="1031" spans="1:5" x14ac:dyDescent="0.25">
      <c r="A1031" s="279"/>
      <c r="B1031" t="s">
        <v>953</v>
      </c>
      <c r="C1031" s="279">
        <v>40190</v>
      </c>
      <c r="D1031" t="s">
        <v>707</v>
      </c>
      <c r="E1031" t="s">
        <v>955</v>
      </c>
    </row>
  </sheetData>
  <autoFilter ref="B3:E1031" xr:uid="{00000000-0001-0000-0000-000000000000}">
    <sortState xmlns:xlrd2="http://schemas.microsoft.com/office/spreadsheetml/2017/richdata2" ref="B4:E1031">
      <sortCondition descending="1" ref="C3:C1031"/>
    </sortState>
  </autoFilter>
  <hyperlinks>
    <hyperlink ref="B1002" r:id="rId1" tooltip="2010 FIFA World Cup South Africa (video game)" display="https://en.wikipedia.org/wiki/2010_FIFA_World_Cup_South_Africa_(video_game)" xr:uid="{00A33D10-46E7-4AA1-9A9F-D404368EF378}"/>
    <hyperlink ref="D1002" r:id="rId2" tooltip="PlayStation 3" display="https://en.wikipedia.org/wiki/PlayStation_3" xr:uid="{4BB26277-969F-4735-9CAE-9D0614FA25A8}"/>
    <hyperlink ref="E1002" r:id="rId3" tooltip="EA Canada" display="https://en.wikipedia.org/wiki/EA_Canada" xr:uid="{1250947A-9B66-47C5-A1C9-68EA0314D997}"/>
    <hyperlink ref="B1003" r:id="rId4" tooltip="2010 FIFA World Cup South Africa (video game)" display="https://en.wikipedia.org/wiki/2010_FIFA_World_Cup_South_Africa_(video_game)" xr:uid="{4191FF16-E18E-4DDA-80EE-B53C203D77E8}"/>
    <hyperlink ref="D1003" r:id="rId5" tooltip="PlayStation Portable" display="https://en.wikipedia.org/wiki/PlayStation_Portable" xr:uid="{E34F5237-2E8B-4AEA-9EDE-A810094829DA}"/>
    <hyperlink ref="E1003" r:id="rId6" tooltip="HB Studios" display="https://en.wikipedia.org/wiki/HB_Studios" xr:uid="{F4B4F792-2649-414F-9A9E-6510CC15821D}"/>
    <hyperlink ref="B1004" r:id="rId7" tooltip="2010 FIFA World Cup South Africa (video game)" display="https://en.wikipedia.org/wiki/2010_FIFA_World_Cup_South_Africa_(video_game)" xr:uid="{C094DA58-CF6A-48DE-AE9D-D70B3DB4171C}"/>
    <hyperlink ref="D1004" r:id="rId8" tooltip="Wii" display="https://en.wikipedia.org/wiki/Wii" xr:uid="{21E23F89-0E56-4951-9C2B-42006E6B2E9E}"/>
    <hyperlink ref="E1004" r:id="rId9" tooltip="HB Studios" display="https://en.wikipedia.org/wiki/HB_Studios" xr:uid="{8BD7447C-160D-458A-86F6-03FCA05EC05B}"/>
    <hyperlink ref="B1005" r:id="rId10" tooltip="2010 FIFA World Cup South Africa (video game)" display="https://en.wikipedia.org/wiki/2010_FIFA_World_Cup_South_Africa_(video_game)" xr:uid="{C98A3C13-6EDB-4901-878A-815D5E7FC106}"/>
    <hyperlink ref="D1005" r:id="rId11" tooltip="Xbox 360" display="https://en.wikipedia.org/wiki/Xbox_360" xr:uid="{368AE64F-5732-4A7D-B887-EFB911600B69}"/>
    <hyperlink ref="E1005" r:id="rId12" tooltip="EA Canada" display="https://en.wikipedia.org/wiki/EA_Canada" xr:uid="{36C253D1-5F82-4FBE-9F5F-26AD53ACECF6}"/>
    <hyperlink ref="B984" r:id="rId13" tooltip="2010 FIFA World Cup South Africa (video game)" display="https://en.wikipedia.org/wiki/2010_FIFA_World_Cup_South_Africa_(video_game)" xr:uid="{FAACCBF2-C7DD-4240-93F1-0F4031A11F5E}"/>
    <hyperlink ref="D984" r:id="rId14" tooltip="IOS" display="https://en.wikipedia.org/wiki/IOS" xr:uid="{2F83C0DE-92BF-4A63-B223-B0117F85A179}"/>
    <hyperlink ref="E984" r:id="rId15" tooltip="EA Canada" display="https://en.wikipedia.org/wiki/EA_Canada" xr:uid="{B123652C-DE84-4FD7-A4AB-89F4FDA6AB70}"/>
    <hyperlink ref="B531" r:id="rId16" tooltip="2014 FIFA World Cup Brazil (video game)" display="https://en.wikipedia.org/wiki/2014_FIFA_World_Cup_Brazil_(video_game)" xr:uid="{3677CEB7-EB21-400C-B0DD-FA7B1B9FBF30}"/>
    <hyperlink ref="D531" r:id="rId17" tooltip="PlayStation 3" display="https://en.wikipedia.org/wiki/PlayStation_3" xr:uid="{CC2A55E4-F275-41E0-949B-056A89CC0FD4}"/>
    <hyperlink ref="E531" r:id="rId18" tooltip="EA Canada" display="https://en.wikipedia.org/wiki/EA_Canada" xr:uid="{2F9090FA-DB27-4957-8C11-E79FECD86D5C}"/>
    <hyperlink ref="B532" r:id="rId19" tooltip="2014 FIFA World Cup Brazil (video game)" display="https://en.wikipedia.org/wiki/2014_FIFA_World_Cup_Brazil_(video_game)" xr:uid="{8DDF61F6-BB82-44FB-A48F-F1B867785BA6}"/>
    <hyperlink ref="D532" r:id="rId20" tooltip="Xbox 360" display="https://en.wikipedia.org/wiki/Xbox_360" xr:uid="{AF74AFE7-BBFB-404B-8ED3-CAD83A022A87}"/>
    <hyperlink ref="E532" r:id="rId21" tooltip="EA Canada" display="https://en.wikipedia.org/wiki/EA_Canada" xr:uid="{AE8271D3-9992-4851-B34A-40552E7776BF}"/>
    <hyperlink ref="B337" r:id="rId22" tooltip="A Way Out (video game)" display="https://en.wikipedia.org/wiki/A_Way_Out_(video_game)" xr:uid="{8689E478-FACA-4A3A-AD42-4B766FDAA194}"/>
    <hyperlink ref="D337" r:id="rId23" tooltip="PlayStation 4" display="https://en.wikipedia.org/wiki/PlayStation_4" xr:uid="{E94F9B40-B7A8-46A4-A9C2-B5D734546D20}"/>
    <hyperlink ref="E337" r:id="rId24" tooltip="Hazelight Studios" display="https://en.wikipedia.org/wiki/Hazelight_Studios" xr:uid="{0C233064-FCC2-4BA6-A5C6-B98BDEADABE2}"/>
    <hyperlink ref="B338" r:id="rId25" tooltip="A Way Out (video game)" display="https://en.wikipedia.org/wiki/A_Way_Out_(video_game)" xr:uid="{430717B6-C46B-4650-8CB0-007D5C22F37C}"/>
    <hyperlink ref="D338" r:id="rId26" tooltip="Microsoft Windows" display="https://en.wikipedia.org/wiki/Microsoft_Windows" xr:uid="{47B8C7AE-71A9-4B7E-AA1A-A67E9C98F240}"/>
    <hyperlink ref="E338" r:id="rId27" tooltip="Hazelight Studios" display="https://en.wikipedia.org/wiki/Hazelight_Studios" xr:uid="{F84CEC9F-0F57-42A3-A053-531555B215DB}"/>
    <hyperlink ref="B339" r:id="rId28" tooltip="A Way Out (video game)" display="https://en.wikipedia.org/wiki/A_Way_Out_(video_game)" xr:uid="{956E1164-35A0-4721-BF31-4BA0645DA74C}"/>
    <hyperlink ref="D339" r:id="rId29" tooltip="Xbox One" display="https://en.wikipedia.org/wiki/Xbox_One" xr:uid="{303D3D23-D306-466E-AFD8-73F98FA338D3}"/>
    <hyperlink ref="E339" r:id="rId30" tooltip="Hazelight Studios" display="https://en.wikipedia.org/wiki/Hazelight_Studios" xr:uid="{CB7088F6-9380-4776-B40B-F077D30C4B28}"/>
    <hyperlink ref="B811" r:id="rId31" tooltip="Alice: Madness Returns" display="https://en.wikipedia.org/wiki/Alice:_Madness_Returns" xr:uid="{092CA699-D5BE-4C60-8D7A-942D5E940332}"/>
    <hyperlink ref="D811" r:id="rId32" tooltip="IOS" display="https://en.wikipedia.org/wiki/IOS" xr:uid="{0616E9F0-343F-4861-89EE-90BEB7E8A83A}"/>
    <hyperlink ref="E811" r:id="rId33" tooltip="Spicy Horse" display="https://en.wikipedia.org/wiki/Spicy_Horse" xr:uid="{14238139-DC2D-4173-98F5-06805A65C1E0}"/>
    <hyperlink ref="B812" r:id="rId34" tooltip="Alice: Madness Returns" display="https://en.wikipedia.org/wiki/Alice:_Madness_Returns" xr:uid="{F9297CD3-7B2E-4427-A5B7-E34A68D858AB}"/>
    <hyperlink ref="D812" r:id="rId35" tooltip="PlayStation 3" display="https://en.wikipedia.org/wiki/PlayStation_3" xr:uid="{210EE401-C499-40AE-AD94-F2387F8BC7E7}"/>
    <hyperlink ref="E812" r:id="rId36" tooltip="Spicy Horse" display="https://en.wikipedia.org/wiki/Spicy_Horse" xr:uid="{3C87BFF8-248E-4053-837F-4FDB3054DD53}"/>
    <hyperlink ref="B813" r:id="rId37" tooltip="Alice: Madness Returns" display="https://en.wikipedia.org/wiki/Alice:_Madness_Returns" xr:uid="{5F1EB908-A004-42D8-9E8F-72ED38241D52}"/>
    <hyperlink ref="D813" r:id="rId38" tooltip="Microsoft Windows" display="https://en.wikipedia.org/wiki/Microsoft_Windows" xr:uid="{BBB7A835-D8A4-4125-9ADA-6305BA755625}"/>
    <hyperlink ref="E813" r:id="rId39" tooltip="Spicy Horse" display="https://en.wikipedia.org/wiki/Spicy_Horse" xr:uid="{CD0FF860-0B52-46A4-B5F6-445810FEDD70}"/>
    <hyperlink ref="B814" r:id="rId40" tooltip="Alice: Madness Returns" display="https://en.wikipedia.org/wiki/Alice:_Madness_Returns" xr:uid="{CF7656C9-0490-4C7F-A4B8-F6CA6DC690F7}"/>
    <hyperlink ref="D814" r:id="rId41" tooltip="Xbox 360" display="https://en.wikipedia.org/wiki/Xbox_360" xr:uid="{F573DFB9-10CA-43CA-9FFD-0BEC46D7C489}"/>
    <hyperlink ref="E814" r:id="rId42" tooltip="Spicy Horse" display="https://en.wikipedia.org/wiki/Spicy_Horse" xr:uid="{E180BF61-6819-42E9-B74D-8CD460244F4A}"/>
    <hyperlink ref="B389" r:id="rId43" tooltip="Alice: Madness Returns" display="https://en.wikipedia.org/wiki/Alice:_Madness_Returns" xr:uid="{CB2127A3-85C7-487D-89A6-7FA17DDD92D4}"/>
    <hyperlink ref="D389" r:id="rId44" tooltip="Xbox One" display="https://en.wikipedia.org/wiki/Xbox_One" xr:uid="{A17A0052-EFFF-492F-8A1A-C5EE07259911}"/>
    <hyperlink ref="E389" r:id="rId45" tooltip="Spicy Horse" display="https://en.wikipedia.org/wiki/Spicy_Horse" xr:uid="{9977D959-A977-4AC1-A59E-40BB991741FF}"/>
    <hyperlink ref="B809" r:id="rId46" tooltip="American McGee's Alice" display="https://en.wikipedia.org/wiki/American_McGee%27s_Alice" xr:uid="{BC28F21F-021C-4C22-B32F-4FC68B23312C}"/>
    <hyperlink ref="D809" r:id="rId47" tooltip="PlayStation 3" display="https://en.wikipedia.org/wiki/PlayStation_3" xr:uid="{EA0FE3BC-5A74-4142-A748-2CB7D0F23B5C}"/>
    <hyperlink ref="E809" r:id="rId48" tooltip="Rogue Entertainment" display="https://en.wikipedia.org/wiki/Rogue_Entertainment" xr:uid="{723D8EEC-5D86-46E8-AB71-B547C935241F}"/>
    <hyperlink ref="B810" r:id="rId49" tooltip="American McGee's Alice" display="https://en.wikipedia.org/wiki/American_McGee%27s_Alice" xr:uid="{6B68D30E-B7BD-4FAA-BFBF-A6E60840F159}"/>
    <hyperlink ref="D810" r:id="rId50" tooltip="Xbox 360" display="https://en.wikipedia.org/wiki/Xbox_360" xr:uid="{72B76FF0-EE40-40C0-AA24-10B012852C35}"/>
    <hyperlink ref="E810" r:id="rId51" tooltip="Rogue Entertainment" display="https://en.wikipedia.org/wiki/Rogue_Entertainment" xr:uid="{ABC24121-1174-4A13-89A6-193E454AFB8E}"/>
    <hyperlink ref="B284" r:id="rId52" tooltip="Anthem (video game)" display="https://en.wikipedia.org/wiki/Anthem_(video_game)" xr:uid="{3CE264DF-DB47-47A2-BF03-FF01D13747DF}"/>
    <hyperlink ref="D284" r:id="rId53" tooltip="PlayStation 4" display="https://en.wikipedia.org/wiki/PlayStation_4" xr:uid="{AA7FAD7D-4706-43DF-96A6-D156A2C77862}"/>
    <hyperlink ref="E284" r:id="rId54" tooltip="BioWare" display="https://en.wikipedia.org/wiki/BioWare" xr:uid="{9E0B0F31-84FF-4B73-AFCF-1DAE16FF3ED8}"/>
    <hyperlink ref="B285" r:id="rId55" tooltip="Anthem (video game)" display="https://en.wikipedia.org/wiki/Anthem_(video_game)" xr:uid="{2A9DEED9-781C-481C-8EE9-14F8D37E2ED4}"/>
    <hyperlink ref="D285" r:id="rId56" tooltip="Microsoft Windows" display="https://en.wikipedia.org/wiki/Microsoft_Windows" xr:uid="{4B3DACDC-1BE4-463F-BC8F-D600F1226A41}"/>
    <hyperlink ref="E285" r:id="rId57" tooltip="BioWare" display="https://en.wikipedia.org/wiki/BioWare" xr:uid="{8FFF7779-4F9B-4BA7-948B-0786111E7B84}"/>
    <hyperlink ref="B286" r:id="rId58" tooltip="Anthem (video game)" display="https://en.wikipedia.org/wiki/Anthem_(video_game)" xr:uid="{1262CA26-F671-48A5-B143-01DCCE15E9E0}"/>
    <hyperlink ref="D286" r:id="rId59" tooltip="Xbox One" display="https://en.wikipedia.org/wiki/Xbox_One" xr:uid="{ED640A2C-1386-4A95-8F3E-42341ADFF83E}"/>
    <hyperlink ref="E286" r:id="rId60" tooltip="BioWare" display="https://en.wikipedia.org/wiki/BioWare" xr:uid="{591D452E-4FDF-4B1E-B005-137BF0A96255}"/>
    <hyperlink ref="B983" r:id="rId61" tooltip="APB: All Points Bulletin" display="https://en.wikipedia.org/wiki/APB:_All_Points_Bulletin" xr:uid="{9558D668-27C3-4B57-BEDA-51E7A8B8EC47}"/>
    <hyperlink ref="D983" r:id="rId62" tooltip="Microsoft Windows" display="https://en.wikipedia.org/wiki/Microsoft_Windows" xr:uid="{E066FD41-1758-4C72-82AD-144C4C0FE2B4}"/>
    <hyperlink ref="E983" r:id="rId63" tooltip="Realtime Worlds" display="https://en.wikipedia.org/wiki/Realtime_Worlds" xr:uid="{AEF24D5B-358F-4280-AEE0-2AB0765D28FA}"/>
    <hyperlink ref="B129" r:id="rId64" tooltip="Apex Legends" display="https://en.wikipedia.org/wiki/Apex_Legends" xr:uid="{00364E98-E33D-405F-A68F-542722408F21}"/>
    <hyperlink ref="D129" r:id="rId65" tooltip="PlayStation 5" display="https://en.wikipedia.org/wiki/PlayStation_5" xr:uid="{478DD2F3-04E7-4F4D-B1F5-FE6B436DDD3A}"/>
    <hyperlink ref="E129" r:id="rId66" tooltip="Respawn Entertainment" display="https://en.wikipedia.org/wiki/Respawn_Entertainment" xr:uid="{1EB7F30D-7091-4F42-872D-97547D40137C}"/>
    <hyperlink ref="B130" r:id="rId67" tooltip="Apex Legends" display="https://en.wikipedia.org/wiki/Apex_Legends" xr:uid="{DC79F5B0-00A0-4753-93A4-6D7A08B78494}"/>
    <hyperlink ref="D130" r:id="rId68" tooltip="Xbox Series X/S" display="https://en.wikipedia.org/wiki/Xbox_Series_X/S" xr:uid="{F8A13A65-FB4C-454D-8CD1-A50B42D3027E}"/>
    <hyperlink ref="E130" r:id="rId69" tooltip="Respawn Entertainment" display="https://en.wikipedia.org/wiki/Respawn_Entertainment" xr:uid="{B4D8219A-4CCA-4FCE-B556-79CC3AC4E83F}"/>
    <hyperlink ref="B289" r:id="rId70" tooltip="Apex Legends" display="https://en.wikipedia.org/wiki/Apex_Legends" xr:uid="{911256D8-6272-49E8-89C2-44FC6806CE8C}"/>
    <hyperlink ref="D289" r:id="rId71" tooltip="PlayStation 4" display="https://en.wikipedia.org/wiki/PlayStation_4" xr:uid="{9E140082-2A38-4B9F-BC18-F2DF2177CC04}"/>
    <hyperlink ref="E289" r:id="rId72" tooltip="Respawn Entertainment" display="https://en.wikipedia.org/wiki/Respawn_Entertainment" xr:uid="{2F79D2B7-1967-4654-9882-7F8410B78763}"/>
    <hyperlink ref="B290" r:id="rId73" tooltip="Apex Legends" display="https://en.wikipedia.org/wiki/Apex_Legends" xr:uid="{FCD11FFF-32A3-497A-ABEE-C2DE87827D84}"/>
    <hyperlink ref="D290" r:id="rId74" tooltip="Microsoft Windows" display="https://en.wikipedia.org/wiki/Microsoft_Windows" xr:uid="{C3073681-C8E2-45B8-A177-E25D12AA00A6}"/>
    <hyperlink ref="E290" r:id="rId75" tooltip="Respawn Entertainment" display="https://en.wikipedia.org/wiki/Respawn_Entertainment" xr:uid="{D55E6035-2A2C-48C8-9AA5-AAD7C6F6FACF}"/>
    <hyperlink ref="B291" r:id="rId76" tooltip="Apex Legends" display="https://en.wikipedia.org/wiki/Apex_Legends" xr:uid="{612B5AA3-2851-4A25-B78A-F1B918744E4A}"/>
    <hyperlink ref="D291" r:id="rId77" tooltip="Xbox One" display="https://en.wikipedia.org/wiki/Xbox_One" xr:uid="{4B685A9B-96A6-4BBF-9543-31164851C751}"/>
    <hyperlink ref="E291" r:id="rId78" tooltip="Respawn Entertainment" display="https://en.wikipedia.org/wiki/Respawn_Entertainment" xr:uid="{13AF32AD-A7D0-48F2-8A91-AA1E94862AE6}"/>
    <hyperlink ref="B200" r:id="rId79" tooltip="Apex Legends" display="https://en.wikipedia.org/wiki/Apex_Legends" xr:uid="{34503E6D-D343-4D4F-B7D4-E9033BC2B686}"/>
    <hyperlink ref="D200" r:id="rId80" tooltip="Nintendo Switch" display="https://en.wikipedia.org/wiki/Nintendo_Switch" xr:uid="{FB470BD4-B4E2-41C2-9DAD-2C975A1152BF}"/>
    <hyperlink ref="B127" r:id="rId81" tooltip="Apex Legends" display="https://en.wikipedia.org/wiki/Apex_Legends" xr:uid="{4759300A-D69A-4BA1-B188-4DB8C18B3DB1}"/>
    <hyperlink ref="D127" r:id="rId82" tooltip="Android (operating system)" display="https://en.wikipedia.org/wiki/Android_(operating_system)" xr:uid="{44D59091-2907-438B-8B99-57509E90CD1E}"/>
    <hyperlink ref="E127" r:id="rId83" tooltip="Respawn Entertainment" display="https://en.wikipedia.org/wiki/Respawn_Entertainment" xr:uid="{0BDD6869-E58A-42EA-BF73-3BE6E08DB48C}"/>
    <hyperlink ref="B128" r:id="rId84" tooltip="Apex Legends" display="https://en.wikipedia.org/wiki/Apex_Legends" xr:uid="{723FFC5A-F1E4-4846-91D5-F7A95A9C705A}"/>
    <hyperlink ref="D128" r:id="rId85" tooltip="IOS" display="https://en.wikipedia.org/wiki/IOS" xr:uid="{9430E2EC-31CC-4AA3-9FE6-E17564CE251A}"/>
    <hyperlink ref="E128" r:id="rId86" tooltip="Respawn Entertainment" display="https://en.wikipedia.org/wiki/Respawn_Entertainment" xr:uid="{7E28F8D5-BD32-44A0-A44C-67A17F87E25F}"/>
    <hyperlink ref="B1029" r:id="rId87" tooltip="Army of Two: The 40th Day" display="https://en.wikipedia.org/wiki/Army_of_Two:_The_40th_Day" xr:uid="{72EF68C4-B0D1-4D6D-AA31-1E47126DEF2E}"/>
    <hyperlink ref="D1029" r:id="rId88" tooltip="PlayStation 3" display="https://en.wikipedia.org/wiki/PlayStation_3" xr:uid="{409CFC43-52D9-4F8F-8B72-DA930A9554B3}"/>
    <hyperlink ref="E1029" r:id="rId89" tooltip="EA Montreal" display="https://en.wikipedia.org/wiki/EA_Montreal" xr:uid="{B10A3A1E-965E-46A5-9290-00CE6A50C897}"/>
    <hyperlink ref="B1030" r:id="rId90" tooltip="Army of Two: The 40th Day" display="https://en.wikipedia.org/wiki/Army_of_Two:_The_40th_Day" xr:uid="{CE637667-56B5-4603-BCCD-D4B6B70C4986}"/>
    <hyperlink ref="D1030" r:id="rId91" tooltip="Xbox 360" display="https://en.wikipedia.org/wiki/Xbox_360" xr:uid="{7BD2AC59-36A3-40E2-AF32-80D4E86C5CF5}"/>
    <hyperlink ref="E1030" r:id="rId92" tooltip="EA Montreal" display="https://en.wikipedia.org/wiki/EA_Montreal" xr:uid="{75C32ECF-27C4-493B-B327-75695D8F9FAF}"/>
    <hyperlink ref="B1031" r:id="rId93" tooltip="Army of Two: The 40th Day" display="https://en.wikipedia.org/wiki/Army_of_Two:_The_40th_Day" xr:uid="{5F715512-84D8-4E1B-8E53-D510B0263077}"/>
    <hyperlink ref="D1031" r:id="rId94" tooltip="PlayStation Portable" display="https://en.wikipedia.org/wiki/PlayStation_Portable" xr:uid="{CD66370A-7765-4150-8BDD-0D11B5426366}"/>
    <hyperlink ref="E1031" r:id="rId95" tooltip="Buzz Monkey Software" display="https://en.wikipedia.org/wiki/Buzz_Monkey_Software" xr:uid="{58CCEB30-6087-4DEA-97BD-5FAB049E8EBD}"/>
    <hyperlink ref="B607" r:id="rId96" tooltip="Army of Two: The Devil's Cartel" display="https://en.wikipedia.org/wiki/Army_of_Two:_The_Devil%27s_Cartel" xr:uid="{59E464AD-74F7-414D-9A38-A4FF3A67F64A}"/>
    <hyperlink ref="D607" r:id="rId97" tooltip="PlayStation 3" display="https://en.wikipedia.org/wiki/PlayStation_3" xr:uid="{D2DD14B2-2756-4E6E-A33B-DED7E84CA9FA}"/>
    <hyperlink ref="B608" r:id="rId98" tooltip="Army of Two: The Devil's Cartel" display="https://en.wikipedia.org/wiki/Army_of_Two:_The_Devil%27s_Cartel" xr:uid="{06A07583-E652-4B0A-899B-9CBCD5A0F654}"/>
    <hyperlink ref="D608" r:id="rId99" tooltip="Xbox 360" display="https://en.wikipedia.org/wiki/Xbox_360" xr:uid="{D4DB5E10-1D40-478E-8A66-277CB57B65B7}"/>
    <hyperlink ref="B904" r:id="rId100" tooltip="Auditorium (video game)" display="https://en.wikipedia.org/wiki/Auditorium_(video_game)" xr:uid="{D3C1728F-EA0E-4A0C-9B31-F0CA417571A7}"/>
    <hyperlink ref="D904" r:id="rId101" tooltip="PlayStation 3" display="https://en.wikipedia.org/wiki/PlayStation_3" xr:uid="{12CA30C8-1844-47EC-850F-BA956565F013}"/>
    <hyperlink ref="E904" r:id="rId102" tooltip="Cipher Prime" display="https://en.wikipedia.org/wiki/Cipher_Prime" xr:uid="{7AE68DDA-4879-41C2-8632-06D53C8B858B}"/>
    <hyperlink ref="B905" r:id="rId103" tooltip="Auditorium (video game)" display="https://en.wikipedia.org/wiki/Auditorium_(video_game)" xr:uid="{943D1270-F76E-4DE7-8946-BD692C502D31}"/>
    <hyperlink ref="D905" r:id="rId104" tooltip="PlayStation Portable" display="https://en.wikipedia.org/wiki/PlayStation_Portable" xr:uid="{951C2F0B-6784-45D3-BACD-439AD37B06BD}"/>
    <hyperlink ref="E905" r:id="rId105" tooltip="Cipher Prime" display="https://en.wikipedia.org/wiki/Cipher_Prime" xr:uid="{5687527D-ED9E-4FA6-A2DB-0C2357A752AE}"/>
    <hyperlink ref="B903" r:id="rId106" tooltip="Auditorium (video game)" display="https://en.wikipedia.org/wiki/Auditorium_(video_game)" xr:uid="{03F69A1C-FBDD-4808-8F8E-403A10E54A8D}"/>
    <hyperlink ref="D903" r:id="rId107" tooltip="Xbox 360" display="https://en.wikipedia.org/wiki/Xbox_360" xr:uid="{1F039ACB-C87D-4152-AC6B-0C8C6D7DCDCD}"/>
    <hyperlink ref="E903" r:id="rId108" tooltip="Cipher Prime" display="https://en.wikipedia.org/wiki/Cipher_Prime" xr:uid="{FEACFD40-D461-4111-9B14-F143EE83A253}"/>
    <hyperlink ref="B701" r:id="rId109" tooltip="Auditorium (video game)" display="https://en.wikipedia.org/wiki/Auditorium_(video_game)" xr:uid="{3C1F0D64-6467-4A09-A95A-FD0735C0B887}"/>
    <hyperlink ref="D701" r:id="rId110" tooltip="Macintosh" display="https://en.wikipedia.org/wiki/Macintosh" xr:uid="{7F0CBE07-F0E1-4E35-801A-17A36B4885B8}"/>
    <hyperlink ref="E701" r:id="rId111" tooltip="Cipher Prime" display="https://en.wikipedia.org/wiki/Cipher_Prime" xr:uid="{5A1C5F80-9EE2-4634-9228-35E817CAB9E4}"/>
    <hyperlink ref="B702" r:id="rId112" tooltip="Auditorium (video game)" display="https://en.wikipedia.org/wiki/Auditorium_(video_game)" xr:uid="{2D2EEFCC-E38A-4EEF-AE71-80C422F85914}"/>
    <hyperlink ref="D702" r:id="rId113" tooltip="Microsoft Windows" display="https://en.wikipedia.org/wiki/Microsoft_Windows" xr:uid="{3A78E40F-8BD9-479A-920C-361085D1F2DF}"/>
    <hyperlink ref="E702" r:id="rId114" tooltip="Cipher Prime" display="https://en.wikipedia.org/wiki/Cipher_Prime" xr:uid="{2CCDAD79-63BA-4F7D-ADD2-DD2466E016FD}"/>
    <hyperlink ref="D444" r:id="rId115" tooltip="Android (operating system)" display="https://en.wikipedia.org/wiki/Android_(operating_system)" xr:uid="{451C7AE5-8C38-4D0C-9A55-B34405857D5E}"/>
    <hyperlink ref="D445" r:id="rId116" tooltip="IOS" display="https://en.wikipedia.org/wiki/IOS" xr:uid="{4C1E433B-B4B4-4608-B52C-EBC434EDC33E}"/>
    <hyperlink ref="B399" r:id="rId117" tooltip="Battlefield 1" display="https://en.wikipedia.org/wiki/Battlefield_1" xr:uid="{FE9BAFB5-8380-423E-8E55-1CCF012F2319}"/>
    <hyperlink ref="D399" r:id="rId118" tooltip="PlayStation 4" display="https://en.wikipedia.org/wiki/PlayStation_4" xr:uid="{269A7F3E-A05A-4BA5-A62C-4109557C8DA9}"/>
    <hyperlink ref="E399" r:id="rId119" tooltip="EA DICE" display="https://en.wikipedia.org/wiki/EA_DICE" xr:uid="{2E630DD4-6E66-4914-9669-1E6B4839C799}"/>
    <hyperlink ref="B400" r:id="rId120" tooltip="Battlefield 1" display="https://en.wikipedia.org/wiki/Battlefield_1" xr:uid="{1BA7E820-2348-44E5-B1FF-D4DF3C5C34AE}"/>
    <hyperlink ref="D400" r:id="rId121" tooltip="Microsoft Windows" display="https://en.wikipedia.org/wiki/Microsoft_Windows" xr:uid="{B63FD272-F516-4CEA-BFFC-FA11F85C481E}"/>
    <hyperlink ref="E400" r:id="rId122" tooltip="EA DICE" display="https://en.wikipedia.org/wiki/EA_DICE" xr:uid="{77F1CB06-4A1F-4F39-9D26-BA0457EDEE22}"/>
    <hyperlink ref="B401" r:id="rId123" tooltip="Battlefield 1" display="https://en.wikipedia.org/wiki/Battlefield_1" xr:uid="{79BF70AA-F008-415B-AAC2-308A237817ED}"/>
    <hyperlink ref="D401" r:id="rId124" tooltip="Xbox One" display="https://en.wikipedia.org/wiki/Xbox_One" xr:uid="{697CBD63-2A7D-4EF4-8AF8-3BE8D0B159E4}"/>
    <hyperlink ref="E401" r:id="rId125" tooltip="EA DICE" display="https://en.wikipedia.org/wiki/EA_DICE" xr:uid="{017D53F0-B025-4D1D-B639-E66C382658EF}"/>
    <hyperlink ref="B744" r:id="rId126" tooltip="Battlefield 3" display="https://en.wikipedia.org/wiki/Battlefield_3" xr:uid="{19BACAC3-13CE-48F0-8A16-D740BD602CFA}"/>
    <hyperlink ref="D744" r:id="rId127" tooltip="PlayStation 3" display="https://en.wikipedia.org/wiki/PlayStation_3" xr:uid="{B7D572D4-1097-42A5-8348-945585095FB1}"/>
    <hyperlink ref="E744" r:id="rId128" tooltip="EA DICE" display="https://en.wikipedia.org/wiki/EA_DICE" xr:uid="{788FF998-4F44-4885-9DF7-7EF80313CE4E}"/>
    <hyperlink ref="B745" r:id="rId129" tooltip="Battlefield 3" display="https://en.wikipedia.org/wiki/Battlefield_3" xr:uid="{F096F205-26A8-4C09-B486-D8CFCB0CC6F4}"/>
    <hyperlink ref="D745" r:id="rId130" tooltip="Microsoft Windows" display="https://en.wikipedia.org/wiki/Microsoft_Windows" xr:uid="{7BB073A6-6BCF-4A77-81E0-90168877F583}"/>
    <hyperlink ref="E745" r:id="rId131" tooltip="EA DICE" display="https://en.wikipedia.org/wiki/EA_DICE" xr:uid="{94F6004B-6B4E-4662-A75E-235C1311C0D5}"/>
    <hyperlink ref="B746" r:id="rId132" tooltip="Battlefield 3" display="https://en.wikipedia.org/wiki/Battlefield_3" xr:uid="{FB040662-8864-4FE9-AFC0-69A6D5C2BBE8}"/>
    <hyperlink ref="D746" r:id="rId133" tooltip="Xbox 360" display="https://en.wikipedia.org/wiki/Xbox_360" xr:uid="{6279458D-08A8-48C6-9DF2-13B72DC99F0F}"/>
    <hyperlink ref="E746" r:id="rId134" tooltip="EA DICE" display="https://en.wikipedia.org/wiki/EA_DICE" xr:uid="{71ADC099-94B1-428A-BCAA-82D6EC38143D}"/>
    <hyperlink ref="B560" r:id="rId135" tooltip="Battlefield 4" display="https://en.wikipedia.org/wiki/Battlefield_4" xr:uid="{E72E6090-EA3F-4048-B70B-8ED685C8FE8B}"/>
    <hyperlink ref="D560" r:id="rId136" tooltip="PlayStation 3" display="https://en.wikipedia.org/wiki/PlayStation_3" xr:uid="{0CBD17F1-06DC-4EFA-9007-3945DA9D2FF6}"/>
    <hyperlink ref="E560" r:id="rId137" tooltip="EA DICE" display="https://en.wikipedia.org/wiki/EA_DICE" xr:uid="{7EDDF6B6-9C81-4399-91C9-B39F39BB8635}"/>
    <hyperlink ref="B561" r:id="rId138" tooltip="Battlefield 4" display="https://en.wikipedia.org/wiki/Battlefield_4" xr:uid="{328E52C9-6B23-40FD-95C4-C4B0CEF0C78B}"/>
    <hyperlink ref="D561" r:id="rId139" tooltip="Microsoft Windows" display="https://en.wikipedia.org/wiki/Microsoft_Windows" xr:uid="{B523FA29-6D3B-4EDC-9C07-B0D0692ADB1B}"/>
    <hyperlink ref="E561" r:id="rId140" tooltip="EA DICE" display="https://en.wikipedia.org/wiki/EA_DICE" xr:uid="{AFABC197-35A2-4055-BC72-981C4BA0867C}"/>
    <hyperlink ref="B562" r:id="rId141" tooltip="Battlefield 4" display="https://en.wikipedia.org/wiki/Battlefield_4" xr:uid="{FD1305F7-E479-4734-A646-4B0774BF10F1}"/>
    <hyperlink ref="D562" r:id="rId142" tooltip="Xbox 360" display="https://en.wikipedia.org/wiki/Xbox_360" xr:uid="{7483156E-E70E-418E-9F2C-6F09ED345A22}"/>
    <hyperlink ref="E562" r:id="rId143" tooltip="EA DICE" display="https://en.wikipedia.org/wiki/EA_DICE" xr:uid="{9B02B42E-56B3-4CBB-B121-4CB31AA81B7E}"/>
    <hyperlink ref="B557" r:id="rId144" tooltip="Battlefield 4" display="https://en.wikipedia.org/wiki/Battlefield_4" xr:uid="{9B336143-5867-4477-BA62-FB94F20904B6}"/>
    <hyperlink ref="D557" r:id="rId145" tooltip="PlayStation 4" display="https://en.wikipedia.org/wiki/PlayStation_4" xr:uid="{47316FE9-42DE-451F-AE9F-590133ED6C13}"/>
    <hyperlink ref="E557" r:id="rId146" tooltip="EA DICE" display="https://en.wikipedia.org/wiki/EA_DICE" xr:uid="{B2562181-38EC-49F6-96A1-2451EF2C07C6}"/>
    <hyperlink ref="B548" r:id="rId147" tooltip="Battlefield 4" display="https://en.wikipedia.org/wiki/Battlefield_4" xr:uid="{010A7B2F-2C43-442E-AEA4-052039B54B06}"/>
    <hyperlink ref="D548" r:id="rId148" tooltip="Xbox One" display="https://en.wikipedia.org/wiki/Xbox_One" xr:uid="{95E346D7-8B45-486B-A52F-5834E1BCD81A}"/>
    <hyperlink ref="E548" r:id="rId149" tooltip="EA DICE" display="https://en.wikipedia.org/wiki/EA_DICE" xr:uid="{832308B4-1375-4D2E-8222-07372297CEBC}"/>
    <hyperlink ref="B1016" r:id="rId150" tooltip="Battlefield Bad Company 2" display="https://en.wikipedia.org/wiki/Battlefield_Bad_Company_2" xr:uid="{7DED12A0-7FE6-44E5-81B6-951728B586E9}"/>
    <hyperlink ref="D1016" r:id="rId151" tooltip="PlayStation 3" display="https://en.wikipedia.org/wiki/PlayStation_3" xr:uid="{E373D470-9CD8-4DA4-9213-BA108A77614E}"/>
    <hyperlink ref="E1016" r:id="rId152" tooltip="EA DICE" display="https://en.wikipedia.org/wiki/EA_DICE" xr:uid="{D15CFEF6-DD66-4B5B-9B31-337B536E4815}"/>
    <hyperlink ref="B1017" r:id="rId153" tooltip="Battlefield Bad Company 2" display="https://en.wikipedia.org/wiki/Battlefield_Bad_Company_2" xr:uid="{5539B732-85FF-483A-94A6-BB61878AB02D}"/>
    <hyperlink ref="D1017" r:id="rId154" tooltip="Microsoft Windows" display="https://en.wikipedia.org/wiki/Microsoft_Windows" xr:uid="{48D683B0-D9E1-484D-95F1-7EC21B6B13A5}"/>
    <hyperlink ref="B1018" r:id="rId155" tooltip="Battlefield Bad Company 2" display="https://en.wikipedia.org/wiki/Battlefield_Bad_Company_2" xr:uid="{A394A809-0BAA-43FC-B5D0-5D86A0696513}"/>
    <hyperlink ref="D1018" r:id="rId156" tooltip="Xbox 360" display="https://en.wikipedia.org/wiki/Xbox_360" xr:uid="{216C3158-A7BA-4B30-A013-BDAE0F59AA69}"/>
    <hyperlink ref="E1018" r:id="rId157" tooltip="EA DICE" display="https://en.wikipedia.org/wiki/EA_DICE" xr:uid="{07154DEA-9CF0-44E1-9909-183478DDF4EA}"/>
    <hyperlink ref="B865" r:id="rId158" tooltip="Battlefield Bad Company 2" display="https://en.wikipedia.org/wiki/Battlefield_Bad_Company_2" xr:uid="{638E60FE-B831-4E3C-AFF3-EC0EABF1C15B}"/>
    <hyperlink ref="D865" r:id="rId159" tooltip="IOS" display="https://en.wikipedia.org/wiki/IOS" xr:uid="{8D740737-F693-4545-9C65-6E369E6369C5}"/>
    <hyperlink ref="E865" r:id="rId160" tooltip="EA DICE" display="https://en.wikipedia.org/wiki/EA_DICE" xr:uid="{382ACCD2-0C4F-4C29-95F4-D1EBD89DD7FD}"/>
    <hyperlink ref="B676" r:id="rId161" tooltip="Battlefield Bad Company 2" display="https://en.wikipedia.org/wiki/Battlefield_Bad_Company_2" xr:uid="{E5F1D6B8-AD7D-424F-95FD-2DC037342726}"/>
    <hyperlink ref="D676" r:id="rId162" tooltip="Kindle Fire" display="https://en.wikipedia.org/wiki/Kindle_Fire" xr:uid="{D819C261-4217-4B09-81EC-AB5282835F03}"/>
    <hyperlink ref="E676" r:id="rId163" tooltip="EA DICE" display="https://en.wikipedia.org/wiki/EA_DICE" xr:uid="{347E1F0D-6B3C-4DAC-851D-A65866AB9FF3}"/>
    <hyperlink ref="B482" r:id="rId164" tooltip="Battlefield Hardline" display="https://en.wikipedia.org/wiki/Battlefield_Hardline" xr:uid="{03BB3AAF-A738-41F7-9AF3-5EA548426CC6}"/>
    <hyperlink ref="D482" r:id="rId165" tooltip="PlayStation 3" display="https://en.wikipedia.org/wiki/PlayStation_3" xr:uid="{3CA883FD-C7EE-4DD9-A783-6D0EFBC380ED}"/>
    <hyperlink ref="E482" r:id="rId166" tooltip="Visceral Games" display="https://en.wikipedia.org/wiki/Visceral_Games" xr:uid="{DA9EC98B-03E0-4A97-9354-D2C5F7F6EC8C}"/>
    <hyperlink ref="B483" r:id="rId167" tooltip="Battlefield Hardline" display="https://en.wikipedia.org/wiki/Battlefield_Hardline" xr:uid="{EC94D962-01BC-4476-BFE5-2CBE59AA458D}"/>
    <hyperlink ref="D483" r:id="rId168" tooltip="PlayStation 4" display="https://en.wikipedia.org/wiki/PlayStation_4" xr:uid="{0527DF50-6E12-49C3-8392-1B2212485E69}"/>
    <hyperlink ref="E483" r:id="rId169" tooltip="Visceral Games" display="https://en.wikipedia.org/wiki/Visceral_Games" xr:uid="{B20B6B3F-9259-48D5-AC8E-9F5971E8B1E0}"/>
    <hyperlink ref="B484" r:id="rId170" tooltip="Battlefield Hardline" display="https://en.wikipedia.org/wiki/Battlefield_Hardline" xr:uid="{D2974103-92EE-43DC-8195-B25E0A8678BA}"/>
    <hyperlink ref="D484" r:id="rId171" tooltip="Microsoft Windows" display="https://en.wikipedia.org/wiki/Microsoft_Windows" xr:uid="{FF4684A8-C833-4311-93DD-15059D85E2EC}"/>
    <hyperlink ref="E484" r:id="rId172" tooltip="Visceral Games" display="https://en.wikipedia.org/wiki/Visceral_Games" xr:uid="{62E345B5-0EB2-4E2F-9437-1C4F905F49E8}"/>
    <hyperlink ref="B485" r:id="rId173" tooltip="Battlefield Hardline" display="https://en.wikipedia.org/wiki/Battlefield_Hardline" xr:uid="{1E2DC7BB-404E-4C76-BFEB-09006EAA11DF}"/>
    <hyperlink ref="D485" r:id="rId174" tooltip="Xbox 360" display="https://en.wikipedia.org/wiki/Xbox_360" xr:uid="{FB4FF305-F0B6-4FE7-A9D3-15AF4202AECC}"/>
    <hyperlink ref="E485" r:id="rId175" tooltip="Visceral Games" display="https://en.wikipedia.org/wiki/Visceral_Games" xr:uid="{B98DD6C4-2921-4A4C-91FB-03A85DC5C3FD}"/>
    <hyperlink ref="B486" r:id="rId176" tooltip="Battlefield Hardline" display="https://en.wikipedia.org/wiki/Battlefield_Hardline" xr:uid="{6B6EEB42-5E1B-48A0-9DF0-2925CFE3764A}"/>
    <hyperlink ref="D486" r:id="rId177" tooltip="Xbox One" display="https://en.wikipedia.org/wiki/Xbox_One" xr:uid="{C8D5285B-B8F2-4230-8427-0A82DE4324EC}"/>
    <hyperlink ref="E486" r:id="rId178" tooltip="Visceral Games" display="https://en.wikipedia.org/wiki/Visceral_Games" xr:uid="{974D3CCC-0CFD-4563-B755-B6832324460F}"/>
    <hyperlink ref="B299" r:id="rId179" tooltip="Battlefield V" display="https://en.wikipedia.org/wiki/Battlefield_V" xr:uid="{BDB74A53-0D8C-4437-A8EF-695C4598D242}"/>
    <hyperlink ref="D299" r:id="rId180" tooltip="PlayStation 4" display="https://en.wikipedia.org/wiki/PlayStation_4" xr:uid="{1FE31632-CD32-462E-8941-FF48D229D8EF}"/>
    <hyperlink ref="E299" r:id="rId181" tooltip="EA DICE" display="https://en.wikipedia.org/wiki/EA_DICE" xr:uid="{F54BB04A-8F0C-4203-9872-6BF83F2E97AE}"/>
    <hyperlink ref="B300" r:id="rId182" tooltip="Battlefield V" display="https://en.wikipedia.org/wiki/Battlefield_V" xr:uid="{E825A5FD-D7F1-4D64-AF70-84840FB284F7}"/>
    <hyperlink ref="D300" r:id="rId183" tooltip="Microsoft Windows" display="https://en.wikipedia.org/wiki/Microsoft_Windows" xr:uid="{EF3D86A7-1E73-4833-BB8C-AB592D47BE2F}"/>
    <hyperlink ref="E300" r:id="rId184" tooltip="EA DICE" display="https://en.wikipedia.org/wiki/EA_DICE" xr:uid="{1F8B658C-BEAF-4A3C-9E94-1C34D06799A3}"/>
    <hyperlink ref="B301" r:id="rId185" tooltip="Battlefield V" display="https://en.wikipedia.org/wiki/Battlefield_V" xr:uid="{D113AF3D-9A64-48AD-9A64-2F3DDC75981A}"/>
    <hyperlink ref="D301" r:id="rId186" tooltip="Xbox One" display="https://en.wikipedia.org/wiki/Xbox_One" xr:uid="{8A4AD831-DDF3-4ECF-B224-D32443020E86}"/>
    <hyperlink ref="E301" r:id="rId187" tooltip="EA DICE" display="https://en.wikipedia.org/wiki/EA_DICE" xr:uid="{24078482-064C-4AA7-B078-B81EFEF02B63}"/>
    <hyperlink ref="B848" r:id="rId188" tooltip="Bejeweled 2" display="https://en.wikipedia.org/wiki/Bejeweled_2" xr:uid="{7209A8A0-9B19-451D-A144-3B1FE0C8BC0E}"/>
    <hyperlink ref="D848" r:id="rId189" tooltip="Android (operating system)" display="https://en.wikipedia.org/wiki/Android_(operating_system)" xr:uid="{2F3946C1-F049-42F7-B9E3-1C7DAC9754AA}"/>
    <hyperlink ref="E848" r:id="rId190" tooltip="PopCap Games" display="https://en.wikipedia.org/wiki/PopCap_Games" xr:uid="{1953D2FC-FB8E-40CD-A551-FD2DA9B8553A}"/>
    <hyperlink ref="B513" r:id="rId191" tooltip="Bejeweled 3" display="https://en.wikipedia.org/wiki/Bejeweled_3" xr:uid="{7E5FEF49-0395-45D9-9D23-B85029E072AF}"/>
    <hyperlink ref="D513" r:id="rId192" tooltip="Microsoft Windows" display="https://en.wikipedia.org/wiki/Microsoft_Windows" xr:uid="{CB0175C5-A112-4DFC-B31D-AF3819E5BE3B}"/>
    <hyperlink ref="E513" r:id="rId193" tooltip="PopCap Games" display="https://en.wikipedia.org/wiki/PopCap_Games" xr:uid="{A517060F-49A8-42DD-9472-2B4204FFC4C0}"/>
    <hyperlink ref="B725" r:id="rId194" tooltip="Bejeweled Blitz" display="https://en.wikipedia.org/wiki/Bejeweled_Blitz" xr:uid="{5DC791E3-9FEC-4BB2-997E-519AC49C4A2B}"/>
    <hyperlink ref="D725" r:id="rId195" tooltip="IOS" display="https://en.wikipedia.org/wiki/IOS" xr:uid="{02CD01A7-D07B-45C9-A2E7-D1C87023250A}"/>
    <hyperlink ref="E725" r:id="rId196" tooltip="PopCap Games" display="https://en.wikipedia.org/wiki/PopCap_Games" xr:uid="{64F92834-BA47-45F1-966C-88BC8740057A}"/>
    <hyperlink ref="B604" r:id="rId197" tooltip="Bejeweled Blitz" display="https://en.wikipedia.org/wiki/Bejeweled_Blitz" xr:uid="{3006E701-E5EA-4EBC-9CEE-88F8B6D50A5A}"/>
    <hyperlink ref="D604" r:id="rId198" tooltip="Android (operating system)" display="https://en.wikipedia.org/wiki/Android_(operating_system)" xr:uid="{BD429BC2-FF3A-4DCB-B3B7-348AD63096CD}"/>
    <hyperlink ref="E604" r:id="rId199" tooltip="PopCap Games" display="https://en.wikipedia.org/wiki/PopCap_Games" xr:uid="{95803FAC-ED12-4258-B84D-55C1F1EEACD7}"/>
    <hyperlink ref="B679" r:id="rId200" tooltip="Bejeweled" display="https://en.wikipedia.org/wiki/Bejeweled" xr:uid="{FDC526FC-10BA-46EB-98C6-2971743A9C67}"/>
    <hyperlink ref="D679" r:id="rId201" tooltip="IOS" display="https://en.wikipedia.org/wiki/IOS" xr:uid="{B714732F-D416-418D-9DE8-7FF516BF646B}"/>
    <hyperlink ref="E679" r:id="rId202" tooltip="PopCap Games" display="https://en.wikipedia.org/wiki/PopCap_Games" xr:uid="{FBBAFA87-9B43-4A9D-AEE6-28C6A91D56E7}"/>
    <hyperlink ref="B429" r:id="rId203" tooltip="Bejeweled Stars" display="https://en.wikipedia.org/wiki/Bejeweled_Stars" xr:uid="{5D8CDEFE-AB95-4159-BBC5-B1B3F2175263}"/>
    <hyperlink ref="D429" r:id="rId204" tooltip="Android (operating system)" display="https://en.wikipedia.org/wiki/Android_(operating_system)" xr:uid="{46FA2BD2-2FC0-4882-B766-89E4C7EB4DE1}"/>
    <hyperlink ref="E429" r:id="rId205" tooltip="PopCap Games" display="https://en.wikipedia.org/wiki/PopCap_Games" xr:uid="{BEB007DF-6542-4D6B-BCAB-700641D74832}"/>
    <hyperlink ref="B430" r:id="rId206" tooltip="Bejeweled Stars" display="https://en.wikipedia.org/wiki/Bejeweled_Stars" xr:uid="{21392982-C5C0-4C89-A29B-C97F6DA249CB}"/>
    <hyperlink ref="D430" r:id="rId207" tooltip="IOS" display="https://en.wikipedia.org/wiki/IOS" xr:uid="{2052F853-CAB9-4EF8-9F44-15226039522C}"/>
    <hyperlink ref="E430" r:id="rId208" tooltip="PopCap Games" display="https://en.wikipedia.org/wiki/PopCap_Games" xr:uid="{E53BF787-5963-44AE-A3D7-C4B67A165AFB}"/>
    <hyperlink ref="B845" r:id="rId209" tooltip="Bulletstorm" display="https://en.wikipedia.org/wiki/Bulletstorm" xr:uid="{414EC5AF-47B4-4C37-8C3F-9EE807AA2B2A}"/>
    <hyperlink ref="D845" r:id="rId210" tooltip="PlayStation 3" display="https://en.wikipedia.org/wiki/PlayStation_3" xr:uid="{70889847-CA61-4248-9E96-2B7AB1E638B4}"/>
    <hyperlink ref="B846" r:id="rId211" tooltip="Bulletstorm" display="https://en.wikipedia.org/wiki/Bulletstorm" xr:uid="{2AA44CE0-9EF4-4B08-BD70-5D8F25285FD9}"/>
    <hyperlink ref="D846" r:id="rId212" tooltip="Microsoft Windows" display="https://en.wikipedia.org/wiki/Microsoft_Windows" xr:uid="{ECA99E66-87A3-408C-B5A9-5383675B4B1F}"/>
    <hyperlink ref="B847" r:id="rId213" tooltip="Bulletstorm" display="https://en.wikipedia.org/wiki/Bulletstorm" xr:uid="{BFF0D608-1470-4E86-9391-40CB8221538F}"/>
    <hyperlink ref="D847" r:id="rId214" tooltip="Xbox 360" display="https://en.wikipedia.org/wiki/Xbox_360" xr:uid="{B7046FAD-9367-4410-B0B5-C1950B02DFEC}"/>
    <hyperlink ref="B776" r:id="rId215" tooltip="Burnout Crash!" display="https://en.wikipedia.org/wiki/Burnout_Crash!" xr:uid="{4BD905BD-1B3B-4E77-B98A-310E481AF91B}"/>
    <hyperlink ref="D776" r:id="rId216" tooltip="PlayStation Network" display="https://en.wikipedia.org/wiki/PlayStation_Network" xr:uid="{882CAB03-76C3-4288-B512-358D48EB6558}"/>
    <hyperlink ref="E776" r:id="rId217" tooltip="Criterion Games" display="https://en.wikipedia.org/wiki/Criterion_Games" xr:uid="{96E32D95-214A-4F27-990B-CA10C46CFAF1}"/>
    <hyperlink ref="B777" r:id="rId218" tooltip="Burnout Crash!" display="https://en.wikipedia.org/wiki/Burnout_Crash!" xr:uid="{66097B66-567B-4255-9B2D-97E045B69BD6}"/>
    <hyperlink ref="D777" r:id="rId219" tooltip="Xbox Live Arcade" display="https://en.wikipedia.org/wiki/Xbox_Live_Arcade" xr:uid="{1C401972-69A5-4903-B152-8406458F5852}"/>
    <hyperlink ref="E777" r:id="rId220" tooltip="Criterion Games" display="https://en.wikipedia.org/wiki/Criterion_Games" xr:uid="{7D13C2F7-92F7-47D0-820C-9A5541EAE169}"/>
    <hyperlink ref="B683" r:id="rId221" tooltip="Burnout Crash!" display="https://en.wikipedia.org/wiki/Burnout_Crash!" xr:uid="{B47BEA73-B057-4812-8E9A-24EBCF462BD2}"/>
    <hyperlink ref="D683" r:id="rId222" tooltip="IOS" display="https://en.wikipedia.org/wiki/IOS" xr:uid="{3CA93720-BF98-41C5-843F-3653ADE4FC0C}"/>
    <hyperlink ref="E683" r:id="rId223" tooltip="Criterion Games" display="https://en.wikipedia.org/wiki/Criterion_Games" xr:uid="{FB75A8A1-AEC5-4340-9D06-77DC8ADD7F0F}"/>
    <hyperlink ref="B342" r:id="rId224" location="Burnout_Paradise_Remastered" tooltip="Burnout Paradise" display="https://en.wikipedia.org/wiki/Burnout_Paradise - Burnout_Paradise_Remastered" xr:uid="{F9E03E24-4109-4901-A3AD-EB99EDEDA14B}"/>
    <hyperlink ref="D342" r:id="rId225" tooltip="PlayStation 4" display="https://en.wikipedia.org/wiki/PlayStation_4" xr:uid="{8129AF21-AC79-4649-9478-DCE0F6015577}"/>
    <hyperlink ref="E342" r:id="rId226" tooltip="Criterion Games" display="https://en.wikipedia.org/wiki/Criterion_Games" xr:uid="{724E11EA-CF6E-4E12-AD47-582F3AE8E011}"/>
    <hyperlink ref="B343" r:id="rId227" location="Burnout_Paradise_Remastered" tooltip="Burnout Paradise" display="https://en.wikipedia.org/wiki/Burnout_Paradise - Burnout_Paradise_Remastered" xr:uid="{39E1E6A3-72FE-4F57-BCC9-9CA1D30A6DFA}"/>
    <hyperlink ref="D343" r:id="rId228" tooltip="Xbox One" display="https://en.wikipedia.org/wiki/Xbox_One" xr:uid="{B2421151-795B-4649-9F88-F7D8290E9A5A}"/>
    <hyperlink ref="E343" r:id="rId229" tooltip="Criterion Games" display="https://en.wikipedia.org/wiki/Criterion_Games" xr:uid="{5A601C78-C2C1-4035-A49E-EE3395553254}"/>
    <hyperlink ref="B318" r:id="rId230" location="Burnout_Paradise_Remastered" tooltip="Burnout Paradise" display="https://en.wikipedia.org/wiki/Burnout_Paradise - Burnout_Paradise_Remastered" xr:uid="{147DB306-56A8-434F-98B0-D0C20024B414}"/>
    <hyperlink ref="D318" r:id="rId231" tooltip="Microsoft Windows" display="https://en.wikipedia.org/wiki/Microsoft_Windows" xr:uid="{60C5C3E1-9104-4BF5-B0FE-E7F3E45CB097}"/>
    <hyperlink ref="E318" r:id="rId232" tooltip="Criterion Games" display="https://en.wikipedia.org/wiki/Criterion_Games" xr:uid="{CC892ACB-7E92-4D9C-90EB-9D8DAC921241}"/>
    <hyperlink ref="B240" r:id="rId233" location="Burnout_Paradise_Remastered" tooltip="Burnout Paradise" display="https://en.wikipedia.org/wiki/Burnout_Paradise - Burnout_Paradise_Remastered" xr:uid="{FA30DB7F-F8E9-48F2-B586-F99B220D0A89}"/>
    <hyperlink ref="D240" r:id="rId234" tooltip="Nintendo Switch" display="https://en.wikipedia.org/wiki/Nintendo_Switch" xr:uid="{56E0689F-9495-4C2C-9377-8FB93F1CD5C2}"/>
    <hyperlink ref="E240" r:id="rId235" tooltip="Criterion Games" display="https://en.wikipedia.org/wiki/Criterion_Games" xr:uid="{8D6A7938-0F17-4734-A1CC-A76B2AA6767D}"/>
    <hyperlink ref="B864" r:id="rId236" tooltip="Cause of Death (video game)" display="https://en.wikipedia.org/wiki/Cause_of_Death_(video_game)" xr:uid="{16295B3A-47F4-43C1-89BE-53CEF30835B7}"/>
    <hyperlink ref="D864" r:id="rId237" tooltip="IOS" display="https://en.wikipedia.org/wiki/IOS" xr:uid="{2343DAE1-0594-4147-84F8-475D19FADA94}"/>
    <hyperlink ref="E864" r:id="rId238" tooltip="EA Mobile" display="https://en.wikipedia.org/wiki/EA_Mobile" xr:uid="{C0CFA276-C924-4FD2-8D8B-4CA404D458DE}"/>
    <hyperlink ref="D902" r:id="rId239" tooltip="IOS" display="https://en.wikipedia.org/wiki/IOS" xr:uid="{02039070-CF9C-4752-AADB-9DC537CE7022}"/>
    <hyperlink ref="B1014" r:id="rId240" tooltip="Command &amp; Conquer 4: Tiberian Twilight" display="https://en.wikipedia.org/wiki/Command_%26_Conquer_4:_Tiberian_Twilight" xr:uid="{8E6636CA-B404-4559-9E40-21A9E1F3B259}"/>
    <hyperlink ref="D1014" r:id="rId241" tooltip="Microsoft Windows" display="https://en.wikipedia.org/wiki/Microsoft_Windows" xr:uid="{769461E9-D0F9-4301-8B16-5997BF69A335}"/>
    <hyperlink ref="E1014" r:id="rId242" tooltip="EA Los Angeles" display="https://en.wikipedia.org/wiki/EA_Los_Angeles" xr:uid="{179CCDCE-8CA8-4DAD-B00B-8AB83214EE27}"/>
    <hyperlink ref="B1015" r:id="rId243" tooltip="Command &amp; Conquer 4: Tiberian Twilight" display="https://en.wikipedia.org/wiki/Command_%26_Conquer_4:_Tiberian_Twilight" xr:uid="{4C254B11-E164-4C7F-B35B-9BA424E0AA72}"/>
    <hyperlink ref="D1015" r:id="rId244" tooltip="Xbox 360" display="https://en.wikipedia.org/wiki/Xbox_360" xr:uid="{8F6851D1-9C3A-44F2-83C2-61026C069ED2}"/>
    <hyperlink ref="E1015" r:id="rId245" tooltip="EA Los Angeles" display="https://en.wikipedia.org/wiki/EA_Los_Angeles" xr:uid="{5FDCB1E8-E6CB-47BD-96F6-6001324203A2}"/>
    <hyperlink ref="B297" r:id="rId246" tooltip="Command &amp; Conquer: Rivals" display="https://en.wikipedia.org/wiki/Command_%26_Conquer:_Rivals" xr:uid="{5E82222B-80DC-40D4-9FFF-176A8595ACF1}"/>
    <hyperlink ref="D297" r:id="rId247" tooltip="Android (operating system)" display="https://en.wikipedia.org/wiki/Android_(operating_system)" xr:uid="{43FB46E7-07BC-4957-B326-6F691923F259}"/>
    <hyperlink ref="B298" r:id="rId248" tooltip="Command &amp; Conquer: Rivals" display="https://en.wikipedia.org/wiki/Command_%26_Conquer:_Rivals" xr:uid="{58F89077-70BF-462B-81CE-C9A2BB948349}"/>
    <hyperlink ref="D298" r:id="rId249" tooltip="IOS" display="https://en.wikipedia.org/wiki/IOS" xr:uid="{EB7E6D52-5070-4F79-A07B-B803D8CBA689}"/>
    <hyperlink ref="B677" r:id="rId250" tooltip="Command &amp; Conquer: Tiberium Alliances" display="https://en.wikipedia.org/wiki/Command_%26_Conquer:_Tiberium_Alliances" xr:uid="{2E02A1AA-7920-47F8-8ECB-BC170987D484}"/>
    <hyperlink ref="D677" r:id="rId251" tooltip="Microsoft Windows" display="https://en.wikipedia.org/wiki/Microsoft_Windows" xr:uid="{19F87F27-5200-439A-9059-19CB7FAAA350}"/>
    <hyperlink ref="E677" r:id="rId252" tooltip="EA Phenomic" display="https://en.wikipedia.org/wiki/EA_Phenomic" xr:uid="{877DBCEA-AD35-45DD-A61F-69C5531D83B4}"/>
    <hyperlink ref="B895" r:id="rId253" tooltip="Create (video game)" display="https://en.wikipedia.org/wiki/Create_(video_game)" xr:uid="{6A550A97-3C90-48DD-8C1E-B9145D146993}"/>
    <hyperlink ref="D895" r:id="rId254" tooltip="PlayStation 3" display="https://en.wikipedia.org/wiki/PlayStation_3" xr:uid="{D419DAD5-3577-48DB-A444-8971EAAA53F5}"/>
    <hyperlink ref="E895" r:id="rId255" tooltip="EA Bright Light" display="https://en.wikipedia.org/wiki/EA_Bright_Light" xr:uid="{6D68DF7C-2562-4402-827F-CAF1CA72D080}"/>
    <hyperlink ref="B896" r:id="rId256" tooltip="Create (video game)" display="https://en.wikipedia.org/wiki/Create_(video_game)" xr:uid="{845376C9-FCB5-4292-98A2-3F112C4B5139}"/>
    <hyperlink ref="D896" r:id="rId257" tooltip="Wii" display="https://en.wikipedia.org/wiki/Wii" xr:uid="{2887FF53-C93C-4B57-BF9D-4919829F8E4E}"/>
    <hyperlink ref="E896" r:id="rId258" tooltip="EA Bright Light" display="https://en.wikipedia.org/wiki/EA_Bright_Light" xr:uid="{DA72EE09-B09C-4CE0-93BD-07A481892423}"/>
    <hyperlink ref="B897" r:id="rId259" tooltip="Create (video game)" display="https://en.wikipedia.org/wiki/Create_(video_game)" xr:uid="{090163E9-36E7-46DE-A289-08BE1BCCD44D}"/>
    <hyperlink ref="D897" r:id="rId260" tooltip="Microsoft Windows" display="https://en.wikipedia.org/wiki/Microsoft_Windows" xr:uid="{84F50821-0D81-4B05-A1E5-427C1A81802A}"/>
    <hyperlink ref="E897" r:id="rId261" tooltip="EA Bright Light" display="https://en.wikipedia.org/wiki/EA_Bright_Light" xr:uid="{C461D905-32A8-4E8A-A185-C8C54C69B9D8}"/>
    <hyperlink ref="B898" r:id="rId262" tooltip="Create (video game)" display="https://en.wikipedia.org/wiki/Create_(video_game)" xr:uid="{1E269EEE-4F24-4A6D-AC47-E9ADFC4050B5}"/>
    <hyperlink ref="D898" r:id="rId263" tooltip="Xbox 360" display="https://en.wikipedia.org/wiki/Xbox_360" xr:uid="{EDFA7228-44FC-4468-BFC1-E0BBEFD51A33}"/>
    <hyperlink ref="E898" r:id="rId264" tooltip="EA Bright Light" display="https://en.wikipedia.org/wiki/EA_Bright_Light" xr:uid="{184405A5-1E21-4998-AC0B-2DDE7867C241}"/>
    <hyperlink ref="B756" r:id="rId265" tooltip="Crysis (video game)" display="https://en.wikipedia.org/wiki/Crysis_(video_game)" xr:uid="{FB4D6DAF-5D86-4A2B-B5C4-04EA28F51353}"/>
    <hyperlink ref="D756" r:id="rId266" tooltip="PlayStation 3" display="https://en.wikipedia.org/wiki/PlayStation_3" xr:uid="{A03CD7EE-2534-4FD2-B6A4-712B2F0E4271}"/>
    <hyperlink ref="E756" r:id="rId267" tooltip="Crytek" display="https://en.wikipedia.org/wiki/Crytek" xr:uid="{061699AE-F525-4F39-A404-6B714BDFFFB4}"/>
    <hyperlink ref="B757" r:id="rId268" tooltip="Crysis (video game)" display="https://en.wikipedia.org/wiki/Crysis_(video_game)" xr:uid="{FA520E62-51DB-4AFA-BFD6-4F161898CB16}"/>
    <hyperlink ref="D757" r:id="rId269" tooltip="Xbox 360" display="https://en.wikipedia.org/wiki/Xbox_360" xr:uid="{0DA586BA-B780-4BEC-939F-867039DA878E}"/>
    <hyperlink ref="E757" r:id="rId270" tooltip="Crytek" display="https://en.wikipedia.org/wiki/Crytek" xr:uid="{766EBF73-98B7-422C-887E-723AC3E28DC5}"/>
    <hyperlink ref="B828" r:id="rId271" tooltip="Crysis 2" display="https://en.wikipedia.org/wiki/Crysis_2" xr:uid="{CEF28A3E-4790-4D3C-B3CC-3237F653B071}"/>
    <hyperlink ref="D828" r:id="rId272" tooltip="PlayStation 3" display="https://en.wikipedia.org/wiki/PlayStation_3" xr:uid="{5796A8E4-759C-42CC-8958-7AB00B7AA9DA}"/>
    <hyperlink ref="E828" r:id="rId273" tooltip="Crytek" display="https://en.wikipedia.org/wiki/Crytek" xr:uid="{D9118B26-274D-4987-8CC8-4BEC7D690CA8}"/>
    <hyperlink ref="B829" r:id="rId274" tooltip="Crysis 2" display="https://en.wikipedia.org/wiki/Crysis_2" xr:uid="{E224DD33-CAB3-467A-961E-87C28DF10C77}"/>
    <hyperlink ref="D829" r:id="rId275" tooltip="Microsoft Windows" display="https://en.wikipedia.org/wiki/Microsoft_Windows" xr:uid="{33DFE811-B053-447B-AD5A-99FF551611B3}"/>
    <hyperlink ref="E829" r:id="rId276" tooltip="Crytek" display="https://en.wikipedia.org/wiki/Crytek" xr:uid="{6A66E35F-4ADA-4DF2-878D-2C42798540CF}"/>
    <hyperlink ref="B830" r:id="rId277" tooltip="Crysis 2" display="https://en.wikipedia.org/wiki/Crysis_2" xr:uid="{0F8BEE70-06E0-40F2-B82B-82069531ED98}"/>
    <hyperlink ref="D830" r:id="rId278" tooltip="Xbox 360" display="https://en.wikipedia.org/wiki/Xbox_360" xr:uid="{DA48D288-4B0D-4884-8D53-2F6B20AEADD6}"/>
    <hyperlink ref="E830" r:id="rId279" tooltip="Crytek" display="https://en.wikipedia.org/wiki/Crytek" xr:uid="{40BAF187-9161-4B6B-B5C2-8F93CBAA4851}"/>
    <hyperlink ref="B617" r:id="rId280" tooltip="Crysis 3" display="https://en.wikipedia.org/wiki/Crysis_3" xr:uid="{39A8424D-493F-4506-A3C2-695DE5EDE9F2}"/>
    <hyperlink ref="D617" r:id="rId281" tooltip="PlayStation 3" display="https://en.wikipedia.org/wiki/PlayStation_3" xr:uid="{762ACF38-E404-42E9-814D-91E5CF49C233}"/>
    <hyperlink ref="E617" r:id="rId282" tooltip="Crytek" display="https://en.wikipedia.org/wiki/Crytek" xr:uid="{AFDF084F-AAFE-449C-9591-7F791E9DB8B0}"/>
    <hyperlink ref="B618" r:id="rId283" tooltip="Crysis 3" display="https://en.wikipedia.org/wiki/Crysis_3" xr:uid="{E3AAB9C3-11FE-47D0-8DC8-CFC85AF2D4E5}"/>
    <hyperlink ref="D618" r:id="rId284" tooltip="Microsoft Windows" display="https://en.wikipedia.org/wiki/Microsoft_Windows" xr:uid="{14613161-CCAF-4A4A-A038-2CAB284ECA41}"/>
    <hyperlink ref="E618" r:id="rId285" tooltip="Crytek" display="https://en.wikipedia.org/wiki/Crytek" xr:uid="{C8D466B6-5CF3-41E2-AF34-11A7E35FFC28}"/>
    <hyperlink ref="B619" r:id="rId286" tooltip="Crysis 3" display="https://en.wikipedia.org/wiki/Crysis_3" xr:uid="{FA7F561F-3D47-4E12-8197-FD8F25205B97}"/>
    <hyperlink ref="D619" r:id="rId287" tooltip="Xbox 360" display="https://en.wikipedia.org/wiki/Xbox_360" xr:uid="{B4BACB16-197C-4292-83D0-09FBC7F23992}"/>
    <hyperlink ref="E619" r:id="rId288" tooltip="Crytek" display="https://en.wikipedia.org/wiki/Crytek" xr:uid="{5204DA4F-BB76-4D28-B7DF-0D6F1BDAA5C0}"/>
    <hyperlink ref="B1020" r:id="rId289" tooltip="Dante's Inferno (video game)" display="https://en.wikipedia.org/wiki/Dante%27s_Inferno_(video_game)" xr:uid="{901E6B65-BAD3-44E8-A5EB-7D9F44B13A98}"/>
    <hyperlink ref="D1020" r:id="rId290" tooltip="PlayStation 3" display="https://en.wikipedia.org/wiki/PlayStation_3" xr:uid="{B3E292E3-0158-4767-9CD5-E9EA9ED2C9CC}"/>
    <hyperlink ref="E1020" r:id="rId291" tooltip="Visceral Games" display="https://en.wikipedia.org/wiki/Visceral_Games" xr:uid="{E63A116A-57FC-472E-9A6B-158981663441}"/>
    <hyperlink ref="B1021" r:id="rId292" tooltip="Dante's Inferno (video game)" display="https://en.wikipedia.org/wiki/Dante%27s_Inferno_(video_game)" xr:uid="{9C273730-6896-448E-B66D-683E76A28E26}"/>
    <hyperlink ref="D1021" r:id="rId293" tooltip="Xbox 360" display="https://en.wikipedia.org/wiki/Xbox_360" xr:uid="{7744F0F9-7629-4E03-91B1-95EF366C8511}"/>
    <hyperlink ref="E1021" r:id="rId294" tooltip="Visceral Games" display="https://en.wikipedia.org/wiki/Visceral_Games" xr:uid="{00B7E780-920B-40B8-9C38-72F05BDEE06F}"/>
    <hyperlink ref="B1019" r:id="rId295" tooltip="Dante's Inferno (video game)" display="https://en.wikipedia.org/wiki/Dante%27s_Inferno_(video_game)" xr:uid="{58BA38C4-2B92-4CED-8FFD-061CB279731F}"/>
    <hyperlink ref="D1019" r:id="rId296" tooltip="PlayStation Portable" display="https://en.wikipedia.org/wiki/PlayStation_Portable" xr:uid="{EC755681-DA26-4793-83B0-B4C9262483CF}"/>
    <hyperlink ref="E1019" r:id="rId297" tooltip="Artificial Mind and Movement" display="https://en.wikipedia.org/wiki/Artificial_Mind_and_Movement" xr:uid="{48F8FCFE-D44C-47B3-8C4D-4BD80BB8EA55}"/>
    <hyperlink ref="B818" r:id="rId298" tooltip="Darkspore" display="https://en.wikipedia.org/wiki/Darkspore" xr:uid="{BA8CA926-2262-4985-ADE7-361C7E8F4512}"/>
    <hyperlink ref="D818" r:id="rId299" tooltip="Microsoft Windows" display="https://en.wikipedia.org/wiki/Microsoft_Windows" xr:uid="{8B06551B-4D9C-4CC3-9ED3-604E9BDB9594}"/>
    <hyperlink ref="E818" r:id="rId300" tooltip="Maxis Emeryville" display="https://en.wikipedia.org/wiki/Maxis_Emeryville" xr:uid="{E687A890-2875-40FC-B1BE-50AF24359D2F}"/>
    <hyperlink ref="B854" r:id="rId301" tooltip="Dead Space (mobile game)" display="https://en.wikipedia.org/wiki/Dead_Space_(mobile_game)" xr:uid="{7D9875C8-B442-412D-B9CD-0EADA0C1B92C}"/>
    <hyperlink ref="D854" r:id="rId302" tooltip="IOS" display="https://en.wikipedia.org/wiki/IOS" xr:uid="{9DBB2B04-DCB9-460D-A6FD-47F9E9210E11}"/>
    <hyperlink ref="B795" r:id="rId303" tooltip="Dead Space (mobile game)" display="https://en.wikipedia.org/wiki/Dead_Space_(mobile_game)" xr:uid="{6710B59F-B4D3-4E61-9038-07E764CAE7F4}"/>
    <hyperlink ref="D795" r:id="rId304" tooltip="Blackberry World" display="https://en.wikipedia.org/wiki/Blackberry_World" xr:uid="{27CF8CA6-7C73-439B-A770-C28DC2975D68}"/>
    <hyperlink ref="B743" r:id="rId305" tooltip="Dead Space (mobile game)" display="https://en.wikipedia.org/wiki/Dead_Space_(mobile_game)" xr:uid="{2DA8EF15-E606-4C3D-BC72-AC7E8DF68DDB}"/>
    <hyperlink ref="D743" r:id="rId306" tooltip="Xperia Play" display="https://en.wikipedia.org/wiki/Xperia_Play" xr:uid="{BDB871B7-A71A-484E-BFFE-1A2CEBE92CAF}"/>
    <hyperlink ref="B724" r:id="rId307" tooltip="Dead Space (mobile game)" display="https://en.wikipedia.org/wiki/Dead_Space_(mobile_game)" xr:uid="{6D5FB754-3146-44AF-9059-399B6AC5199E}"/>
    <hyperlink ref="D724" r:id="rId308" tooltip="Android (operating system)" display="https://en.wikipedia.org/wiki/Android_(operating_system)" xr:uid="{098B6E2B-F787-4935-8BC1-DDA644B8020F}"/>
    <hyperlink ref="B851" r:id="rId309" tooltip="Dead Space 2" display="https://en.wikipedia.org/wiki/Dead_Space_2" xr:uid="{987CCE53-EB83-4525-B243-76DED6CB9D3A}"/>
    <hyperlink ref="D851" r:id="rId310" tooltip="PlayStation 3" display="https://en.wikipedia.org/wiki/PlayStation_3" xr:uid="{D1FE53AB-3DB5-4849-8264-6318C134A35D}"/>
    <hyperlink ref="E851" r:id="rId311" tooltip="Visceral Games" display="https://en.wikipedia.org/wiki/Visceral_Games" xr:uid="{DB3FAC47-4242-4075-93D7-9A1D55C277EE}"/>
    <hyperlink ref="B852" r:id="rId312" tooltip="Dead Space 2" display="https://en.wikipedia.org/wiki/Dead_Space_2" xr:uid="{2EE736A3-8E3F-4491-BE03-229FF5F3C9E7}"/>
    <hyperlink ref="D852" r:id="rId313" tooltip="Microsoft Windows" display="https://en.wikipedia.org/wiki/Microsoft_Windows" xr:uid="{98C45F9B-D3AD-4C32-A9B4-8D4933D2A998}"/>
    <hyperlink ref="E852" r:id="rId314" tooltip="Visceral Games" display="https://en.wikipedia.org/wiki/Visceral_Games" xr:uid="{E1B56AF2-EF85-473D-BE8D-50C469F9B63F}"/>
    <hyperlink ref="B853" r:id="rId315" tooltip="Dead Space 2" display="https://en.wikipedia.org/wiki/Dead_Space_2" xr:uid="{5E42BBF7-F4C6-43AD-8A08-BF58C8FEB3B7}"/>
    <hyperlink ref="D853" r:id="rId316" tooltip="Xbox 360" display="https://en.wikipedia.org/wiki/Xbox_360" xr:uid="{072920DD-F877-47C4-802E-4445249D9033}"/>
    <hyperlink ref="E853" r:id="rId317" tooltip="Visceral Games" display="https://en.wikipedia.org/wiki/Visceral_Games" xr:uid="{D28F10A8-56D6-4176-A851-FE8583A13184}"/>
    <hyperlink ref="B621" r:id="rId318" tooltip="Dead Space 3" display="https://en.wikipedia.org/wiki/Dead_Space_3" xr:uid="{6510D607-6C6C-418A-BC04-E28B100D3705}"/>
    <hyperlink ref="D621" r:id="rId319" tooltip="PlayStation 3" display="https://en.wikipedia.org/wiki/PlayStation_3" xr:uid="{DDB6F09C-DFC0-44B3-A476-6399A6CE5AA7}"/>
    <hyperlink ref="E621" r:id="rId320" tooltip="Visceral Games" display="https://en.wikipedia.org/wiki/Visceral_Games" xr:uid="{2633CFB4-1E8A-44B7-9E29-AB07B7FD36E1}"/>
    <hyperlink ref="B622" r:id="rId321" tooltip="Dead Space 3" display="https://en.wikipedia.org/wiki/Dead_Space_3" xr:uid="{8F5C1330-701B-4CDF-858C-445FBC81FBCE}"/>
    <hyperlink ref="D622" r:id="rId322" tooltip="Microsoft Windows" display="https://en.wikipedia.org/wiki/Microsoft_Windows" xr:uid="{7553EB93-00D1-4ACD-9F7B-9B3396B49FED}"/>
    <hyperlink ref="E622" r:id="rId323" tooltip="Visceral Games" display="https://en.wikipedia.org/wiki/Visceral_Games" xr:uid="{2BC583BE-18D5-4A2F-BCE6-1DF7557F7EBD}"/>
    <hyperlink ref="B623" r:id="rId324" tooltip="Dead Space 3" display="https://en.wikipedia.org/wiki/Dead_Space_3" xr:uid="{1CCC1262-065C-4DA4-A21F-07DBB9268870}"/>
    <hyperlink ref="D623" r:id="rId325" tooltip="Xbox 360" display="https://en.wikipedia.org/wiki/Xbox_360" xr:uid="{64679447-6596-4C76-B7B6-18B917B46934}"/>
    <hyperlink ref="E623" r:id="rId326" tooltip="Visceral Games" display="https://en.wikipedia.org/wiki/Visceral_Games" xr:uid="{B0D91CB5-B32A-4AF2-937E-3E6B6BB9E87A}"/>
    <hyperlink ref="B936" r:id="rId327" tooltip="Dead Space Ignition" display="https://en.wikipedia.org/wiki/Dead_Space_Ignition" xr:uid="{821ED2A9-DB8E-4AA8-8342-F5858A047A6A}"/>
    <hyperlink ref="D936" r:id="rId328" tooltip="PlayStation 3" display="https://en.wikipedia.org/wiki/PlayStation_3" xr:uid="{B8CBF0F6-0176-4349-BB47-B0937F23D899}"/>
    <hyperlink ref="B937" r:id="rId329" tooltip="Dead Space Ignition" display="https://en.wikipedia.org/wiki/Dead_Space_Ignition" xr:uid="{C59095E9-3581-4C7E-8295-BA288E5B9B58}"/>
    <hyperlink ref="D937" r:id="rId330" tooltip="Xbox 360" display="https://en.wikipedia.org/wiki/Xbox_360" xr:uid="{9AE49DB4-CD64-4A6E-89C3-6C3A8EA07DB0}"/>
    <hyperlink ref="B850" r:id="rId331" tooltip="Dead Space: Extraction" display="https://en.wikipedia.org/wiki/Dead_Space:_Extraction" xr:uid="{30C6BE9B-4FB9-4AFA-A922-BD10A5807B90}"/>
    <hyperlink ref="D850" r:id="rId332" tooltip="PlayStation 3" display="https://en.wikipedia.org/wiki/PlayStation_3" xr:uid="{4B6E26C4-C1C2-4397-89D2-D8BD44E912C7}"/>
    <hyperlink ref="B981" r:id="rId333" tooltip="DeathSpank" display="https://en.wikipedia.org/wiki/DeathSpank" xr:uid="{3A1A40A1-D779-4813-B2C9-403B345CE28C}"/>
    <hyperlink ref="D981" r:id="rId334" tooltip="PlayStation 3" display="https://en.wikipedia.org/wiki/PlayStation_3" xr:uid="{E37B8041-2E43-441D-BE53-A6BD14D68702}"/>
    <hyperlink ref="E981" r:id="rId335" tooltip="Hothead Games" display="https://en.wikipedia.org/wiki/Hothead_Games" xr:uid="{3099F6A3-6888-435E-8B5A-8686C6167745}"/>
    <hyperlink ref="B977" r:id="rId336" tooltip="DeathSpank" display="https://en.wikipedia.org/wiki/DeathSpank" xr:uid="{DDE1B779-8E24-4E23-BE57-74CC8A855CF0}"/>
    <hyperlink ref="D977" r:id="rId337" tooltip="Xbox 360" display="https://en.wikipedia.org/wiki/Xbox_360" xr:uid="{25AFCD2A-C197-4A97-B128-FC63D6B4BA3B}"/>
    <hyperlink ref="E977" r:id="rId338" tooltip="Hothead Games" display="https://en.wikipedia.org/wiki/Hothead_Games" xr:uid="{4315FDDB-B4C2-479D-91C8-35E039EDF69A}"/>
    <hyperlink ref="B922" r:id="rId339" tooltip="DeathSpank" display="https://en.wikipedia.org/wiki/DeathSpank" xr:uid="{2522B172-DE95-483A-B88E-870FAF6FD627}"/>
    <hyperlink ref="D922" r:id="rId340" tooltip="Microsoft Windows" display="https://en.wikipedia.org/wiki/Microsoft_Windows" xr:uid="{3EC4D685-574C-4E48-BF99-1BF2415472CD}"/>
    <hyperlink ref="E922" r:id="rId341" tooltip="Hothead Games" display="https://en.wikipedia.org/wiki/Hothead_Games" xr:uid="{F77F94A7-3A6C-465A-B9BA-0BEEA943C85F}"/>
    <hyperlink ref="B868" r:id="rId342" tooltip="DeathSpank" display="https://en.wikipedia.org/wiki/DeathSpank" xr:uid="{20C8AFFF-4DA6-4ACE-B834-2DE8BB412AD2}"/>
    <hyperlink ref="D868" r:id="rId343" tooltip="Macintosh" display="https://en.wikipedia.org/wiki/Macintosh" xr:uid="{D442B722-014E-45C4-B800-6C7EEDD083D2}"/>
    <hyperlink ref="E868" r:id="rId344" tooltip="Hothead Games" display="https://en.wikipedia.org/wiki/Hothead_Games" xr:uid="{7D46DBC5-D451-4D14-93AE-2214A4A872D2}"/>
    <hyperlink ref="B956" r:id="rId345" tooltip="DeathSpank: Thongs of Virtue" display="https://en.wikipedia.org/wiki/DeathSpank:_Thongs_of_Virtue" xr:uid="{A99F64FA-8A41-402F-ABA6-4830258FDE95}"/>
    <hyperlink ref="D956" r:id="rId346" tooltip="PlayStation 3" display="https://en.wikipedia.org/wiki/PlayStation_3" xr:uid="{448F8656-6253-46EB-9F16-D51769047201}"/>
    <hyperlink ref="E956" r:id="rId347" tooltip="Hothead Games" display="https://en.wikipedia.org/wiki/Hothead_Games" xr:uid="{96727F3B-891F-4F76-BF84-D4006EF7C824}"/>
    <hyperlink ref="B955" r:id="rId348" tooltip="DeathSpank: Thongs of Virtue" display="https://en.wikipedia.org/wiki/DeathSpank:_Thongs_of_Virtue" xr:uid="{B01A2481-8999-4959-87C1-2F9623A638A3}"/>
    <hyperlink ref="D955" r:id="rId349" tooltip="Xbox 360" display="https://en.wikipedia.org/wiki/Xbox_360" xr:uid="{EA26BF9D-917F-4727-9808-8D6650753AFB}"/>
    <hyperlink ref="E955" r:id="rId350" tooltip="Hothead Games" display="https://en.wikipedia.org/wiki/Hothead_Games" xr:uid="{57E553CC-35EA-4634-80C7-0CA8FD350F35}"/>
    <hyperlink ref="B871" r:id="rId351" tooltip="DeathSpank: Thongs of Virtue" display="https://en.wikipedia.org/wiki/DeathSpank:_Thongs_of_Virtue" xr:uid="{CAB07052-D724-4F1B-8EF4-5A3C5092F23D}"/>
    <hyperlink ref="D871" r:id="rId352" tooltip="Microsoft Windows" display="https://en.wikipedia.org/wiki/Microsoft_Windows" xr:uid="{6BB81A5A-259C-43D1-82C2-1DA6E8B13081}"/>
    <hyperlink ref="E871" r:id="rId353" tooltip="Hothead Games" display="https://en.wikipedia.org/wiki/Hothead_Games" xr:uid="{93A0C317-E2CD-4A78-8C4A-0BECDBE92640}"/>
    <hyperlink ref="B867" r:id="rId354" tooltip="DeathSpank: Thongs of Virtue" display="https://en.wikipedia.org/wiki/DeathSpank:_Thongs_of_Virtue" xr:uid="{3162EB9D-0346-4D38-9DB4-DD1CB9BF6B76}"/>
    <hyperlink ref="D867" r:id="rId355" tooltip="Macintosh" display="https://en.wikipedia.org/wiki/Macintosh" xr:uid="{930F524A-1E3B-4D4A-B34F-EF66C99F8077}"/>
    <hyperlink ref="E867" r:id="rId356" tooltip="Hothead Games" display="https://en.wikipedia.org/wiki/Hothead_Games" xr:uid="{DF2986C0-BC9A-42AE-BDFF-18BAE53780C8}"/>
    <hyperlink ref="B833" r:id="rId357" tooltip="Dragon Age II" display="https://en.wikipedia.org/wiki/Dragon_Age_II" xr:uid="{FCD8D5FF-1ECB-422B-B009-7CEE92CA38C9}"/>
    <hyperlink ref="D833" r:id="rId358" tooltip="Macintosh" display="https://en.wikipedia.org/wiki/Macintosh" xr:uid="{AB4EB324-4801-4163-A736-6DAAC086D575}"/>
    <hyperlink ref="E833" r:id="rId359" tooltip="BioWare" display="https://en.wikipedia.org/wiki/BioWare" xr:uid="{1BB2C343-547E-4469-9208-6B14AEEFC8A7}"/>
    <hyperlink ref="B834" r:id="rId360" tooltip="Dragon Age II" display="https://en.wikipedia.org/wiki/Dragon_Age_II" xr:uid="{349400FB-D37A-414D-84D4-7787DF1F9987}"/>
    <hyperlink ref="D834" r:id="rId361" tooltip="PlayStation 3" display="https://en.wikipedia.org/wiki/PlayStation_3" xr:uid="{3DDC7477-210C-435B-AD19-2306DEA3570D}"/>
    <hyperlink ref="E834" r:id="rId362" tooltip="BioWare" display="https://en.wikipedia.org/wiki/BioWare" xr:uid="{23BCAF4A-CC96-4526-84F2-32F54DC7F4EE}"/>
    <hyperlink ref="B835" r:id="rId363" tooltip="Dragon Age II" display="https://en.wikipedia.org/wiki/Dragon_Age_II" xr:uid="{868FFBBB-DD72-415E-9E38-E5F9E03AB37A}"/>
    <hyperlink ref="D835" r:id="rId364" tooltip="Microsoft Windows" display="https://en.wikipedia.org/wiki/Microsoft_Windows" xr:uid="{765A6163-09D6-4495-9C8B-430C035FC5C3}"/>
    <hyperlink ref="E835" r:id="rId365" tooltip="BioWare" display="https://en.wikipedia.org/wiki/BioWare" xr:uid="{159C2FF8-5611-4A1E-BA73-6B1CC65F65C3}"/>
    <hyperlink ref="B836" r:id="rId366" tooltip="Dragon Age II" display="https://en.wikipedia.org/wiki/Dragon_Age_II" xr:uid="{0DB2528C-8914-4DA5-8AAF-2CEFEA20995D}"/>
    <hyperlink ref="D836" r:id="rId367" tooltip="Xbox 360" display="https://en.wikipedia.org/wiki/Xbox_360" xr:uid="{6B4EF015-C945-4414-B666-4191D8C49577}"/>
    <hyperlink ref="E836" r:id="rId368" tooltip="BioWare" display="https://en.wikipedia.org/wiki/BioWare" xr:uid="{FB38DAFE-24BF-410E-9FE9-FBD1BEAE260D}"/>
    <hyperlink ref="B831" r:id="rId369" tooltip="Dragon Age Legends" display="https://en.wikipedia.org/wiki/Dragon_Age_Legends" xr:uid="{6F11C193-431E-4667-8CF4-F26D0562B16D}"/>
    <hyperlink ref="D831" r:id="rId370" tooltip="Facebook" display="https://en.wikipedia.org/wiki/Facebook" xr:uid="{487B49C3-C094-4B95-8200-8E38CE0898DE}"/>
    <hyperlink ref="B492" r:id="rId371" tooltip="Dragon Age: Inquisition" display="https://en.wikipedia.org/wiki/Dragon_Age:_Inquisition" xr:uid="{8D4218C2-46A5-4F85-A992-B5961D54DFCF}"/>
    <hyperlink ref="D492" r:id="rId372" tooltip="PlayStation 3" display="https://en.wikipedia.org/wiki/PlayStation_3" xr:uid="{100CBA04-0B9D-4D24-B23C-51BE21E76E69}"/>
    <hyperlink ref="E492" r:id="rId373" tooltip="BioWare" display="https://en.wikipedia.org/wiki/BioWare" xr:uid="{72DFD727-8E88-4FE8-958B-A1932DDF4B18}"/>
    <hyperlink ref="B493" r:id="rId374" tooltip="Dragon Age: Inquisition" display="https://en.wikipedia.org/wiki/Dragon_Age:_Inquisition" xr:uid="{FC3605A5-03ED-4124-ACF6-BDDBC0EBBFF6}"/>
    <hyperlink ref="D493" r:id="rId375" tooltip="PlayStation 4" display="https://en.wikipedia.org/wiki/PlayStation_4" xr:uid="{E6EF257D-C139-4366-85EA-AE0680E4EFE5}"/>
    <hyperlink ref="E493" r:id="rId376" tooltip="BioWare" display="https://en.wikipedia.org/wiki/BioWare" xr:uid="{3A3117BD-31E4-4C7E-A249-AB60A5F6C86A}"/>
    <hyperlink ref="B494" r:id="rId377" tooltip="Dragon Age: Inquisition" display="https://en.wikipedia.org/wiki/Dragon_Age:_Inquisition" xr:uid="{7BD15BDA-BD0C-4164-BF0A-0DA21840470C}"/>
    <hyperlink ref="D494" r:id="rId378" tooltip="Microsoft Windows" display="https://en.wikipedia.org/wiki/Microsoft_Windows" xr:uid="{C28B1C2B-9B61-46B7-ACEE-A851CC008218}"/>
    <hyperlink ref="E494" r:id="rId379" tooltip="BioWare" display="https://en.wikipedia.org/wiki/BioWare" xr:uid="{A6CF50BE-8029-4077-AF22-466B750DE7B9}"/>
    <hyperlink ref="B495" r:id="rId380" tooltip="Dragon Age: Inquisition" display="https://en.wikipedia.org/wiki/Dragon_Age:_Inquisition" xr:uid="{58DC28FB-8CD3-4C8D-96E4-73ED990F3871}"/>
    <hyperlink ref="D495" r:id="rId381" tooltip="Xbox 360" display="https://en.wikipedia.org/wiki/Xbox_360" xr:uid="{2AC2742B-E360-4AB8-8ADF-BF4A3F10D8BC}"/>
    <hyperlink ref="E495" r:id="rId382" tooltip="BioWare" display="https://en.wikipedia.org/wiki/BioWare" xr:uid="{5E3E2351-06BE-4EF9-9ED8-EFAAF7C902FE}"/>
    <hyperlink ref="B496" r:id="rId383" tooltip="Dragon Age: Inquisition" display="https://en.wikipedia.org/wiki/Dragon_Age:_Inquisition" xr:uid="{D65FF9C6-3564-4A21-A04C-9F1C8DC7D636}"/>
    <hyperlink ref="D496" r:id="rId384" tooltip="Xbox One" display="https://en.wikipedia.org/wiki/Xbox_One" xr:uid="{134768BF-BFB2-4EF1-9371-9AB620EB8406}"/>
    <hyperlink ref="E496" r:id="rId385" tooltip="BioWare" display="https://en.wikipedia.org/wiki/BioWare" xr:uid="{54557264-4ACB-4AEC-8E55-C74C24047F5B}"/>
    <hyperlink ref="B1010" r:id="rId386" tooltip="Dragon Age: Origins – Awakening" display="https://en.wikipedia.org/wiki/Dragon_Age:_Origins_%E2%80%93_Awakening" xr:uid="{D8F64F93-5ACF-419A-94B8-740E1069A4E7}"/>
    <hyperlink ref="D1010" r:id="rId387" tooltip="Macintosh" display="https://en.wikipedia.org/wiki/Macintosh" xr:uid="{17E3FF87-C8FF-45EB-A363-10A3BA48C0EC}"/>
    <hyperlink ref="E1010" r:id="rId388" tooltip="BioWare" display="https://en.wikipedia.org/wiki/BioWare" xr:uid="{E1AB96F3-1B59-42E2-AD30-17A8FB427E9D}"/>
    <hyperlink ref="B1011" r:id="rId389" tooltip="Dragon Age: Origins – Awakening" display="https://en.wikipedia.org/wiki/Dragon_Age:_Origins_%E2%80%93_Awakening" xr:uid="{7EFD717B-60D5-48FA-AC7B-CA940BC05260}"/>
    <hyperlink ref="D1011" r:id="rId390" tooltip="PlayStation 3" display="https://en.wikipedia.org/wiki/PlayStation_3" xr:uid="{D44828F0-2A42-4C7E-9479-726913113A4C}"/>
    <hyperlink ref="E1011" r:id="rId391" tooltip="BioWare" display="https://en.wikipedia.org/wiki/BioWare" xr:uid="{D0459D30-ED45-4C74-8845-835617AC777E}"/>
    <hyperlink ref="B1012" r:id="rId392" tooltip="Dragon Age: Origins – Awakening" display="https://en.wikipedia.org/wiki/Dragon_Age:_Origins_%E2%80%93_Awakening" xr:uid="{ED6754AA-4CC1-4FF9-8BF1-040D83192DDC}"/>
    <hyperlink ref="D1012" r:id="rId393" tooltip="Microsoft Windows" display="https://en.wikipedia.org/wiki/Microsoft_Windows" xr:uid="{E82F871F-E2E9-4BB2-8625-3D9A181537DA}"/>
    <hyperlink ref="E1012" r:id="rId394" tooltip="BioWare" display="https://en.wikipedia.org/wiki/BioWare" xr:uid="{54AA2CC1-03A8-4AF6-9DA8-1D2FFC95A462}"/>
    <hyperlink ref="B1013" r:id="rId395" tooltip="Dragon Age: Origins – Awakening" display="https://en.wikipedia.org/wiki/Dragon_Age:_Origins_%E2%80%93_Awakening" xr:uid="{9EE1AC56-E241-4803-9661-DD9339A11627}"/>
    <hyperlink ref="D1013" r:id="rId396" tooltip="Xbox 360" display="https://en.wikipedia.org/wiki/Xbox_360" xr:uid="{349910B6-81F1-4D4D-B440-2BB771AC5032}"/>
    <hyperlink ref="E1013" r:id="rId397" tooltip="BioWare" display="https://en.wikipedia.org/wiki/BioWare" xr:uid="{5C254314-8215-4E0F-BC31-469F579916F9}"/>
    <hyperlink ref="D982" r:id="rId398" tooltip="IOS" display="https://en.wikipedia.org/wiki/IOS" xr:uid="{38419DF7-E2C6-4476-B885-45B1B7FCE2E1}"/>
    <hyperlink ref="B539" r:id="rId399" tooltip="Dungeon Keeper (2014 video game)" display="https://en.wikipedia.org/wiki/Dungeon_Keeper_(2014_video_game)" xr:uid="{0706C338-4B1A-4472-9A03-86C21315197B}"/>
    <hyperlink ref="D539" r:id="rId400" tooltip="Android (operating system)" display="https://en.wikipedia.org/wiki/Android_(operating_system)" xr:uid="{8168A627-CE66-483F-A8BA-8B7B2DCD37E4}"/>
    <hyperlink ref="E539" r:id="rId401" tooltip="Mythic Entertainment" display="https://en.wikipedia.org/wiki/Mythic_Entertainment" xr:uid="{D83F0544-8D84-4348-84C0-7E5E06B11CF2}"/>
    <hyperlink ref="B540" r:id="rId402" tooltip="Dungeon Keeper (2014 video game)" display="https://en.wikipedia.org/wiki/Dungeon_Keeper_(2014_video_game)" xr:uid="{F23ACC48-29B4-4CE9-B4D5-5F6DDC77FB08}"/>
    <hyperlink ref="D540" r:id="rId403" tooltip="IOS" display="https://en.wikipedia.org/wiki/IOS" xr:uid="{E0D43947-4614-471D-A291-FB5C3BF6A394}"/>
    <hyperlink ref="E540" r:id="rId404" tooltip="Mythic Entertainment" display="https://en.wikipedia.org/wiki/Mythic_Entertainment" xr:uid="{D6366D0C-2F4D-4316-8DF2-DA738B52638E}"/>
    <hyperlink ref="B892" r:id="rId405" tooltip="EA Sports Active 2" display="https://en.wikipedia.org/wiki/EA_Sports_Active_2" xr:uid="{DB23A0F2-A20B-4B54-9B8C-C5098A656426}"/>
    <hyperlink ref="D892" r:id="rId406" tooltip="PlayStation 3" display="https://en.wikipedia.org/wiki/PlayStation_3" xr:uid="{5419FD35-8866-4DE1-868B-952208D3F780}"/>
    <hyperlink ref="E892" r:id="rId407" tooltip="EA Canada" display="https://en.wikipedia.org/wiki/EA_Canada" xr:uid="{18BA2EEE-49A3-49C3-B65F-460B65BB6CF4}"/>
    <hyperlink ref="B893" r:id="rId408" tooltip="EA Sports Active 2" display="https://en.wikipedia.org/wiki/EA_Sports_Active_2" xr:uid="{0F307F7E-5BF1-472F-A318-47D126E17D6F}"/>
    <hyperlink ref="D893" r:id="rId409" tooltip="Wii" display="https://en.wikipedia.org/wiki/Wii" xr:uid="{8CB84184-B58D-433E-A582-99A7E085AF5A}"/>
    <hyperlink ref="E893" r:id="rId410" tooltip="EA Canada" display="https://en.wikipedia.org/wiki/EA_Canada" xr:uid="{326DDE98-4120-4151-95FF-A69508D0D0EB}"/>
    <hyperlink ref="B894" r:id="rId411" tooltip="EA Sports Active 2" display="https://en.wikipedia.org/wiki/EA_Sports_Active_2" xr:uid="{1BDC5313-4515-4C72-B0FC-DD584CE30DA6}"/>
    <hyperlink ref="D894" r:id="rId412" tooltip="Xbox 360" display="https://en.wikipedia.org/wiki/Xbox_360" xr:uid="{89996A41-E94C-42CB-9FD2-8A4CD8349C10}"/>
    <hyperlink ref="E894" r:id="rId413" tooltip="EA Canada" display="https://en.wikipedia.org/wiki/EA_Canada" xr:uid="{F85632CE-2C19-4C9B-BDBF-2FA74BE92643}"/>
    <hyperlink ref="B891" r:id="rId414" tooltip="EA Sports Active NFL Training Camp" display="https://en.wikipedia.org/wiki/EA_Sports_Active_NFL_Training_Camp" xr:uid="{477E59AA-71FE-48E1-95FD-E22EEFC9903B}"/>
    <hyperlink ref="D891" r:id="rId415" tooltip="Wii" display="https://en.wikipedia.org/wiki/Wii" xr:uid="{F5E2939C-359B-4B44-8CEB-B8337B7A35F3}"/>
    <hyperlink ref="E891" r:id="rId416" tooltip="EA Canada" display="https://en.wikipedia.org/wiki/EA_Canada" xr:uid="{38F9DF92-A798-406B-9F20-C369A868D70D}"/>
    <hyperlink ref="B998" r:id="rId417" tooltip="EA Sports FIFA Superstars" display="https://en.wikipedia.org/wiki/EA_Sports_FIFA_Superstars" xr:uid="{0E6A2172-57FE-4A6E-99D0-280DFDEAC8A0}"/>
    <hyperlink ref="D998" r:id="rId418" tooltip="Social network game" display="https://en.wikipedia.org/wiki/Social_network_game" xr:uid="{1255D245-BD0B-49F2-A3E6-50BEB716F823}"/>
    <hyperlink ref="E998" r:id="rId419" tooltip="Playfish" display="https://en.wikipedia.org/wiki/Playfish" xr:uid="{D83A1A69-6C6C-4F22-A689-A98883841DD6}"/>
    <hyperlink ref="B929" r:id="rId420" tooltip="EA Sports MMA" display="https://en.wikipedia.org/wiki/EA_Sports_MMA" xr:uid="{DA7BD961-926B-4E41-B96F-75E9E0862E2A}"/>
    <hyperlink ref="D929" r:id="rId421" tooltip="IOS" display="https://en.wikipedia.org/wiki/IOS" xr:uid="{5913A86A-9510-4BE6-A2FF-F984F37F5A76}"/>
    <hyperlink ref="E929" r:id="rId422" tooltip="EA Tiburon" display="https://en.wikipedia.org/wiki/EA_Tiburon" xr:uid="{5209C2A6-265E-41E0-9A7B-C6AF0C687C0B}"/>
    <hyperlink ref="B930" r:id="rId423" tooltip="EA Sports MMA" display="https://en.wikipedia.org/wiki/EA_Sports_MMA" xr:uid="{75F500FA-1728-499A-8C0E-7E65214BC4FD}"/>
    <hyperlink ref="D930" r:id="rId424" tooltip="PlayStation 3" display="https://en.wikipedia.org/wiki/PlayStation_3" xr:uid="{5B24DAC5-3D57-4D1E-A754-355EECA9A82E}"/>
    <hyperlink ref="E930" r:id="rId425" tooltip="EA Tiburon" display="https://en.wikipedia.org/wiki/EA_Tiburon" xr:uid="{E3151546-E361-4417-B8DE-EC56FFC4D238}"/>
    <hyperlink ref="B931" r:id="rId426" tooltip="EA Sports MMA" display="https://en.wikipedia.org/wiki/EA_Sports_MMA" xr:uid="{FEA8282D-0105-4DE2-98EC-D4DB04B09928}"/>
    <hyperlink ref="D931" r:id="rId427" tooltip="Xbox 360" display="https://en.wikipedia.org/wiki/Xbox_360" xr:uid="{4876D1C9-FF6E-4891-8385-EF13EF8948F9}"/>
    <hyperlink ref="E931" r:id="rId428" tooltip="EA Tiburon" display="https://en.wikipedia.org/wiki/EA_Tiburon" xr:uid="{CF86C98B-F230-42E2-B903-83315EA5C5D6}"/>
    <hyperlink ref="B528" r:id="rId429" tooltip="EA Sports UFC" display="https://en.wikipedia.org/wiki/EA_Sports_UFC" xr:uid="{9AF51C90-84B8-4C25-B44C-B0E3563E6F5D}"/>
    <hyperlink ref="D528" r:id="rId430" tooltip="PlayStation 4" display="https://en.wikipedia.org/wiki/PlayStation_4" xr:uid="{F6B7B2FB-8DEA-4852-A147-50135C195210}"/>
    <hyperlink ref="B529" r:id="rId431" tooltip="EA Sports UFC" display="https://en.wikipedia.org/wiki/EA_Sports_UFC" xr:uid="{B720073E-A383-43DD-96AC-AB0F6B7CCFF0}"/>
    <hyperlink ref="D529" r:id="rId432" tooltip="Xbox One" display="https://en.wikipedia.org/wiki/Xbox_One" xr:uid="{ADAB6D02-03C5-445B-831E-07E57C0F1A93}"/>
    <hyperlink ref="B432" r:id="rId433" tooltip="EA Sports UFC 2" display="https://en.wikipedia.org/wiki/EA_Sports_UFC_2" xr:uid="{C15AEC70-9DB9-4911-AC7F-E74504E6189A}"/>
    <hyperlink ref="D432" r:id="rId434" tooltip="PlayStation 4" display="https://en.wikipedia.org/wiki/PlayStation_4" xr:uid="{E3C08D1A-2F8B-4707-90D7-DE83830F1537}"/>
    <hyperlink ref="E432" r:id="rId435" tooltip="EA Canada" display="https://en.wikipedia.org/wiki/EA_Canada" xr:uid="{5F889E7D-CD89-4156-801E-5216ACD6AD8F}"/>
    <hyperlink ref="B433" r:id="rId436" tooltip="EA Sports UFC 2" display="https://en.wikipedia.org/wiki/EA_Sports_UFC_2" xr:uid="{1A16D6A5-ACA9-4238-9EA8-3C71C46409BA}"/>
    <hyperlink ref="D433" r:id="rId437" tooltip="Xbox One" display="https://en.wikipedia.org/wiki/Xbox_One" xr:uid="{876D8387-D93C-4D42-B456-4ADCAF1A6C29}"/>
    <hyperlink ref="E433" r:id="rId438" tooltip="EA Canada" display="https://en.wikipedia.org/wiki/EA_Canada" xr:uid="{610FD39B-49AF-40CB-ACC8-E539BAB03733}"/>
    <hyperlink ref="B352" r:id="rId439" tooltip="EA Sports UFC 3" display="https://en.wikipedia.org/wiki/EA_Sports_UFC_3" xr:uid="{7ED772A6-3B45-492A-AA15-CF7F257183CD}"/>
    <hyperlink ref="D352" r:id="rId440" tooltip="PlayStation 4" display="https://en.wikipedia.org/wiki/PlayStation_4" xr:uid="{0B9DFD1D-6B7B-4D87-86B6-61D16F8565F1}"/>
    <hyperlink ref="E352" r:id="rId441" tooltip="EA Canada" display="https://en.wikipedia.org/wiki/EA_Canada" xr:uid="{027BD2EF-3D44-4E87-A9BB-4B9A4822F980}"/>
    <hyperlink ref="B353" r:id="rId442" tooltip="EA Sports UFC 3" display="https://en.wikipedia.org/wiki/EA_Sports_UFC_3" xr:uid="{A3397A7D-40C5-45F3-81D2-B42AA550A851}"/>
    <hyperlink ref="D353" r:id="rId443" tooltip="Xbox One" display="https://en.wikipedia.org/wiki/Xbox_One" xr:uid="{E29AE552-2401-4016-A63F-95AB9DFD0315}"/>
    <hyperlink ref="E353" r:id="rId444" tooltip="EA Canada" display="https://en.wikipedia.org/wiki/EA_Canada" xr:uid="{A7830D08-1F4E-45F7-8E49-766BD275AC80}"/>
    <hyperlink ref="B1024" r:id="rId445" tooltip="Extreme Pinball" display="https://en.wikipedia.org/wiki/Extreme_Pinball" xr:uid="{27872CA1-3502-4FEC-B793-CDE9D6762BF5}"/>
    <hyperlink ref="D1024" r:id="rId446" tooltip="PlayStation Network" display="https://en.wikipedia.org/wiki/PlayStation_Network" xr:uid="{007945E8-271B-4411-AC10-CF06F21CCFD4}"/>
    <hyperlink ref="D739" r:id="rId447" tooltip="IOS" display="https://en.wikipedia.org/wiki/IOS" xr:uid="{99C5D9EE-F342-4F78-B21F-C09D52C8D374}"/>
    <hyperlink ref="B348" r:id="rId448" tooltip="Fe (video game)" display="https://en.wikipedia.org/wiki/Fe_(video_game)" xr:uid="{45057D96-4B58-4A86-AA07-6702061B71D2}"/>
    <hyperlink ref="D348" r:id="rId449" tooltip="Nintendo Switch" display="https://en.wikipedia.org/wiki/Nintendo_Switch" xr:uid="{1A5BE831-CAD0-4BF2-A35A-F54BF8388FE9}"/>
    <hyperlink ref="E348" r:id="rId450" tooltip="Zoink" display="https://en.wikipedia.org/wiki/Zoink" xr:uid="{9BFDE1FE-325A-472F-BADA-73A6A7458F98}"/>
    <hyperlink ref="B349" r:id="rId451" tooltip="Fe (video game)" display="https://en.wikipedia.org/wiki/Fe_(video_game)" xr:uid="{889031A6-CA75-40EB-8859-9FCFF9F61036}"/>
    <hyperlink ref="D349" r:id="rId452" tooltip="PlayStation 4" display="https://en.wikipedia.org/wiki/PlayStation_4" xr:uid="{E6F89A81-DDF0-4687-994F-C9027D00889C}"/>
    <hyperlink ref="E349" r:id="rId453" tooltip="Zoink" display="https://en.wikipedia.org/wiki/Zoink" xr:uid="{11E5BA23-06DA-428D-A064-6C5A71E644B7}"/>
    <hyperlink ref="B350" r:id="rId454" tooltip="Fe (video game)" display="https://en.wikipedia.org/wiki/Fe_(video_game)" xr:uid="{551C7E5A-BBBE-4B62-A942-A9F1E29B5D88}"/>
    <hyperlink ref="D350" r:id="rId455" tooltip="Microsoft Windows" display="https://en.wikipedia.org/wiki/Microsoft_Windows" xr:uid="{60C4DFFC-A068-4388-8F6C-4C48B83835E4}"/>
    <hyperlink ref="E350" r:id="rId456" tooltip="Zoink" display="https://en.wikipedia.org/wiki/Zoink" xr:uid="{A8D5986D-79F7-446F-9C59-AA2AC0C76938}"/>
    <hyperlink ref="B351" r:id="rId457" tooltip="Fe (video game)" display="https://en.wikipedia.org/wiki/Fe_(video_game)" xr:uid="{B2C1992C-74C5-4E56-BB33-8F6F60E0B560}"/>
    <hyperlink ref="D351" r:id="rId458" tooltip="Xbox One" display="https://en.wikipedia.org/wiki/Xbox_One" xr:uid="{9320457C-8AD7-4E44-BBF3-33DCFBC5B36C}"/>
    <hyperlink ref="E351" r:id="rId459" tooltip="Zoink" display="https://en.wikipedia.org/wiki/Zoink" xr:uid="{D078F755-CEBF-4D75-BDDD-18112D883401}"/>
    <hyperlink ref="B943" r:id="rId460" tooltip="FIFA 11" display="https://en.wikipedia.org/wiki/FIFA_11" xr:uid="{D25DE51F-A8F5-41F8-8EB0-CE6E3EAFF1B2}"/>
    <hyperlink ref="D943" r:id="rId461" tooltip="Android (operating system)" display="https://en.wikipedia.org/wiki/Android_(operating_system)" xr:uid="{5BDFCA9C-D030-42D2-AE3F-26D505519BF4}"/>
    <hyperlink ref="E943" r:id="rId462" tooltip="HB Studios" display="https://en.wikipedia.org/wiki/HB_Studios" xr:uid="{21B47F41-B3E5-46ED-A1E9-41D93B056EB5}"/>
    <hyperlink ref="B944" r:id="rId463" tooltip="FIFA 11" display="https://en.wikipedia.org/wiki/FIFA_11" xr:uid="{E31B1456-9F8A-4E60-B1A2-88636A90E798}"/>
    <hyperlink ref="D944" r:id="rId464" tooltip="Blackberry World" display="https://en.wikipedia.org/wiki/Blackberry_World" xr:uid="{91786785-DD2E-41CE-B03F-E79FCC874BA1}"/>
    <hyperlink ref="E944" r:id="rId465" tooltip="HB Studios" display="https://en.wikipedia.org/wiki/HB_Studios" xr:uid="{00C7A576-814D-49B4-BE5B-D177BA18F62E}"/>
    <hyperlink ref="B945" r:id="rId466" tooltip="FIFA 11" display="https://en.wikipedia.org/wiki/FIFA_11" xr:uid="{B4408CFA-FD87-47D1-9DD9-5E176E7CB6CF}"/>
    <hyperlink ref="D945" r:id="rId467" tooltip="IOS" display="https://en.wikipedia.org/wiki/IOS" xr:uid="{65D5092E-E57D-4044-AACB-563D55B7FA7D}"/>
    <hyperlink ref="E945" r:id="rId468" tooltip="HB Studios" display="https://en.wikipedia.org/wiki/HB_Studios" xr:uid="{24821A42-6BD7-4920-BFAC-EEE035DB5A46}"/>
    <hyperlink ref="B946" r:id="rId469" tooltip="FIFA 11" display="https://en.wikipedia.org/wiki/FIFA_11" xr:uid="{2B82EE54-ABF7-42B9-B380-7422A392A0DE}"/>
    <hyperlink ref="D946" r:id="rId470" tooltip="Java Me (page does not exist)" display="https://en.wikipedia.org/w/index.php?title=Java_Me&amp;action=edit&amp;redlink=1" xr:uid="{75BAAE69-645A-412C-B03E-FF11B297E2B4}"/>
    <hyperlink ref="E946" r:id="rId471" tooltip="HB Studios" display="https://en.wikipedia.org/wiki/HB_Studios" xr:uid="{0F577A5C-FB2F-4B0A-B32C-887ED7066937}"/>
    <hyperlink ref="B947" r:id="rId472" tooltip="FIFA 11" display="https://en.wikipedia.org/wiki/FIFA_11" xr:uid="{9495D935-2D99-40A5-9EBE-F2C0DF0B502C}"/>
    <hyperlink ref="D947" r:id="rId473" tooltip="Macintosh" display="https://en.wikipedia.org/wiki/Macintosh" xr:uid="{6B05F683-AA89-430D-A2E9-F3B6DBDDA4A6}"/>
    <hyperlink ref="E947" r:id="rId474" tooltip="EA Canada" display="https://en.wikipedia.org/wiki/EA_Canada" xr:uid="{65CD6DB3-DEA4-4274-9DB7-E3F3B784BD4C}"/>
    <hyperlink ref="B948" r:id="rId475" tooltip="FIFA 11" display="https://en.wikipedia.org/wiki/FIFA_11" xr:uid="{11F12887-8DAD-4C6F-A9CF-14B496BB7AA6}"/>
    <hyperlink ref="D948" r:id="rId476" tooltip="Nintendo DS" display="https://en.wikipedia.org/wiki/Nintendo_DS" xr:uid="{667C29DA-C803-4E7F-B8F3-D0E88959919C}"/>
    <hyperlink ref="E948" r:id="rId477" tooltip="Exient Entertainment" display="https://en.wikipedia.org/wiki/Exient_Entertainment" xr:uid="{1D3AE9CE-66C0-46A6-B80F-5F4E233D11CE}"/>
    <hyperlink ref="B949" r:id="rId478" tooltip="FIFA 11" display="https://en.wikipedia.org/wiki/FIFA_11" xr:uid="{7DB35F62-35A6-424A-826C-806957DE74A7}"/>
    <hyperlink ref="D949" r:id="rId479" tooltip="PlayStation 2" display="https://en.wikipedia.org/wiki/PlayStation_2" xr:uid="{93FAF3F3-ACF7-4695-BA7E-9FA5F7EC51EA}"/>
    <hyperlink ref="E949" r:id="rId480" tooltip="HB Studios" display="https://en.wikipedia.org/wiki/HB_Studios" xr:uid="{210D0F86-8F45-4C2B-990B-2CA5235D0EEC}"/>
    <hyperlink ref="B950" r:id="rId481" tooltip="FIFA 11" display="https://en.wikipedia.org/wiki/FIFA_11" xr:uid="{C0085352-DD32-4D00-B87D-9D9C29317E9F}"/>
    <hyperlink ref="D950" r:id="rId482" tooltip="PlayStation 3" display="https://en.wikipedia.org/wiki/PlayStation_3" xr:uid="{8CD8D960-C997-49BB-9C26-E4CCD6AC00F9}"/>
    <hyperlink ref="E950" r:id="rId483" tooltip="EA Canada" display="https://en.wikipedia.org/wiki/EA_Canada" xr:uid="{5AB9722C-5BCC-4274-ADF3-E996B2E94ED9}"/>
    <hyperlink ref="B951" r:id="rId484" tooltip="FIFA 11" display="https://en.wikipedia.org/wiki/FIFA_11" xr:uid="{8FC1367E-FD94-43AE-9E0E-0C83E01DE191}"/>
    <hyperlink ref="D951" r:id="rId485" tooltip="PlayStation Portable" display="https://en.wikipedia.org/wiki/PlayStation_Portable" xr:uid="{21409359-B1E1-48B5-AC0D-275E84425B8D}"/>
    <hyperlink ref="E951" r:id="rId486" tooltip="HB Studios" display="https://en.wikipedia.org/wiki/HB_Studios" xr:uid="{6C678FED-417B-420D-9D18-88921BF7ACBC}"/>
    <hyperlink ref="B952" r:id="rId487" tooltip="FIFA 11" display="https://en.wikipedia.org/wiki/FIFA_11" xr:uid="{B5CF9C88-FDD0-4A00-A9C4-34E6E465999C}"/>
    <hyperlink ref="D952" r:id="rId488" tooltip="Wii" display="https://en.wikipedia.org/wiki/Wii" xr:uid="{2901B320-E4A8-4F57-AB03-65049D3023DF}"/>
    <hyperlink ref="E952" r:id="rId489" tooltip="EA Canada" display="https://en.wikipedia.org/wiki/EA_Canada" xr:uid="{B312A3BA-1F3E-473F-A901-B41F06BEAE63}"/>
    <hyperlink ref="B953" r:id="rId490" tooltip="FIFA 11" display="https://en.wikipedia.org/wiki/FIFA_11" xr:uid="{3F17B1E8-4F88-4542-A3D3-9BCD11B7DD75}"/>
    <hyperlink ref="D953" r:id="rId491" tooltip="Microsoft Windows" display="https://en.wikipedia.org/wiki/Microsoft_Windows" xr:uid="{E945D064-8A05-48C8-99DD-BF1459276DDB}"/>
    <hyperlink ref="E953" r:id="rId492" tooltip="EA Canada" display="https://en.wikipedia.org/wiki/EA_Canada" xr:uid="{ED33795C-3E76-4F17-A308-A5D6E8FE2383}"/>
    <hyperlink ref="B954" r:id="rId493" tooltip="FIFA 11" display="https://en.wikipedia.org/wiki/FIFA_11" xr:uid="{1079A81F-5795-4D83-A03A-1FB18D50B027}"/>
    <hyperlink ref="D954" r:id="rId494" tooltip="Xbox 360" display="https://en.wikipedia.org/wiki/Xbox_360" xr:uid="{79FCFACA-5170-45DA-80D0-DAC5AD0C934C}"/>
    <hyperlink ref="E954" r:id="rId495" tooltip="EA Canada" display="https://en.wikipedia.org/wiki/EA_Canada" xr:uid="{87410FC3-2D8F-4046-95C7-22CA5469AE8A}"/>
    <hyperlink ref="B759" r:id="rId496" tooltip="FIFA 12" display="https://en.wikipedia.org/wiki/FIFA_12" xr:uid="{277A63D7-78F5-42FE-ADF2-D1CE71681F8E}"/>
    <hyperlink ref="D759" r:id="rId497" tooltip="Android (operating system)" display="https://en.wikipedia.org/wiki/Android_(operating_system)" xr:uid="{4746C38F-713D-42CF-8A33-593D130BF8EC}"/>
    <hyperlink ref="E759" r:id="rId498" tooltip="EA Canada" display="https://en.wikipedia.org/wiki/EA_Canada" xr:uid="{9A8685E7-E471-4A6B-9CB0-E36C9A953DF5}"/>
    <hyperlink ref="B760" r:id="rId499" tooltip="FIFA 12" display="https://en.wikipedia.org/wiki/FIFA_12" xr:uid="{98FA155B-DC3F-4F31-BB14-39C35C865A6E}"/>
    <hyperlink ref="D760" r:id="rId500" tooltip="IOS" display="https://en.wikipedia.org/wiki/IOS" xr:uid="{7AC0FC19-145A-4D4E-8CC9-207785BF82F0}"/>
    <hyperlink ref="E760" r:id="rId501" tooltip="EA Canada" display="https://en.wikipedia.org/wiki/EA_Canada" xr:uid="{1FBA02E1-A0A9-405C-9E81-204897173D9F}"/>
    <hyperlink ref="B761" r:id="rId502" tooltip="FIFA 12" display="https://en.wikipedia.org/wiki/FIFA_12" xr:uid="{12C7AE2F-2355-4424-A415-AC638AF326D6}"/>
    <hyperlink ref="D761" r:id="rId503" tooltip="Macintosh" display="https://en.wikipedia.org/wiki/Macintosh" xr:uid="{D18A5BB7-27C7-4B97-A323-79F8836E1B61}"/>
    <hyperlink ref="E761" r:id="rId504" tooltip="EA Canada" display="https://en.wikipedia.org/wiki/EA_Canada" xr:uid="{2B120369-7AE4-4FC6-A98C-2B7FAB48FB93}"/>
    <hyperlink ref="B762" r:id="rId505" tooltip="FIFA 12" display="https://en.wikipedia.org/wiki/FIFA_12" xr:uid="{0B598DCB-71BC-47F8-A725-E5898A692B10}"/>
    <hyperlink ref="D762" r:id="rId506" tooltip="Nintendo DS" display="https://en.wikipedia.org/wiki/Nintendo_DS" xr:uid="{16223295-56DA-4003-A137-93E6576989BA}"/>
    <hyperlink ref="E762" r:id="rId507" tooltip="EA Canada" display="https://en.wikipedia.org/wiki/EA_Canada" xr:uid="{8A3D2041-8CB8-4EC7-A986-D7015C092635}"/>
    <hyperlink ref="B763" r:id="rId508" tooltip="FIFA 12" display="https://en.wikipedia.org/wiki/FIFA_12" xr:uid="{16169748-7FD2-42A8-9877-009BED5230E7}"/>
    <hyperlink ref="D763" r:id="rId509" tooltip="PlayStation 2" display="https://en.wikipedia.org/wiki/PlayStation_2" xr:uid="{46B218E8-DF05-4A5A-9BFF-7D227E5540BD}"/>
    <hyperlink ref="E763" r:id="rId510" tooltip="EA Canada" display="https://en.wikipedia.org/wiki/EA_Canada" xr:uid="{50A52E7F-68FF-447C-92E6-9247AF80F1EA}"/>
    <hyperlink ref="B764" r:id="rId511" tooltip="FIFA 12" display="https://en.wikipedia.org/wiki/FIFA_12" xr:uid="{287DC6C2-F0F0-4F28-9254-70B09415FF0A}"/>
    <hyperlink ref="D764" r:id="rId512" tooltip="PlayStation 3" display="https://en.wikipedia.org/wiki/PlayStation_3" xr:uid="{070F4D2E-D006-49AB-9B74-C6B02680DBDF}"/>
    <hyperlink ref="E764" r:id="rId513" tooltip="EA Canada" display="https://en.wikipedia.org/wiki/EA_Canada" xr:uid="{6CC65FBB-04C4-41B3-9F18-12E44068A9CB}"/>
    <hyperlink ref="B765" r:id="rId514" tooltip="FIFA 12" display="https://en.wikipedia.org/wiki/FIFA_12" xr:uid="{45CC7C5F-3CF7-4898-9E59-3B30CA1B3033}"/>
    <hyperlink ref="D765" r:id="rId515" tooltip="PlayStation Portable" display="https://en.wikipedia.org/wiki/PlayStation_Portable" xr:uid="{982C25F1-6DA0-47AD-9FBF-CA565A6DADE2}"/>
    <hyperlink ref="E765" r:id="rId516" tooltip="EA Canada" display="https://en.wikipedia.org/wiki/EA_Canada" xr:uid="{7E0C7611-9A5D-4E20-93DF-58C4D3020CA7}"/>
    <hyperlink ref="B766" r:id="rId517" tooltip="FIFA 12" display="https://en.wikipedia.org/wiki/FIFA_12" xr:uid="{C12CE179-CF36-4F21-8D2F-CF30A3279916}"/>
    <hyperlink ref="D766" r:id="rId518" tooltip="PlayStation Vita" display="https://en.wikipedia.org/wiki/PlayStation_Vita" xr:uid="{DDB58BB7-00C7-477D-BF73-F10644133459}"/>
    <hyperlink ref="E766" r:id="rId519" tooltip="EA Canada" display="https://en.wikipedia.org/wiki/EA_Canada" xr:uid="{77217182-4E39-419E-BFAE-4D8AAD88E184}"/>
    <hyperlink ref="B767" r:id="rId520" tooltip="FIFA 12" display="https://en.wikipedia.org/wiki/FIFA_12" xr:uid="{C75FD2B9-F861-48C1-8BF4-37FCB39BABDC}"/>
    <hyperlink ref="D767" r:id="rId521" tooltip="Sony Ericsson Xperia Play" display="https://en.wikipedia.org/wiki/Sony_Ericsson_Xperia_Play" xr:uid="{750AEAFD-15CB-49CF-878D-8D7F297056EC}"/>
    <hyperlink ref="E767" r:id="rId522" tooltip="EA Canada" display="https://en.wikipedia.org/wiki/EA_Canada" xr:uid="{BD1FC23D-C019-4D3B-BD49-68D312A24F78}"/>
    <hyperlink ref="B768" r:id="rId523" tooltip="FIFA 12" display="https://en.wikipedia.org/wiki/FIFA_12" xr:uid="{BBE30375-ACC5-41F4-A600-4C9282718243}"/>
    <hyperlink ref="D768" r:id="rId524" tooltip="Wii" display="https://en.wikipedia.org/wiki/Wii" xr:uid="{BA70607F-9B98-4E3C-B664-B43648B74554}"/>
    <hyperlink ref="E768" r:id="rId525" tooltip="EA Canada" display="https://en.wikipedia.org/wiki/EA_Canada" xr:uid="{4FFA7422-AA15-44C2-A7E2-A5BFDDCDB718}"/>
    <hyperlink ref="B769" r:id="rId526" tooltip="FIFA 12" display="https://en.wikipedia.org/wiki/FIFA_12" xr:uid="{4C64F8B0-EDCC-4C1A-9B08-C9CA99647E45}"/>
    <hyperlink ref="D769" r:id="rId527" tooltip="Microsoft Windows" display="https://en.wikipedia.org/wiki/Microsoft_Windows" xr:uid="{14E2304C-A541-4BD1-BE6D-7C9935A20A2D}"/>
    <hyperlink ref="E769" r:id="rId528" tooltip="EA Canada" display="https://en.wikipedia.org/wiki/EA_Canada" xr:uid="{43BB4DAA-624E-4E1A-BB22-C58394E50556}"/>
    <hyperlink ref="B770" r:id="rId529" tooltip="FIFA 12" display="https://en.wikipedia.org/wiki/FIFA_12" xr:uid="{372BE8BA-DCCB-4DFC-9D0E-D35CE03078AE}"/>
    <hyperlink ref="D770" r:id="rId530" tooltip="Xbox 360" display="https://en.wikipedia.org/wiki/Xbox_360" xr:uid="{1CD97748-D83A-45D8-90EB-17CA1B7EA3C6}"/>
    <hyperlink ref="E770" r:id="rId531" tooltip="EA Canada" display="https://en.wikipedia.org/wiki/EA_Canada" xr:uid="{178709C4-4F14-41D5-9076-0E45EEAD5D14}"/>
    <hyperlink ref="B646" r:id="rId532" tooltip="FIFA 13" display="https://en.wikipedia.org/wiki/FIFA_13" xr:uid="{3A0C9112-B8CC-4697-BDCB-EFA1DCFF5E85}"/>
    <hyperlink ref="D646" r:id="rId533" tooltip="IOS" display="https://en.wikipedia.org/wiki/IOS" xr:uid="{924E2931-66A3-4622-91B4-25835E8D6AD6}"/>
    <hyperlink ref="E646" r:id="rId534" tooltip="EA Canada" display="https://en.wikipedia.org/wiki/EA_Canada" xr:uid="{9DDE6724-BDB8-4CC8-BDBB-CD8657D9494E}"/>
    <hyperlink ref="B647" r:id="rId535" tooltip="FIFA 13" display="https://en.wikipedia.org/wiki/FIFA_13" xr:uid="{0CF29ABC-998F-42E9-8F67-D90D1D742E87}"/>
    <hyperlink ref="D647" r:id="rId536" tooltip="Java ME" display="https://en.wikipedia.org/wiki/Java_ME" xr:uid="{47FED616-9664-4BC0-B9D8-DCB0A78C142E}"/>
    <hyperlink ref="E647" r:id="rId537" tooltip="EA Canada" display="https://en.wikipedia.org/wiki/EA_Canada" xr:uid="{84419D67-91D2-470E-8766-E60272CE9772}"/>
    <hyperlink ref="B648" r:id="rId538" tooltip="FIFA 13" display="https://en.wikipedia.org/wiki/FIFA_13" xr:uid="{6164F2DF-99C9-4428-8E46-EF7A53C0D8D7}"/>
    <hyperlink ref="D648" r:id="rId539" tooltip="Nintendo 3DS" display="https://en.wikipedia.org/wiki/Nintendo_3DS" xr:uid="{01CF5D53-5B78-44FE-9E21-E3219617F6C5}"/>
    <hyperlink ref="E648" r:id="rId540" tooltip="EA Canada" display="https://en.wikipedia.org/wiki/EA_Canada" xr:uid="{C6C1F52D-4EF2-4E16-AAB4-A7619CA97ABB}"/>
    <hyperlink ref="B649" r:id="rId541" tooltip="FIFA 13" display="https://en.wikipedia.org/wiki/FIFA_13" xr:uid="{7B337271-6F76-4DB4-858D-4D236E22F4B4}"/>
    <hyperlink ref="D649" r:id="rId542" tooltip="PlayStation 2" display="https://en.wikipedia.org/wiki/PlayStation_2" xr:uid="{F194F93B-E96A-437C-B0DA-352B5E62D5C3}"/>
    <hyperlink ref="E649" r:id="rId543" tooltip="EA Canada" display="https://en.wikipedia.org/wiki/EA_Canada" xr:uid="{FCDA12D8-DD55-420B-A811-C9810A05D44A}"/>
    <hyperlink ref="B650" r:id="rId544" tooltip="FIFA 13" display="https://en.wikipedia.org/wiki/FIFA_13" xr:uid="{712139BB-771C-41F9-B7FE-DC8AA43E448D}"/>
    <hyperlink ref="D650" r:id="rId545" tooltip="PlayStation 3" display="https://en.wikipedia.org/wiki/PlayStation_3" xr:uid="{5C3C2FF1-507F-4F39-AE43-5EEB89F6328A}"/>
    <hyperlink ref="E650" r:id="rId546" tooltip="EA Canada" display="https://en.wikipedia.org/wiki/EA_Canada" xr:uid="{14EF5448-45A8-4D39-AFC3-D047E226316F}"/>
    <hyperlink ref="B651" r:id="rId547" tooltip="FIFA 13" display="https://en.wikipedia.org/wiki/FIFA_13" xr:uid="{A4C00038-379A-4DEA-A7AD-C64F2BAE36DF}"/>
    <hyperlink ref="D651" r:id="rId548" tooltip="PlayStation Portable" display="https://en.wikipedia.org/wiki/PlayStation_Portable" xr:uid="{52CE1D3F-7D51-48C5-9AE0-A4FFFB36E65C}"/>
    <hyperlink ref="E651" r:id="rId549" tooltip="EA Canada" display="https://en.wikipedia.org/wiki/EA_Canada" xr:uid="{90041417-7E9B-415F-9F04-533D43345C8D}"/>
    <hyperlink ref="B652" r:id="rId550" tooltip="FIFA 13" display="https://en.wikipedia.org/wiki/FIFA_13" xr:uid="{FCE0E78B-01B1-4C80-9F1A-8FBAC801289F}"/>
    <hyperlink ref="D652" r:id="rId551" tooltip="PlayStation Vita" display="https://en.wikipedia.org/wiki/PlayStation_Vita" xr:uid="{89F1FBCC-6F1A-44D3-AA76-696790E56A05}"/>
    <hyperlink ref="E652" r:id="rId552" tooltip="EA Canada" display="https://en.wikipedia.org/wiki/EA_Canada" xr:uid="{DA1F5585-377A-49D7-8B35-3DB911447092}"/>
    <hyperlink ref="B653" r:id="rId553" tooltip="FIFA 13" display="https://en.wikipedia.org/wiki/FIFA_13" xr:uid="{AC179937-507D-4DB4-92D6-DF5130AC0AB8}"/>
    <hyperlink ref="D653" r:id="rId554" tooltip="Wii" display="https://en.wikipedia.org/wiki/Wii" xr:uid="{F12D398A-F007-493D-B581-95163AB60ECD}"/>
    <hyperlink ref="E653" r:id="rId555" tooltip="EA Canada" display="https://en.wikipedia.org/wiki/EA_Canada" xr:uid="{E690AF82-9A72-4181-9061-EAF171B2769E}"/>
    <hyperlink ref="B654" r:id="rId556" tooltip="FIFA 13" display="https://en.wikipedia.org/wiki/FIFA_13" xr:uid="{CA57E1F7-124F-4140-83F2-D0B6DAB3BE15}"/>
    <hyperlink ref="D654" r:id="rId557" tooltip="Microsoft Windows" display="https://en.wikipedia.org/wiki/Microsoft_Windows" xr:uid="{B553AA40-08AA-46EB-BF75-59D6B07388C2}"/>
    <hyperlink ref="E654" r:id="rId558" tooltip="EA Canada" display="https://en.wikipedia.org/wiki/EA_Canada" xr:uid="{1D36BDE5-E3D5-413C-96D1-1466A733A5C0}"/>
    <hyperlink ref="B655" r:id="rId559" tooltip="FIFA 13" display="https://en.wikipedia.org/wiki/FIFA_13" xr:uid="{72900008-8E1C-4FFD-8B58-882E37F79DC3}"/>
    <hyperlink ref="D655" r:id="rId560" tooltip="Xbox 360" display="https://en.wikipedia.org/wiki/Xbox_360" xr:uid="{541BAE69-5E43-4042-B9D7-5127AA2E13AD}"/>
    <hyperlink ref="E655" r:id="rId561" tooltip="EA Canada" display="https://en.wikipedia.org/wiki/EA_Canada" xr:uid="{2FA182CC-2320-4D7B-A77C-AB135F68CAEE}"/>
    <hyperlink ref="B630" r:id="rId562" tooltip="FIFA 13" display="https://en.wikipedia.org/wiki/FIFA_13" xr:uid="{C05D1F43-A542-4F7B-8265-A13D9DFE0934}"/>
    <hyperlink ref="D630" r:id="rId563" tooltip="Wii U" display="https://en.wikipedia.org/wiki/Wii_U" xr:uid="{D599E2AF-C7BA-4AB8-99D8-54BC48BEAAA7}"/>
    <hyperlink ref="E630" r:id="rId564" tooltip="EA Canada" display="https://en.wikipedia.org/wiki/EA_Canada" xr:uid="{A5B9EBFC-04B0-4A4F-9ED8-6F7BC8560A85}"/>
    <hyperlink ref="B594" r:id="rId565" tooltip="FIFA 13" display="https://en.wikipedia.org/wiki/FIFA_13" xr:uid="{BCA64812-EEFF-4C78-9F96-286D97A50042}"/>
    <hyperlink ref="D594" r:id="rId566" tooltip="Windows Phone 8" display="https://en.wikipedia.org/wiki/Windows_Phone_8" xr:uid="{F750A8A9-6682-4926-B7A0-8AE0E5C9F602}"/>
    <hyperlink ref="E594" r:id="rId567" tooltip="EA Canada" display="https://en.wikipedia.org/wiki/EA_Canada" xr:uid="{7D4EF548-B77F-48E9-9519-C7C7D714880C}"/>
    <hyperlink ref="B576" r:id="rId568" tooltip="FIFA 14" display="https://en.wikipedia.org/wiki/FIFA_14" xr:uid="{7197A3E7-7DEE-4828-B137-7FEF50A704E0}"/>
    <hyperlink ref="D576" r:id="rId569" tooltip="Android (operating system)" display="https://en.wikipedia.org/wiki/Android_(operating_system)" xr:uid="{FD7BCE21-9304-43FF-A64F-8C2E4BF23340}"/>
    <hyperlink ref="E576" r:id="rId570" tooltip="EA Canada" display="https://en.wikipedia.org/wiki/EA_Canada" xr:uid="{ED58CF6C-ED84-4751-AE4F-DE090BA1BFEC}"/>
    <hyperlink ref="B577" r:id="rId571" tooltip="FIFA 14" display="https://en.wikipedia.org/wiki/FIFA_14" xr:uid="{EB970259-03F0-4DB3-AE16-760B74CB1A4D}"/>
    <hyperlink ref="D577" r:id="rId572" tooltip="IOS" display="https://en.wikipedia.org/wiki/IOS" xr:uid="{BD5DE06E-9044-403C-9730-5E002482B837}"/>
    <hyperlink ref="E577" r:id="rId573" tooltip="EA Canada" display="https://en.wikipedia.org/wiki/EA_Canada" xr:uid="{F67BEBE3-CEAB-4226-A2EB-E801ABCCDEAE}"/>
    <hyperlink ref="B578" r:id="rId574" tooltip="FIFA 14" display="https://en.wikipedia.org/wiki/FIFA_14" xr:uid="{F69EA003-4629-4B0D-BF78-00A2B380EB8D}"/>
    <hyperlink ref="D578" r:id="rId575" tooltip="Java ME" display="https://en.wikipedia.org/wiki/Java_ME" xr:uid="{ED583BEF-1000-444F-BF69-4D07A9F9A526}"/>
    <hyperlink ref="E578" r:id="rId576" tooltip="EA Canada" display="https://en.wikipedia.org/wiki/EA_Canada" xr:uid="{A2AACEB2-48F4-4B33-A68A-A62FED09DF81}"/>
    <hyperlink ref="B568" r:id="rId577" tooltip="FIFA 14" display="https://en.wikipedia.org/wiki/FIFA_14" xr:uid="{43BF066F-9AF5-4BAC-A3D1-1828591EF338}"/>
    <hyperlink ref="D568" r:id="rId578" tooltip="Nintendo 3DS" display="https://en.wikipedia.org/wiki/Nintendo_3DS" xr:uid="{7B7BECC1-C833-46F1-A8C1-32F6629161D6}"/>
    <hyperlink ref="E568" r:id="rId579" tooltip="EA Canada" display="https://en.wikipedia.org/wiki/EA_Canada" xr:uid="{60D103F3-FA78-419D-B117-D2B14EED449F}"/>
    <hyperlink ref="B569" r:id="rId580" tooltip="FIFA 14" display="https://en.wikipedia.org/wiki/FIFA_14" xr:uid="{DCB5C7E7-D9AE-4837-B11B-1E79984EA19E}"/>
    <hyperlink ref="D569" r:id="rId581" tooltip="PlayStation 2" display="https://en.wikipedia.org/wiki/PlayStation_2" xr:uid="{538AB535-05D9-4BEE-B30B-0D3DA067C845}"/>
    <hyperlink ref="E569" r:id="rId582" tooltip="EA Canada" display="https://en.wikipedia.org/wiki/EA_Canada" xr:uid="{47075FBB-D2FE-4332-ADEE-64A9AF60F8EF}"/>
    <hyperlink ref="B570" r:id="rId583" tooltip="FIFA 14" display="https://en.wikipedia.org/wiki/FIFA_14" xr:uid="{DCA4B117-CA35-4D58-BA2D-BAED7E34FC54}"/>
    <hyperlink ref="D570" r:id="rId584" tooltip="PlayStation 3" display="https://en.wikipedia.org/wiki/PlayStation_3" xr:uid="{329B1761-57B2-467D-970C-117AC5F7063B}"/>
    <hyperlink ref="E570" r:id="rId585" tooltip="EA Canada" display="https://en.wikipedia.org/wiki/EA_Canada" xr:uid="{C6A78931-6CCD-4E7F-A169-E47498129B69}"/>
    <hyperlink ref="B571" r:id="rId586" tooltip="FIFA 14" display="https://en.wikipedia.org/wiki/FIFA_14" xr:uid="{0256AF29-5EDD-42FC-B03E-7F2CD8485CDD}"/>
    <hyperlink ref="D571" r:id="rId587" tooltip="PlayStation Portable" display="https://en.wikipedia.org/wiki/PlayStation_Portable" xr:uid="{45C8E120-65D7-4471-B02A-91311EB1C5FC}"/>
    <hyperlink ref="E571" r:id="rId588" tooltip="EA Canada" display="https://en.wikipedia.org/wiki/EA_Canada" xr:uid="{9BFE7A54-C87D-4E97-97E4-766C55CFB97E}"/>
    <hyperlink ref="B572" r:id="rId589" tooltip="FIFA 14" display="https://en.wikipedia.org/wiki/FIFA_14" xr:uid="{665CECB1-9D8F-4080-AE1B-39D28AC04738}"/>
    <hyperlink ref="D572" r:id="rId590" tooltip="PlayStation Vita" display="https://en.wikipedia.org/wiki/PlayStation_Vita" xr:uid="{40875551-8085-412B-8BCF-F609269EA025}"/>
    <hyperlink ref="E572" r:id="rId591" tooltip="EA Canada" display="https://en.wikipedia.org/wiki/EA_Canada" xr:uid="{34770449-4B8E-451C-BA76-E9D3CB842792}"/>
    <hyperlink ref="B573" r:id="rId592" tooltip="FIFA 14" display="https://en.wikipedia.org/wiki/FIFA_14" xr:uid="{00312A51-A910-4E04-9256-826B8927CA2D}"/>
    <hyperlink ref="D573" r:id="rId593" tooltip="Wii" display="https://en.wikipedia.org/wiki/Wii" xr:uid="{DB141E67-7508-4854-8106-CA44CA402CAB}"/>
    <hyperlink ref="E573" r:id="rId594" tooltip="EA Canada" display="https://en.wikipedia.org/wiki/EA_Canada" xr:uid="{D4ADC504-1730-4137-AEE9-677F783E1A6D}"/>
    <hyperlink ref="B574" r:id="rId595" tooltip="FIFA 14" display="https://en.wikipedia.org/wiki/FIFA_14" xr:uid="{B9415CD8-A8C1-4D04-B2E4-DAEC3E4AFC6A}"/>
    <hyperlink ref="D574" r:id="rId596" tooltip="Microsoft Windows" display="https://en.wikipedia.org/wiki/Microsoft_Windows" xr:uid="{290D56B9-2E1A-4FE0-8FED-CBFED3B170C5}"/>
    <hyperlink ref="E574" r:id="rId597" tooltip="EA Canada" display="https://en.wikipedia.org/wiki/EA_Canada" xr:uid="{2FA354AB-EFB5-4C6D-AEF7-9ADCDE238236}"/>
    <hyperlink ref="B575" r:id="rId598" tooltip="FIFA 14" display="https://en.wikipedia.org/wiki/FIFA_14" xr:uid="{F0CAFDD4-41EE-4EFB-93F5-4991F78D1229}"/>
    <hyperlink ref="D575" r:id="rId599" tooltip="Xbox 360" display="https://en.wikipedia.org/wiki/Xbox_360" xr:uid="{509740FB-C8D1-4CD3-BC5B-97BF4ACE11AC}"/>
    <hyperlink ref="E575" r:id="rId600" tooltip="EA Canada" display="https://en.wikipedia.org/wiki/EA_Canada" xr:uid="{C2B3E3D4-C21E-435D-A4E5-72B34826E9AF}"/>
    <hyperlink ref="B559" r:id="rId601" tooltip="FIFA 14" display="https://en.wikipedia.org/wiki/FIFA_14" xr:uid="{F6EDDFC5-FC62-4069-9D11-262DF31632CC}"/>
    <hyperlink ref="D559" r:id="rId602" tooltip="PlayStation 4" display="https://en.wikipedia.org/wiki/PlayStation_4" xr:uid="{11E0D4DB-507B-4717-8FA6-4BB9FA4DAE0C}"/>
    <hyperlink ref="E559" r:id="rId603" tooltip="EA Canada" display="https://en.wikipedia.org/wiki/EA_Canada" xr:uid="{5A8B3C63-FDF6-4FD2-9B5E-D5FF73D9EA30}"/>
    <hyperlink ref="B554" r:id="rId604" tooltip="FIFA 14" display="https://en.wikipedia.org/wiki/FIFA_14" xr:uid="{AD0002AD-2424-4C17-AA36-1D4CDA54E465}"/>
    <hyperlink ref="D554" r:id="rId605" tooltip="Xbox One" display="https://en.wikipedia.org/wiki/Xbox_One" xr:uid="{47295A0B-6E66-4FB3-9471-1B23FD84AC90}"/>
    <hyperlink ref="E554" r:id="rId606" tooltip="EA Canada" display="https://en.wikipedia.org/wiki/EA_Canada" xr:uid="{AC25F81B-685D-4A88-8906-3E2A3EFA57A6}"/>
    <hyperlink ref="B536" r:id="rId607" tooltip="FIFA 14" display="https://en.wikipedia.org/wiki/FIFA_14" xr:uid="{6A599555-A4B1-4D33-BB66-78C566B0B5A4}"/>
    <hyperlink ref="D536" r:id="rId608" tooltip="Windows Phone" display="https://en.wikipedia.org/wiki/Windows_Phone" xr:uid="{1594570A-10C2-4E06-A184-7217AFA2A965}"/>
    <hyperlink ref="E536" r:id="rId609" tooltip="EA Canada" display="https://en.wikipedia.org/wiki/EA_Canada" xr:uid="{26BFCD35-2F7D-4FAA-8290-54511FA2A315}"/>
    <hyperlink ref="B502" r:id="rId610" tooltip="FIFA 15" display="https://en.wikipedia.org/wiki/FIFA_15" xr:uid="{32C23613-97DD-442C-9004-4A2BB87D42F9}"/>
    <hyperlink ref="D502" r:id="rId611" tooltip="Android (operating system)" display="https://en.wikipedia.org/wiki/Android_(operating_system)" xr:uid="{32BC34C5-0341-47C5-8DD1-B5868B2E8001}"/>
    <hyperlink ref="E502" r:id="rId612" tooltip="EA Canada" display="https://en.wikipedia.org/wiki/EA_Canada" xr:uid="{36B33F53-0EA9-4997-B3ED-CF9A466FBD81}"/>
    <hyperlink ref="B503" r:id="rId613" tooltip="FIFA 15" display="https://en.wikipedia.org/wiki/FIFA_15" xr:uid="{25A7E876-DE0F-487D-A8BE-8662E210A93D}"/>
    <hyperlink ref="D503" r:id="rId614" tooltip="IOS" display="https://en.wikipedia.org/wiki/IOS" xr:uid="{BAF34AA3-4709-4426-AF6D-452291B68D30}"/>
    <hyperlink ref="E503" r:id="rId615" tooltip="EA Canada" display="https://en.wikipedia.org/wiki/EA_Canada" xr:uid="{76B36AF6-89F7-4717-976E-E3B1127260FF}"/>
    <hyperlink ref="B504" r:id="rId616" tooltip="FIFA 15" display="https://en.wikipedia.org/wiki/FIFA_15" xr:uid="{2429132D-031E-4726-B8EA-0658E54B7E7E}"/>
    <hyperlink ref="D504" r:id="rId617" tooltip="Nintendo 3DS" display="https://en.wikipedia.org/wiki/Nintendo_3DS" xr:uid="{DD7E00A1-92A2-42B5-A263-D6B46AFD544E}"/>
    <hyperlink ref="E504" r:id="rId618" tooltip="EA Canada" display="https://en.wikipedia.org/wiki/EA_Canada" xr:uid="{8119513E-0EC6-4386-B3B4-D6198D36F7B6}"/>
    <hyperlink ref="B505" r:id="rId619" tooltip="FIFA 15" display="https://en.wikipedia.org/wiki/FIFA_15" xr:uid="{84A444A9-E633-413B-9424-0734B0E03503}"/>
    <hyperlink ref="D505" r:id="rId620" tooltip="PlayStation 3" display="https://en.wikipedia.org/wiki/PlayStation_3" xr:uid="{B7B85599-39E6-4218-ACB1-DA1D39FA3BF1}"/>
    <hyperlink ref="E505" r:id="rId621" tooltip="EA Canada" display="https://en.wikipedia.org/wiki/EA_Canada" xr:uid="{AE6675EF-3A2C-4FD0-A922-326BD628D684}"/>
    <hyperlink ref="B506" r:id="rId622" tooltip="FIFA 15" display="https://en.wikipedia.org/wiki/FIFA_15" xr:uid="{1EB35C0C-DF57-4CB9-9A1B-D40C2F23AA64}"/>
    <hyperlink ref="D506" r:id="rId623" tooltip="PlayStation 4" display="https://en.wikipedia.org/wiki/PlayStation_4" xr:uid="{E55068D8-934A-47E6-9C31-15433399D7AC}"/>
    <hyperlink ref="E506" r:id="rId624" tooltip="EA Canada" display="https://en.wikipedia.org/wiki/EA_Canada" xr:uid="{D56B3597-510A-4429-B324-0172881B4107}"/>
    <hyperlink ref="B507" r:id="rId625" tooltip="FIFA 15" display="https://en.wikipedia.org/wiki/FIFA_15" xr:uid="{3DA7325A-E71A-4850-86F8-CB942C0EBB96}"/>
    <hyperlink ref="D507" r:id="rId626" tooltip="PlayStation Vita" display="https://en.wikipedia.org/wiki/PlayStation_Vita" xr:uid="{49FF937B-953F-4730-ABED-F1C0ABEB9F2A}"/>
    <hyperlink ref="E507" r:id="rId627" tooltip="EA Canada" display="https://en.wikipedia.org/wiki/EA_Canada" xr:uid="{CD3B60E3-0BD1-456D-80EF-2DCC882CA0B6}"/>
    <hyperlink ref="B508" r:id="rId628" tooltip="FIFA 15" display="https://en.wikipedia.org/wiki/FIFA_15" xr:uid="{47AC07B2-B8F8-4052-8356-83F83D98CFB4}"/>
    <hyperlink ref="D508" r:id="rId629" tooltip="Wii" display="https://en.wikipedia.org/wiki/Wii" xr:uid="{DCB0D021-C9B9-4250-AB31-C098111D90D1}"/>
    <hyperlink ref="E508" r:id="rId630" tooltip="EA Canada" display="https://en.wikipedia.org/wiki/EA_Canada" xr:uid="{20EE86F6-8D6C-4383-94FB-565B51197829}"/>
    <hyperlink ref="B509" r:id="rId631" tooltip="FIFA 15" display="https://en.wikipedia.org/wiki/FIFA_15" xr:uid="{C0C862AD-B40E-4288-B76F-BD62ED3966FC}"/>
    <hyperlink ref="D509" r:id="rId632" tooltip="Microsoft Windows" display="https://en.wikipedia.org/wiki/Microsoft_Windows" xr:uid="{99339649-D129-41D6-B43E-3777FEB85104}"/>
    <hyperlink ref="E509" r:id="rId633" tooltip="EA Canada" display="https://en.wikipedia.org/wiki/EA_Canada" xr:uid="{34F8E7D0-8FDC-4852-8AAD-64C3F8409E08}"/>
    <hyperlink ref="B510" r:id="rId634" tooltip="FIFA 15" display="https://en.wikipedia.org/wiki/FIFA_15" xr:uid="{F046D5D9-8DA0-4430-9D39-0E6621CAFD17}"/>
    <hyperlink ref="D510" r:id="rId635" tooltip="Xbox 360" display="https://en.wikipedia.org/wiki/Xbox_360" xr:uid="{819E7FEA-08EF-4EDB-B43A-6AD0934C7D6E}"/>
    <hyperlink ref="E510" r:id="rId636" tooltip="EA Canada" display="https://en.wikipedia.org/wiki/EA_Canada" xr:uid="{9520F6E2-F308-49FA-A5A6-4B570E83430B}"/>
    <hyperlink ref="B511" r:id="rId637" tooltip="FIFA 15" display="https://en.wikipedia.org/wiki/FIFA_15" xr:uid="{C9DF4D54-075E-4841-B43C-EE255128CCAD}"/>
    <hyperlink ref="D511" r:id="rId638" tooltip="Xbox One" display="https://en.wikipedia.org/wiki/Xbox_One" xr:uid="{0C3DE5FB-9C09-4C9D-87B8-4E28D30FADBC}"/>
    <hyperlink ref="E511" r:id="rId639" tooltip="EA Canada" display="https://en.wikipedia.org/wiki/EA_Canada" xr:uid="{64ECB044-5D64-4FEE-82E7-1DDF42E33757}"/>
    <hyperlink ref="B512" r:id="rId640" tooltip="FIFA 15" display="https://en.wikipedia.org/wiki/FIFA_15" xr:uid="{DEB5D6E4-AAC2-47DA-BA67-1626875C7211}"/>
    <hyperlink ref="D512" r:id="rId641" tooltip="Windows Phone" display="https://en.wikipedia.org/wiki/Windows_Phone" xr:uid="{01CAC865-4270-4DB6-9E23-5DE58634B42A}"/>
    <hyperlink ref="E512" r:id="rId642" tooltip="EA Canada" display="https://en.wikipedia.org/wiki/EA_Canada" xr:uid="{B4B45C29-017D-4C01-BD8D-1D87F03836F1}"/>
    <hyperlink ref="B457" r:id="rId643" tooltip="FIFA 16" display="https://en.wikipedia.org/wiki/FIFA_16" xr:uid="{FE8FF672-248D-4343-8467-291569D5F9B7}"/>
    <hyperlink ref="D457" r:id="rId644" tooltip="Android (operating system)" display="https://en.wikipedia.org/wiki/Android_(operating_system)" xr:uid="{8460848D-D90B-4467-890B-CF8EC89019A2}"/>
    <hyperlink ref="E457" r:id="rId645" tooltip="EA Canada" display="https://en.wikipedia.org/wiki/EA_Canada" xr:uid="{96B14B47-B6A5-4970-85C5-E9E629E47EBB}"/>
    <hyperlink ref="B458" r:id="rId646" tooltip="FIFA 16" display="https://en.wikipedia.org/wiki/FIFA_16" xr:uid="{5B2565F5-A30B-41ED-AEBC-903242CB8F1F}"/>
    <hyperlink ref="D458" r:id="rId647" tooltip="IOS" display="https://en.wikipedia.org/wiki/IOS" xr:uid="{46676CC5-9258-42E8-A867-C0FA1814702E}"/>
    <hyperlink ref="E458" r:id="rId648" tooltip="EA Canada" display="https://en.wikipedia.org/wiki/EA_Canada" xr:uid="{2FFEF3AF-37D2-495E-B714-E4C37A1E6D34}"/>
    <hyperlink ref="B459" r:id="rId649" tooltip="FIFA 16" display="https://en.wikipedia.org/wiki/FIFA_16" xr:uid="{128C55B3-5C0C-42B2-8FEE-99B08AD3EC92}"/>
    <hyperlink ref="D459" r:id="rId650" tooltip="PlayStation 3" display="https://en.wikipedia.org/wiki/PlayStation_3" xr:uid="{F7C0F117-C2C2-4FB1-A995-01E33897AF2A}"/>
    <hyperlink ref="E459" r:id="rId651" tooltip="EA Canada" display="https://en.wikipedia.org/wiki/EA_Canada" xr:uid="{85E738F4-B99D-4F7E-BBEC-6676D3060293}"/>
    <hyperlink ref="B460" r:id="rId652" tooltip="FIFA 16" display="https://en.wikipedia.org/wiki/FIFA_16" xr:uid="{938C496A-18AD-470A-BF22-B91EEB08016F}"/>
    <hyperlink ref="D460" r:id="rId653" tooltip="PlayStation 4" display="https://en.wikipedia.org/wiki/PlayStation_4" xr:uid="{5A202E5F-74A0-4CC6-86F4-76793CF24866}"/>
    <hyperlink ref="E460" r:id="rId654" tooltip="EA Canada" display="https://en.wikipedia.org/wiki/EA_Canada" xr:uid="{98A47841-BFD6-4BCE-8641-44A3E63657C7}"/>
    <hyperlink ref="B461" r:id="rId655" tooltip="FIFA 16" display="https://en.wikipedia.org/wiki/FIFA_16" xr:uid="{2FA6F797-8DB8-4A61-B4F7-922F4C5E9D76}"/>
    <hyperlink ref="D461" r:id="rId656" tooltip="Microsoft Windows" display="https://en.wikipedia.org/wiki/Microsoft_Windows" xr:uid="{8E34FE2A-9536-462F-A441-E8A1E4397B2D}"/>
    <hyperlink ref="E461" r:id="rId657" tooltip="EA Canada" display="https://en.wikipedia.org/wiki/EA_Canada" xr:uid="{3AF2D50B-35D0-43F4-93C2-B9537548D0A5}"/>
    <hyperlink ref="B462" r:id="rId658" tooltip="FIFA 16" display="https://en.wikipedia.org/wiki/FIFA_16" xr:uid="{E9BF6EC7-BB06-4669-9CBA-E15B4C3B6FB8}"/>
    <hyperlink ref="D462" r:id="rId659" tooltip="Xbox 360" display="https://en.wikipedia.org/wiki/Xbox_360" xr:uid="{98A435F6-F7E1-4770-B99F-7147CD48E9E1}"/>
    <hyperlink ref="E462" r:id="rId660" tooltip="EA Canada" display="https://en.wikipedia.org/wiki/EA_Canada" xr:uid="{ADCE220B-01CF-48BA-A7BA-84DD1C7F0FCD}"/>
    <hyperlink ref="B463" r:id="rId661" tooltip="FIFA 16" display="https://en.wikipedia.org/wiki/FIFA_16" xr:uid="{A32AB4EB-AAE9-4F24-9DCF-FB8CE57B8120}"/>
    <hyperlink ref="D463" r:id="rId662" tooltip="Xbox One" display="https://en.wikipedia.org/wiki/Xbox_One" xr:uid="{DB0E1F6E-4133-4A51-A915-2918594CE07C}"/>
    <hyperlink ref="E463" r:id="rId663" tooltip="EA Canada" display="https://en.wikipedia.org/wiki/EA_Canada" xr:uid="{BED62ECF-CA94-4C23-AAA6-7C42E63CE23C}"/>
    <hyperlink ref="B408" r:id="rId664" tooltip="FIFA 17" display="https://en.wikipedia.org/wiki/FIFA_17" xr:uid="{5570C49F-C877-4296-9B9C-F9147A16BB41}"/>
    <hyperlink ref="D408" r:id="rId665" tooltip="PlayStation 3" display="https://en.wikipedia.org/wiki/PlayStation_3" xr:uid="{B5441B9A-181F-477D-A367-D732090198F1}"/>
    <hyperlink ref="E408" r:id="rId666" tooltip="EA Vancouver" display="https://en.wikipedia.org/wiki/EA_Vancouver" xr:uid="{F290B8A0-F8D6-46E6-93A0-4D4D5739AEC6}"/>
    <hyperlink ref="B409" r:id="rId667" tooltip="FIFA 17" display="https://en.wikipedia.org/wiki/FIFA_17" xr:uid="{6C61776F-3919-4749-A138-55DDAD24221E}"/>
    <hyperlink ref="D409" r:id="rId668" tooltip="PlayStation 4" display="https://en.wikipedia.org/wiki/PlayStation_4" xr:uid="{80E9B6F1-0118-49B2-B0C8-B9CB64D85A83}"/>
    <hyperlink ref="E409" r:id="rId669" tooltip="EA Vancouver" display="https://en.wikipedia.org/wiki/EA_Vancouver" xr:uid="{54E63E77-DE88-4E42-AC1A-9BA99AB01438}"/>
    <hyperlink ref="B410" r:id="rId670" tooltip="FIFA 17" display="https://en.wikipedia.org/wiki/FIFA_17" xr:uid="{75654514-70D8-441D-B6A6-B03D4FB3F429}"/>
    <hyperlink ref="D410" r:id="rId671" tooltip="Microsoft Windows" display="https://en.wikipedia.org/wiki/Microsoft_Windows" xr:uid="{561914CA-DB70-44E2-93AA-EC3CB8FFA4CE}"/>
    <hyperlink ref="E410" r:id="rId672" tooltip="EA Vancouver" display="https://en.wikipedia.org/wiki/EA_Vancouver" xr:uid="{AE584E41-C219-48DD-87F7-CA4358B78524}"/>
    <hyperlink ref="B411" r:id="rId673" tooltip="FIFA 17" display="https://en.wikipedia.org/wiki/FIFA_17" xr:uid="{A808A6C5-9C66-4618-B136-FA5EA75683C6}"/>
    <hyperlink ref="D411" r:id="rId674" tooltip="Xbox 360" display="https://en.wikipedia.org/wiki/Xbox_360" xr:uid="{83B2D1C5-B992-4B11-A411-3D429F61C2BF}"/>
    <hyperlink ref="E411" r:id="rId675" tooltip="EA Vancouver" display="https://en.wikipedia.org/wiki/EA_Vancouver" xr:uid="{2156B68F-84BB-454A-B919-853D0331389A}"/>
    <hyperlink ref="B412" r:id="rId676" tooltip="FIFA 17" display="https://en.wikipedia.org/wiki/FIFA_17" xr:uid="{CBFD52D1-B90B-4BE4-A268-B3BA5B2C4BC5}"/>
    <hyperlink ref="D412" r:id="rId677" tooltip="Xbox One" display="https://en.wikipedia.org/wiki/Xbox_One" xr:uid="{900ED7A1-A971-4E6D-934F-BB4233C641D1}"/>
    <hyperlink ref="E412" r:id="rId678" tooltip="EA Vancouver" display="https://en.wikipedia.org/wiki/EA_Vancouver" xr:uid="{3B1FE210-46BE-47A9-AA71-81479C1288B5}"/>
    <hyperlink ref="B370" r:id="rId679" tooltip="FIFA 18" display="https://en.wikipedia.org/wiki/FIFA_18" xr:uid="{67463427-3B6B-4793-9053-36DA6E500B92}"/>
    <hyperlink ref="D370" r:id="rId680" tooltip="Nintendo Switch" display="https://en.wikipedia.org/wiki/Nintendo_Switch" xr:uid="{1E86910E-6D78-4087-A591-027B2440614A}"/>
    <hyperlink ref="E370" r:id="rId681" tooltip="EA Vancouver" display="https://en.wikipedia.org/wiki/EA_Vancouver" xr:uid="{14046A5D-02B5-40F9-A8B2-F64BF9E4BD86}"/>
    <hyperlink ref="B371" r:id="rId682" tooltip="FIFA 18" display="https://en.wikipedia.org/wiki/FIFA_18" xr:uid="{8D6B92B2-E9E3-4E35-B410-9DDE2DDC38EA}"/>
    <hyperlink ref="D371" r:id="rId683" tooltip="PlayStation 3" display="https://en.wikipedia.org/wiki/PlayStation_3" xr:uid="{C03B4E95-BE9B-4495-838D-1E3F4A41982A}"/>
    <hyperlink ref="E371" r:id="rId684" tooltip="EA Vancouver" display="https://en.wikipedia.org/wiki/EA_Vancouver" xr:uid="{BFEB5235-0A70-44F9-9EA2-E728BDE5A29C}"/>
    <hyperlink ref="B372" r:id="rId685" tooltip="FIFA 18" display="https://en.wikipedia.org/wiki/FIFA_18" xr:uid="{0A789A66-BE5E-475A-B846-AA739F70659D}"/>
    <hyperlink ref="D372" r:id="rId686" tooltip="PlayStation 4" display="https://en.wikipedia.org/wiki/PlayStation_4" xr:uid="{A55CFC48-3DEF-4F6A-A6B3-83311EE33CA3}"/>
    <hyperlink ref="E372" r:id="rId687" tooltip="EA Vancouver" display="https://en.wikipedia.org/wiki/EA_Vancouver" xr:uid="{878D6CCD-2980-432F-9B28-2CA74DD36B94}"/>
    <hyperlink ref="B373" r:id="rId688" tooltip="FIFA 18" display="https://en.wikipedia.org/wiki/FIFA_18" xr:uid="{BAF61D22-7255-453D-B32F-3FB78DE9B773}"/>
    <hyperlink ref="D373" r:id="rId689" tooltip="Microsoft Windows" display="https://en.wikipedia.org/wiki/Microsoft_Windows" xr:uid="{3285C4CC-E26D-4F1B-A2E1-4B82C5C7C149}"/>
    <hyperlink ref="E373" r:id="rId690" tooltip="EA Vancouver" display="https://en.wikipedia.org/wiki/EA_Vancouver" xr:uid="{A593CE1D-583C-4F73-B716-39A06D00EEF0}"/>
    <hyperlink ref="B374" r:id="rId691" tooltip="FIFA 18" display="https://en.wikipedia.org/wiki/FIFA_18" xr:uid="{4349DF45-050B-4E0A-8F1C-2512F92ED51D}"/>
    <hyperlink ref="D374" r:id="rId692" tooltip="Xbox 360" display="https://en.wikipedia.org/wiki/Xbox_360" xr:uid="{EE468ADA-5CA3-4EB3-90FC-2C913E692F36}"/>
    <hyperlink ref="E374" r:id="rId693" tooltip="EA Vancouver" display="https://en.wikipedia.org/wiki/EA_Vancouver" xr:uid="{AEE7EB6F-61E9-49F9-95B8-424A93D88E53}"/>
    <hyperlink ref="B375" r:id="rId694" tooltip="FIFA 18" display="https://en.wikipedia.org/wiki/FIFA_18" xr:uid="{5CA855A1-B289-425F-B771-472338A9A32A}"/>
    <hyperlink ref="D375" r:id="rId695" tooltip="Xbox One" display="https://en.wikipedia.org/wiki/Xbox_One" xr:uid="{5E65A2AD-EED2-4095-B14C-AF0D2D8E4262}"/>
    <hyperlink ref="E375" r:id="rId696" tooltip="EA Vancouver" display="https://en.wikipedia.org/wiki/EA_Vancouver" xr:uid="{6625C8EA-FE83-4726-9712-31CD298E9EA9}"/>
    <hyperlink ref="B306" r:id="rId697" tooltip="FIFA 19" display="https://en.wikipedia.org/wiki/FIFA_19" xr:uid="{BA7A9D28-91A5-4F59-84B7-67801F98C22B}"/>
    <hyperlink ref="D306" r:id="rId698" tooltip="Nintendo Switch" display="https://en.wikipedia.org/wiki/Nintendo_Switch" xr:uid="{B9E2A985-E1E4-46C1-B2E6-87FA733E9AB1}"/>
    <hyperlink ref="E306" r:id="rId699" tooltip="EA Vancouver" display="https://en.wikipedia.org/wiki/EA_Vancouver" xr:uid="{B30D75EB-2A87-4BB6-B9D8-1EB78BAA4CA2}"/>
    <hyperlink ref="B307" r:id="rId700" tooltip="FIFA 19" display="https://en.wikipedia.org/wiki/FIFA_19" xr:uid="{A9A414D5-B2F4-489A-AB04-10DB974F4C47}"/>
    <hyperlink ref="D307" r:id="rId701" tooltip="PlayStation 3" display="https://en.wikipedia.org/wiki/PlayStation_3" xr:uid="{F2C15443-6E9C-478A-A8ED-01B038FE6E93}"/>
    <hyperlink ref="E307" r:id="rId702" tooltip="EA Vancouver" display="https://en.wikipedia.org/wiki/EA_Vancouver" xr:uid="{D011FD92-D984-46BF-B7E2-352222F87081}"/>
    <hyperlink ref="B308" r:id="rId703" tooltip="FIFA 19" display="https://en.wikipedia.org/wiki/FIFA_19" xr:uid="{8923B81A-2607-4B34-9DED-E5C02068BBE5}"/>
    <hyperlink ref="D308" r:id="rId704" tooltip="PlayStation 4" display="https://en.wikipedia.org/wiki/PlayStation_4" xr:uid="{8D882466-90BF-4354-96D9-FA706D96172B}"/>
    <hyperlink ref="E308" r:id="rId705" tooltip="EA Vancouver" display="https://en.wikipedia.org/wiki/EA_Vancouver" xr:uid="{5A55A4BD-ACE3-48D0-A3DD-09E1F39B0872}"/>
    <hyperlink ref="B309" r:id="rId706" tooltip="FIFA 19" display="https://en.wikipedia.org/wiki/FIFA_19" xr:uid="{E37F176B-F6F2-4983-A3CB-1F1D86E7A2B0}"/>
    <hyperlink ref="D309" r:id="rId707" tooltip="Microsoft Windows" display="https://en.wikipedia.org/wiki/Microsoft_Windows" xr:uid="{8FBB71FA-F50A-4C55-B0DB-CC457F27EF6B}"/>
    <hyperlink ref="E309" r:id="rId708" tooltip="EA Vancouver" display="https://en.wikipedia.org/wiki/EA_Vancouver" xr:uid="{CE19C191-970F-409A-94C5-2BB70422E8E5}"/>
    <hyperlink ref="B310" r:id="rId709" tooltip="FIFA 19" display="https://en.wikipedia.org/wiki/FIFA_19" xr:uid="{6A2C5C50-1357-4F4A-8207-A7426B4BDB31}"/>
    <hyperlink ref="D310" r:id="rId710" tooltip="Xbox 360" display="https://en.wikipedia.org/wiki/Xbox_360" xr:uid="{4411FBC2-0640-49E6-9040-9072A8F796B0}"/>
    <hyperlink ref="E310" r:id="rId711" tooltip="EA Vancouver" display="https://en.wikipedia.org/wiki/EA_Vancouver" xr:uid="{B8A77F87-7FB7-4B91-AD68-7880570764A4}"/>
    <hyperlink ref="B311" r:id="rId712" tooltip="FIFA 19" display="https://en.wikipedia.org/wiki/FIFA_19" xr:uid="{F4D9AA59-17AF-46AF-9BB3-3DBF8675785D}"/>
    <hyperlink ref="D311" r:id="rId713" tooltip="Xbox One" display="https://en.wikipedia.org/wiki/Xbox_One" xr:uid="{D0DACE42-6EB9-427D-9CB9-69650ABC5E0B}"/>
    <hyperlink ref="E311" r:id="rId714" tooltip="EA Vancouver" display="https://en.wikipedia.org/wiki/EA_Vancouver" xr:uid="{CADDBB73-B490-4B11-9F2D-BD5FB6C17192}"/>
    <hyperlink ref="B261" r:id="rId715" tooltip="FIFA 20" display="https://en.wikipedia.org/wiki/FIFA_20" xr:uid="{66EF0F9B-18CD-4AC9-B4EA-93606EB940C1}"/>
    <hyperlink ref="D261" r:id="rId716" tooltip="Nintendo Switch" display="https://en.wikipedia.org/wiki/Nintendo_Switch" xr:uid="{A040EAFC-C184-4E18-A288-6515F6224A1B}"/>
    <hyperlink ref="E261" r:id="rId717" tooltip="EA Vancouver" display="https://en.wikipedia.org/wiki/EA_Vancouver" xr:uid="{54977DBB-C3EF-444F-80A0-FD294DEECC48}"/>
    <hyperlink ref="B262" r:id="rId718" tooltip="FIFA 20" display="https://en.wikipedia.org/wiki/FIFA_20" xr:uid="{3024F0E3-83AE-4ED3-8B66-2B2783AB8104}"/>
    <hyperlink ref="D262" r:id="rId719" tooltip="PlayStation 4" display="https://en.wikipedia.org/wiki/PlayStation_4" xr:uid="{CF34C6D0-A5C2-479E-BFC9-25D93CBD6BE0}"/>
    <hyperlink ref="E262" r:id="rId720" tooltip="EA Vancouver" display="https://en.wikipedia.org/wiki/EA_Vancouver" xr:uid="{C3A183C5-C8CF-4803-9E5C-97F4968DD3CE}"/>
    <hyperlink ref="B263" r:id="rId721" tooltip="FIFA 20" display="https://en.wikipedia.org/wiki/FIFA_20" xr:uid="{2FF59160-921C-4BA1-AB96-4FE2CA152B93}"/>
    <hyperlink ref="D263" r:id="rId722" tooltip="Microsoft Windows" display="https://en.wikipedia.org/wiki/Microsoft_Windows" xr:uid="{1DA63095-B707-47DA-A432-60C99E261963}"/>
    <hyperlink ref="E263" r:id="rId723" tooltip="EA Vancouver" display="https://en.wikipedia.org/wiki/EA_Vancouver" xr:uid="{6FDBA196-2A51-482E-9C69-83DD97565F70}"/>
    <hyperlink ref="B264" r:id="rId724" tooltip="FIFA 20" display="https://en.wikipedia.org/wiki/FIFA_20" xr:uid="{05405389-0CBA-409E-AF84-FFE59B6C7D6B}"/>
    <hyperlink ref="D264" r:id="rId725" tooltip="Xbox One" display="https://en.wikipedia.org/wiki/Xbox_One" xr:uid="{091A9B56-2ADB-4BDE-A74A-6BDBA01848A9}"/>
    <hyperlink ref="E264" r:id="rId726" tooltip="EA Vancouver" display="https://en.wikipedia.org/wiki/EA_Vancouver" xr:uid="{BE25D900-614C-4F98-BDD4-EFA4BABABFFC}"/>
    <hyperlink ref="B906" r:id="rId727" tooltip="FIFA Manager 11" display="https://en.wikipedia.org/wiki/FIFA_Manager_11" xr:uid="{DC6A55E0-FAA7-4088-9534-929070458560}"/>
    <hyperlink ref="D906" r:id="rId728" tooltip="Microsoft Windows" display="https://en.wikipedia.org/wiki/Microsoft_Windows" xr:uid="{1EB0177E-960C-4BB3-8631-04BCDB63D0C7}"/>
    <hyperlink ref="B747" r:id="rId729" tooltip="FIFA Manager 12" display="https://en.wikipedia.org/wiki/FIFA_Manager_12" xr:uid="{54164A25-6D75-4DB8-AA1B-DAD2C8E658E9}"/>
    <hyperlink ref="D747" r:id="rId730" tooltip="Microsoft Windows" display="https://en.wikipedia.org/wiki/Microsoft_Windows" xr:uid="{005A0378-E1D6-4E84-9E0E-E5C28CAA2E0C}"/>
    <hyperlink ref="B641" r:id="rId731" tooltip="FIFA Manager 13" display="https://en.wikipedia.org/wiki/FIFA_Manager_13" xr:uid="{5B8D099C-8B5D-4F73-AA2E-5D71E62ADE68}"/>
    <hyperlink ref="D641" r:id="rId732" tooltip="Microsoft Windows" display="https://en.wikipedia.org/wiki/Microsoft_Windows" xr:uid="{0F30FB3C-112E-41BD-98BF-5AAE6079D8C7}"/>
    <hyperlink ref="B563" r:id="rId733" tooltip="FIFA Manager 14" display="https://en.wikipedia.org/wiki/FIFA_Manager_14" xr:uid="{E8C948A2-7462-45AC-9A9C-6625A74C415E}"/>
    <hyperlink ref="D563" r:id="rId734" tooltip="Microsoft Windows" display="https://en.wikipedia.org/wiki/Microsoft_Windows" xr:uid="{A5C05C5D-3571-4241-AADE-157C35942C9A}"/>
    <hyperlink ref="B404" r:id="rId735" tooltip="FIFA Mobile" display="https://en.wikipedia.org/wiki/FIFA_Mobile" xr:uid="{1A1443FD-0E79-4721-8E2F-49531C7F3203}"/>
    <hyperlink ref="D404" r:id="rId736" tooltip="Android (operating system)" display="https://en.wikipedia.org/wiki/Android_(operating_system)" xr:uid="{063B1BE3-8C97-4E87-8213-901CEEA255B3}"/>
    <hyperlink ref="B405" r:id="rId737" tooltip="FIFA Mobile" display="https://en.wikipedia.org/wiki/FIFA_Mobile" xr:uid="{BAF98D12-36EB-46C0-AF01-A5FB45FBAC84}"/>
    <hyperlink ref="D405" r:id="rId738" tooltip="IOS" display="https://en.wikipedia.org/wiki/IOS" xr:uid="{5E5802B3-ACBF-463E-80BF-B8DCEE94E8E8}"/>
    <hyperlink ref="B406" r:id="rId739" tooltip="FIFA Mobile" display="https://en.wikipedia.org/wiki/FIFA_Mobile" xr:uid="{28E8DEE2-ADB0-479E-8CF9-9BF45AE656BC}"/>
    <hyperlink ref="D406" r:id="rId740" tooltip="Microsoft Windows" display="https://en.wikipedia.org/wiki/Microsoft_Windows" xr:uid="{ECD467E0-A8DA-4957-A8CA-90A86B3022DC}"/>
    <hyperlink ref="B997" r:id="rId741" tooltip="FIFA Online (western version)" display="https://en.wikipedia.org/wiki/FIFA_Online_(western_version)" xr:uid="{51F8660D-C7B9-42CA-B099-27525182CF72}"/>
    <hyperlink ref="D997" r:id="rId742" tooltip="Microsoft Windows" display="https://en.wikipedia.org/wiki/Microsoft_Windows" xr:uid="{EF84DFB6-5B09-4F2C-9D57-FF904132A434}"/>
    <hyperlink ref="B627" r:id="rId743" tooltip="FIFA Online 3" display="https://en.wikipedia.org/wiki/FIFA_Online_3" xr:uid="{97761F98-FB8C-4408-87DE-02D5B0027857}"/>
    <hyperlink ref="D627" r:id="rId744" tooltip="Microsoft Windows" display="https://en.wikipedia.org/wiki/Microsoft_Windows" xr:uid="{75C8938C-509B-4A0A-B332-284B41E00BB3}"/>
    <hyperlink ref="B335" r:id="rId745" tooltip="FIFA Online 4" display="https://en.wikipedia.org/wiki/FIFA_Online_4" xr:uid="{FBB9A4FC-BFBB-4865-94D4-B595996ADC18}"/>
    <hyperlink ref="D335" r:id="rId746" tooltip="Microsoft Windows" display="https://en.wikipedia.org/wiki/Microsoft_Windows" xr:uid="{430880AF-3E3A-4126-86F5-E2745C795427}"/>
    <hyperlink ref="B692" r:id="rId747" tooltip="FIFA Street (2012 video game)" display="https://en.wikipedia.org/wiki/FIFA_Street_(2012_video_game)" xr:uid="{23FDA9CF-EE87-4E42-843D-7D350830D11F}"/>
    <hyperlink ref="D692" r:id="rId748" tooltip="PlayStation 3" display="https://en.wikipedia.org/wiki/PlayStation_3" xr:uid="{29DB652E-6D71-4D68-B0E9-0C3AB2928132}"/>
    <hyperlink ref="E692" r:id="rId749" tooltip="EA Canada" display="https://en.wikipedia.org/wiki/EA_Canada" xr:uid="{42AD77DF-1E62-4A73-8F0B-288C472F5992}"/>
    <hyperlink ref="B693" r:id="rId750" tooltip="FIFA Street (2012 video game)" display="https://en.wikipedia.org/wiki/FIFA_Street_(2012_video_game)" xr:uid="{B122D200-0611-4D2E-93A5-611AE841FB20}"/>
    <hyperlink ref="D693" r:id="rId751" tooltip="Xbox 360" display="https://en.wikipedia.org/wiki/Xbox_360" xr:uid="{6B321889-0810-429B-BD8C-5CD8E516C733}"/>
    <hyperlink ref="E693" r:id="rId752" tooltip="EA Canada" display="https://en.wikipedia.org/wiki/EA_Canada" xr:uid="{5EF6991B-4BC0-40F6-80F1-1FD1EC429F3F}"/>
    <hyperlink ref="B558" r:id="rId753" tooltip="FIFA World" display="https://en.wikipedia.org/wiki/FIFA_World" xr:uid="{D3121AEE-A114-4F7D-BE7E-99D785EA2A98}"/>
    <hyperlink ref="D558" r:id="rId754" tooltip="Microsoft Windows" display="https://en.wikipedia.org/wiki/Microsoft_Windows" xr:uid="{B9E459DD-FCE5-4D66-8530-DEF7FB9B6C52}"/>
    <hyperlink ref="E558" r:id="rId755" tooltip="EA Canada" display="https://en.wikipedia.org/wiki/EA_Canada" xr:uid="{58924AC0-5508-4A06-931C-D83580EDEB13}"/>
    <hyperlink ref="B837" r:id="rId756" tooltip="Fight Night Champion" display="https://en.wikipedia.org/wiki/Fight_Night_Champion" xr:uid="{56E4A39E-A143-440B-AC6F-204986259189}"/>
    <hyperlink ref="D837" r:id="rId757" tooltip="IOS" display="https://en.wikipedia.org/wiki/IOS" xr:uid="{CB8FDBA6-A218-4ED4-99D1-0734BA2E10F9}"/>
    <hyperlink ref="E837" r:id="rId758" tooltip="HB Studios" display="https://en.wikipedia.org/wiki/HB_Studios" xr:uid="{4047E972-461C-45FB-ACB4-040E7935BC4F}"/>
    <hyperlink ref="B838" r:id="rId759" tooltip="Fight Night Champion" display="https://en.wikipedia.org/wiki/Fight_Night_Champion" xr:uid="{9C0A1A38-7503-4786-93A8-2AA90C5E706E}"/>
    <hyperlink ref="D838" r:id="rId760" tooltip="PlayStation 3" display="https://en.wikipedia.org/wiki/PlayStation_3" xr:uid="{E83D789F-CC36-44D7-80B2-0ACCBE9D48E7}"/>
    <hyperlink ref="E838" r:id="rId761" tooltip="EA Canada" display="https://en.wikipedia.org/wiki/EA_Canada" xr:uid="{7D643D2F-E17B-4959-AF3F-264BF45DC7AE}"/>
    <hyperlink ref="B839" r:id="rId762" tooltip="Fight Night Champion" display="https://en.wikipedia.org/wiki/Fight_Night_Champion" xr:uid="{40A44FF2-1C0B-42DD-9D82-390D1655945A}"/>
    <hyperlink ref="D839" r:id="rId763" tooltip="Xbox 360" display="https://en.wikipedia.org/wiki/Xbox_360" xr:uid="{027E027E-51FE-446A-8E04-52AF036DF377}"/>
    <hyperlink ref="E839" r:id="rId764" tooltip="EA Canada" display="https://en.wikipedia.org/wiki/EA_Canada" xr:uid="{832E2DD5-CFB9-4F24-BC8D-121D048170F1}"/>
    <hyperlink ref="B542" r:id="rId765" location="as_Ninja_Theory" tooltip="Ninja Theory" display="https://en.wikipedia.org/wiki/Ninja_Theory - as_Ninja_Theory" xr:uid="{6174DC87-B02F-4C34-9F58-12635692E2A5}"/>
    <hyperlink ref="D542" r:id="rId766" tooltip="IOS" display="https://en.wikipedia.org/wiki/IOS" xr:uid="{8827CC9B-56DA-4577-823E-48F2807E9761}"/>
    <hyperlink ref="E542" r:id="rId767" tooltip="Ninja Theory" display="https://en.wikipedia.org/wiki/Ninja_Theory" xr:uid="{2752BA45-7BAE-4F67-9EB3-D52CE838C22E}"/>
    <hyperlink ref="D688" r:id="rId768" tooltip="IOS" display="https://en.wikipedia.org/wiki/IOS" xr:uid="{746A2F93-0B73-4C4E-9AC0-AD4DD165D16E}"/>
    <hyperlink ref="E688" r:id="rId769" tooltip="Firemint" display="https://en.wikipedia.org/wiki/Firemint" xr:uid="{30B9D884-0D01-47BD-8808-9F4D59290E0A}"/>
    <hyperlink ref="B600" r:id="rId770" tooltip="Fuse (video game)" display="https://en.wikipedia.org/wiki/Fuse_(video_game)" xr:uid="{CEC24323-395F-4BDF-9CD0-FD983A7D8303}"/>
    <hyperlink ref="D600" r:id="rId771" tooltip="PlayStation 3" display="https://en.wikipedia.org/wiki/PlayStation_3" xr:uid="{BB49D5AE-EEEE-4CD1-A847-261B7E9A7DE3}"/>
    <hyperlink ref="E600" r:id="rId772" tooltip="Insomniac Games" display="https://en.wikipedia.org/wiki/Insomniac_Games" xr:uid="{0EE4CEC6-1175-4F85-A1A2-3E0F3073140D}"/>
    <hyperlink ref="B601" r:id="rId773" tooltip="Fuse (video game)" display="https://en.wikipedia.org/wiki/Fuse_(video_game)" xr:uid="{82E028B2-2E5B-43C4-982C-17803A92DF7B}"/>
    <hyperlink ref="D601" r:id="rId774" tooltip="Xbox 360" display="https://en.wikipedia.org/wiki/Xbox_360" xr:uid="{878A9DA0-6D57-4450-BB88-0C097D98BD8C}"/>
    <hyperlink ref="E601" r:id="rId775" tooltip="Insomniac Games" display="https://en.wikipedia.org/wiki/Insomniac_Games" xr:uid="{166F1BE7-FC08-4238-A009-30BD7142DD0B}"/>
    <hyperlink ref="B711" r:id="rId776" tooltip="Grand Slam Tennis 2" display="https://en.wikipedia.org/wiki/Grand_Slam_Tennis_2" xr:uid="{E01243B1-8139-41FE-9158-7CA8D3705B83}"/>
    <hyperlink ref="D711" r:id="rId777" tooltip="PlayStation 3" display="https://en.wikipedia.org/wiki/PlayStation_3" xr:uid="{E9A65C7D-4FDB-4D90-8031-855C9D5075F3}"/>
    <hyperlink ref="E711" r:id="rId778" tooltip="EA Canada" display="https://en.wikipedia.org/wiki/EA_Canada" xr:uid="{69AC6941-A056-4D3A-8EC6-2DBF8C84AE43}"/>
    <hyperlink ref="B712" r:id="rId779" tooltip="Grand Slam Tennis 2" display="https://en.wikipedia.org/wiki/Grand_Slam_Tennis_2" xr:uid="{CBE4E15F-4DA9-45D7-9801-85232DBB521C}"/>
    <hyperlink ref="D712" r:id="rId780" tooltip="Xbox 360" display="https://en.wikipedia.org/wiki/Xbox_360" xr:uid="{2691299D-306D-4E77-8971-0CA3206943A8}"/>
    <hyperlink ref="E712" r:id="rId781" tooltip="EA Canada" display="https://en.wikipedia.org/wiki/EA_Canada" xr:uid="{85AE6430-F240-4C04-A39B-558B7BDD3C11}"/>
    <hyperlink ref="B990" r:id="rId782" tooltip="Green Day: Rock Band" display="https://en.wikipedia.org/wiki/Green_Day:_Rock_Band" xr:uid="{14EB97D4-A778-46A7-8CB7-8A4F407AFC4B}"/>
    <hyperlink ref="D990" r:id="rId783" tooltip="PlayStation 3" display="https://en.wikipedia.org/wiki/PlayStation_3" xr:uid="{6E5B137A-848F-4174-9AB4-A442E2A4DFA3}"/>
    <hyperlink ref="B991" r:id="rId784" tooltip="Green Day: Rock Band" display="https://en.wikipedia.org/wiki/Green_Day:_Rock_Band" xr:uid="{9BAA5025-FF42-46F5-BD55-11D7FC4811B2}"/>
    <hyperlink ref="D991" r:id="rId785" tooltip="Wii" display="https://en.wikipedia.org/wiki/Wii" xr:uid="{086572E0-F393-44E9-9DD1-175D7F582204}"/>
    <hyperlink ref="B992" r:id="rId786" tooltip="Green Day: Rock Band" display="https://en.wikipedia.org/wiki/Green_Day:_Rock_Band" xr:uid="{C3BC95DE-DF4F-4026-B0F7-1B14686281B5}"/>
    <hyperlink ref="D992" r:id="rId787" tooltip="Xbox 360" display="https://en.wikipedia.org/wiki/Xbox_360" xr:uid="{74681C2D-B533-4B2D-91E2-0A31A20B2D8C}"/>
    <hyperlink ref="B886" r:id="rId788" tooltip="Harry Potter and the Deathly Hallows – Part 1 (video game)" display="https://en.wikipedia.org/wiki/Harry_Potter_and_the_Deathly_Hallows_%E2%80%93_Part_1_(video_game)" xr:uid="{98EA7482-74F8-42B7-8DA6-C241ACE5520C}"/>
    <hyperlink ref="D886" r:id="rId789" tooltip="Nintendo DS" display="https://en.wikipedia.org/wiki/Nintendo_DS" xr:uid="{31A1DDD0-8679-4196-AA9E-9204E9FE52D2}"/>
    <hyperlink ref="E886" r:id="rId790" tooltip="EA Bright Light" display="https://en.wikipedia.org/wiki/EA_Bright_Light" xr:uid="{384C399A-7F66-44BB-9484-5512443E737F}"/>
    <hyperlink ref="B887" r:id="rId791" tooltip="Harry Potter and the Deathly Hallows – Part 1 (video game)" display="https://en.wikipedia.org/wiki/Harry_Potter_and_the_Deathly_Hallows_%E2%80%93_Part_1_(video_game)" xr:uid="{488C2EAE-79E0-46D7-9D75-DA5C3F31FDA4}"/>
    <hyperlink ref="D887" r:id="rId792" tooltip="PlayStation 3" display="https://en.wikipedia.org/wiki/PlayStation_3" xr:uid="{1C3E1E7C-7633-4E8F-B662-12C55C3F5DB9}"/>
    <hyperlink ref="E887" r:id="rId793" tooltip="EA Bright Light" display="https://en.wikipedia.org/wiki/EA_Bright_Light" xr:uid="{0812B9EA-A72C-4DD8-96C0-AAD368CAA256}"/>
    <hyperlink ref="B888" r:id="rId794" tooltip="Harry Potter and the Deathly Hallows – Part 1 (video game)" display="https://en.wikipedia.org/wiki/Harry_Potter_and_the_Deathly_Hallows_%E2%80%93_Part_1_(video_game)" xr:uid="{D0063EA7-0301-48F5-BDA4-9765ECA830D0}"/>
    <hyperlink ref="D888" r:id="rId795" tooltip="Wii" display="https://en.wikipedia.org/wiki/Wii" xr:uid="{843B340D-022E-4763-9B6D-F1A4137D6B95}"/>
    <hyperlink ref="E888" r:id="rId796" tooltip="EA Bright Light" display="https://en.wikipedia.org/wiki/EA_Bright_Light" xr:uid="{8872AC2D-7F90-4360-93F5-A21C3AA76D78}"/>
    <hyperlink ref="B889" r:id="rId797" tooltip="Harry Potter and the Deathly Hallows – Part 1 (video game)" display="https://en.wikipedia.org/wiki/Harry_Potter_and_the_Deathly_Hallows_%E2%80%93_Part_1_(video_game)" xr:uid="{C560863E-9B5A-4757-81EF-18FA46B35A53}"/>
    <hyperlink ref="D889" r:id="rId798" tooltip="Microsoft Windows" display="https://en.wikipedia.org/wiki/Microsoft_Windows" xr:uid="{247B7AC0-8879-4AE4-A2A5-EB8FAACD9907}"/>
    <hyperlink ref="E889" r:id="rId799" tooltip="EA Bright Light" display="https://en.wikipedia.org/wiki/EA_Bright_Light" xr:uid="{CF89D85C-5EA7-4B8D-86F0-0BA295C0C9C9}"/>
    <hyperlink ref="B890" r:id="rId800" tooltip="Harry Potter and the Deathly Hallows – Part 1 (video game)" display="https://en.wikipedia.org/wiki/Harry_Potter_and_the_Deathly_Hallows_%E2%80%93_Part_1_(video_game)" xr:uid="{4972A12A-484C-4C15-979D-BCB46A110FEA}"/>
    <hyperlink ref="D890" r:id="rId801" tooltip="Xbox 360" display="https://en.wikipedia.org/wiki/Xbox_360" xr:uid="{F590739A-6A05-4AE9-AD4D-2E8BD56F10CD}"/>
    <hyperlink ref="E890" r:id="rId802" tooltip="EA Bright Light" display="https://en.wikipedia.org/wiki/EA_Bright_Light" xr:uid="{C991491E-0239-4219-9DA9-A81CDE2D83A7}"/>
    <hyperlink ref="B803" r:id="rId803" tooltip="Harry Potter and the Deathly Hallows – Part 2 (video game)" display="https://en.wikipedia.org/wiki/Harry_Potter_and_the_Deathly_Hallows_%E2%80%93_Part_2_(video_game)" xr:uid="{8DB8A5D5-5896-453A-B473-16F9336B02C7}"/>
    <hyperlink ref="D803" r:id="rId804" tooltip="Nintendo DS" display="https://en.wikipedia.org/wiki/Nintendo_DS" xr:uid="{B254792D-D5F4-4295-804F-47FC9A71BC62}"/>
    <hyperlink ref="E803" r:id="rId805" tooltip="EA Bright Light" display="https://en.wikipedia.org/wiki/EA_Bright_Light" xr:uid="{CC6A4314-31C7-419A-A3F7-B3E61722B8A5}"/>
    <hyperlink ref="B804" r:id="rId806" tooltip="Harry Potter and the Deathly Hallows – Part 2 (video game)" display="https://en.wikipedia.org/wiki/Harry_Potter_and_the_Deathly_Hallows_%E2%80%93_Part_2_(video_game)" xr:uid="{6C766777-3D8B-4924-BE4D-AEA40EBBA646}"/>
    <hyperlink ref="D804" r:id="rId807" tooltip="PlayStation 3" display="https://en.wikipedia.org/wiki/PlayStation_3" xr:uid="{A2D7DF9D-29C8-482B-8266-0A3AC86F4738}"/>
    <hyperlink ref="E804" r:id="rId808" tooltip="EA Bright Light" display="https://en.wikipedia.org/wiki/EA_Bright_Light" xr:uid="{93DF55C2-03EB-4962-8DA4-66031C44BAC9}"/>
    <hyperlink ref="B805" r:id="rId809" tooltip="Harry Potter and the Deathly Hallows – Part 2 (video game)" display="https://en.wikipedia.org/wiki/Harry_Potter_and_the_Deathly_Hallows_%E2%80%93_Part_2_(video_game)" xr:uid="{D8C71C8E-DE95-4C1B-A827-82C395A33288}"/>
    <hyperlink ref="D805" r:id="rId810" tooltip="Wii" display="https://en.wikipedia.org/wiki/Wii" xr:uid="{30279640-7CEA-422D-9C01-0C63F6C7E6BD}"/>
    <hyperlink ref="E805" r:id="rId811" tooltip="EA Bright Light" display="https://en.wikipedia.org/wiki/EA_Bright_Light" xr:uid="{4E8676DB-812F-4DD3-AF69-90AB28987337}"/>
    <hyperlink ref="B806" r:id="rId812" tooltip="Harry Potter and the Deathly Hallows – Part 2 (video game)" display="https://en.wikipedia.org/wiki/Harry_Potter_and_the_Deathly_Hallows_%E2%80%93_Part_2_(video_game)" xr:uid="{CD989D73-9505-473F-B40C-C074670FC2DE}"/>
    <hyperlink ref="D806" r:id="rId813" tooltip="Microsoft Windows" display="https://en.wikipedia.org/wiki/Microsoft_Windows" xr:uid="{9ABF011B-CDE8-4338-A260-FDA869FCA828}"/>
    <hyperlink ref="E806" r:id="rId814" tooltip="EA Bright Light" display="https://en.wikipedia.org/wiki/EA_Bright_Light" xr:uid="{2EBE95AE-3B26-4DE3-BBBF-AFD74ED77E7C}"/>
    <hyperlink ref="B807" r:id="rId815" tooltip="Harry Potter and the Deathly Hallows – Part 2 (video game)" display="https://en.wikipedia.org/wiki/Harry_Potter_and_the_Deathly_Hallows_%E2%80%93_Part_2_(video_game)" xr:uid="{B70254E2-BB86-435C-A2EF-26CCB378E70C}"/>
    <hyperlink ref="D807" r:id="rId816" tooltip="Xbox 360" display="https://en.wikipedia.org/wiki/Xbox_360" xr:uid="{93D1B034-1116-4765-BC6B-BEC37EB5E1E3}"/>
    <hyperlink ref="E807" r:id="rId817" tooltip="EA Bright Light" display="https://en.wikipedia.org/wiki/EA_Bright_Light" xr:uid="{F32F376A-0755-4AD6-A7D8-BEAC372DEE8E}"/>
    <hyperlink ref="B919" r:id="rId818" tooltip="Hasbro Family Game Night 3" display="https://en.wikipedia.org/wiki/Hasbro_Family_Game_Night_3" xr:uid="{0E9D7C74-49A6-41A6-94F5-9CAB4F7C47D7}"/>
    <hyperlink ref="D919" r:id="rId819" tooltip="PlayStation 3" display="https://en.wikipedia.org/wiki/PlayStation_3" xr:uid="{CDBD4DE8-E672-4039-AAA3-9427AB818A2C}"/>
    <hyperlink ref="E919" r:id="rId820" tooltip="EA Bright Light" display="https://en.wikipedia.org/wiki/EA_Bright_Light" xr:uid="{6ECC5B4B-842F-48B2-8B62-40EF2F2A178D}"/>
    <hyperlink ref="B920" r:id="rId821" tooltip="Hasbro Family Game Night 3" display="https://en.wikipedia.org/wiki/Hasbro_Family_Game_Night_3" xr:uid="{A11B10E6-61E2-4702-AC57-557ABCD3DC57}"/>
    <hyperlink ref="D920" r:id="rId822" tooltip="Wii" display="https://en.wikipedia.org/wiki/Wii" xr:uid="{01A894AE-9A1C-4AB1-8E90-4FBFD899C89E}"/>
    <hyperlink ref="E920" r:id="rId823" tooltip="Virtuos" display="https://en.wikipedia.org/wiki/Virtuos" xr:uid="{2DE4D2B5-41B2-4303-B9DF-7569643DA508}"/>
    <hyperlink ref="B921" r:id="rId824" tooltip="Hasbro Family Game Night 3" display="https://en.wikipedia.org/wiki/Hasbro_Family_Game_Night_3" xr:uid="{AB5B1171-CF6A-466A-B7DB-74C4075524CD}"/>
    <hyperlink ref="D921" r:id="rId825" tooltip="Xbox 360" display="https://en.wikipedia.org/wiki/Xbox_360" xr:uid="{23DD53C7-51C9-48D5-8F41-05E593260286}"/>
    <hyperlink ref="E921" r:id="rId826" tooltip="EA Bright Light" display="https://en.wikipedia.org/wiki/EA_Bright_Light" xr:uid="{0A43A0CF-89EE-4AAD-A0BA-1B513B6C8E62}"/>
    <hyperlink ref="B740" r:id="rId827" tooltip="Hasbro Family Game Night 4: The Game Show" display="https://en.wikipedia.org/wiki/Hasbro_Family_Game_Night_4:_The_Game_Show" xr:uid="{87BF0F23-CE67-49DA-B1B2-0EE8B57173EC}"/>
    <hyperlink ref="D740" r:id="rId828" tooltip="PlayStation 3" display="https://en.wikipedia.org/wiki/PlayStation_3" xr:uid="{94FD73E7-D45D-4571-AF8F-E9312CE01868}"/>
    <hyperlink ref="E740" r:id="rId829" tooltip="EA Bright Light" display="https://en.wikipedia.org/wiki/EA_Bright_Light" xr:uid="{2AAABFC7-7DF9-460D-8F87-7A04A9FEA86D}"/>
    <hyperlink ref="B741" r:id="rId830" tooltip="Hasbro Family Game Night 4: The Game Show" display="https://en.wikipedia.org/wiki/Hasbro_Family_Game_Night_4:_The_Game_Show" xr:uid="{53F1EEF5-4E8E-448A-A688-02EEF6B32414}"/>
    <hyperlink ref="D741" r:id="rId831" tooltip="Wii" display="https://en.wikipedia.org/wiki/Wii" xr:uid="{BFEE0AD4-491D-4FC5-AF6E-ADB6B06F2AB2}"/>
    <hyperlink ref="E741" r:id="rId832" tooltip="Virtuos" display="https://en.wikipedia.org/wiki/Virtuos" xr:uid="{1C251027-C483-4402-9D67-F3B5F64EF48A}"/>
    <hyperlink ref="B742" r:id="rId833" tooltip="Hasbro Family Game Night 4: The Game Show" display="https://en.wikipedia.org/wiki/Hasbro_Family_Game_Night_4:_The_Game_Show" xr:uid="{C05F4F65-74AC-4B6D-93D8-ADC68DFD0E21}"/>
    <hyperlink ref="D742" r:id="rId834" tooltip="Xbox 360" display="https://en.wikipedia.org/wiki/Xbox_360" xr:uid="{EB11C5D1-16C1-4459-9D30-E3C982E007A9}"/>
    <hyperlink ref="E742" r:id="rId835" tooltip="EA Bright Light" display="https://en.wikipedia.org/wiki/EA_Bright_Light" xr:uid="{88363560-6150-487E-9B85-F9046E66CE72}"/>
    <hyperlink ref="D874" r:id="rId836" tooltip="IOS" display="https://en.wikipedia.org/wiki/IOS" xr:uid="{4CA85986-3BC2-445A-A36E-782DD9895876}"/>
    <hyperlink ref="B544" r:id="rId837" tooltip="Heroes of Dragon Age" display="https://en.wikipedia.org/wiki/Heroes_of_Dragon_Age" xr:uid="{59FF9BF2-789B-4B2A-AE31-E36B6AD354A8}"/>
    <hyperlink ref="D544" r:id="rId838" tooltip="Android (operating system)" display="https://en.wikipedia.org/wiki/Android_(operating_system)" xr:uid="{77974DF1-97E8-4921-85D7-1D64C1BAA978}"/>
    <hyperlink ref="B545" r:id="rId839" tooltip="Heroes of Dragon Age" display="https://en.wikipedia.org/wiki/Heroes_of_Dragon_Age" xr:uid="{E5CD3AEC-BD05-42D9-8465-B0ABD754A767}"/>
    <hyperlink ref="D545" r:id="rId840" tooltip="IOS" display="https://en.wikipedia.org/wiki/IOS" xr:uid="{A9A6E61C-2EFF-416B-96B3-62A2C361269F}"/>
    <hyperlink ref="D876" r:id="rId841" tooltip="IOS" display="https://en.wikipedia.org/wiki/IOS" xr:uid="{9C2E94B8-EC83-4219-9999-7A87626273C8}"/>
    <hyperlink ref="D590" r:id="rId842" tooltip="Android (operating system)" display="https://en.wikipedia.org/wiki/Android_(operating_system)" xr:uid="{559639F5-3B1C-46AF-A072-49A1805053E5}"/>
    <hyperlink ref="D591" r:id="rId843" tooltip="IOS" display="https://en.wikipedia.org/wiki/IOS" xr:uid="{236E4A06-031C-4344-BC2A-AFF7DEAB296F}"/>
    <hyperlink ref="D292" r:id="rId844" tooltip="Android (operating system)" display="https://en.wikipedia.org/wiki/Android_(operating_system)" xr:uid="{2394786E-5CCB-4DA8-BF43-DDAE9C0E2130}"/>
    <hyperlink ref="D656" r:id="rId845" tooltip="Facebook" display="https://en.wikipedia.org/wiki/Facebook" xr:uid="{58CAA269-2091-4089-8852-25431E691C64}"/>
    <hyperlink ref="B716" r:id="rId846" tooltip="Kingdoms of Amalur: Reckoning" display="https://en.wikipedia.org/wiki/Kingdoms_of_Amalur:_Reckoning" xr:uid="{30E7BD28-37E6-4991-8CEC-0E699BCF2106}"/>
    <hyperlink ref="D716" r:id="rId847" tooltip="PlayStation 3" display="https://en.wikipedia.org/wiki/PlayStation_3" xr:uid="{ECBC8C84-5E56-44C1-AF2A-B3E881A25A67}"/>
    <hyperlink ref="B717" r:id="rId848" tooltip="Kingdoms of Amalur: Reckoning" display="https://en.wikipedia.org/wiki/Kingdoms_of_Amalur:_Reckoning" xr:uid="{FC96101F-DCD2-4D11-BA40-42F9619476EC}"/>
    <hyperlink ref="D717" r:id="rId849" tooltip="Microsoft Windows" display="https://en.wikipedia.org/wiki/Microsoft_Windows" xr:uid="{933E4AB3-102F-4546-8916-B61906C9F6E2}"/>
    <hyperlink ref="B718" r:id="rId850" tooltip="Kingdoms of Amalur: Reckoning" display="https://en.wikipedia.org/wiki/Kingdoms_of_Amalur:_Reckoning" xr:uid="{CB2FE470-2B24-4F8D-9BDB-5F60508C9461}"/>
    <hyperlink ref="D718" r:id="rId851" tooltip="Xbox 360" display="https://en.wikipedia.org/wiki/Xbox_360" xr:uid="{5F419C8F-5B3F-4B60-AAEE-44C9C12C0F14}"/>
    <hyperlink ref="B957" r:id="rId852" tooltip="Lite-Brite" display="https://en.wikipedia.org/wiki/Lite-Brite" xr:uid="{8B0465B7-150D-4843-ADE9-AFCD996FFD61}"/>
    <hyperlink ref="D957" r:id="rId853" tooltip="IOS" display="https://en.wikipedia.org/wiki/IOS" xr:uid="{D76CCDD4-0C31-49E0-B85A-C6FD50B74F98}"/>
    <hyperlink ref="E957" r:id="rId854" tooltip="Hasbro" display="https://en.wikipedia.org/wiki/Hasbro" xr:uid="{8DE2497D-3365-44D6-8C38-8C64E9E120A7}"/>
    <hyperlink ref="B1006" r:id="rId855" tooltip="Lord of Ultima" display="https://en.wikipedia.org/wiki/Lord_of_Ultima" xr:uid="{7A1F362D-DD9F-4245-B478-A90EE8D1B8A2}"/>
    <hyperlink ref="D1006" r:id="rId856" tooltip="Microsoft Windows" display="https://en.wikipedia.org/wiki/Microsoft_Windows" xr:uid="{BF118A2D-6CC5-45EC-B508-E71B4BABE032}"/>
    <hyperlink ref="E1006" r:id="rId857" tooltip="EA Phenomic" display="https://en.wikipedia.org/wiki/EA_Phenomic" xr:uid="{0DEEB662-41FC-4E02-A326-093BB966CD90}"/>
    <hyperlink ref="B971" r:id="rId858" tooltip="Madden NFL 11" display="https://en.wikipedia.org/wiki/Madden_NFL_11" xr:uid="{6C1DA913-4654-4611-B90D-5DB3A46C2714}"/>
    <hyperlink ref="D971" r:id="rId859" tooltip="IOS" display="https://en.wikipedia.org/wiki/IOS" xr:uid="{DB10CAF1-C02A-434E-B685-746DC24DEAF4}"/>
    <hyperlink ref="B965" r:id="rId860" tooltip="Madden NFL 11" display="https://en.wikipedia.org/wiki/Madden_NFL_11" xr:uid="{C60639AE-5A8E-46C1-BA00-735EF87D5553}"/>
    <hyperlink ref="D965" r:id="rId861" tooltip="BlackBerry World" display="https://en.wikipedia.org/wiki/BlackBerry_World" xr:uid="{152157C0-1C89-4A8A-A04A-43E146B8F27A}"/>
    <hyperlink ref="B966" r:id="rId862" tooltip="Madden NFL 11" display="https://en.wikipedia.org/wiki/Madden_NFL_11" xr:uid="{931B5EC6-4F48-43E7-981E-1322BF189045}"/>
    <hyperlink ref="D966" r:id="rId863" tooltip="PlayStation 2" display="https://en.wikipedia.org/wiki/PlayStation_2" xr:uid="{73729E8B-512E-49A8-9B1B-4454B393C548}"/>
    <hyperlink ref="B967" r:id="rId864" tooltip="Madden NFL 11" display="https://en.wikipedia.org/wiki/Madden_NFL_11" xr:uid="{37402430-18D1-45F9-909E-69DE92216104}"/>
    <hyperlink ref="D967" r:id="rId865" tooltip="PlayStation 3" display="https://en.wikipedia.org/wiki/PlayStation_3" xr:uid="{4089A015-7606-494F-93A1-FE622F7FEECC}"/>
    <hyperlink ref="B968" r:id="rId866" tooltip="Madden NFL 11" display="https://en.wikipedia.org/wiki/Madden_NFL_11" xr:uid="{BCAACA66-942E-4196-BCC6-32CCAA0B95C4}"/>
    <hyperlink ref="D968" r:id="rId867" tooltip="PlayStation Portable" display="https://en.wikipedia.org/wiki/PlayStation_Portable" xr:uid="{F9C8EC78-B937-43F5-A330-DD8C841CCE2C}"/>
    <hyperlink ref="B969" r:id="rId868" tooltip="Madden NFL 11" display="https://en.wikipedia.org/wiki/Madden_NFL_11" xr:uid="{1FDA8144-D82F-412A-83A5-ABCD5717AB09}"/>
    <hyperlink ref="D969" r:id="rId869" tooltip="Wii" display="https://en.wikipedia.org/wiki/Wii" xr:uid="{E6A78C20-AE1E-4924-A9A0-C868FCBB0864}"/>
    <hyperlink ref="B970" r:id="rId870" tooltip="Madden NFL 11" display="https://en.wikipedia.org/wiki/Madden_NFL_11" xr:uid="{4FBDEAC3-DE05-4BDA-9136-273F8BA13C7F}"/>
    <hyperlink ref="D970" r:id="rId871" tooltip="Xbox 360" display="https://en.wikipedia.org/wiki/Xbox_360" xr:uid="{951DE5ED-01D1-4104-A1F6-CF3D5B27709A}"/>
    <hyperlink ref="B785" r:id="rId872" tooltip="Madden NFL 12" display="https://en.wikipedia.org/wiki/Madden_NFL_12" xr:uid="{FAB2B7B2-4821-4A5C-9824-3D61BC1BCCAE}"/>
    <hyperlink ref="D785" r:id="rId873" tooltip="Android (operating system)" display="https://en.wikipedia.org/wiki/Android_(operating_system)" xr:uid="{92D7312D-FDF0-4DEF-958F-2ECAA4C56052}"/>
    <hyperlink ref="E785" r:id="rId874" tooltip="EA Tiburon" display="https://en.wikipedia.org/wiki/EA_Tiburon" xr:uid="{29666DCA-761F-4A29-9341-6C6ABA82BC6D}"/>
    <hyperlink ref="B786" r:id="rId875" tooltip="Madden NFL 12" display="https://en.wikipedia.org/wiki/Madden_NFL_12" xr:uid="{FB7A693D-FE3E-4502-9B71-7F990A8E8C81}"/>
    <hyperlink ref="D786" r:id="rId876" tooltip="BlackBerry PlayBook" display="https://en.wikipedia.org/wiki/BlackBerry_PlayBook" xr:uid="{4DD849C5-A7A2-4BB4-AA72-8ED31E17C174}"/>
    <hyperlink ref="E786" r:id="rId877" tooltip="EA Tiburon" display="https://en.wikipedia.org/wiki/EA_Tiburon" xr:uid="{A680C8B4-D85B-4F66-8FBD-207D9B0D5361}"/>
    <hyperlink ref="B787" r:id="rId878" tooltip="Madden NFL 12" display="https://en.wikipedia.org/wiki/Madden_NFL_12" xr:uid="{2A2CD3AE-8754-4647-9F1B-02C15D0C10DD}"/>
    <hyperlink ref="D787" r:id="rId879" tooltip="IOS" display="https://en.wikipedia.org/wiki/IOS" xr:uid="{80963C77-9613-4B6D-B6E0-8205100EFE34}"/>
    <hyperlink ref="E787" r:id="rId880" tooltip="EA Tiburon" display="https://en.wikipedia.org/wiki/EA_Tiburon" xr:uid="{C0AF8705-8B0B-481F-9144-03479EDD5DF1}"/>
    <hyperlink ref="B788" r:id="rId881" tooltip="Madden NFL 12" display="https://en.wikipedia.org/wiki/Madden_NFL_12" xr:uid="{058710F5-EBBB-4BC4-8879-B8C347234FC8}"/>
    <hyperlink ref="D788" r:id="rId882" tooltip="PlayStation 2" display="https://en.wikipedia.org/wiki/PlayStation_2" xr:uid="{50A73F9C-5C9D-4123-A45C-02CEB9FBC30A}"/>
    <hyperlink ref="E788" r:id="rId883" tooltip="EA Tiburon" display="https://en.wikipedia.org/wiki/EA_Tiburon" xr:uid="{D2BD3CC1-5633-446A-8FB9-BC40C1B0D9FF}"/>
    <hyperlink ref="B789" r:id="rId884" tooltip="Madden NFL 12" display="https://en.wikipedia.org/wiki/Madden_NFL_12" xr:uid="{E479864F-01C9-4CDC-BD41-6B33165C9B29}"/>
    <hyperlink ref="D789" r:id="rId885" tooltip="PlayStation 3" display="https://en.wikipedia.org/wiki/PlayStation_3" xr:uid="{0A171F6E-8F12-49D1-887D-16DD0569D1F2}"/>
    <hyperlink ref="E789" r:id="rId886" tooltip="EA Tiburon" display="https://en.wikipedia.org/wiki/EA_Tiburon" xr:uid="{89AD6180-D472-48CE-85AE-25BD0DAF1DB1}"/>
    <hyperlink ref="B790" r:id="rId887" tooltip="Madden NFL 12" display="https://en.wikipedia.org/wiki/Madden_NFL_12" xr:uid="{3503CC5E-98FE-4C1F-A588-75F979B7E1AF}"/>
    <hyperlink ref="D790" r:id="rId888" tooltip="PlayStation Portable" display="https://en.wikipedia.org/wiki/PlayStation_Portable" xr:uid="{2C4C7DA9-AC43-40A2-AF98-D14089BE0FF9}"/>
    <hyperlink ref="E790" r:id="rId889" tooltip="EA Tiburon" display="https://en.wikipedia.org/wiki/EA_Tiburon" xr:uid="{13651732-1D52-4A47-979E-B94108377FB3}"/>
    <hyperlink ref="B791" r:id="rId890" tooltip="Madden NFL 12" display="https://en.wikipedia.org/wiki/Madden_NFL_12" xr:uid="{BFBDAA42-76CD-49A3-98A9-482962506EDA}"/>
    <hyperlink ref="D791" r:id="rId891" tooltip="Wii" display="https://en.wikipedia.org/wiki/Wii" xr:uid="{DC655FB8-86B2-45C9-AF1C-48E4B17A7435}"/>
    <hyperlink ref="E791" r:id="rId892" tooltip="EA Tiburon" display="https://en.wikipedia.org/wiki/EA_Tiburon" xr:uid="{294AE878-D618-47F9-B88B-A6512AAAD854}"/>
    <hyperlink ref="B792" r:id="rId893" tooltip="Madden NFL 12" display="https://en.wikipedia.org/wiki/Madden_NFL_12" xr:uid="{39DB0185-1C9A-4789-A299-5C8A06AE3133}"/>
    <hyperlink ref="D792" r:id="rId894" tooltip="Xbox 360" display="https://en.wikipedia.org/wiki/Xbox_360" xr:uid="{BFBBF4D1-2B69-4AB3-B545-8BB348314B94}"/>
    <hyperlink ref="E792" r:id="rId895" tooltip="EA Tiburon" display="https://en.wikipedia.org/wiki/EA_Tiburon" xr:uid="{6A150507-8099-44CA-B399-964A57755D5D}"/>
    <hyperlink ref="B663" r:id="rId896" tooltip="Madden NFL 13" display="https://en.wikipedia.org/wiki/Madden_NFL_13" xr:uid="{2695D34B-CE29-4C69-9081-192897DDD6D8}"/>
    <hyperlink ref="D663" r:id="rId897" tooltip="PlayStation 3" display="https://en.wikipedia.org/wiki/PlayStation_3" xr:uid="{ACB3DE77-76FF-45EC-BA1E-E29C037D74DE}"/>
    <hyperlink ref="E663" r:id="rId898" tooltip="EA Tiburon" display="https://en.wikipedia.org/wiki/EA_Tiburon" xr:uid="{47A2ECAF-B34A-4DA4-80E3-D65D9C75386E}"/>
    <hyperlink ref="B664" r:id="rId899" tooltip="Madden NFL 13" display="https://en.wikipedia.org/wiki/Madden_NFL_13" xr:uid="{5171EA13-4A20-4E15-814A-A18167293B01}"/>
    <hyperlink ref="D664" r:id="rId900" tooltip="PlayStation Vita" display="https://en.wikipedia.org/wiki/PlayStation_Vita" xr:uid="{C3643827-79D5-4D15-A904-E69B099BEE34}"/>
    <hyperlink ref="E664" r:id="rId901" tooltip="EA Tiburon" display="https://en.wikipedia.org/wiki/EA_Tiburon" xr:uid="{EDA142F5-5CB0-4FC0-8978-801B675B594F}"/>
    <hyperlink ref="B665" r:id="rId902" tooltip="Madden NFL 13" display="https://en.wikipedia.org/wiki/Madden_NFL_13" xr:uid="{FB9AF568-CCAD-40FE-BC76-38399B8A6EA6}"/>
    <hyperlink ref="D665" r:id="rId903" tooltip="Wii" display="https://en.wikipedia.org/wiki/Wii" xr:uid="{36833E05-DA3B-4090-BA9F-F51AC87A88E0}"/>
    <hyperlink ref="E665" r:id="rId904" tooltip="EA Tiburon" display="https://en.wikipedia.org/wiki/EA_Tiburon" xr:uid="{5C7114BC-38D2-48D9-A370-00A929C0235E}"/>
    <hyperlink ref="B666" r:id="rId905" tooltip="Madden NFL 13" display="https://en.wikipedia.org/wiki/Madden_NFL_13" xr:uid="{4738ABD0-6C75-4721-941B-EC8AC938E79D}"/>
    <hyperlink ref="D666" r:id="rId906" tooltip="Xbox 360" display="https://en.wikipedia.org/wiki/Xbox_360" xr:uid="{2FFAA890-5AC3-4F90-A5F1-58D37FF5B9C4}"/>
    <hyperlink ref="E666" r:id="rId907" tooltip="EA Tiburon" display="https://en.wikipedia.org/wiki/EA_Tiburon" xr:uid="{64C65CE7-EAC7-4610-951F-12612E34B303}"/>
    <hyperlink ref="B633" r:id="rId908" tooltip="Madden NFL 13" display="https://en.wikipedia.org/wiki/Madden_NFL_13" xr:uid="{E6FF1C30-59C6-4989-A632-2C5EED4BA675}"/>
    <hyperlink ref="D633" r:id="rId909" tooltip="IOS" display="https://en.wikipedia.org/wiki/IOS" xr:uid="{35E880FE-4C3E-4E69-B06D-024ADD79F906}"/>
    <hyperlink ref="E633" r:id="rId910" tooltip="EA Tiburon" display="https://en.wikipedia.org/wiki/EA_Tiburon" xr:uid="{CB2E1A1B-DE69-4054-9A8F-84862DBE5257}"/>
    <hyperlink ref="B629" r:id="rId911" tooltip="Madden NFL 13" display="https://en.wikipedia.org/wiki/Madden_NFL_13" xr:uid="{8BB5E65B-954E-42B4-8D1C-7B923633F7A2}"/>
    <hyperlink ref="D629" r:id="rId912" tooltip="Wii U" display="https://en.wikipedia.org/wiki/Wii_U" xr:uid="{A2D32F7B-53A1-4E4E-ABD2-E33BA6CC246D}"/>
    <hyperlink ref="E629" r:id="rId913" tooltip="EA Tiburon" display="https://en.wikipedia.org/wiki/EA_Tiburon" xr:uid="{FC457B9E-85C3-4E09-8107-D6842B983A50}"/>
    <hyperlink ref="B521" r:id="rId914" tooltip="Madden NFL 15" display="https://en.wikipedia.org/wiki/Madden_NFL_15" xr:uid="{C21C4923-214F-44D6-9F53-0D7A29D5B769}"/>
    <hyperlink ref="D521" r:id="rId915" tooltip="PlayStation 3" display="https://en.wikipedia.org/wiki/PlayStation_3" xr:uid="{1896EBF7-92CB-4906-96B3-261EE7066B2B}"/>
    <hyperlink ref="E521" r:id="rId916" tooltip="EA Tiburon" display="https://en.wikipedia.org/wiki/EA_Tiburon" xr:uid="{BA1E23AF-D538-4A3D-A9C5-3BEAE9A71900}"/>
    <hyperlink ref="B522" r:id="rId917" tooltip="Madden NFL 15" display="https://en.wikipedia.org/wiki/Madden_NFL_15" xr:uid="{6D1CA05E-5794-47A7-B80C-8E01D548EAFD}"/>
    <hyperlink ref="D522" r:id="rId918" tooltip="PlayStation 4" display="https://en.wikipedia.org/wiki/PlayStation_4" xr:uid="{B134E75D-5B13-45F9-BAF8-D185EE5C2FF0}"/>
    <hyperlink ref="E522" r:id="rId919" tooltip="EA Tiburon" display="https://en.wikipedia.org/wiki/EA_Tiburon" xr:uid="{9D4A733B-387A-4921-9333-1A872492E208}"/>
    <hyperlink ref="B523" r:id="rId920" tooltip="Madden NFL 15" display="https://en.wikipedia.org/wiki/Madden_NFL_15" xr:uid="{F75D830B-98BC-4B73-885E-2594A1624474}"/>
    <hyperlink ref="D523" r:id="rId921" tooltip="Xbox 360" display="https://en.wikipedia.org/wiki/Xbox_360" xr:uid="{BD42C60F-4A30-46EC-BE50-9C15BB34643A}"/>
    <hyperlink ref="E523" r:id="rId922" tooltip="EA Tiburon" display="https://en.wikipedia.org/wiki/EA_Tiburon" xr:uid="{F1924E87-1A59-4993-AEDA-6BFE1A6E42D6}"/>
    <hyperlink ref="B524" r:id="rId923" tooltip="Madden NFL 15" display="https://en.wikipedia.org/wiki/Madden_NFL_15" xr:uid="{A7B2DC18-BAE7-4138-9AE0-56F996C83439}"/>
    <hyperlink ref="D524" r:id="rId924" tooltip="Xbox One" display="https://en.wikipedia.org/wiki/Xbox_One" xr:uid="{B32CB3EB-5EDC-4509-943C-D58EF6CF69D8}"/>
    <hyperlink ref="E524" r:id="rId925" tooltip="EA Tiburon" display="https://en.wikipedia.org/wiki/EA_Tiburon" xr:uid="{79210F76-792E-4893-B0A1-22F300114346}"/>
    <hyperlink ref="B468" r:id="rId926" tooltip="Madden NFL 16" display="https://en.wikipedia.org/wiki/Madden_NFL_16" xr:uid="{460219A4-12F4-4706-A3D9-5CCAEA7464B2}"/>
    <hyperlink ref="D468" r:id="rId927" tooltip="PlayStation 3" display="https://en.wikipedia.org/wiki/PlayStation_3" xr:uid="{089EE41D-613C-42A4-B8C8-969F7E6A415C}"/>
    <hyperlink ref="E468" r:id="rId928" tooltip="EA Tiburon" display="https://en.wikipedia.org/wiki/EA_Tiburon" xr:uid="{46A86E9C-972B-40C9-AA1C-1EB706487D45}"/>
    <hyperlink ref="B469" r:id="rId929" tooltip="Madden NFL 16" display="https://en.wikipedia.org/wiki/Madden_NFL_16" xr:uid="{8EB6A611-28FB-4006-979F-96BEFA57A20F}"/>
    <hyperlink ref="D469" r:id="rId930" tooltip="PlayStation 4" display="https://en.wikipedia.org/wiki/PlayStation_4" xr:uid="{C4E407A5-590C-456F-A160-412AA267E550}"/>
    <hyperlink ref="E469" r:id="rId931" tooltip="EA Tiburon" display="https://en.wikipedia.org/wiki/EA_Tiburon" xr:uid="{9AFDD975-1C1A-4B39-A0C7-97E3342AF64C}"/>
    <hyperlink ref="B470" r:id="rId932" tooltip="Madden NFL 16" display="https://en.wikipedia.org/wiki/Madden_NFL_16" xr:uid="{9E98877A-ED97-42C8-BDA5-B40F4C290604}"/>
    <hyperlink ref="D470" r:id="rId933" tooltip="Xbox 360" display="https://en.wikipedia.org/wiki/Xbox_360" xr:uid="{B501303C-4338-458E-84C9-E4874DDC1E80}"/>
    <hyperlink ref="E470" r:id="rId934" tooltip="EA Tiburon" display="https://en.wikipedia.org/wiki/EA_Tiburon" xr:uid="{100E92A0-9EBA-43A5-A513-960CA6B7260E}"/>
    <hyperlink ref="B471" r:id="rId935" tooltip="Madden NFL 16" display="https://en.wikipedia.org/wiki/Madden_NFL_16" xr:uid="{AA206A5F-CE30-446B-8246-0453873EDFC8}"/>
    <hyperlink ref="D471" r:id="rId936" tooltip="Xbox One" display="https://en.wikipedia.org/wiki/Xbox_One" xr:uid="{6776672D-AC7E-4C78-82CB-BD768CC26FAD}"/>
    <hyperlink ref="E471" r:id="rId937" tooltip="EA Tiburon" display="https://en.wikipedia.org/wiki/EA_Tiburon" xr:uid="{55E6F5BB-AD16-4C0C-8109-053FC2A482E0}"/>
    <hyperlink ref="B415" r:id="rId938" tooltip="Madden NFL 17" display="https://en.wikipedia.org/wiki/Madden_NFL_17" xr:uid="{E926AAF7-08A3-4389-933E-A2B93469C87B}"/>
    <hyperlink ref="D415" r:id="rId939" tooltip="PlayStation 3" display="https://en.wikipedia.org/wiki/PlayStation_3" xr:uid="{D9B51158-01C3-4B49-82B0-A85827BCC57D}"/>
    <hyperlink ref="E415" r:id="rId940" tooltip="EA Tiburon" display="https://en.wikipedia.org/wiki/EA_Tiburon" xr:uid="{8D07EDCE-7364-4815-BC78-FDDCC49161F3}"/>
    <hyperlink ref="B416" r:id="rId941" tooltip="Madden NFL 17" display="https://en.wikipedia.org/wiki/Madden_NFL_17" xr:uid="{2C6424BC-901D-4945-BE4D-A0C4CAEC398D}"/>
    <hyperlink ref="D416" r:id="rId942" tooltip="PlayStation 4" display="https://en.wikipedia.org/wiki/PlayStation_4" xr:uid="{721FECD0-8DB0-4A47-BBE0-ADBF23DA60DC}"/>
    <hyperlink ref="E416" r:id="rId943" tooltip="EA Tiburon" display="https://en.wikipedia.org/wiki/EA_Tiburon" xr:uid="{7CC626C6-2CBF-42DF-BB2C-257ABC7A3BB3}"/>
    <hyperlink ref="B417" r:id="rId944" tooltip="Madden NFL 17" display="https://en.wikipedia.org/wiki/Madden_NFL_17" xr:uid="{15B33448-F2C2-42F8-8DF7-C1DAFC790F09}"/>
    <hyperlink ref="D417" r:id="rId945" tooltip="Xbox 360" display="https://en.wikipedia.org/wiki/Xbox_360" xr:uid="{5BCB0631-CE05-46C5-B0F7-2FFBA6C2D542}"/>
    <hyperlink ref="E417" r:id="rId946" tooltip="EA Tiburon" display="https://en.wikipedia.org/wiki/EA_Tiburon" xr:uid="{C911741B-631F-4056-BA19-E71BA9061716}"/>
    <hyperlink ref="B418" r:id="rId947" tooltip="Madden NFL 17" display="https://en.wikipedia.org/wiki/Madden_NFL_17" xr:uid="{86A5BE41-CB54-4F91-993E-7C337E69DA10}"/>
    <hyperlink ref="D418" r:id="rId948" tooltip="Xbox One" display="https://en.wikipedia.org/wiki/Xbox_One" xr:uid="{B5DD4211-8A08-4A2F-B3BF-34863E07EF5B}"/>
    <hyperlink ref="E418" r:id="rId949" tooltip="EA Tiburon" display="https://en.wikipedia.org/wiki/EA_Tiburon" xr:uid="{56915A2F-8A0C-49E4-8D72-0B866607CC8B}"/>
    <hyperlink ref="B380" r:id="rId950" tooltip="Madden NFL 18" display="https://en.wikipedia.org/wiki/Madden_NFL_18" xr:uid="{4E16A9EB-ADF7-4F6B-9692-1C6E13C521DA}"/>
    <hyperlink ref="D380" r:id="rId951" tooltip="PlayStation 4" display="https://en.wikipedia.org/wiki/PlayStation_4" xr:uid="{4635BAFA-F231-48F2-8533-213C422ACA51}"/>
    <hyperlink ref="E380" r:id="rId952" tooltip="EA Tiburon" display="https://en.wikipedia.org/wiki/EA_Tiburon" xr:uid="{8B5FE72F-9E0E-4862-944D-317B8791BBDA}"/>
    <hyperlink ref="B381" r:id="rId953" tooltip="Madden NFL 18" display="https://en.wikipedia.org/wiki/Madden_NFL_18" xr:uid="{80CCDA28-BDB7-4193-807D-6E379C97F1F0}"/>
    <hyperlink ref="D381" r:id="rId954" tooltip="Xbox One" display="https://en.wikipedia.org/wiki/Xbox_One" xr:uid="{664ECDA0-A7FE-4B87-B6BB-D5940AB19917}"/>
    <hyperlink ref="E381" r:id="rId955" tooltip="EA Tiburon" display="https://en.wikipedia.org/wiki/EA_Tiburon" xr:uid="{0097C87A-7FAD-4E65-AAB8-7B4C6BA033BE}"/>
    <hyperlink ref="B321" r:id="rId956" tooltip="Madden NFL 19" display="https://en.wikipedia.org/wiki/Madden_NFL_19" xr:uid="{BE5A3B17-B68F-4968-BC65-F212A841E75B}"/>
    <hyperlink ref="D321" r:id="rId957" tooltip="PlayStation 4" display="https://en.wikipedia.org/wiki/PlayStation_4" xr:uid="{96BA9A9E-0E47-425D-AA5D-147B4A4D4A2F}"/>
    <hyperlink ref="E321" r:id="rId958" tooltip="EA Tiburon" display="https://en.wikipedia.org/wiki/EA_Tiburon" xr:uid="{D22F5FE2-A8D5-4DAF-9888-2FCAAE844DD0}"/>
    <hyperlink ref="B322" r:id="rId959" tooltip="Madden NFL 19" display="https://en.wikipedia.org/wiki/Madden_NFL_19" xr:uid="{A0272CA4-7A5D-4A42-ABC8-C1A5FA6AF567}"/>
    <hyperlink ref="D322" r:id="rId960" tooltip="Microsoft Windows" display="https://en.wikipedia.org/wiki/Microsoft_Windows" xr:uid="{38D39230-8D21-4F35-9A16-4B565C4CFE42}"/>
    <hyperlink ref="E322" r:id="rId961" tooltip="EA Tiburon" display="https://en.wikipedia.org/wiki/EA_Tiburon" xr:uid="{5995E9C4-5382-4FC2-907A-8396B011AE55}"/>
    <hyperlink ref="B323" r:id="rId962" tooltip="Madden NFL 19" display="https://en.wikipedia.org/wiki/Madden_NFL_19" xr:uid="{9AD87847-7EF5-48C9-AB8A-C8A8DBDC09DF}"/>
    <hyperlink ref="D323" r:id="rId963" tooltip="Xbox One" display="https://en.wikipedia.org/wiki/Xbox_One" xr:uid="{E0801A33-1AF4-4C89-9E53-8DB312C6BEAC}"/>
    <hyperlink ref="E323" r:id="rId964" tooltip="EA Tiburon" display="https://en.wikipedia.org/wiki/EA_Tiburon" xr:uid="{9D58FE6E-6AF7-4974-973C-08FC1E18D971}"/>
    <hyperlink ref="B269" r:id="rId965" tooltip="Madden NFL 20" display="https://en.wikipedia.org/wiki/Madden_NFL_20" xr:uid="{07AC3028-D417-4B09-9BCF-A2ADFF6A2FC6}"/>
    <hyperlink ref="D269" r:id="rId966" tooltip="PlayStation 4" display="https://en.wikipedia.org/wiki/PlayStation_4" xr:uid="{3BAF5403-0FD2-444C-B011-928E4EB8F62E}"/>
    <hyperlink ref="E269" r:id="rId967" tooltip="EA Tiburon" display="https://en.wikipedia.org/wiki/EA_Tiburon" xr:uid="{64C3562B-4D45-461D-903D-D3A5193E0A2A}"/>
    <hyperlink ref="B270" r:id="rId968" tooltip="Madden NFL 20" display="https://en.wikipedia.org/wiki/Madden_NFL_20" xr:uid="{5D419EDE-FD7F-42A4-A511-59F98ABECF76}"/>
    <hyperlink ref="D270" r:id="rId969" tooltip="Xbox One" display="https://en.wikipedia.org/wiki/Xbox_One" xr:uid="{D7C0D40A-9A5F-4B52-8D59-14B1CCF28402}"/>
    <hyperlink ref="E270" r:id="rId970" tooltip="EA Tiburon" display="https://en.wikipedia.org/wiki/EA_Tiburon" xr:uid="{DB73AEB3-79B8-4E68-97E4-A5B7C4C25C04}"/>
    <hyperlink ref="B271" r:id="rId971" tooltip="Madden NFL 20" display="https://en.wikipedia.org/wiki/Madden_NFL_20" xr:uid="{13E0B7C7-6C74-47F7-AE46-FC88EC4733F4}"/>
    <hyperlink ref="D271" r:id="rId972" tooltip="Microsoft Windows" display="https://en.wikipedia.org/wiki/Microsoft_Windows" xr:uid="{055CFC8F-4D9C-465D-8319-FAA07D01DAF4}"/>
    <hyperlink ref="E271" r:id="rId973" tooltip="EA Tiburon" display="https://en.wikipedia.org/wiki/EA_Tiburon" xr:uid="{1C57911B-7906-45A5-A351-B9CB44889382}"/>
    <hyperlink ref="B584" r:id="rId974" tooltip="Madden NFL 25" display="https://en.wikipedia.org/wiki/Madden_NFL_25" xr:uid="{890DEE00-AC54-40C5-9DD7-F57CD9410A4A}"/>
    <hyperlink ref="D584" r:id="rId975" tooltip="IOS" display="https://en.wikipedia.org/wiki/IOS" xr:uid="{ACE81611-E46C-4021-9FB1-CF6C085BACF4}"/>
    <hyperlink ref="E584" r:id="rId976" tooltip="EA Tiburon" display="https://en.wikipedia.org/wiki/EA_Tiburon" xr:uid="{97735D6C-50F1-434C-BF21-61969777572E}"/>
    <hyperlink ref="B585" r:id="rId977" tooltip="Madden NFL 25" display="https://en.wikipedia.org/wiki/Madden_NFL_25" xr:uid="{88040872-3A83-44D4-B624-D2DF33EE82CC}"/>
    <hyperlink ref="D585" r:id="rId978" tooltip="PlayStation 3" display="https://en.wikipedia.org/wiki/PlayStation_3" xr:uid="{D243D0E3-FAEF-4BAE-A977-C320FA331FBB}"/>
    <hyperlink ref="E585" r:id="rId979" tooltip="EA Tiburon" display="https://en.wikipedia.org/wiki/EA_Tiburon" xr:uid="{3964CA5E-345F-405B-8701-3649E2AADEC1}"/>
    <hyperlink ref="B586" r:id="rId980" tooltip="Madden NFL 25" display="https://en.wikipedia.org/wiki/Madden_NFL_25" xr:uid="{97E1FE25-4494-40AD-8C7F-73926D9E2A18}"/>
    <hyperlink ref="D586" r:id="rId981" tooltip="Xbox 360" display="https://en.wikipedia.org/wiki/Xbox_360" xr:uid="{7C40A2F4-FCD5-49F4-B107-38038F87AB3A}"/>
    <hyperlink ref="E586" r:id="rId982" tooltip="EA Tiburon" display="https://en.wikipedia.org/wiki/EA_Tiburon" xr:uid="{817E6DE8-9AEA-47B0-904E-3D07BE292E6F}"/>
    <hyperlink ref="B556" r:id="rId983" tooltip="Madden NFL 25" display="https://en.wikipedia.org/wiki/Madden_NFL_25" xr:uid="{49384EB4-847E-4C25-B3E0-41645BFBB012}"/>
    <hyperlink ref="D556" r:id="rId984" tooltip="PlayStation 4" display="https://en.wikipedia.org/wiki/PlayStation_4" xr:uid="{0EC36DAC-6AC4-4521-AEFE-E8F59A331C90}"/>
    <hyperlink ref="E556" r:id="rId985" tooltip="EA Tiburon" display="https://en.wikipedia.org/wiki/EA_Tiburon" xr:uid="{9531E1B9-169A-4E16-A338-66895D69C192}"/>
    <hyperlink ref="B547" r:id="rId986" tooltip="Madden NFL 25" display="https://en.wikipedia.org/wiki/Madden_NFL_25" xr:uid="{1D6FE667-1E0D-43C3-9169-596691FB8F6E}"/>
    <hyperlink ref="D547" r:id="rId987" tooltip="Xbox One" display="https://en.wikipedia.org/wiki/Xbox_One" xr:uid="{2512BFBC-5D6B-4844-8A04-6ACD652A1C46}"/>
    <hyperlink ref="E547" r:id="rId988" tooltip="EA Tiburon" display="https://en.wikipedia.org/wiki/EA_Tiburon" xr:uid="{2263567E-083C-46AE-9E96-C14FB13E5797}"/>
    <hyperlink ref="B541" r:id="rId989" tooltip="Madden NFL 25" display="https://en.wikipedia.org/wiki/Madden_NFL_25" xr:uid="{87E44883-C696-4B06-AA95-84D65AD49117}"/>
    <hyperlink ref="D541" r:id="rId990" tooltip="Android (operating system)" display="https://en.wikipedia.org/wiki/Android_(operating_system)" xr:uid="{220F14A9-F4D2-415A-AC8D-4B1AF349DA5F}"/>
    <hyperlink ref="E541" r:id="rId991" tooltip="EA Tiburon" display="https://en.wikipedia.org/wiki/EA_Tiburon" xr:uid="{103D1587-38F9-4BEC-98B4-FE2052724114}"/>
    <hyperlink ref="B827" r:id="rId992" tooltip="Madden NFL Football" display="https://en.wikipedia.org/wiki/Madden_NFL_Football" xr:uid="{B8E426F6-7B8B-4193-99BC-0763B50C2118}"/>
    <hyperlink ref="D827" r:id="rId993" tooltip="Nintendo 3DS" display="https://en.wikipedia.org/wiki/Nintendo_3DS" xr:uid="{598BEAD0-BC42-4D6B-810D-78F5FCF9A680}"/>
    <hyperlink ref="E827" r:id="rId994" tooltip="EA Sports" display="https://en.wikipedia.org/wiki/EA_Sports" xr:uid="{BC47D114-AEB5-431A-B932-65F9DD42C97E}"/>
    <hyperlink ref="B519" r:id="rId995" tooltip="Madden NFL Mobile" display="https://en.wikipedia.org/wiki/Madden_NFL_Mobile" xr:uid="{7DE19E9B-59AA-4556-B8B9-B4712A4E2AA7}"/>
    <hyperlink ref="D519" r:id="rId996" tooltip="Android (operating system)" display="https://en.wikipedia.org/wiki/Android_(operating_system)" xr:uid="{754E293B-A667-4A37-9B33-2F65AD4FB3F0}"/>
    <hyperlink ref="E519" r:id="rId997" tooltip="EA Tiburon" display="https://en.wikipedia.org/wiki/EA_Tiburon" xr:uid="{0BE3D392-5F4C-42EB-81CA-29E1B0F47FAA}"/>
    <hyperlink ref="B520" r:id="rId998" tooltip="Madden NFL Mobile" display="https://en.wikipedia.org/wiki/Madden_NFL_Mobile" xr:uid="{C0703C6D-854E-4B13-A9D7-BD56C2CAAC39}"/>
    <hyperlink ref="D520" r:id="rId999" tooltip="IOS" display="https://en.wikipedia.org/wiki/IOS" xr:uid="{72973A42-5C40-4F44-BFD8-4626B5D950D9}"/>
    <hyperlink ref="E520" r:id="rId1000" tooltip="EA Tiburon" display="https://en.wikipedia.org/wiki/EA_Tiburon" xr:uid="{1AC7483C-5AA4-4289-A0EB-8A50B4BA643F}"/>
    <hyperlink ref="B319" r:id="rId1001" tooltip="Madden NFL Overdrive" display="https://en.wikipedia.org/wiki/Madden_NFL_Overdrive" xr:uid="{B992C99C-CF49-4F04-A464-9AD6FF5D3E16}"/>
    <hyperlink ref="D319" r:id="rId1002" tooltip="Android (operating system)" display="https://en.wikipedia.org/wiki/Android_(operating_system)" xr:uid="{17A2CBB0-141B-446A-9DDC-093C5F767167}"/>
    <hyperlink ref="B320" r:id="rId1003" tooltip="Madden NFL Overdrive" display="https://en.wikipedia.org/wiki/Madden_NFL_Overdrive" xr:uid="{B31689FC-D2E7-4023-B280-255C6237A247}"/>
    <hyperlink ref="D320" r:id="rId1004" tooltip="IOS" display="https://en.wikipedia.org/wiki/IOS" xr:uid="{01206B08-928F-4438-9469-E9BFB4D37889}"/>
    <hyperlink ref="B661" r:id="rId1005" tooltip="Madden NFL Social" display="https://en.wikipedia.org/wiki/Madden_NFL_Social" xr:uid="{39ABD42B-7A9B-4327-9B13-A799378BD9E0}"/>
    <hyperlink ref="D661" r:id="rId1006" tooltip="Facebook" display="https://en.wikipedia.org/wiki/Facebook" xr:uid="{021A3399-940C-48D3-A06D-BFC571475527}"/>
    <hyperlink ref="B662" r:id="rId1007" tooltip="Madden NFL Social" display="https://en.wikipedia.org/wiki/Madden_NFL_Social" xr:uid="{3A7B60AE-0824-4475-8FAF-5ECA22707621}"/>
    <hyperlink ref="D662" r:id="rId1008" tooltip="IOS" display="https://en.wikipedia.org/wiki/IOS" xr:uid="{4F99B38D-D261-4AC8-AAC3-5DC4D8E049B9}"/>
    <hyperlink ref="B961" r:id="rId1009" location="Madden_NFL_Superstars" tooltip="Playfish" display="https://en.wikipedia.org/wiki/Playfish - Madden_NFL_Superstars" xr:uid="{DEFB8F03-1227-4A92-8E90-BB3F8EE71831}"/>
    <hyperlink ref="D961" r:id="rId1010" tooltip="Facebook" display="https://en.wikipedia.org/wiki/Facebook" xr:uid="{BB5D850D-9B5A-4417-8115-1A30C6A74CB8}"/>
    <hyperlink ref="E961" r:id="rId1011" tooltip="Playfish" display="https://en.wikipedia.org/wiki/Playfish" xr:uid="{24D1EE48-984A-4804-A050-A9437705D0D0}"/>
    <hyperlink ref="B1025" r:id="rId1012" tooltip="Mass Effect 2" display="https://en.wikipedia.org/wiki/Mass_Effect_2" xr:uid="{D8F29CC3-7BF3-4A2F-947A-390264166977}"/>
    <hyperlink ref="D1025" r:id="rId1013" tooltip="Microsoft Windows" display="https://en.wikipedia.org/wiki/Microsoft_Windows" xr:uid="{8975F074-59B3-4791-AF0A-4C7A5FAEAE36}"/>
    <hyperlink ref="E1025" r:id="rId1014" tooltip="BioWare" display="https://en.wikipedia.org/wiki/BioWare" xr:uid="{718398D9-1C8C-455B-81F0-131C00A64091}"/>
    <hyperlink ref="B1026" r:id="rId1015" tooltip="Mass Effect 2" display="https://en.wikipedia.org/wiki/Mass_Effect_2" xr:uid="{EC110C8D-10D6-49EF-8FA3-BAEC4407422B}"/>
    <hyperlink ref="D1026" r:id="rId1016" tooltip="Xbox 360" display="https://en.wikipedia.org/wiki/Xbox_360" xr:uid="{AACD749D-470B-4C50-97C5-9DE64CAEB50A}"/>
    <hyperlink ref="E1026" r:id="rId1017" tooltip="BioWare" display="https://en.wikipedia.org/wiki/BioWare" xr:uid="{BDFB8163-B1A9-4104-AA62-B3B1031460AC}"/>
    <hyperlink ref="B859" r:id="rId1018" tooltip="Mass Effect 2" display="https://en.wikipedia.org/wiki/Mass_Effect_2" xr:uid="{A28FDC7E-C0F1-4E22-A9C8-932B9CEA45A7}"/>
    <hyperlink ref="D859" r:id="rId1019" tooltip="PlayStation 3" display="https://en.wikipedia.org/wiki/PlayStation_3" xr:uid="{945750D1-D121-4312-9C99-CB63F20AC877}"/>
    <hyperlink ref="E859" r:id="rId1020" tooltip="BioWare" display="https://en.wikipedia.org/wiki/BioWare" xr:uid="{F8A6923E-4599-4471-B078-A41E5C62A465}"/>
    <hyperlink ref="B697" r:id="rId1021" tooltip="Mass Effect 3" display="https://en.wikipedia.org/wiki/Mass_Effect_3" xr:uid="{09271D93-0F3D-461C-89E8-1D3F269F8498}"/>
    <hyperlink ref="D697" r:id="rId1022" tooltip="PlayStation 3" display="https://en.wikipedia.org/wiki/PlayStation_3" xr:uid="{8C2C24DE-44D1-4D61-B8D5-6517BC172EF4}"/>
    <hyperlink ref="E697" r:id="rId1023" tooltip="BioWare" display="https://en.wikipedia.org/wiki/BioWare" xr:uid="{32B9EF64-C149-4FFC-86E7-7F6F64272881}"/>
    <hyperlink ref="B698" r:id="rId1024" tooltip="Mass Effect 3" display="https://en.wikipedia.org/wiki/Mass_Effect_3" xr:uid="{C0DBFD81-7D87-4D9E-AF17-07884D064B3E}"/>
    <hyperlink ref="D698" r:id="rId1025" tooltip="Microsoft Windows" display="https://en.wikipedia.org/wiki/Microsoft_Windows" xr:uid="{1CC674BD-8F0A-487B-90CC-89AED214AA43}"/>
    <hyperlink ref="E698" r:id="rId1026" tooltip="BioWare" display="https://en.wikipedia.org/wiki/BioWare" xr:uid="{833A2473-CCFB-42CA-A9C6-C4C027DA8B2D}"/>
    <hyperlink ref="B699" r:id="rId1027" tooltip="Mass Effect 3" display="https://en.wikipedia.org/wiki/Mass_Effect_3" xr:uid="{66B90090-CE15-4541-9D73-C89A930A78FC}"/>
    <hyperlink ref="D699" r:id="rId1028" tooltip="Xbox 360" display="https://en.wikipedia.org/wiki/Xbox_360" xr:uid="{22076B64-6893-415B-8D79-076F3F53CF81}"/>
    <hyperlink ref="E699" r:id="rId1029" tooltip="BioWare" display="https://en.wikipedia.org/wiki/BioWare" xr:uid="{FF03524A-2954-4377-A7C7-91F3A5623F32}"/>
    <hyperlink ref="B628" r:id="rId1030" tooltip="Mass Effect 3" display="https://en.wikipedia.org/wiki/Mass_Effect_3" xr:uid="{120F8BDB-6EBA-45ED-BB42-449C1F721AF2}"/>
    <hyperlink ref="D628" r:id="rId1031" tooltip="Wii U" display="https://en.wikipedia.org/wiki/Wii_U" xr:uid="{639724A3-C42A-4E12-8B69-D65CF59EA7A1}"/>
    <hyperlink ref="E628" r:id="rId1032" tooltip="BioWare" display="https://en.wikipedia.org/wiki/BioWare" xr:uid="{FC3034E3-CD4C-4B99-B7E6-D77EC6E3C9BB}"/>
    <hyperlink ref="B696" r:id="rId1033" tooltip="Mass Effect Infiltrator" display="https://en.wikipedia.org/wiki/Mass_Effect_Infiltrator" xr:uid="{308C17E5-A176-4030-9EC2-6B7566D8E769}"/>
    <hyperlink ref="D696" r:id="rId1034" tooltip="IOS" display="https://en.wikipedia.org/wiki/IOS" xr:uid="{4068A62A-A905-4167-828F-2B9B2F8665F9}"/>
    <hyperlink ref="B678" r:id="rId1035" tooltip="Mass Effect Infiltrator" display="https://en.wikipedia.org/wiki/Mass_Effect_Infiltrator" xr:uid="{77AFE1C8-667F-471F-9B3B-07562115D5D6}"/>
    <hyperlink ref="D678" r:id="rId1036" tooltip="Android (operating system)" display="https://en.wikipedia.org/wiki/Android_(operating_system)" xr:uid="{4E42D4D9-E1A8-4E79-A7B2-A398159F785A}"/>
    <hyperlink ref="B599" r:id="rId1037" tooltip="Mass Effect Infiltrator" display="https://en.wikipedia.org/wiki/Mass_Effect_Infiltrator" xr:uid="{1900CED7-E963-47F4-8AD7-CFCE6E409C29}"/>
    <hyperlink ref="D599" r:id="rId1038" tooltip="Windows Phone" display="https://en.wikipedia.org/wiki/Windows_Phone" xr:uid="{70B359BA-FD47-46A1-82A1-56176DED7B6F}"/>
    <hyperlink ref="B598" r:id="rId1039" tooltip="Mass Effect Infiltrator" display="https://en.wikipedia.org/wiki/Mass_Effect_Infiltrator" xr:uid="{E45F7C11-9B01-4D48-8895-134F9B189FEE}"/>
    <hyperlink ref="D598" r:id="rId1040" tooltip="BlackBerry World" display="https://en.wikipedia.org/wiki/BlackBerry_World" xr:uid="{C4A42520-24FD-4EC7-A05B-D7A542149E2B}"/>
    <hyperlink ref="B386" r:id="rId1041" tooltip="Mass Effect: Andromeda" display="https://en.wikipedia.org/wiki/Mass_Effect:_Andromeda" xr:uid="{ACE654A2-570D-454F-9057-5BB148629BBF}"/>
    <hyperlink ref="D386" r:id="rId1042" tooltip="PlayStation 4" display="https://en.wikipedia.org/wiki/PlayStation_4" xr:uid="{9227A232-990C-4569-BFD7-5A7BD09F20EC}"/>
    <hyperlink ref="E386" r:id="rId1043" tooltip="BioWare" display="https://en.wikipedia.org/wiki/BioWare" xr:uid="{45612707-CBBE-4C34-B3F8-243CFA7DE871}"/>
    <hyperlink ref="B387" r:id="rId1044" tooltip="Mass Effect: Andromeda" display="https://en.wikipedia.org/wiki/Mass_Effect:_Andromeda" xr:uid="{55CA8193-9CEB-4987-A802-68101FF00A7F}"/>
    <hyperlink ref="D387" r:id="rId1045" tooltip="Microsoft Windows" display="https://en.wikipedia.org/wiki/Microsoft_Windows" xr:uid="{FF9B73DD-B4E0-4E8C-AC79-286F6DE8F61D}"/>
    <hyperlink ref="E387" r:id="rId1046" tooltip="BioWare" display="https://en.wikipedia.org/wiki/BioWare" xr:uid="{8FE0588C-81BB-4FCE-9835-01C0D99DD95B}"/>
    <hyperlink ref="B388" r:id="rId1047" tooltip="Mass Effect: Andromeda" display="https://en.wikipedia.org/wiki/Mass_Effect:_Andromeda" xr:uid="{7E0F5E43-83C6-4ECE-BA05-EE1FFCD5DA70}"/>
    <hyperlink ref="D388" r:id="rId1048" tooltip="Xbox One" display="https://en.wikipedia.org/wiki/Xbox_One" xr:uid="{251F2732-5AAF-476D-A9F8-C5B8D0A88F1C}"/>
    <hyperlink ref="E388" r:id="rId1049" tooltip="BioWare" display="https://en.wikipedia.org/wiki/BioWare" xr:uid="{0DD6D709-32B2-4BAE-8443-52EC97FFD1B1}"/>
    <hyperlink ref="B933" r:id="rId1050" tooltip="Medal of Honor (2010 video game)" display="https://en.wikipedia.org/wiki/Medal_of_Honor_(2010_video_game)" xr:uid="{87018F95-DC1E-483A-BC1B-3F1F18977FD1}"/>
    <hyperlink ref="D933" r:id="rId1051" tooltip="PlayStation 3" display="https://en.wikipedia.org/wiki/PlayStation_3" xr:uid="{00B6085D-C8C6-4D3B-90A8-4D684D7E63B8}"/>
    <hyperlink ref="E933" r:id="rId1052" tooltip="Danger Close Games" display="https://en.wikipedia.org/wiki/Danger_Close_Games" xr:uid="{E94AE234-19FB-40E8-972F-1D5C05BBADC9}"/>
    <hyperlink ref="B934" r:id="rId1053" tooltip="Medal of Honor (2010 video game)" display="https://en.wikipedia.org/wiki/Medal_of_Honor_(2010_video_game)" xr:uid="{0589194B-4646-4D49-B68D-6F3FC1C398B6}"/>
    <hyperlink ref="D934" r:id="rId1054" tooltip="Microsoft Windows" display="https://en.wikipedia.org/wiki/Microsoft_Windows" xr:uid="{88E91866-8AC6-4187-A904-03B90CBF6C07}"/>
    <hyperlink ref="E934" r:id="rId1055" tooltip="Danger Close Games" display="https://en.wikipedia.org/wiki/Danger_Close_Games" xr:uid="{0F823B8A-B40B-41F1-9D6B-AAB6C8870215}"/>
    <hyperlink ref="B935" r:id="rId1056" tooltip="Medal of Honor (2010 video game)" display="https://en.wikipedia.org/wiki/Medal_of_Honor_(2010_video_game)" xr:uid="{0ACDD097-0E93-4919-A321-A554EE816476}"/>
    <hyperlink ref="D935" r:id="rId1057" tooltip="Xbox 360" display="https://en.wikipedia.org/wiki/Xbox_360" xr:uid="{89675712-639C-4E31-BCD4-C262A91FED77}"/>
    <hyperlink ref="E935" r:id="rId1058" tooltip="Danger Close Games" display="https://en.wikipedia.org/wiki/Danger_Close_Games" xr:uid="{6F56EB7A-6F72-44C4-A9DC-5EFD3AD7CB76}"/>
    <hyperlink ref="B796" r:id="rId1059" tooltip="Medal of Honor: Frontline" display="https://en.wikipedia.org/wiki/Medal_of_Honor:_Frontline" xr:uid="{32CE6DD4-9E6F-4C8A-9A38-E99111E2C218}"/>
    <hyperlink ref="D796" r:id="rId1060" tooltip="PlayStation Network" display="https://en.wikipedia.org/wiki/PlayStation_Network" xr:uid="{0964ED8A-2FE2-453A-8ECF-C5656D52CED9}"/>
    <hyperlink ref="E796" r:id="rId1061" tooltip="EA Los Angeles" display="https://en.wikipedia.org/wiki/EA_Los_Angeles" xr:uid="{95C2921F-EAFD-4BEF-B86A-74700CE1FAFD}"/>
    <hyperlink ref="B643" r:id="rId1062" tooltip="Medal of Honor: Warfighter" display="https://en.wikipedia.org/wiki/Medal_of_Honor:_Warfighter" xr:uid="{0279AB27-9730-4958-8326-B344D86498C9}"/>
    <hyperlink ref="D643" r:id="rId1063" tooltip="PlayStation 3" display="https://en.wikipedia.org/wiki/PlayStation_3" xr:uid="{3B2969C8-BC82-4C0D-AB82-719D5DBABC7F}"/>
    <hyperlink ref="E643" r:id="rId1064" tooltip="Danger Close Games" display="https://en.wikipedia.org/wiki/Danger_Close_Games" xr:uid="{F2828D59-A29A-42C1-A370-64001FAC32B9}"/>
    <hyperlink ref="B644" r:id="rId1065" tooltip="Medal of Honor: Warfighter" display="https://en.wikipedia.org/wiki/Medal_of_Honor:_Warfighter" xr:uid="{174558BB-BC0A-4DCC-9A21-E80DF17CB67C}"/>
    <hyperlink ref="D644" r:id="rId1066" tooltip="Microsoft Windows" display="https://en.wikipedia.org/wiki/Microsoft_Windows" xr:uid="{56932C33-4834-48EB-BC15-6A7DB9F8226D}"/>
    <hyperlink ref="E644" r:id="rId1067" tooltip="Danger Close Games" display="https://en.wikipedia.org/wiki/Danger_Close_Games" xr:uid="{E3EBE546-572A-4BF7-B0C0-18D3A7D56A20}"/>
    <hyperlink ref="B645" r:id="rId1068" tooltip="Medal of Honor: Warfighter" display="https://en.wikipedia.org/wiki/Medal_of_Honor:_Warfighter" xr:uid="{29193774-69EB-4094-8959-7097A01B71D4}"/>
    <hyperlink ref="D645" r:id="rId1069" tooltip="Xbox 360" display="https://en.wikipedia.org/wiki/Xbox_360" xr:uid="{FA47060A-48FC-4F70-B885-DF088DC4FE7B}"/>
    <hyperlink ref="E645" r:id="rId1070" tooltip="Danger Close Games" display="https://en.wikipedia.org/wiki/Danger_Close_Games" xr:uid="{35261486-18D2-4F1A-A536-7915C4E24E42}"/>
    <hyperlink ref="B419" r:id="rId1071" tooltip="Micro Machines (video game series)" display="https://en.wikipedia.org/wiki/Micro_Machines_(video_game_series)" xr:uid="{A5E8EA06-D2FF-489B-94FE-DA84E03245CC}"/>
    <hyperlink ref="D419" r:id="rId1072" tooltip="IOS" display="https://en.wikipedia.org/wiki/IOS" xr:uid="{CC1DAB33-0C64-45F4-A6C0-AB0FF37AB27F}"/>
    <hyperlink ref="E419" r:id="rId1073" tooltip="Codemasters" display="https://en.wikipedia.org/wiki/Codemasters" xr:uid="{DFD8C808-A5ED-4ABB-B2DC-894A1547EAB7}"/>
    <hyperlink ref="B407" r:id="rId1074" tooltip="Micro Machines (video game series)" display="https://en.wikipedia.org/wiki/Micro_Machines_(video_game_series)" xr:uid="{05679477-9513-4FB1-A079-CF1E256E68DA}"/>
    <hyperlink ref="D407" r:id="rId1075" tooltip="Android (operating system)" display="https://en.wikipedia.org/wiki/Android_(operating_system)" xr:uid="{7C3688E5-9C58-4003-BFCA-54A57AA7D361}"/>
    <hyperlink ref="E407" r:id="rId1076" tooltip="Codemasters" display="https://en.wikipedia.org/wiki/Codemasters" xr:uid="{95867A12-251D-4D6C-81EC-C611B1988B40}"/>
    <hyperlink ref="B451" r:id="rId1077" tooltip="Minions Paradise" display="https://en.wikipedia.org/wiki/Minions_Paradise" xr:uid="{D7DB0782-1CEB-4218-ABAF-03474D8C5DBF}"/>
    <hyperlink ref="D451" r:id="rId1078" tooltip="Android (operating system)" display="https://en.wikipedia.org/wiki/Android_(operating_system)" xr:uid="{699DCF95-5F3C-4380-8877-C84E477A5023}"/>
    <hyperlink ref="E451" r:id="rId1079" tooltip="EA Salt Lake" display="https://en.wikipedia.org/wiki/EA_Salt_Lake" xr:uid="{AF767C88-0FA2-4A30-81F0-4806D1B0AB18}"/>
    <hyperlink ref="B452" r:id="rId1080" tooltip="Minions Paradise" display="https://en.wikipedia.org/wiki/Minions_Paradise" xr:uid="{9F7E30F2-FFC1-4AA4-B3B5-5D8469352B7D}"/>
    <hyperlink ref="D452" r:id="rId1081" tooltip="IOS" display="https://en.wikipedia.org/wiki/IOS" xr:uid="{39DEA01C-0F24-428D-9C77-0A0E5863D569}"/>
    <hyperlink ref="E452" r:id="rId1082" tooltip="EA Salt Lake" display="https://en.wikipedia.org/wiki/EA_Salt_Lake" xr:uid="{6B9DE28E-8B69-41EA-ABF4-845EF49A6DAC}"/>
    <hyperlink ref="B1009" r:id="rId1083" tooltip="Mirror's Edge" display="https://en.wikipedia.org/wiki/Mirror%27s_Edge" xr:uid="{BE3B4CB4-41B6-48B7-8541-FC0F2DF93A73}"/>
    <hyperlink ref="D1009" r:id="rId1084" tooltip="IOS" display="https://en.wikipedia.org/wiki/IOS" xr:uid="{7060F9D9-7EDF-442D-B6F4-5E653464CDF7}"/>
    <hyperlink ref="E1009" r:id="rId1085" tooltip="EA DICE" display="https://en.wikipedia.org/wiki/EA_DICE" xr:uid="{B0E50C8F-9E5B-49EE-A8B7-FF196268E61A}"/>
    <hyperlink ref="B669" r:id="rId1086" tooltip="Mirror's Edge" display="https://en.wikipedia.org/wiki/Mirror%27s_Edge" xr:uid="{90301B8F-9335-4CB8-869D-14F8728244FD}"/>
    <hyperlink ref="D669" r:id="rId1087" tooltip="Windows Phone" display="https://en.wikipedia.org/wiki/Windows_Phone" xr:uid="{B86B9E86-AB2D-4167-BD29-09B36350DDE6}"/>
    <hyperlink ref="E669" r:id="rId1088" tooltip="EA DICE" display="https://en.wikipedia.org/wiki/EA_DICE" xr:uid="{5E62F296-3D66-4DAE-BDDE-F804AA17767E}"/>
    <hyperlink ref="B426" r:id="rId1089" tooltip="Mirror's Edge Catalyst" display="https://en.wikipedia.org/wiki/Mirror%27s_Edge_Catalyst" xr:uid="{2450C216-F14D-4C06-A5D6-2D22D449623C}"/>
    <hyperlink ref="D426" r:id="rId1090" tooltip="PlayStation 4" display="https://en.wikipedia.org/wiki/PlayStation_4" xr:uid="{811906C2-8F54-4ECD-A9E3-BEE3CADE0F16}"/>
    <hyperlink ref="E426" r:id="rId1091" tooltip="EA DICE" display="https://en.wikipedia.org/wiki/EA_DICE" xr:uid="{387A7C0B-B690-44C8-87B2-2B46CE638C8C}"/>
    <hyperlink ref="B427" r:id="rId1092" tooltip="Mirror's Edge Catalyst" display="https://en.wikipedia.org/wiki/Mirror%27s_Edge_Catalyst" xr:uid="{E0EBCED1-B4F7-4585-81EE-656924EEFA57}"/>
    <hyperlink ref="D427" r:id="rId1093" tooltip="Microsoft Windows" display="https://en.wikipedia.org/wiki/Microsoft_Windows" xr:uid="{3A4320C6-7A4C-47CE-9233-EB60217B03E1}"/>
    <hyperlink ref="E427" r:id="rId1094" tooltip="EA DICE" display="https://en.wikipedia.org/wiki/EA_DICE" xr:uid="{10B2A583-965F-42BE-BF59-CFF9147EBD4D}"/>
    <hyperlink ref="B428" r:id="rId1095" tooltip="Mirror's Edge Catalyst" display="https://en.wikipedia.org/wiki/Mirror%27s_Edge_Catalyst" xr:uid="{CC6CDD96-3943-482F-8715-4BFED5D0EB1B}"/>
    <hyperlink ref="D428" r:id="rId1096" tooltip="Xbox One" display="https://en.wikipedia.org/wiki/Xbox_One" xr:uid="{A41B87E2-A37F-420B-9C7F-D4D86E9BD777}"/>
    <hyperlink ref="E428" r:id="rId1097" tooltip="EA DICE" display="https://en.wikipedia.org/wiki/EA_DICE" xr:uid="{8E767D64-BAD5-4C3E-A89F-D15428CBF7BE}"/>
    <hyperlink ref="B928" r:id="rId1098" tooltip="Monopoly (2008 video game)" display="https://en.wikipedia.org/wiki/Monopoly_(2008_video_game)" xr:uid="{8A30658E-405D-4A44-962C-D10B17465E65}"/>
    <hyperlink ref="D928" r:id="rId1099" tooltip="Windows Phone" display="https://en.wikipedia.org/wiki/Windows_Phone" xr:uid="{10FBCEE0-41BD-4369-81F1-76E2B377D80A}"/>
    <hyperlink ref="B916" r:id="rId1100" tooltip="Monopoly Streets" display="https://en.wikipedia.org/wiki/Monopoly_Streets" xr:uid="{FA9D4D2A-E86B-44FC-A729-A8DDA8B6E379}"/>
    <hyperlink ref="D916" r:id="rId1101" tooltip="PlayStation 3" display="https://en.wikipedia.org/wiki/PlayStation_3" xr:uid="{288F9AC7-9567-4DC7-A952-85F1CE2CA033}"/>
    <hyperlink ref="E916" r:id="rId1102" tooltip="EA Salt Lake" display="https://en.wikipedia.org/wiki/EA_Salt_Lake" xr:uid="{C494A771-0102-4460-BDBF-3AF7C3DAE0B0}"/>
    <hyperlink ref="B917" r:id="rId1103" tooltip="Monopoly Streets" display="https://en.wikipedia.org/wiki/Monopoly_Streets" xr:uid="{6C967AE6-9D44-4938-845B-D64301376670}"/>
    <hyperlink ref="D917" r:id="rId1104" tooltip="Wii" display="https://en.wikipedia.org/wiki/Wii" xr:uid="{E59FE463-5FC8-4452-8F0D-CE8A58D11A01}"/>
    <hyperlink ref="E917" r:id="rId1105" tooltip="EA Salt Lake" display="https://en.wikipedia.org/wiki/EA_Salt_Lake" xr:uid="{36CB520E-7554-4FFB-8E30-78F8475EF3F0}"/>
    <hyperlink ref="B918" r:id="rId1106" tooltip="Monopoly Streets" display="https://en.wikipedia.org/wiki/Monopoly_Streets" xr:uid="{716A9846-0E25-4234-B887-3EDE8C5350DB}"/>
    <hyperlink ref="D918" r:id="rId1107" tooltip="Xbox 360" display="https://en.wikipedia.org/wiki/Xbox_360" xr:uid="{4D9FD116-EAB3-4E05-8457-BB9648C5315A}"/>
    <hyperlink ref="E918" r:id="rId1108" tooltip="EA Salt Lake" display="https://en.wikipedia.org/wiki/EA_Salt_Lake" xr:uid="{E6222E91-785C-43F0-89EE-F3EEE78D72A9}"/>
    <hyperlink ref="B939" r:id="rId1109" tooltip="MySims SkyHeroes" display="https://en.wikipedia.org/wiki/MySims_SkyHeroes" xr:uid="{1D28FD1C-8F0A-4D44-BE9C-2F030E60B729}"/>
    <hyperlink ref="D939" r:id="rId1110" tooltip="Nintendo DS" display="https://en.wikipedia.org/wiki/Nintendo_DS" xr:uid="{5A73DA86-EA9F-42E6-8ACA-26D86BBE7845}"/>
    <hyperlink ref="E939" r:id="rId1111" tooltip="Behaviour Interactive" display="https://en.wikipedia.org/wiki/Behaviour_Interactive" xr:uid="{4C71B250-F92D-4A88-8293-2A7C7C42B6B6}"/>
    <hyperlink ref="B940" r:id="rId1112" tooltip="MySims SkyHeroes" display="https://en.wikipedia.org/wiki/MySims_SkyHeroes" xr:uid="{DCFFB85C-3BC1-4691-A91F-4E0EC1CA4823}"/>
    <hyperlink ref="D940" r:id="rId1113" tooltip="PlayStation 3" display="https://en.wikipedia.org/wiki/PlayStation_3" xr:uid="{FAFF39C9-C204-4650-98AB-1ABD3BE55324}"/>
    <hyperlink ref="E940" r:id="rId1114" tooltip="Behaviour Interactive" display="https://en.wikipedia.org/wiki/Behaviour_Interactive" xr:uid="{A36D39C3-62F7-463F-A100-89FF6C407BE9}"/>
    <hyperlink ref="B941" r:id="rId1115" tooltip="MySims SkyHeroes" display="https://en.wikipedia.org/wiki/MySims_SkyHeroes" xr:uid="{37463326-6875-4B93-8E5B-6279880C6F50}"/>
    <hyperlink ref="D941" r:id="rId1116" tooltip="Wii" display="https://en.wikipedia.org/wiki/Wii" xr:uid="{C3D39ECE-23CB-4A27-BAFC-7C65FAEECB74}"/>
    <hyperlink ref="E941" r:id="rId1117" tooltip="Behaviour Interactive" display="https://en.wikipedia.org/wiki/Behaviour_Interactive" xr:uid="{E774D97D-7C2C-4B31-A605-F4E3913C87B0}"/>
    <hyperlink ref="B942" r:id="rId1118" tooltip="MySims SkyHeroes" display="https://en.wikipedia.org/wiki/MySims_SkyHeroes" xr:uid="{AC08CC7C-A9ED-4594-AFA1-BC53F49FF578}"/>
    <hyperlink ref="D942" r:id="rId1119" tooltip="Xbox 360" display="https://en.wikipedia.org/wiki/Xbox_360" xr:uid="{85FB0CA2-DFC5-4525-82E6-37C592B32AF5}"/>
    <hyperlink ref="E942" r:id="rId1120" tooltip="Behaviour Interactive" display="https://en.wikipedia.org/wiki/Behaviour_Interactive" xr:uid="{381F78D1-0927-481C-9BA9-0C4422E2CD65}"/>
    <hyperlink ref="B901" r:id="rId1121" tooltip="NBA Elite 11" display="https://en.wikipedia.org/wiki/NBA_Elite_11" xr:uid="{D0A57FFB-0833-449F-81EA-6430E09E686A}"/>
    <hyperlink ref="D901" r:id="rId1122" tooltip="IOS" display="https://en.wikipedia.org/wiki/IOS" xr:uid="{00DA2AC7-1C09-4FFD-9C0C-B15E5D41B6C3}"/>
    <hyperlink ref="E901" r:id="rId1123" tooltip="EA Canada" display="https://en.wikipedia.org/wiki/EA_Canada" xr:uid="{4DAC8C25-DEED-4194-841D-39E4463305DE}"/>
    <hyperlink ref="B938" r:id="rId1124" tooltip="NBA Jam (2010 video game)" display="https://en.wikipedia.org/wiki/NBA_Jam_(2010_video_game)" xr:uid="{7D5C600B-379D-4376-843F-CA43321F8C61}"/>
    <hyperlink ref="D938" r:id="rId1125" tooltip="Wii" display="https://en.wikipedia.org/wiki/Wii" xr:uid="{6FE58263-20B6-4A03-8691-CE18AE780558}"/>
    <hyperlink ref="E938" r:id="rId1126" tooltip="EA Canada" display="https://en.wikipedia.org/wiki/EA_Canada" xr:uid="{F598A482-2E0F-4A7B-B0DF-E5D43801DCF3}"/>
    <hyperlink ref="B875" r:id="rId1127" tooltip="NBA Jam (2010 video game)" display="https://en.wikipedia.org/wiki/NBA_Jam_(2010_video_game)" xr:uid="{5EC85661-D4A6-436D-9CE6-5DC204A07D48}"/>
    <hyperlink ref="D875" r:id="rId1128" tooltip="PlayStation 3" display="https://en.wikipedia.org/wiki/PlayStation_3" xr:uid="{B5C7028F-6A84-4A30-B0B3-5D5E2FA6C3BD}"/>
    <hyperlink ref="E875" r:id="rId1129" tooltip="EA Canada" display="https://en.wikipedia.org/wiki/EA_Canada" xr:uid="{F09164DE-0C0C-4B57-B8F3-863D0FAB7FCC}"/>
    <hyperlink ref="B849" r:id="rId1130" tooltip="NBA Jam (2010 video game)" display="https://en.wikipedia.org/wiki/NBA_Jam_(2010_video_game)" xr:uid="{9F6CEA68-183F-48A6-B48B-281E4F4BD38D}"/>
    <hyperlink ref="D849" r:id="rId1131" tooltip="IOS" display="https://en.wikipedia.org/wiki/IOS" xr:uid="{87D2D200-92D4-4A13-A2A5-2142EE2DC04D}"/>
    <hyperlink ref="E849" r:id="rId1132" tooltip="EA Canada" display="https://en.wikipedia.org/wiki/EA_Canada" xr:uid="{6A8E4AEE-602F-44CB-8472-1C4071C42F2E}"/>
    <hyperlink ref="B731" r:id="rId1133" tooltip="NBA Jam (2010 video game)" display="https://en.wikipedia.org/wiki/NBA_Jam_(2010_video_game)" xr:uid="{B7AF3A2E-4C5C-4F03-BBD5-3CD9F50F5E04}"/>
    <hyperlink ref="D731" r:id="rId1134" tooltip="Xbox 360" display="https://en.wikipedia.org/wiki/Xbox_360" xr:uid="{31ED2146-A154-4ED8-B9E5-9D963D0CF54B}"/>
    <hyperlink ref="E731" r:id="rId1135" tooltip="EA Canada" display="https://en.wikipedia.org/wiki/EA_Canada" xr:uid="{3149C6D9-A76B-4A22-9BD9-E08F73EC6578}"/>
    <hyperlink ref="B729" r:id="rId1136" tooltip="NBA Jam (2010 video game)" display="https://en.wikipedia.org/wiki/NBA_Jam_(2010_video_game)" xr:uid="{8394CC40-479A-4FDA-8E9B-5995CF69C7D0}"/>
    <hyperlink ref="D729" r:id="rId1137" tooltip="Macintosh" display="https://en.wikipedia.org/wiki/Macintosh" xr:uid="{89769D59-72D6-4F36-A50B-1828827E4150}"/>
    <hyperlink ref="E729" r:id="rId1138" tooltip="EA Canada" display="https://en.wikipedia.org/wiki/EA_Canada" xr:uid="{C34235D2-7A90-41AC-8E72-E91F2C18CF98}"/>
    <hyperlink ref="B687" r:id="rId1139" tooltip="NBA Jam (2010 video game)" display="https://en.wikipedia.org/wiki/NBA_Jam_(2010_video_game)" xr:uid="{2E3F53FF-3ABE-4456-8CCC-07460A1D1413}"/>
    <hyperlink ref="D687" r:id="rId1140" tooltip="Android (operating system)" display="https://en.wikipedia.org/wiki/Android_(operating_system)" xr:uid="{1EF197B5-1420-4CC6-9235-C8AA550505B2}"/>
    <hyperlink ref="E687" r:id="rId1141" tooltip="EA Canada" display="https://en.wikipedia.org/wiki/EA_Canada" xr:uid="{F11367BE-A730-4F0E-99E1-F2F0DE827D02}"/>
    <hyperlink ref="B610" r:id="rId1142" tooltip="NBA Jam (2010 video game)" display="https://en.wikipedia.org/wiki/NBA_Jam_(2010_video_game)" xr:uid="{B6435481-532E-46B6-BD5F-F824A0013F97}"/>
    <hyperlink ref="D610" r:id="rId1143" tooltip="Windows Phone" display="https://en.wikipedia.org/wiki/Windows_Phone" xr:uid="{690C1B7A-0E11-4F33-8257-786118DEF98D}"/>
    <hyperlink ref="E610" r:id="rId1144" tooltip="EA Canada" display="https://en.wikipedia.org/wiki/EA_Canada" xr:uid="{27A0EE00-0CE6-4965-8522-8D63B12A038D}"/>
    <hyperlink ref="B755" r:id="rId1145" tooltip="NBA Jam: On Fire Edition" display="https://en.wikipedia.org/wiki/NBA_Jam:_On_Fire_Edition" xr:uid="{9DDE93AB-F903-4708-BB53-C1AF7C9F50BB}"/>
    <hyperlink ref="D755" r:id="rId1146" tooltip="PlayStation 3" display="https://en.wikipedia.org/wiki/PlayStation_3" xr:uid="{85CC01B3-A894-486D-92D5-951040337A76}"/>
    <hyperlink ref="E755" r:id="rId1147" tooltip="EA Canada" display="https://en.wikipedia.org/wiki/EA_Canada" xr:uid="{7E201DD1-5605-44D2-808E-6FC4FF24AA1E}"/>
    <hyperlink ref="B754" r:id="rId1148" tooltip="NBA Jam: On Fire Edition" display="https://en.wikipedia.org/wiki/NBA_Jam:_On_Fire_Edition" xr:uid="{CBFC821B-3278-458E-AFC9-770EF0031358}"/>
    <hyperlink ref="D754" r:id="rId1149" tooltip="Xbox 360" display="https://en.wikipedia.org/wiki/Xbox_360" xr:uid="{10C171B6-CCB0-4778-8C24-056735BA40D0}"/>
    <hyperlink ref="E754" r:id="rId1150" tooltip="EA Canada" display="https://en.wikipedia.org/wiki/EA_Canada" xr:uid="{89ED9339-0813-4211-AD38-837FB225191E}"/>
    <hyperlink ref="B552" r:id="rId1151" tooltip="NBA Live 14" display="https://en.wikipedia.org/wiki/NBA_Live_14" xr:uid="{4A1B0154-2227-4E32-8FF3-2E2A75F80412}"/>
    <hyperlink ref="D552" r:id="rId1152" tooltip="PlayStation 4" display="https://en.wikipedia.org/wiki/PlayStation_4" xr:uid="{C25F3127-6E10-4438-A75E-67811A36F070}"/>
    <hyperlink ref="E552" r:id="rId1153" tooltip="EA Tiburon" display="https://en.wikipedia.org/wiki/EA_Tiburon" xr:uid="{36311C8F-A7E5-435F-9E22-1B2B4C737171}"/>
    <hyperlink ref="B553" r:id="rId1154" tooltip="NBA Live 14" display="https://en.wikipedia.org/wiki/NBA_Live_14" xr:uid="{F7EC3157-A71E-4063-A585-A4E44A8E2107}"/>
    <hyperlink ref="D553" r:id="rId1155" tooltip="Xbox One" display="https://en.wikipedia.org/wiki/Xbox_One" xr:uid="{C81A1810-8053-4DF1-AD1D-D542653FE7CB}"/>
    <hyperlink ref="E553" r:id="rId1156" tooltip="EA Tiburon" display="https://en.wikipedia.org/wiki/EA_Tiburon" xr:uid="{EA4F57C0-1A1D-4361-8607-CB5A1A149B9C}"/>
    <hyperlink ref="B497" r:id="rId1157" tooltip="NBA Live 15" display="https://en.wikipedia.org/wiki/NBA_Live_15" xr:uid="{B1A608F5-0CB7-48B4-BB68-E2467E3989C6}"/>
    <hyperlink ref="D497" r:id="rId1158" tooltip="PlayStation 4" display="https://en.wikipedia.org/wiki/PlayStation_4" xr:uid="{89997837-CD99-4175-BF23-FAAB46F60FAF}"/>
    <hyperlink ref="E497" r:id="rId1159" tooltip="EA Tiburon" display="https://en.wikipedia.org/wiki/EA_Tiburon" xr:uid="{919C9E08-627A-43A3-AB30-B831B5415BDB}"/>
    <hyperlink ref="B498" r:id="rId1160" tooltip="NBA Live 15" display="https://en.wikipedia.org/wiki/NBA_Live_15" xr:uid="{1111831E-4AF1-492F-88BD-A2233FEFC5B7}"/>
    <hyperlink ref="D498" r:id="rId1161" tooltip="Xbox One" display="https://en.wikipedia.org/wiki/Xbox_One" xr:uid="{EA61A55B-CE8A-4DBC-86F1-14F9430387B4}"/>
    <hyperlink ref="E498" r:id="rId1162" tooltip="EA Tiburon" display="https://en.wikipedia.org/wiki/EA_Tiburon" xr:uid="{C8E2C616-535E-490C-B791-141D795B8BCD}"/>
    <hyperlink ref="B455" r:id="rId1163" tooltip="NBA Live 16" display="https://en.wikipedia.org/wiki/NBA_Live_16" xr:uid="{38E31A9B-5554-4AD6-9CA5-4809EB18BB71}"/>
    <hyperlink ref="D455" r:id="rId1164" tooltip="PlayStation 4" display="https://en.wikipedia.org/wiki/PlayStation_4" xr:uid="{368EF162-70B0-4846-B8A8-B4134EA59578}"/>
    <hyperlink ref="E455" r:id="rId1165" tooltip="EA Tiburon" display="https://en.wikipedia.org/wiki/EA_Tiburon" xr:uid="{60A83FD8-12D5-4A3B-A2E6-5E4E205E1896}"/>
    <hyperlink ref="B456" r:id="rId1166" tooltip="NBA Live 16" display="https://en.wikipedia.org/wiki/NBA_Live_16" xr:uid="{655362BA-7F18-410B-A1EC-46A6DF661739}"/>
    <hyperlink ref="D456" r:id="rId1167" tooltip="Xbox One" display="https://en.wikipedia.org/wiki/Xbox_One" xr:uid="{A44CB809-2CA0-43B6-8938-4589C91EA50F}"/>
    <hyperlink ref="E456" r:id="rId1168" tooltip="EA Tiburon" display="https://en.wikipedia.org/wiki/EA_Tiburon" xr:uid="{AA3E6457-761B-4B2C-8F91-B2FA3730F25A}"/>
    <hyperlink ref="B378" r:id="rId1169" tooltip="NBA Live 18" display="https://en.wikipedia.org/wiki/NBA_Live_18" xr:uid="{F4065091-E95F-495D-9DEF-9EC5F4F7C08E}"/>
    <hyperlink ref="D378" r:id="rId1170" tooltip="PlayStation 4" display="https://en.wikipedia.org/wiki/PlayStation_4" xr:uid="{01A847F2-6D97-4564-A993-9202E7252429}"/>
    <hyperlink ref="E378" r:id="rId1171" tooltip="EA Tiburon" display="https://en.wikipedia.org/wiki/EA_Tiburon" xr:uid="{A8A6FF81-7778-43BB-9FCA-8C766F954853}"/>
    <hyperlink ref="B379" r:id="rId1172" tooltip="NBA Live 18" display="https://en.wikipedia.org/wiki/NBA_Live_18" xr:uid="{A92355C6-E3D3-47BC-B46F-861D5723168F}"/>
    <hyperlink ref="D379" r:id="rId1173" tooltip="Xbox One" display="https://en.wikipedia.org/wiki/Xbox_One" xr:uid="{013FD559-89B2-4850-B990-7393388AE44D}"/>
    <hyperlink ref="E379" r:id="rId1174" tooltip="EA Tiburon" display="https://en.wikipedia.org/wiki/EA_Tiburon" xr:uid="{7CBBB65A-FCB3-4714-8589-91538476C992}"/>
    <hyperlink ref="B316" r:id="rId1175" tooltip="NBA Live 19" display="https://en.wikipedia.org/wiki/NBA_Live_19" xr:uid="{C8DB2880-5420-4D00-ACE1-142CF2896C90}"/>
    <hyperlink ref="D316" r:id="rId1176" tooltip="PlayStation 4" display="https://en.wikipedia.org/wiki/PlayStation_4" xr:uid="{73518E02-7CF9-407A-925A-DB8F9D287B24}"/>
    <hyperlink ref="E316" r:id="rId1177" tooltip="EA Tiburon" display="https://en.wikipedia.org/wiki/EA_Tiburon" xr:uid="{901A1DB0-B00A-4D1A-8E76-BD3D4378A180}"/>
    <hyperlink ref="B317" r:id="rId1178" tooltip="NBA Live 19" display="https://en.wikipedia.org/wiki/NBA_Live_19" xr:uid="{55223857-17B6-4665-A2D2-E1DA80636998}"/>
    <hyperlink ref="D317" r:id="rId1179" tooltip="Xbox One" display="https://en.wikipedia.org/wiki/Xbox_One" xr:uid="{10B363AA-CC30-4055-B92C-99DCBF274F27}"/>
    <hyperlink ref="E317" r:id="rId1180" tooltip="EA Tiburon" display="https://en.wikipedia.org/wiki/EA_Tiburon" xr:uid="{186DEF31-18AF-4F52-BEC1-3A913841145C}"/>
    <hyperlink ref="B420" r:id="rId1181" tooltip="NBA Live Mobile" display="https://en.wikipedia.org/wiki/NBA_Live_Mobile" xr:uid="{660B6393-A06C-4AFD-B5B6-10858BAD2092}"/>
    <hyperlink ref="D420" r:id="rId1182" tooltip="Android (operating system)" display="https://en.wikipedia.org/wiki/Android_(operating_system)" xr:uid="{94B2DD21-E922-4137-9A1E-A23C33498D0E}"/>
    <hyperlink ref="E420" r:id="rId1183" tooltip="EA Tiburon" display="https://en.wikipedia.org/wiki/EA_Tiburon" xr:uid="{012A45F0-E841-428C-99C1-84D62CE70711}"/>
    <hyperlink ref="B421" r:id="rId1184" tooltip="NBA Live Mobile" display="https://en.wikipedia.org/wiki/NBA_Live_Mobile" xr:uid="{3915B39B-284F-439A-B4AE-471C6DE483D1}"/>
    <hyperlink ref="D421" r:id="rId1185" tooltip="IOS" display="https://en.wikipedia.org/wiki/IOS" xr:uid="{B1EDBFC3-A52B-481B-9922-AB1461E97E13}"/>
    <hyperlink ref="E421" r:id="rId1186" tooltip="EA Tiburon" display="https://en.wikipedia.org/wiki/EA_Tiburon" xr:uid="{0281880C-2C26-41A7-A320-56C601DE4135}"/>
    <hyperlink ref="B985" r:id="rId1187" tooltip="NCAA Football 11" display="https://en.wikipedia.org/wiki/NCAA_Football_11" xr:uid="{8426072C-D0BF-4946-A71B-B29A1CB8CA92}"/>
    <hyperlink ref="D985" r:id="rId1188" tooltip="IOS" display="https://en.wikipedia.org/wiki/IOS" xr:uid="{1F43B6F5-B857-4E1B-B630-19ABD1E3E3C3}"/>
    <hyperlink ref="B978" r:id="rId1189" tooltip="NCAA Football 11" display="https://en.wikipedia.org/wiki/NCAA_Football_11" xr:uid="{735FADDD-3D56-4728-9E3B-420332A088ED}"/>
    <hyperlink ref="D978" r:id="rId1190" tooltip="PlayStation 2" display="https://en.wikipedia.org/wiki/PlayStation_2" xr:uid="{3CFE54CE-2A39-4B4A-8E17-ED41E4DF5D95}"/>
    <hyperlink ref="B979" r:id="rId1191" tooltip="NCAA Football 11" display="https://en.wikipedia.org/wiki/NCAA_Football_11" xr:uid="{FB473884-B01E-4F62-ADEF-2F7039B9E530}"/>
    <hyperlink ref="D979" r:id="rId1192" tooltip="PlayStation 3" display="https://en.wikipedia.org/wiki/PlayStation_3" xr:uid="{38D5A2AD-CBB6-4632-A246-948E70FB2C91}"/>
    <hyperlink ref="B980" r:id="rId1193" tooltip="NCAA Football 11" display="https://en.wikipedia.org/wiki/NCAA_Football_11" xr:uid="{3029C50A-7D2D-4E5F-B6A5-92A464C27A98}"/>
    <hyperlink ref="D980" r:id="rId1194" tooltip="Xbox 360" display="https://en.wikipedia.org/wiki/Xbox_360" xr:uid="{90C2DFDB-4112-45AC-A0BD-BF8AE4F53C11}"/>
    <hyperlink ref="B800" r:id="rId1195" tooltip="NCAA Football 12" display="https://en.wikipedia.org/wiki/NCAA_Football_12" xr:uid="{57BB6E3D-C7B8-4FDA-9657-8D9F5A31435D}"/>
    <hyperlink ref="D800" r:id="rId1196" tooltip="IOS" display="https://en.wikipedia.org/wiki/IOS" xr:uid="{7B127A44-2F93-475B-933C-7696C617E1B3}"/>
    <hyperlink ref="E800" r:id="rId1197" tooltip="EA Tiburon" display="https://en.wikipedia.org/wiki/EA_Tiburon" xr:uid="{D1A07409-FAF5-4F1E-B37C-957FE0EC9EAC}"/>
    <hyperlink ref="B801" r:id="rId1198" tooltip="NCAA Football 12" display="https://en.wikipedia.org/wiki/NCAA_Football_12" xr:uid="{58216E65-873B-41E1-B55C-EC519BEDACA9}"/>
    <hyperlink ref="D801" r:id="rId1199" tooltip="PlayStation 3" display="https://en.wikipedia.org/wiki/PlayStation_3" xr:uid="{914912E6-351D-4FBA-9B62-61D684C03B7E}"/>
    <hyperlink ref="E801" r:id="rId1200" tooltip="EA Tiburon" display="https://en.wikipedia.org/wiki/EA_Tiburon" xr:uid="{1A23A2F0-DCFF-44B3-823B-73B427780C52}"/>
    <hyperlink ref="B802" r:id="rId1201" tooltip="NCAA Football 12" display="https://en.wikipedia.org/wiki/NCAA_Football_12" xr:uid="{0AFED035-CEA1-4F4F-9B9F-F7CFEB2FADF8}"/>
    <hyperlink ref="D802" r:id="rId1202" tooltip="Xbox 360" display="https://en.wikipedia.org/wiki/Xbox_360" xr:uid="{014407D6-A691-48D7-BB7A-E03DFBB0D2A2}"/>
    <hyperlink ref="E802" r:id="rId1203" tooltip="EA Tiburon" display="https://en.wikipedia.org/wiki/EA_Tiburon" xr:uid="{5A094190-0DC5-45C3-9AB5-810B878C9119}"/>
    <hyperlink ref="B672" r:id="rId1204" tooltip="NCAA Football 13" display="https://en.wikipedia.org/wiki/NCAA_Football_13" xr:uid="{573642D5-32CF-4DA7-AF59-12E624114BE8}"/>
    <hyperlink ref="D672" r:id="rId1205" tooltip="PlayStation 3" display="https://en.wikipedia.org/wiki/PlayStation_3" xr:uid="{FA49642E-A63C-4D2F-9BFC-3A45ED8179E9}"/>
    <hyperlink ref="E672" r:id="rId1206" tooltip="EA Tiburon" display="https://en.wikipedia.org/wiki/EA_Tiburon" xr:uid="{98335100-E8DF-43FA-9BFA-7D5B27BF2582}"/>
    <hyperlink ref="B673" r:id="rId1207" tooltip="NCAA Football 13" display="https://en.wikipedia.org/wiki/NCAA_Football_13" xr:uid="{821CE4B8-4A5F-4AAD-93A4-111DCC79564C}"/>
    <hyperlink ref="D673" r:id="rId1208" tooltip="Xbox 360" display="https://en.wikipedia.org/wiki/Xbox_360" xr:uid="{2A1AA346-F171-44BE-8698-9C41CE843CA7}"/>
    <hyperlink ref="E673" r:id="rId1209" tooltip="EA Tiburon" display="https://en.wikipedia.org/wiki/EA_Tiburon" xr:uid="{9ADFB751-548F-4CE8-A548-C814EDF7BCB0}"/>
    <hyperlink ref="B592" r:id="rId1210" tooltip="NCAA Football 14" display="https://en.wikipedia.org/wiki/NCAA_Football_14" xr:uid="{59BB7CB7-340D-49F3-BE2C-965C7B8FF5AD}"/>
    <hyperlink ref="D592" r:id="rId1211" tooltip="PlayStation 3" display="https://en.wikipedia.org/wiki/PlayStation_3" xr:uid="{FDF5FF38-8CDD-41DD-92D3-E5C73F948BE9}"/>
    <hyperlink ref="E592" r:id="rId1212" tooltip="EA Tiburon" display="https://en.wikipedia.org/wiki/EA_Tiburon" xr:uid="{7F4AABC3-99DA-458B-B76F-9034BEC61415}"/>
    <hyperlink ref="B593" r:id="rId1213" tooltip="NCAA Football 14" display="https://en.wikipedia.org/wiki/NCAA_Football_14" xr:uid="{3B6BB0DC-197B-41E9-A7EF-22AD765F928A}"/>
    <hyperlink ref="D593" r:id="rId1214" tooltip="Xbox 360" display="https://en.wikipedia.org/wiki/Xbox_360" xr:uid="{13C499FA-A7AD-4ED4-B8AB-2FB105124FC2}"/>
    <hyperlink ref="E593" r:id="rId1215" tooltip="EA Tiburon" display="https://en.wikipedia.org/wiki/EA_Tiburon" xr:uid="{B9F0C342-F155-47D2-A189-A2FE0F213556}"/>
    <hyperlink ref="B449" r:id="rId1216" tooltip="Need for Speed (2015 video game)" display="https://en.wikipedia.org/wiki/Need_for_Speed_(2015_video_game)" xr:uid="{A6A4BE45-AAE2-418E-8F16-42A1AA7265DE}"/>
    <hyperlink ref="D449" r:id="rId1217" tooltip="PlayStation 4" display="https://en.wikipedia.org/wiki/PlayStation_4" xr:uid="{537A0DA4-135C-41DC-B82E-ED5F6445FA24}"/>
    <hyperlink ref="E449" r:id="rId1218" tooltip="Ghost Games" display="https://en.wikipedia.org/wiki/Ghost_Games" xr:uid="{050C82FD-D18B-442A-92E0-56F091FC2B76}"/>
    <hyperlink ref="B450" r:id="rId1219" tooltip="Need for Speed (2015 video game)" display="https://en.wikipedia.org/wiki/Need_for_Speed_(2015_video_game)" xr:uid="{59CEEB43-6E7C-4E00-8B23-79EC50AC1321}"/>
    <hyperlink ref="D450" r:id="rId1220" tooltip="Xbox One" display="https://en.wikipedia.org/wiki/Xbox_One" xr:uid="{025E2230-7829-4D03-8426-8563FFE1690F}"/>
    <hyperlink ref="E450" r:id="rId1221" tooltip="Ghost Games" display="https://en.wikipedia.org/wiki/Ghost_Games" xr:uid="{FB3C2D79-F32F-44E7-A555-E9E6434EA4C0}"/>
    <hyperlink ref="B431" r:id="rId1222" tooltip="Need for Speed (2015 video game)" display="https://en.wikipedia.org/wiki/Need_for_Speed_(2015_video_game)" xr:uid="{3C96E5EF-8894-4021-8031-E336E2A91F87}"/>
    <hyperlink ref="D431" r:id="rId1223" tooltip="Microsoft Windows" display="https://en.wikipedia.org/wiki/Microsoft_Windows" xr:uid="{585C095D-6C9D-4416-BB05-6769735BDF24}"/>
    <hyperlink ref="E431" r:id="rId1224" tooltip="Ghost Games" display="https://en.wikipedia.org/wiki/Ghost_Games" xr:uid="{CFAFAE84-837B-4BDC-B845-A7F4286A25C0}"/>
    <hyperlink ref="B367" r:id="rId1225" tooltip="Need for Speed Payback" display="https://en.wikipedia.org/wiki/Need_for_Speed_Payback" xr:uid="{974B7842-2CAF-4141-B4B8-81C28F0D2DDB}"/>
    <hyperlink ref="D367" r:id="rId1226" tooltip="PlayStation 4" display="https://en.wikipedia.org/wiki/PlayStation_4" xr:uid="{6E4802FD-7A53-43E9-B875-2C331F6559B9}"/>
    <hyperlink ref="E367" r:id="rId1227" tooltip="Ghost Games" display="https://en.wikipedia.org/wiki/Ghost_Games" xr:uid="{568FC492-7175-4B9F-B1D1-A6FD51FC7C84}"/>
    <hyperlink ref="B368" r:id="rId1228" tooltip="Need for Speed Payback" display="https://en.wikipedia.org/wiki/Need_for_Speed_Payback" xr:uid="{5A51552D-7970-4436-99F6-5FF50FA1551B}"/>
    <hyperlink ref="D368" r:id="rId1229" tooltip="Microsoft Windows" display="https://en.wikipedia.org/wiki/Microsoft_Windows" xr:uid="{BC0D8E18-1C11-4A7E-A40E-E31AA412FE7E}"/>
    <hyperlink ref="E368" r:id="rId1230" tooltip="Ghost Games" display="https://en.wikipedia.org/wiki/Ghost_Games" xr:uid="{FAD0CFE0-A292-4126-B51D-2BD7C137A932}"/>
    <hyperlink ref="B369" r:id="rId1231" tooltip="Need for Speed Payback" display="https://en.wikipedia.org/wiki/Need_for_Speed_Payback" xr:uid="{72B97814-5EFC-4C73-8A44-63FEFFA75560}"/>
    <hyperlink ref="D369" r:id="rId1232" tooltip="Xbox One" display="https://en.wikipedia.org/wiki/Xbox_One" xr:uid="{80D7B11E-3969-4237-8155-84E48C30A2B8}"/>
    <hyperlink ref="E369" r:id="rId1233" tooltip="Ghost Games" display="https://en.wikipedia.org/wiki/Ghost_Games" xr:uid="{DB7482B1-4C6F-40AA-B123-3830FC579B4D}"/>
    <hyperlink ref="B555" r:id="rId1234" tooltip="Need for Speed Rivals" display="https://en.wikipedia.org/wiki/Need_for_Speed_Rivals" xr:uid="{7860DD0B-4929-45C8-89A5-E40A589405EC}"/>
    <hyperlink ref="D555" r:id="rId1235" tooltip="PlayStation 4" display="https://en.wikipedia.org/wiki/PlayStation_4" xr:uid="{A18C4120-5918-4DE1-99D3-FAE9F2FB2300}"/>
    <hyperlink ref="E555" r:id="rId1236" tooltip="Ghost Games" display="https://en.wikipedia.org/wiki/Ghost_Games" xr:uid="{04D7686C-EA23-4A23-B5CE-672C8FEA896E}"/>
    <hyperlink ref="B549" r:id="rId1237" tooltip="Need for Speed Rivals" display="https://en.wikipedia.org/wiki/Need_for_Speed_Rivals" xr:uid="{137253B1-0A51-4276-9E37-A1869F7B0630}"/>
    <hyperlink ref="D549" r:id="rId1238" tooltip="PlayStation 3" display="https://en.wikipedia.org/wiki/PlayStation_3" xr:uid="{5F3C5EDE-760B-426F-8023-CCB07D5476F7}"/>
    <hyperlink ref="E549" r:id="rId1239" tooltip="Ghost Games" display="https://en.wikipedia.org/wiki/Ghost_Games" xr:uid="{2DF33D32-F222-4F99-9C12-53484081370A}"/>
    <hyperlink ref="B550" r:id="rId1240" tooltip="Need for Speed Rivals" display="https://en.wikipedia.org/wiki/Need_for_Speed_Rivals" xr:uid="{9519D432-E01C-44B0-893F-929A8648B70E}"/>
    <hyperlink ref="D550" r:id="rId1241" tooltip="Microsoft Windows" display="https://en.wikipedia.org/wiki/Microsoft_Windows" xr:uid="{EF8532CD-E55F-44F5-A5D8-F19123B2275A}"/>
    <hyperlink ref="E550" r:id="rId1242" tooltip="Ghost Games" display="https://en.wikipedia.org/wiki/Ghost_Games" xr:uid="{95808373-E4C9-458E-BF24-4641F454400B}"/>
    <hyperlink ref="B551" r:id="rId1243" tooltip="Need for Speed Rivals" display="https://en.wikipedia.org/wiki/Need_for_Speed_Rivals" xr:uid="{79E66A6C-B863-4C0B-863D-299D5CB582D8}"/>
    <hyperlink ref="D551" r:id="rId1244" tooltip="Xbox 360" display="https://en.wikipedia.org/wiki/Xbox_360" xr:uid="{39F36631-B7BB-44C7-A69C-00F332A59A8B}"/>
    <hyperlink ref="E551" r:id="rId1245" tooltip="Ghost Games" display="https://en.wikipedia.org/wiki/Ghost_Games" xr:uid="{F1358DB3-9764-4ECA-BC5F-6343B25297FB}"/>
    <hyperlink ref="B546" r:id="rId1246" tooltip="Need for Speed Rivals" display="https://en.wikipedia.org/wiki/Need_for_Speed_Rivals" xr:uid="{95F7B5E1-230C-4549-834E-FE98E82F6303}"/>
    <hyperlink ref="D546" r:id="rId1247" tooltip="Xbox One" display="https://en.wikipedia.org/wiki/Xbox_One" xr:uid="{F52E67A7-EDDD-4254-BB7E-81755CFF08A1}"/>
    <hyperlink ref="E546" r:id="rId1248" tooltip="Ghost Games" display="https://en.wikipedia.org/wiki/Ghost_Games" xr:uid="{94D56E29-08E0-4B41-B7B1-1E24A1F099FA}"/>
    <hyperlink ref="B877" r:id="rId1249" tooltip="Need for Speed: Hot Pursuit (2010 video game)" display="https://en.wikipedia.org/wiki/Need_for_Speed:_Hot_Pursuit_(2010_video_game)" xr:uid="{2FD73E2E-4E89-44A5-89CF-FDE25668AA60}"/>
    <hyperlink ref="D877" r:id="rId1250" tooltip="Android (operating system)" display="https://en.wikipedia.org/wiki/Android_(operating_system)" xr:uid="{0E58A87A-6523-4491-8699-F5A06B43A32B}"/>
    <hyperlink ref="E877" r:id="rId1251" tooltip="Criterion Games" display="https://en.wikipedia.org/wiki/Criterion_Games" xr:uid="{D4576627-7873-4F5A-8027-029186BBA5C6}"/>
    <hyperlink ref="B878" r:id="rId1252" tooltip="Need for Speed: Hot Pursuit (2010 video game)" display="https://en.wikipedia.org/wiki/Need_for_Speed:_Hot_Pursuit_(2010_video_game)" xr:uid="{82383B58-F9E4-4ED5-8D68-9F9B0826A49A}"/>
    <hyperlink ref="D878" r:id="rId1253" tooltip="IOS" display="https://en.wikipedia.org/wiki/IOS" xr:uid="{F41E9700-73CB-473A-BC8F-749176401294}"/>
    <hyperlink ref="E878" r:id="rId1254" tooltip="Criterion Games" display="https://en.wikipedia.org/wiki/Criterion_Games" xr:uid="{3A19B0A4-FF19-42D3-8037-B4FE90E91BF2}"/>
    <hyperlink ref="B879" r:id="rId1255" tooltip="Need for Speed: Hot Pursuit (2010 video game)" display="https://en.wikipedia.org/wiki/Need_for_Speed:_Hot_Pursuit_(2010_video_game)" xr:uid="{9462487A-1251-431E-9290-BE1469B93D12}"/>
    <hyperlink ref="D879" r:id="rId1256" tooltip="Java ME" display="https://en.wikipedia.org/wiki/Java_ME" xr:uid="{5BD3BB3C-934A-4717-AFDA-5DACA1C10D3C}"/>
    <hyperlink ref="E879" r:id="rId1257" tooltip="Criterion Games" display="https://en.wikipedia.org/wiki/Criterion_Games" xr:uid="{4AE8CED9-91EB-40F3-84F5-2D4C4D26840A}"/>
    <hyperlink ref="B880" r:id="rId1258" tooltip="Need for Speed: Hot Pursuit (2010 video game)" display="https://en.wikipedia.org/wiki/Need_for_Speed:_Hot_Pursuit_(2010_video_game)" xr:uid="{D8FACDE7-A1EF-4F5D-A87D-49E3B38B79E8}"/>
    <hyperlink ref="D880" r:id="rId1259" tooltip="PlayStation 3" display="https://en.wikipedia.org/wiki/PlayStation_3" xr:uid="{5F17F646-A091-4CDC-9727-789B34769331}"/>
    <hyperlink ref="E880" r:id="rId1260" tooltip="Criterion Games" display="https://en.wikipedia.org/wiki/Criterion_Games" xr:uid="{DBC89213-82BD-49C0-81AC-D6593258D4A9}"/>
    <hyperlink ref="B881" r:id="rId1261" tooltip="Need for Speed: Hot Pursuit (2010 video game)" display="https://en.wikipedia.org/wiki/Need_for_Speed:_Hot_Pursuit_(2010_video_game)" xr:uid="{6AA75604-DEAE-47C7-AC90-78605AD2CC60}"/>
    <hyperlink ref="D881" r:id="rId1262" tooltip="Microsoft Windows" display="https://en.wikipedia.org/wiki/Microsoft_Windows" xr:uid="{188222BB-6724-4480-9AE6-2D89F58D1FDB}"/>
    <hyperlink ref="E881" r:id="rId1263" tooltip="Criterion Games" display="https://en.wikipedia.org/wiki/Criterion_Games" xr:uid="{5BC65EF0-BE97-4806-A7EA-E1E48164AFA7}"/>
    <hyperlink ref="B882" r:id="rId1264" tooltip="Need for Speed: Hot Pursuit (2010 video game)" display="https://en.wikipedia.org/wiki/Need_for_Speed:_Hot_Pursuit_(2010_video_game)" xr:uid="{2ED93FE9-9441-459B-B691-8C0C78DCD4E6}"/>
    <hyperlink ref="D882" r:id="rId1265" tooltip="Xbox 360" display="https://en.wikipedia.org/wiki/Xbox_360" xr:uid="{9FE954C0-367D-43D5-873F-C191B0E54580}"/>
    <hyperlink ref="E882" r:id="rId1266" tooltip="Criterion Games" display="https://en.wikipedia.org/wiki/Criterion_Games" xr:uid="{A3C66E2B-88E4-4357-938F-A2A7416EE77D}"/>
    <hyperlink ref="B883" r:id="rId1267" tooltip="Need for Speed: Hot Pursuit (2010 video game)" display="https://en.wikipedia.org/wiki/Need_for_Speed:_Hot_Pursuit_(2010_video_game)" xr:uid="{26D40B14-FCA5-4E47-A602-2C41360B9100}"/>
    <hyperlink ref="D883" r:id="rId1268" tooltip="WebOS" display="https://en.wikipedia.org/wiki/WebOS" xr:uid="{5582C05F-6CC8-45E1-B0CC-1B4300F738F7}"/>
    <hyperlink ref="E883" r:id="rId1269" tooltip="Criterion Games" display="https://en.wikipedia.org/wiki/Criterion_Games" xr:uid="{4C9EB629-F39B-49DD-813C-7757FBEC600A}"/>
    <hyperlink ref="B884" r:id="rId1270" tooltip="Need for Speed: Hot Pursuit (2010 video game)" display="https://en.wikipedia.org/wiki/Need_for_Speed:_Hot_Pursuit_(2010_video_game)" xr:uid="{4140BCA9-9FBA-4C5C-93D1-2A84088343FB}"/>
    <hyperlink ref="D884" r:id="rId1271" tooltip="Wii" display="https://en.wikipedia.org/wiki/Wii" xr:uid="{48F9AC8C-F03E-42B3-A72E-D618A05D7694}"/>
    <hyperlink ref="E884" r:id="rId1272" tooltip="Criterion Games" display="https://en.wikipedia.org/wiki/Criterion_Games" xr:uid="{AB2D4222-D3CA-45B6-9F05-DB63856C593D}"/>
    <hyperlink ref="B885" r:id="rId1273" tooltip="Need for Speed: Hot Pursuit (2010 video game)" display="https://en.wikipedia.org/wiki/Need_for_Speed:_Hot_Pursuit_(2010_video_game)" xr:uid="{C8187FF8-EB8F-4AA3-B3FF-8088703EE0B1}"/>
    <hyperlink ref="D885" r:id="rId1274" tooltip="Windows Phone" display="https://en.wikipedia.org/wiki/Windows_Phone" xr:uid="{1228B553-B9CC-4870-B07F-A5204D04C0CC}"/>
    <hyperlink ref="E885" r:id="rId1275" tooltip="Criterion Games" display="https://en.wikipedia.org/wiki/Criterion_Games" xr:uid="{88DAAD81-6E39-4797-8D66-ACA26CF75BB5}"/>
    <hyperlink ref="B634" r:id="rId1276" tooltip="Need for Speed: Most Wanted (2012 video game)" display="https://en.wikipedia.org/wiki/Need_for_Speed:_Most_Wanted_(2012_video_game)" xr:uid="{69F03605-BA1E-4320-BC93-0F71151AB4AD}"/>
    <hyperlink ref="D634" r:id="rId1277" tooltip="Android (operating system)" display="https://en.wikipedia.org/wiki/Android_(operating_system)" xr:uid="{8044391A-3AEF-48A8-A022-D9D6A243A2E8}"/>
    <hyperlink ref="E634" r:id="rId1278" tooltip="Criterion Games" display="https://en.wikipedia.org/wiki/Criterion_Games" xr:uid="{05DF7AD1-89C0-4144-A0EE-96C4043D3431}"/>
    <hyperlink ref="B635" r:id="rId1279" tooltip="Need for Speed: Most Wanted (2012 video game)" display="https://en.wikipedia.org/wiki/Need_for_Speed:_Most_Wanted_(2012_video_game)" xr:uid="{370138D9-8422-43EB-9188-8D2F1B50677A}"/>
    <hyperlink ref="D635" r:id="rId1280" tooltip="IOS" display="https://en.wikipedia.org/wiki/IOS" xr:uid="{1872C196-28B6-4CDF-9339-7D803AA08357}"/>
    <hyperlink ref="E635" r:id="rId1281" tooltip="Criterion Games" display="https://en.wikipedia.org/wiki/Criterion_Games" xr:uid="{A3A42003-9B6A-4519-A522-1D6C5B375B2A}"/>
    <hyperlink ref="B636" r:id="rId1282" tooltip="Need for Speed: Most Wanted (2012 video game)" display="https://en.wikipedia.org/wiki/Need_for_Speed:_Most_Wanted_(2012_video_game)" xr:uid="{754B3C5D-AFC4-4D65-85B4-41534F032892}"/>
    <hyperlink ref="D636" r:id="rId1283" tooltip="Kindle Fire" display="https://en.wikipedia.org/wiki/Kindle_Fire" xr:uid="{92794149-5152-4396-82BE-C361F8528054}"/>
    <hyperlink ref="E636" r:id="rId1284" tooltip="Criterion Games" display="https://en.wikipedia.org/wiki/Criterion_Games" xr:uid="{C2A23DD8-1F8D-4164-8792-058B8E24D81D}"/>
    <hyperlink ref="B637" r:id="rId1285" tooltip="Need for Speed: Most Wanted (2012 video game)" display="https://en.wikipedia.org/wiki/Need_for_Speed:_Most_Wanted_(2012_video_game)" xr:uid="{FCB6722A-8542-4FA5-BDD1-46E82280C806}"/>
    <hyperlink ref="D637" r:id="rId1286" tooltip="PlayStation 3" display="https://en.wikipedia.org/wiki/PlayStation_3" xr:uid="{FC3A7C48-F7C4-4300-BF51-34E263709177}"/>
    <hyperlink ref="E637" r:id="rId1287" tooltip="Criterion Games" display="https://en.wikipedia.org/wiki/Criterion_Games" xr:uid="{B0C7230F-106B-455E-9DE8-3ACA27282A0C}"/>
    <hyperlink ref="B638" r:id="rId1288" tooltip="Need for Speed: Most Wanted (2012 video game)" display="https://en.wikipedia.org/wiki/Need_for_Speed:_Most_Wanted_(2012_video_game)" xr:uid="{668A18F1-8838-4A31-993D-C0C6125CB8E4}"/>
    <hyperlink ref="D638" r:id="rId1289" tooltip="PlayStation Vita" display="https://en.wikipedia.org/wiki/PlayStation_Vita" xr:uid="{FB5971FF-1204-4045-BB33-41E668E2BAAB}"/>
    <hyperlink ref="E638" r:id="rId1290" tooltip="Criterion Games" display="https://en.wikipedia.org/wiki/Criterion_Games" xr:uid="{65235DB4-70AB-4143-9BF2-5F93A9FA3749}"/>
    <hyperlink ref="B639" r:id="rId1291" tooltip="Need for Speed: Most Wanted (2012 video game)" display="https://en.wikipedia.org/wiki/Need_for_Speed:_Most_Wanted_(2012_video_game)" xr:uid="{45E73F1B-A854-46F4-B9DD-F91BC90170CF}"/>
    <hyperlink ref="D639" r:id="rId1292" tooltip="Microsoft Windows" display="https://en.wikipedia.org/wiki/Microsoft_Windows" xr:uid="{9770B278-5F89-4058-9325-C88D0DA63564}"/>
    <hyperlink ref="E639" r:id="rId1293" tooltip="Criterion Games" display="https://en.wikipedia.org/wiki/Criterion_Games" xr:uid="{39BAAAE9-CBAF-44D7-A0B6-4202D9EBAC36}"/>
    <hyperlink ref="B640" r:id="rId1294" tooltip="Need for Speed: Most Wanted (2012 video game)" display="https://en.wikipedia.org/wiki/Need_for_Speed:_Most_Wanted_(2012_video_game)" xr:uid="{29558FA4-42C0-4EFD-AF55-9E61F4CB3E0E}"/>
    <hyperlink ref="D640" r:id="rId1295" tooltip="Xbox 360" display="https://en.wikipedia.org/wiki/Xbox_360" xr:uid="{B524DDCD-3875-40CC-BB81-F54FA3E7AD73}"/>
    <hyperlink ref="E640" r:id="rId1296" tooltip="Criterion Games" display="https://en.wikipedia.org/wiki/Criterion_Games" xr:uid="{E2F6AC48-5DCC-4146-A353-F9C691EA42B0}"/>
    <hyperlink ref="B611" r:id="rId1297" tooltip="Need for Speed: Most Wanted (2012 video game)" display="https://en.wikipedia.org/wiki/Need_for_Speed:_Most_Wanted_(2012_video_game)" xr:uid="{4E3055E8-B7D2-4EC4-BECB-AD0ACA16281B}"/>
    <hyperlink ref="D611" r:id="rId1298" tooltip="Wii U" display="https://en.wikipedia.org/wiki/Wii_U" xr:uid="{1C8AF193-9D65-4EDB-AA2C-92A9CF39938D}"/>
    <hyperlink ref="E611" r:id="rId1299" tooltip="Criterion Games" display="https://en.wikipedia.org/wiki/Criterion_Games" xr:uid="{1D0CF0EB-0F2F-41D9-8B9E-D425C6C12D79}"/>
    <hyperlink ref="B872" r:id="rId1300" tooltip="Need for Speed: Nitro-X" display="https://en.wikipedia.org/wiki/Need_for_Speed:_Nitro-X" xr:uid="{9547C892-5A42-4270-9B3C-F1F307797CFD}"/>
    <hyperlink ref="D872" r:id="rId1301" tooltip="Nintendo DSi" display="https://en.wikipedia.org/wiki/Nintendo_DSi" xr:uid="{363A0F3D-D8BF-4C56-B25C-D7CE5EDC6455}"/>
    <hyperlink ref="E872" r:id="rId1302" tooltip="Firebrand Games" display="https://en.wikipedia.org/wiki/Firebrand_Games" xr:uid="{63B553E5-DF07-40BA-9D0A-2816E66057B2}"/>
    <hyperlink ref="B453" r:id="rId1303" tooltip="Need for Speed: No Limits" display="https://en.wikipedia.org/wiki/Need_for_Speed:_No_Limits" xr:uid="{F7FA1FF9-E9CE-4CB0-B61F-6E22523362C4}"/>
    <hyperlink ref="D453" r:id="rId1304" tooltip="Android (operating system)" display="https://en.wikipedia.org/wiki/Android_(operating_system)" xr:uid="{E3769354-E6B7-4CF7-B75A-A2230F44CCD4}"/>
    <hyperlink ref="E453" r:id="rId1305" tooltip="Firemonkeys Studios" display="https://en.wikipedia.org/wiki/Firemonkeys_Studios" xr:uid="{AB4A97C4-E3F0-40BB-9240-0D6CEE4F53AA}"/>
    <hyperlink ref="B454" r:id="rId1306" tooltip="Need for Speed: No Limits" display="https://en.wikipedia.org/wiki/Need_for_Speed:_No_Limits" xr:uid="{843B086E-0214-4D37-B3C0-3CC56542CE52}"/>
    <hyperlink ref="D454" r:id="rId1307" tooltip="IOS" display="https://en.wikipedia.org/wiki/IOS" xr:uid="{3B627F87-2CF9-42DB-813D-D631D7E43824}"/>
    <hyperlink ref="E454" r:id="rId1308" tooltip="Firemonkeys Studios" display="https://en.wikipedia.org/wiki/Firemonkeys_Studios" xr:uid="{8065E7F7-E262-4873-BCBC-406010EF5D83}"/>
    <hyperlink ref="B732" r:id="rId1309" tooltip="Need for Speed: The Run" display="https://en.wikipedia.org/wiki/Need_for_Speed:_The_Run" xr:uid="{202C6C4C-F1AF-4984-914F-C61D71E4A766}"/>
    <hyperlink ref="D732" r:id="rId1310" tooltip="Nintendo 3DS" display="https://en.wikipedia.org/wiki/Nintendo_3DS" xr:uid="{1E1CCFE1-FE99-4699-A148-CF4545EF117A}"/>
    <hyperlink ref="E732" r:id="rId1311" tooltip="Firebrand Games" display="https://en.wikipedia.org/wiki/Firebrand_Games" xr:uid="{588355E7-9934-4036-8265-CCBFE0F39744}"/>
    <hyperlink ref="B733" r:id="rId1312" tooltip="Need for Speed: The Run" display="https://en.wikipedia.org/wiki/Need_for_Speed:_The_Run" xr:uid="{EE1BD2AB-73F9-4C29-8BAE-7781B64A9E62}"/>
    <hyperlink ref="D733" r:id="rId1313" tooltip="PlayStation 3" display="https://en.wikipedia.org/wiki/PlayStation_3" xr:uid="{78AA58FC-9692-409E-B7E7-926D0822DE27}"/>
    <hyperlink ref="E733" r:id="rId1314" tooltip="EA Black Box" display="https://en.wikipedia.org/wiki/EA_Black_Box" xr:uid="{7C5741B5-F3AD-44F2-8CF0-6EED57E93F12}"/>
    <hyperlink ref="B734" r:id="rId1315" tooltip="Need for Speed: The Run" display="https://en.wikipedia.org/wiki/Need_for_Speed:_The_Run" xr:uid="{57103E6C-5D43-4C4C-97CF-B66C28755364}"/>
    <hyperlink ref="D734" r:id="rId1316" tooltip="Wii" display="https://en.wikipedia.org/wiki/Wii" xr:uid="{CBDADD0D-BFFF-4BDB-9B57-E97DC5281E65}"/>
    <hyperlink ref="E734" r:id="rId1317" tooltip="Firebrand Games" display="https://en.wikipedia.org/wiki/Firebrand_Games" xr:uid="{B9E205B7-4B05-4369-BE8E-1A777A7F6B56}"/>
    <hyperlink ref="B735" r:id="rId1318" tooltip="Need for Speed: The Run" display="https://en.wikipedia.org/wiki/Need_for_Speed:_The_Run" xr:uid="{20AE86CF-A4B9-411B-A4B2-CEFAE2DEFA9C}"/>
    <hyperlink ref="D735" r:id="rId1319" tooltip="Microsoft Windows" display="https://en.wikipedia.org/wiki/Microsoft_Windows" xr:uid="{A2D64087-AB4C-465F-8AEA-45774E343552}"/>
    <hyperlink ref="E735" r:id="rId1320" tooltip="EA Black Box" display="https://en.wikipedia.org/wiki/EA_Black_Box" xr:uid="{DE67B2F4-1529-4FE7-8D59-382A270DDFB7}"/>
    <hyperlink ref="B736" r:id="rId1321" tooltip="Need for Speed: The Run" display="https://en.wikipedia.org/wiki/Need_for_Speed:_The_Run" xr:uid="{11C6ECD9-1F8F-484D-ACFA-3D4627FB8306}"/>
    <hyperlink ref="D736" r:id="rId1322" tooltip="Windows Mobile" display="https://en.wikipedia.org/wiki/Windows_Mobile" xr:uid="{293E0146-37BB-4363-8CEF-4AAD9A10DA7A}"/>
    <hyperlink ref="E736" r:id="rId1323" tooltip="EA Black Box" display="https://en.wikipedia.org/wiki/EA_Black_Box" xr:uid="{B175D1D6-8928-4642-81B5-E2A4C341C3DE}"/>
    <hyperlink ref="B737" r:id="rId1324" tooltip="Need for Speed: The Run" display="https://en.wikipedia.org/wiki/Need_for_Speed:_The_Run" xr:uid="{6E1CEFA5-83EB-4D01-97F0-7C72AEB9D3FE}"/>
    <hyperlink ref="D737" r:id="rId1325" tooltip="Xbox 360" display="https://en.wikipedia.org/wiki/Xbox_360" xr:uid="{788C5F3B-5DF2-4D8D-9AD7-0EA011C0F348}"/>
    <hyperlink ref="E737" r:id="rId1326" tooltip="EA Black Box" display="https://en.wikipedia.org/wiki/EA_Black_Box" xr:uid="{C73DD5ED-16A6-49FF-B01A-AD80AFF9528C}"/>
    <hyperlink ref="B932" r:id="rId1327" tooltip="Need for Speed: Undercover" display="https://en.wikipedia.org/wiki/Need_for_Speed:_Undercover" xr:uid="{C0C02894-3E58-4683-8029-F05730DD0023}"/>
    <hyperlink ref="D932" r:id="rId1328" tooltip="Windows Mobile" display="https://en.wikipedia.org/wiki/Windows_Mobile" xr:uid="{643BE8A8-6199-45CB-A9B6-6AF3D2C5B35D}"/>
    <hyperlink ref="E932" r:id="rId1329" tooltip="EA Black Box" display="https://en.wikipedia.org/wiki/EA_Black_Box" xr:uid="{DD975477-06F9-4C89-B9F8-FAE60C122147}"/>
    <hyperlink ref="B974" r:id="rId1330" tooltip="Need for Speed: World" display="https://en.wikipedia.org/wiki/Need_for_Speed:_World" xr:uid="{754AF628-C359-454C-848D-C720F927ED7A}"/>
    <hyperlink ref="D974" r:id="rId1331" tooltip="Microsoft Windows" display="https://en.wikipedia.org/wiki/Microsoft_Windows" xr:uid="{0FCD0834-B9F2-4034-A428-E688653CBC89}"/>
    <hyperlink ref="B719" r:id="rId1332" tooltip="NFL Blitz (2012 video game)" display="https://en.wikipedia.org/wiki/NFL_Blitz_(2012_video_game)" xr:uid="{1CF7D76E-7628-4F8A-A223-4621034A840C}"/>
    <hyperlink ref="D719" r:id="rId1333" tooltip="PlayStation Network" display="https://en.wikipedia.org/wiki/PlayStation_Network" xr:uid="{15AEFCF7-2F26-457C-A6B3-B8FE3F52601B}"/>
    <hyperlink ref="E719" r:id="rId1334" tooltip="EA Tiburon" display="https://en.wikipedia.org/wiki/EA_Tiburon" xr:uid="{38F676D9-50EC-4D07-8898-39BAF016CD66}"/>
    <hyperlink ref="B720" r:id="rId1335" tooltip="NFL Blitz (2012 video game)" display="https://en.wikipedia.org/wiki/NFL_Blitz_(2012_video_game)" xr:uid="{237C8ADD-AF28-4D19-B7E2-A08499E407CB}"/>
    <hyperlink ref="D720" r:id="rId1336" tooltip="Xbox Live Arcade" display="https://en.wikipedia.org/wiki/Xbox_Live_Arcade" xr:uid="{C893B3BF-F3A1-46CD-B2AC-608B6185746C}"/>
    <hyperlink ref="E720" r:id="rId1337" tooltip="EA Tiburon" display="https://en.wikipedia.org/wiki/EA_Tiburon" xr:uid="{19162B71-7B45-4C5F-A859-EB6C27272D61}"/>
    <hyperlink ref="B253" r:id="rId1338" tooltip="Need for Speed Heat" display="https://en.wikipedia.org/wiki/Need_for_Speed_Heat" xr:uid="{0B0DB3D1-4453-4826-B15C-3BA45BA64C12}"/>
    <hyperlink ref="D253" r:id="rId1339" tooltip="PlayStation 4" display="https://en.wikipedia.org/wiki/PlayStation_4" xr:uid="{D0EF088E-7575-44E9-8024-8F72BEDDA2FD}"/>
    <hyperlink ref="E253" r:id="rId1340" tooltip="Ghost Games" display="https://en.wikipedia.org/wiki/Ghost_Games" xr:uid="{738537E9-E374-431B-9E57-F7B843DD5E4C}"/>
    <hyperlink ref="B254" r:id="rId1341" tooltip="Need for Speed Heat" display="https://en.wikipedia.org/wiki/Need_for_Speed_Heat" xr:uid="{C2E74416-591B-4334-9EFA-0F8C2E501EA7}"/>
    <hyperlink ref="D254" r:id="rId1342" tooltip="Microsoft Windows" display="https://en.wikipedia.org/wiki/Microsoft_Windows" xr:uid="{CB8A0CF8-586E-41C2-A52D-5EB09ADB2B16}"/>
    <hyperlink ref="E254" r:id="rId1343" tooltip="Ghost Games" display="https://en.wikipedia.org/wiki/Ghost_Games" xr:uid="{D12E6B9D-5CF8-4E2F-9D45-EF0DD674998C}"/>
    <hyperlink ref="B255" r:id="rId1344" tooltip="Need for Speed Heat" display="https://en.wikipedia.org/wiki/Need_for_Speed_Heat" xr:uid="{E9363302-3A77-4A4B-A60F-D7B681B3249B}"/>
    <hyperlink ref="D255" r:id="rId1345" tooltip="Xbox One" display="https://en.wikipedia.org/wiki/Xbox_One" xr:uid="{13A2FE7E-CA26-4EFC-AB76-C412F19B9807}"/>
    <hyperlink ref="E255" r:id="rId1346" tooltip="Ghost Games" display="https://en.wikipedia.org/wiki/Ghost_Games" xr:uid="{604244D4-9C5E-4918-AE27-0F548301EE45}"/>
    <hyperlink ref="B959" r:id="rId1347" tooltip="NHL 11" display="https://en.wikipedia.org/wiki/NHL_11" xr:uid="{F4CAB1F7-711B-4C95-B239-2E7118C40EC9}"/>
    <hyperlink ref="D959" r:id="rId1348" tooltip="PlayStation 3" display="https://en.wikipedia.org/wiki/PlayStation_3" xr:uid="{99598A5A-7F64-40EC-B04C-A19FB83503E0}"/>
    <hyperlink ref="E959" r:id="rId1349" tooltip="EA Canada" display="https://en.wikipedia.org/wiki/EA_Canada" xr:uid="{4D075F5D-597C-4888-A14E-263F0AC88C29}"/>
    <hyperlink ref="B960" r:id="rId1350" tooltip="NHL 11" display="https://en.wikipedia.org/wiki/NHL_11" xr:uid="{83F933AC-763C-4AD6-AB20-DD29135FD2C9}"/>
    <hyperlink ref="D960" r:id="rId1351" tooltip="Xbox 360" display="https://en.wikipedia.org/wiki/Xbox_360" xr:uid="{5B2D53CE-669F-40EF-B4F0-B32A7353933E}"/>
    <hyperlink ref="E960" r:id="rId1352" tooltip="EA Canada" display="https://en.wikipedia.org/wiki/EA_Canada" xr:uid="{EA913382-FE91-48AC-83FF-063B89A533AE}"/>
    <hyperlink ref="B778" r:id="rId1353" tooltip="NHL 12" display="https://en.wikipedia.org/wiki/NHL_12" xr:uid="{880D1E3D-981A-490C-9049-C699DA53D0A0}"/>
    <hyperlink ref="D778" r:id="rId1354" tooltip="PlayStation 3" display="https://en.wikipedia.org/wiki/PlayStation_3" xr:uid="{2A360F4F-C624-472C-A871-07597BBB22CD}"/>
    <hyperlink ref="E778" r:id="rId1355" tooltip="EA Canada" display="https://en.wikipedia.org/wiki/EA_Canada" xr:uid="{47C32D3D-D8A5-46A7-8317-BE3E8C3B3E2D}"/>
    <hyperlink ref="B779" r:id="rId1356" tooltip="NHL 12" display="https://en.wikipedia.org/wiki/NHL_12" xr:uid="{A0BA6247-C8BF-4270-803E-460BF4F0D44B}"/>
    <hyperlink ref="D779" r:id="rId1357" tooltip="Xbox 360" display="https://en.wikipedia.org/wiki/Xbox_360" xr:uid="{ABE1EEC9-9C73-4069-BF4C-6095BE0B5A9E}"/>
    <hyperlink ref="E779" r:id="rId1358" tooltip="EA Canada" display="https://en.wikipedia.org/wiki/EA_Canada" xr:uid="{4DFAC3AF-921B-426D-896E-98212B07D68B}"/>
    <hyperlink ref="B657" r:id="rId1359" tooltip="NHL 13" display="https://en.wikipedia.org/wiki/NHL_13" xr:uid="{02E2E4E0-268F-4E66-B57E-A4B0D22E7AEC}"/>
    <hyperlink ref="D657" r:id="rId1360" tooltip="PlayStation 3" display="https://en.wikipedia.org/wiki/PlayStation_3" xr:uid="{9461C1A8-416A-4D51-8241-5C11055E75C2}"/>
    <hyperlink ref="E657" r:id="rId1361" tooltip="EA Canada" display="https://en.wikipedia.org/wiki/EA_Canada" xr:uid="{76D02EFE-DA9E-4757-896D-FF89AE788B2C}"/>
    <hyperlink ref="B658" r:id="rId1362" tooltip="NHL 13" display="https://en.wikipedia.org/wiki/NHL_13" xr:uid="{03D2BDF4-400E-4657-AC5A-36381DAA3C1A}"/>
    <hyperlink ref="D658" r:id="rId1363" tooltip="Xbox 360" display="https://en.wikipedia.org/wiki/Xbox_360" xr:uid="{42C71E38-EC1B-41B9-A9E6-8E7ABE371D4A}"/>
    <hyperlink ref="E658" r:id="rId1364" tooltip="EA Canada" display="https://en.wikipedia.org/wiki/EA_Canada" xr:uid="{44BEBAE8-89B2-466E-ADCF-3FDA9D257CD0}"/>
    <hyperlink ref="B580" r:id="rId1365" tooltip="NHL 14" display="https://en.wikipedia.org/wiki/NHL_14" xr:uid="{6864619D-84FB-456F-9D84-83FE649A6FA5}"/>
    <hyperlink ref="D580" r:id="rId1366" tooltip="PlayStation 3" display="https://en.wikipedia.org/wiki/PlayStation_3" xr:uid="{D1C6998B-8B0B-456A-82D9-541C9ECFEAF1}"/>
    <hyperlink ref="E580" r:id="rId1367" tooltip="EA Canada" display="https://en.wikipedia.org/wiki/EA_Canada" xr:uid="{C5E40221-5C9C-418D-AC2B-9172BE230A14}"/>
    <hyperlink ref="B581" r:id="rId1368" tooltip="NHL 14" display="https://en.wikipedia.org/wiki/NHL_14" xr:uid="{320C084B-5DF8-4166-8160-95D5CE06F7E6}"/>
    <hyperlink ref="D581" r:id="rId1369" tooltip="Xbox 360" display="https://en.wikipedia.org/wiki/Xbox_360" xr:uid="{3674758C-D367-4E1C-A158-777CB9C2E076}"/>
    <hyperlink ref="E581" r:id="rId1370" tooltip="EA Canada" display="https://en.wikipedia.org/wiki/EA_Canada" xr:uid="{A404807D-0283-4147-A9A5-6C8E5CCF7903}"/>
    <hyperlink ref="B514" r:id="rId1371" tooltip="NHL 15" display="https://en.wikipedia.org/wiki/NHL_15" xr:uid="{8BAC2582-9732-4BB6-BED4-B5E8C00E924C}"/>
    <hyperlink ref="D514" r:id="rId1372" tooltip="PlayStation 3" display="https://en.wikipedia.org/wiki/PlayStation_3" xr:uid="{F2037884-AAD7-436B-95C6-05966584555A}"/>
    <hyperlink ref="E514" r:id="rId1373" tooltip="EA Canada" display="https://en.wikipedia.org/wiki/EA_Canada" xr:uid="{D9C0EC92-46D3-4221-97DF-48AF7E853330}"/>
    <hyperlink ref="B515" r:id="rId1374" tooltip="NHL 15" display="https://en.wikipedia.org/wiki/NHL_15" xr:uid="{19ADEB34-F70D-4B96-BEF8-9612395E115A}"/>
    <hyperlink ref="D515" r:id="rId1375" tooltip="PlayStation 4" display="https://en.wikipedia.org/wiki/PlayStation_4" xr:uid="{6C60CEC0-90AA-49B9-807A-F8C44F85FC6D}"/>
    <hyperlink ref="E515" r:id="rId1376" tooltip="EA Canada" display="https://en.wikipedia.org/wiki/EA_Canada" xr:uid="{16006C32-8B2B-44F8-8572-203D9AD12072}"/>
    <hyperlink ref="B516" r:id="rId1377" tooltip="NHL 15" display="https://en.wikipedia.org/wiki/NHL_15" xr:uid="{FC5C8AF4-2A14-438D-A88B-12A24C5FFA6C}"/>
    <hyperlink ref="D516" r:id="rId1378" tooltip="Xbox 360" display="https://en.wikipedia.org/wiki/Xbox_360" xr:uid="{F238A875-B192-4378-A122-4F6E0CC7B22C}"/>
    <hyperlink ref="E516" r:id="rId1379" tooltip="EA Canada" display="https://en.wikipedia.org/wiki/EA_Canada" xr:uid="{E18C19D0-888B-4420-8A2F-49BD6344BFF2}"/>
    <hyperlink ref="B517" r:id="rId1380" tooltip="NHL 15" display="https://en.wikipedia.org/wiki/NHL_15" xr:uid="{F02DD24C-DCB1-414B-B789-734F158F1540}"/>
    <hyperlink ref="D517" r:id="rId1381" tooltip="Xbox One" display="https://en.wikipedia.org/wiki/Xbox_One" xr:uid="{B383AFE4-2EB1-49B5-80A0-88577A0A0975}"/>
    <hyperlink ref="E517" r:id="rId1382" tooltip="EA Canada" display="https://en.wikipedia.org/wiki/EA_Canada" xr:uid="{0813B5CB-AEF6-4A1B-8110-E84761072162}"/>
    <hyperlink ref="B464" r:id="rId1383" tooltip="NHL 16" display="https://en.wikipedia.org/wiki/NHL_16" xr:uid="{FDBBF0DC-77B9-4894-B5E8-4DB43FA17C38}"/>
    <hyperlink ref="D464" r:id="rId1384" tooltip="PlayStation 3" display="https://en.wikipedia.org/wiki/PlayStation_3" xr:uid="{A22F1B8F-7D9C-493C-AC82-3EAF663103A7}"/>
    <hyperlink ref="E464" r:id="rId1385" tooltip="EA Canada" display="https://en.wikipedia.org/wiki/EA_Canada" xr:uid="{FD43D30B-D43D-4A8E-9A10-BE3C98C723D0}"/>
    <hyperlink ref="B465" r:id="rId1386" tooltip="NHL 16" display="https://en.wikipedia.org/wiki/NHL_16" xr:uid="{6C4A5D47-FEC9-44BB-8C78-7D2C11709356}"/>
    <hyperlink ref="D465" r:id="rId1387" tooltip="PlayStation 4" display="https://en.wikipedia.org/wiki/PlayStation_4" xr:uid="{750BE870-3912-4D6D-A043-536B169C5433}"/>
    <hyperlink ref="E465" r:id="rId1388" tooltip="EA Canada" display="https://en.wikipedia.org/wiki/EA_Canada" xr:uid="{BB9F1AC0-0F77-4FA2-9ADE-599159F2846F}"/>
    <hyperlink ref="B466" r:id="rId1389" tooltip="NHL 16" display="https://en.wikipedia.org/wiki/NHL_16" xr:uid="{F16B25E4-E23C-4497-A0E7-829654C45D3D}"/>
    <hyperlink ref="D466" r:id="rId1390" tooltip="Xbox 360" display="https://en.wikipedia.org/wiki/Xbox_360" xr:uid="{BB3E0658-5B09-4D37-9408-6306BCBB9D08}"/>
    <hyperlink ref="E466" r:id="rId1391" tooltip="EA Canada" display="https://en.wikipedia.org/wiki/EA_Canada" xr:uid="{7911DBE6-DF86-405F-A717-CBAEF3C05931}"/>
    <hyperlink ref="B467" r:id="rId1392" tooltip="NHL 16" display="https://en.wikipedia.org/wiki/NHL_16" xr:uid="{1E78AF81-D1DB-45E1-A809-142244B7AF46}"/>
    <hyperlink ref="D467" r:id="rId1393" tooltip="Xbox One" display="https://en.wikipedia.org/wiki/Xbox_One" xr:uid="{3C545A07-6475-4777-BA49-30AF379D1FD1}"/>
    <hyperlink ref="E467" r:id="rId1394" tooltip="EA Canada" display="https://en.wikipedia.org/wiki/EA_Canada" xr:uid="{0777D84D-82CA-4C18-A284-5337870A5454}"/>
    <hyperlink ref="B413" r:id="rId1395" tooltip="NHL 17" display="https://en.wikipedia.org/wiki/NHL_17" xr:uid="{A8D6C888-BAF1-4D46-ABEB-5A2BE357D6C6}"/>
    <hyperlink ref="D413" r:id="rId1396" tooltip="PlayStation 4" display="https://en.wikipedia.org/wiki/PlayStation_4" xr:uid="{8AF941CC-C4F9-478D-822A-D1CCE7508656}"/>
    <hyperlink ref="E413" r:id="rId1397" tooltip="EA Canada" display="https://en.wikipedia.org/wiki/EA_Canada" xr:uid="{20DBC488-866C-4F41-A6DC-7C1A9F2956CF}"/>
    <hyperlink ref="B414" r:id="rId1398" tooltip="NHL 17" display="https://en.wikipedia.org/wiki/NHL_17" xr:uid="{EBE45A87-F74F-4278-8EC3-BE8F1E0ACF20}"/>
    <hyperlink ref="D414" r:id="rId1399" tooltip="Xbox One" display="https://en.wikipedia.org/wiki/Xbox_One" xr:uid="{BE4DC587-9970-43B8-8ECA-2B10DE7DC498}"/>
    <hyperlink ref="E414" r:id="rId1400" tooltip="EA Canada" display="https://en.wikipedia.org/wiki/EA_Canada" xr:uid="{BBC69E09-6C3D-49F8-AA18-0B04B190A438}"/>
    <hyperlink ref="B376" r:id="rId1401" tooltip="NHL 18" display="https://en.wikipedia.org/wiki/NHL_18" xr:uid="{A7B54065-5656-44E2-868A-D7B359F92D07}"/>
    <hyperlink ref="D376" r:id="rId1402" tooltip="PlayStation 4" display="https://en.wikipedia.org/wiki/PlayStation_4" xr:uid="{0B94D821-BFDB-4D38-B534-121AEA610CFF}"/>
    <hyperlink ref="E376" r:id="rId1403" tooltip="EA Canada" display="https://en.wikipedia.org/wiki/EA_Canada" xr:uid="{F41F3BCB-75B8-41E4-B76A-B952D9589B98}"/>
    <hyperlink ref="B377" r:id="rId1404" tooltip="NHL 18" display="https://en.wikipedia.org/wiki/NHL_18" xr:uid="{72A9206D-D922-4F0F-8D75-5CC595250570}"/>
    <hyperlink ref="D377" r:id="rId1405" tooltip="Xbox One" display="https://en.wikipedia.org/wiki/Xbox_One" xr:uid="{4D40636F-63EF-4F17-9E59-4E0D5CF38CCF}"/>
    <hyperlink ref="E377" r:id="rId1406" tooltip="EA Canada" display="https://en.wikipedia.org/wiki/EA_Canada" xr:uid="{12964B63-76C5-4C32-87E1-BBB129B83C12}"/>
    <hyperlink ref="B312" r:id="rId1407" tooltip="NHL 19" display="https://en.wikipedia.org/wiki/NHL_19" xr:uid="{71A950CB-2234-4E03-B1A0-66E23AF6BFBA}"/>
    <hyperlink ref="D312" r:id="rId1408" tooltip="PlayStation 4" display="https://en.wikipedia.org/wiki/PlayStation_4" xr:uid="{51FCC2B2-8757-41CB-85B6-66252837302F}"/>
    <hyperlink ref="E312" r:id="rId1409" tooltip="EA Vancouver" display="https://en.wikipedia.org/wiki/EA_Vancouver" xr:uid="{A7CC66B6-39FF-4B0B-8C3A-FF8A57DF6104}"/>
    <hyperlink ref="B313" r:id="rId1410" tooltip="NHL 19" display="https://en.wikipedia.org/wiki/NHL_19" xr:uid="{464D7FDF-959E-478D-A54B-3A723B2BB681}"/>
    <hyperlink ref="D313" r:id="rId1411" tooltip="Xbox One" display="https://en.wikipedia.org/wiki/Xbox_One" xr:uid="{2A6B8848-6DF8-433B-8582-A19F012A3BF8}"/>
    <hyperlink ref="E313" r:id="rId1412" tooltip="EA Vancouver" display="https://en.wikipedia.org/wiki/EA_Vancouver" xr:uid="{52856E60-3212-4EAC-950C-776CE7F3938B}"/>
    <hyperlink ref="B265" r:id="rId1413" tooltip="NHL 20" display="https://en.wikipedia.org/wiki/NHL_20" xr:uid="{618BA722-9858-4EFB-8B8B-B3F994ADD708}"/>
    <hyperlink ref="D265" r:id="rId1414" tooltip="PlayStation 4" display="https://en.wikipedia.org/wiki/PlayStation_4" xr:uid="{213FD29C-0A9F-4C44-BE8C-2A2622EBAD3B}"/>
    <hyperlink ref="E265" r:id="rId1415" tooltip="EA Vancouver" display="https://en.wikipedia.org/wiki/EA_Vancouver" xr:uid="{967B72A3-9679-4251-8D8D-9290B516B1ED}"/>
    <hyperlink ref="B266" r:id="rId1416" tooltip="NHL 20" display="https://en.wikipedia.org/wiki/NHL_20" xr:uid="{759D7359-7F3A-40EA-889C-F62BD5FD52BF}"/>
    <hyperlink ref="D266" r:id="rId1417" tooltip="Xbox One" display="https://en.wikipedia.org/wiki/Xbox_One" xr:uid="{125AD074-5275-4F67-84EC-C4B9970A7E54}"/>
    <hyperlink ref="E266" r:id="rId1418" tooltip="EA Vancouver" display="https://en.wikipedia.org/wiki/EA_Vancouver" xr:uid="{FE500609-5137-4259-A6C3-511CB55C48AD}"/>
    <hyperlink ref="B958" r:id="rId1419" tooltip="NHL Slapshot" display="https://en.wikipedia.org/wiki/NHL_Slapshot" xr:uid="{13B4BAC4-FE27-446D-920B-AD7D9A77509D}"/>
    <hyperlink ref="D958" r:id="rId1420" tooltip="Wii" display="https://en.wikipedia.org/wiki/Wii" xr:uid="{DF2DB37F-6E24-4CE6-BA1F-55CB7C989273}"/>
    <hyperlink ref="E958" r:id="rId1421" tooltip="EA Canada" display="https://en.wikipedia.org/wiki/EA_Canada" xr:uid="{730EB4B1-8E97-48E9-93C4-3A5826667464}"/>
    <hyperlink ref="D758" r:id="rId1422" tooltip="Facebook" display="https://en.wikipedia.org/wiki/Facebook" xr:uid="{FE83410F-8F85-4D0F-8062-DFAC3E08891D}"/>
    <hyperlink ref="B667" r:id="rId1423" tooltip="Outernauts" display="https://en.wikipedia.org/wiki/Outernauts" xr:uid="{C325D5C4-8EAB-4024-95B7-4D91A3BD07AC}"/>
    <hyperlink ref="D667" r:id="rId1424" tooltip="Facebook" display="https://en.wikipedia.org/wiki/Facebook" xr:uid="{6D21D41A-F9D3-49D5-BA42-AB9C030E132B}"/>
    <hyperlink ref="E667" r:id="rId1425" tooltip="Insomniac Games" display="https://en.wikipedia.org/wiki/Insomniac_Games" xr:uid="{B0E2B72B-AFB8-4DAD-8E6D-86CC867AC77D}"/>
    <hyperlink ref="B668" r:id="rId1426" tooltip="Outernauts" display="https://en.wikipedia.org/wiki/Outernauts" xr:uid="{589169BF-AAC8-40EC-B38F-807FF2412AC9}"/>
    <hyperlink ref="D668" r:id="rId1427" tooltip="IOS" display="https://en.wikipedia.org/wiki/IOS" xr:uid="{ACA94802-6EBF-45AF-8778-247F996A174A}"/>
    <hyperlink ref="E668" r:id="rId1428" tooltip="Insomniac Games" display="https://en.wikipedia.org/wiki/Insomniac_Games" xr:uid="{20C786CD-76D9-4BEA-B606-899A43F0A066}"/>
    <hyperlink ref="B543" r:id="rId1429" tooltip="Peggle 2" display="https://en.wikipedia.org/wiki/Peggle_2" xr:uid="{901901BA-E14C-4471-BE4A-E6FAC7B7ACAE}"/>
    <hyperlink ref="D543" r:id="rId1430" tooltip="Xbox One" display="https://en.wikipedia.org/wiki/Xbox_One" xr:uid="{FA7EBDFC-E1B2-408D-87B9-0458DA08DDFB}"/>
    <hyperlink ref="E543" r:id="rId1431" tooltip="PopCap Games" display="https://en.wikipedia.org/wiki/PopCap_Games" xr:uid="{B8475CC0-77B1-482C-A740-A86964CC9586}"/>
    <hyperlink ref="B530" r:id="rId1432" tooltip="Peggle 2" display="https://en.wikipedia.org/wiki/Peggle_2" xr:uid="{60FC0CB0-DA70-40A5-9E9D-2B4F16E1BF38}"/>
    <hyperlink ref="D530" r:id="rId1433" tooltip="Xbox 360" display="https://en.wikipedia.org/wiki/Xbox_360" xr:uid="{971DDDCF-94B6-4C7C-B956-6F134CA82E0E}"/>
    <hyperlink ref="E530" r:id="rId1434" tooltip="PopCap Games" display="https://en.wikipedia.org/wiki/PopCap_Games" xr:uid="{76108347-0E41-464F-A021-5BA76392FF75}"/>
    <hyperlink ref="B501" r:id="rId1435" tooltip="Peggle 2" display="https://en.wikipedia.org/wiki/Peggle_2" xr:uid="{7D0DE327-5EBE-41DC-BE8A-8EFD26C083BC}"/>
    <hyperlink ref="D501" r:id="rId1436" tooltip="PlayStation 4" display="https://en.wikipedia.org/wiki/PlayStation_4" xr:uid="{225C001E-A353-4C79-B3B7-5A92888D4D60}"/>
    <hyperlink ref="E501" r:id="rId1437" tooltip="PopCap Games" display="https://en.wikipedia.org/wiki/PopCap_Games" xr:uid="{AE3E5994-9B28-42B5-AF85-0D5338D2C7F2}"/>
    <hyperlink ref="B490" r:id="rId1438" tooltip="Peggle Blast" display="https://en.wikipedia.org/wiki/Peggle_Blast" xr:uid="{8247B053-EC22-4967-A75D-FFB5CC673428}"/>
    <hyperlink ref="D490" r:id="rId1439" tooltip="Android (operating system)" display="https://en.wikipedia.org/wiki/Android_(operating_system)" xr:uid="{B5151003-833F-4C27-8A3E-917230ABEE27}"/>
    <hyperlink ref="E490" r:id="rId1440" tooltip="PopCap Games" display="https://en.wikipedia.org/wiki/PopCap_Games" xr:uid="{42409090-7BD4-428E-8DEA-D37F783844FB}"/>
    <hyperlink ref="B491" r:id="rId1441" tooltip="Peggle Blast" display="https://en.wikipedia.org/wiki/Peggle_Blast" xr:uid="{6AA2A7CA-BD11-4AFF-B500-A00CC580138E}"/>
    <hyperlink ref="D491" r:id="rId1442" tooltip="IOS" display="https://en.wikipedia.org/wiki/IOS" xr:uid="{F5E9A7D9-49FB-4F59-B295-3055F81AF62B}"/>
    <hyperlink ref="E491" r:id="rId1443" tooltip="PopCap Games" display="https://en.wikipedia.org/wiki/PopCap_Games" xr:uid="{78B7C225-040E-4964-8EF2-C55F0368AAB7}"/>
    <hyperlink ref="B799" r:id="rId1444" tooltip="Pet Society" display="https://en.wikipedia.org/wiki/Pet_Society" xr:uid="{310F25B5-0C33-4D05-B919-E52E9D9C291B}"/>
    <hyperlink ref="D799" r:id="rId1445" tooltip="IOS" display="https://en.wikipedia.org/wiki/IOS" xr:uid="{E33D1C44-D773-4F61-BF44-CA71C9B3B904}"/>
    <hyperlink ref="E799" r:id="rId1446" tooltip="Playfish" display="https://en.wikipedia.org/wiki/Playfish" xr:uid="{010C46F2-39D2-4095-9235-D89519A799F0}"/>
    <hyperlink ref="D873" r:id="rId1447" tooltip="IOS" display="https://en.wikipedia.org/wiki/IOS" xr:uid="{2D019E7A-05CD-4DBE-B5CE-A2FAEE017227}"/>
    <hyperlink ref="B808" r:id="rId1448" tooltip="Plants vs. Zombies" display="https://en.wikipedia.org/wiki/Plants_vs._Zombies" xr:uid="{5AF77652-F902-4960-ABB2-4276C23E6C94}"/>
    <hyperlink ref="D808" r:id="rId1449" tooltip="Windows Phone" display="https://en.wikipedia.org/wiki/Windows_Phone" xr:uid="{1B0B7372-0B75-4AB7-B970-07B9226BFE6B}"/>
    <hyperlink ref="E808" r:id="rId1450" tooltip="PopCap Games" display="https://en.wikipedia.org/wiki/PopCap_Games" xr:uid="{3D22D6DF-8436-4E44-B210-AE45F8464249}"/>
    <hyperlink ref="B728" r:id="rId1451" tooltip="Plants vs. Zombies" display="https://en.wikipedia.org/wiki/Plants_vs._Zombies" xr:uid="{A41BE372-83C0-4E71-B9DB-D65B1F10CFB9}"/>
    <hyperlink ref="D728" r:id="rId1452" tooltip="Android (operating system)" display="https://en.wikipedia.org/wiki/Android_(operating_system)" xr:uid="{9F9E4573-841A-45BD-BC29-C58FF328C0EB}"/>
    <hyperlink ref="E728" r:id="rId1453" tooltip="PopCap Games" display="https://en.wikipedia.org/wiki/PopCap_Games" xr:uid="{02A4B49E-0FD9-4394-AA6A-D5D177794962}"/>
    <hyperlink ref="B705" r:id="rId1454" tooltip="Plants vs. Zombies" display="https://en.wikipedia.org/wiki/Plants_vs._Zombies" xr:uid="{7FE13132-6032-4283-8F40-00D1B1559F3D}"/>
    <hyperlink ref="D705" r:id="rId1455" tooltip="PlayStation Vita" display="https://en.wikipedia.org/wiki/PlayStation_Vita" xr:uid="{DAF5AA97-1FC8-4F5E-9167-8F556F513BC3}"/>
    <hyperlink ref="E705" r:id="rId1456" tooltip="PopCap Games" display="https://en.wikipedia.org/wiki/PopCap_Games" xr:uid="{3099201E-69E2-4756-AA5C-114CFA739BBE}"/>
    <hyperlink ref="B624" r:id="rId1457" tooltip="Plants vs. Zombies" display="https://en.wikipedia.org/wiki/Plants_vs._Zombies" xr:uid="{55F47F2A-7AB8-4DD9-A408-6F0B77097AC8}"/>
    <hyperlink ref="D624" r:id="rId1458" tooltip="BlackBerry World" display="https://en.wikipedia.org/wiki/BlackBerry_World" xr:uid="{45A5C212-829B-46A1-B475-2F72917A7FE3}"/>
    <hyperlink ref="E624" r:id="rId1459" tooltip="PopCap Games" display="https://en.wikipedia.org/wiki/PopCap_Games" xr:uid="{B3178AA9-8552-4B32-98C2-681822543FCF}"/>
    <hyperlink ref="B564" r:id="rId1460" tooltip="Plants vs. Zombies 2: It's About Time" display="https://en.wikipedia.org/wiki/Plants_vs._Zombies_2:_It%27s_About_Time" xr:uid="{4C552C3A-CAAA-4F18-B84E-BA0BDC336A32}"/>
    <hyperlink ref="D564" r:id="rId1461" tooltip="Android (operating system)" display="https://en.wikipedia.org/wiki/Android_(operating_system)" xr:uid="{F7727A3C-CCD5-4941-8BDA-793CF7C91C08}"/>
    <hyperlink ref="E564" r:id="rId1462" tooltip="PopCap Games" display="https://en.wikipedia.org/wiki/PopCap_Games" xr:uid="{C9C3602D-044E-4865-8621-78D11B832F04}"/>
    <hyperlink ref="B587" r:id="rId1463" tooltip="Plants vs. Zombies 2: It's About Time" display="https://en.wikipedia.org/wiki/Plants_vs._Zombies_2:_It%27s_About_Time" xr:uid="{6B5424EA-43FA-42C0-B1C5-F4F8E0C998D0}"/>
    <hyperlink ref="D587" r:id="rId1464" tooltip="IOS" display="https://en.wikipedia.org/wiki/IOS" xr:uid="{503FDC05-4B03-4E65-96EA-C1AE99F82C8B}"/>
    <hyperlink ref="E587" r:id="rId1465" tooltip="PopCap Games" display="https://en.wikipedia.org/wiki/PopCap_Games" xr:uid="{03D96658-563F-4A20-AD74-08E77C96A03E}"/>
    <hyperlink ref="B402" r:id="rId1466" tooltip="Plants vs. Zombies Heroes" display="https://en.wikipedia.org/wiki/Plants_vs._Zombies_Heroes" xr:uid="{E74886AD-F813-4F50-B155-6BB01E5107A1}"/>
    <hyperlink ref="D402" r:id="rId1467" tooltip="IOS" display="https://en.wikipedia.org/wiki/IOS" xr:uid="{792B685F-04E0-42CA-BB81-0662512B74CB}"/>
    <hyperlink ref="E402" r:id="rId1468" tooltip="PopCap Games" display="https://en.wikipedia.org/wiki/PopCap_Games" xr:uid="{BDCEC3A6-F29F-4B76-9100-EFFAF9201D6D}"/>
    <hyperlink ref="B403" r:id="rId1469" tooltip="Plants vs. Zombies Heroes" display="https://en.wikipedia.org/wiki/Plants_vs._Zombies_Heroes" xr:uid="{C1F123F7-1341-4E05-8C09-82997AB1839F}"/>
    <hyperlink ref="D403" r:id="rId1470" tooltip="Android (operating system)" display="https://en.wikipedia.org/wiki/Android_(operating_system)" xr:uid="{E971DFCA-D37D-408A-8AF0-01FDFAD261C7}"/>
    <hyperlink ref="E403" r:id="rId1471" tooltip="PopCap Games" display="https://en.wikipedia.org/wiki/PopCap_Games" xr:uid="{65F82908-74C1-42BA-A5D4-828F562F42F1}"/>
    <hyperlink ref="B256" r:id="rId1472" tooltip="Plants vs. Zombies: Battle for Neighborville" display="https://en.wikipedia.org/wiki/Plants_vs._Zombies:_Battle_for_Neighborville" xr:uid="{9F694080-745E-4385-828E-BD4A8E817310}"/>
    <hyperlink ref="D256" r:id="rId1473" tooltip="PlayStation 4" display="https://en.wikipedia.org/wiki/PlayStation_4" xr:uid="{C882E55B-9F75-424F-A094-0C295D6374CE}"/>
    <hyperlink ref="E256" r:id="rId1474" tooltip="PopCap Games" display="https://en.wikipedia.org/wiki/PopCap_Games" xr:uid="{20D0B1B8-610E-4504-B47B-6F41B8A80489}"/>
    <hyperlink ref="B257" r:id="rId1475" tooltip="Plants vs. Zombies: Battle for Neighborville" display="https://en.wikipedia.org/wiki/Plants_vs._Zombies:_Battle_for_Neighborville" xr:uid="{785CF4AB-3B9C-49F1-AABD-1DF9886FB9A0}"/>
    <hyperlink ref="D257" r:id="rId1476" tooltip="Microsoft Windows" display="https://en.wikipedia.org/wiki/Microsoft_Windows" xr:uid="{83CE331B-4627-419F-8706-6D26BB15A32C}"/>
    <hyperlink ref="E257" r:id="rId1477" tooltip="PopCap Games" display="https://en.wikipedia.org/wiki/PopCap_Games" xr:uid="{8B530077-8C04-40F2-A6C7-B317014A5ED6}"/>
    <hyperlink ref="B258" r:id="rId1478" tooltip="Plants vs. Zombies: Battle for Neighborville" display="https://en.wikipedia.org/wiki/Plants_vs._Zombies:_Battle_for_Neighborville" xr:uid="{448755FC-D630-4EBA-B46D-66B24C189D00}"/>
    <hyperlink ref="D258" r:id="rId1479" tooltip="Xbox One" display="https://en.wikipedia.org/wiki/Xbox_One" xr:uid="{766C4F1E-6E38-450A-BE61-8A45738866CC}"/>
    <hyperlink ref="E258" r:id="rId1480" tooltip="PopCap Games" display="https://en.wikipedia.org/wiki/PopCap_Games" xr:uid="{F80E1CC2-03C2-47D1-AB04-77FAA9D95B90}"/>
    <hyperlink ref="B199" r:id="rId1481" tooltip="Plants vs. Zombies: Battle for Neighborville" display="https://en.wikipedia.org/wiki/Plants_vs._Zombies:_Battle_for_Neighborville" xr:uid="{2AFBFA21-D33E-4E6C-91E2-E0EFF2B2C629}"/>
    <hyperlink ref="D199" r:id="rId1482" tooltip="Nintendo Switch" display="https://en.wikipedia.org/wiki/Nintendo_Switch" xr:uid="{E59B34E8-687D-48C6-8494-7E4F54FD9D28}"/>
    <hyperlink ref="E199" r:id="rId1483" tooltip="PopCap Games" display="https://en.wikipedia.org/wiki/PopCap_Games" xr:uid="{C2ED085E-18C4-4438-B964-EE5F9368F3CD}"/>
    <hyperlink ref="B537" r:id="rId1484" tooltip="Plants vs. Zombies: Garden Warfare" display="https://en.wikipedia.org/wiki/Plants_vs._Zombies:_Garden_Warfare" xr:uid="{01A64768-7142-4FC8-99A1-8D4E5EE67A57}"/>
    <hyperlink ref="D537" r:id="rId1485" tooltip="Xbox 360" display="https://en.wikipedia.org/wiki/Xbox_360" xr:uid="{581BFBD1-B4FB-4091-9435-3706A3C7C670}"/>
    <hyperlink ref="E537" r:id="rId1486" tooltip="PopCap Games" display="https://en.wikipedia.org/wiki/PopCap_Games" xr:uid="{19519622-6A77-45B4-B1C7-7BB2D9410A6A}"/>
    <hyperlink ref="B538" r:id="rId1487" tooltip="Plants vs. Zombies: Garden Warfare" display="https://en.wikipedia.org/wiki/Plants_vs._Zombies:_Garden_Warfare" xr:uid="{60D12C58-3980-4CD0-8B41-FA797CBF71F1}"/>
    <hyperlink ref="D538" r:id="rId1488" tooltip="Xbox One" display="https://en.wikipedia.org/wiki/Xbox_One" xr:uid="{F4893EB5-D75A-4DE9-BF61-4DF6A0A9957A}"/>
    <hyperlink ref="E538" r:id="rId1489" tooltip="PopCap Games" display="https://en.wikipedia.org/wiki/PopCap_Games" xr:uid="{904B1F9A-5F43-4C27-B359-899D1E00A480}"/>
    <hyperlink ref="B527" r:id="rId1490" tooltip="Plants vs. Zombies: Garden Warfare" display="https://en.wikipedia.org/wiki/Plants_vs._Zombies:_Garden_Warfare" xr:uid="{D89C5C8F-1017-4039-AC13-CE3FC4F4F688}"/>
    <hyperlink ref="D527" r:id="rId1491" tooltip="Microsoft Windows" display="https://en.wikipedia.org/wiki/Microsoft_Windows" xr:uid="{87E3C12E-6FCC-4F41-AC1A-6D38C8C21740}"/>
    <hyperlink ref="E527" r:id="rId1492" tooltip="PopCap Games" display="https://en.wikipedia.org/wiki/PopCap_Games" xr:uid="{0B5FB1C5-1D7F-4334-BE96-9104FA999BCE}"/>
    <hyperlink ref="B525" r:id="rId1493" tooltip="Plants vs. Zombies: Garden Warfare" display="https://en.wikipedia.org/wiki/Plants_vs._Zombies:_Garden_Warfare" xr:uid="{7BA13D10-AC91-451B-922F-178799AAC36A}"/>
    <hyperlink ref="D525" r:id="rId1494" tooltip="PlayStation 3" display="https://en.wikipedia.org/wiki/PlayStation_3" xr:uid="{776A92A0-52E5-41DD-9C6E-5F294A9C99A0}"/>
    <hyperlink ref="E525" r:id="rId1495" tooltip="PopCap Games" display="https://en.wikipedia.org/wiki/PopCap_Games" xr:uid="{45107938-B493-4E73-8B70-858195679137}"/>
    <hyperlink ref="B526" r:id="rId1496" tooltip="Plants vs. Zombies: Garden Warfare" display="https://en.wikipedia.org/wiki/Plants_vs._Zombies:_Garden_Warfare" xr:uid="{C7792028-4187-4A2A-B3FC-52ECF04A3E20}"/>
    <hyperlink ref="D526" r:id="rId1497" tooltip="PlayStation 4" display="https://en.wikipedia.org/wiki/PlayStation_4" xr:uid="{9E8C83D1-2CAE-46F4-9ED2-47535A93E00A}"/>
    <hyperlink ref="E526" r:id="rId1498" tooltip="PopCap Games" display="https://en.wikipedia.org/wiki/PopCap_Games" xr:uid="{6DC6C6EA-2969-468F-BFCF-041DE2EB087E}"/>
    <hyperlink ref="B434" r:id="rId1499" tooltip="Plants vs. Zombies: Garden Warfare 2" display="https://en.wikipedia.org/wiki/Plants_vs._Zombies:_Garden_Warfare_2" xr:uid="{E7131B6B-C433-4A0D-9302-A801C19D6B9D}"/>
    <hyperlink ref="D434" r:id="rId1500" tooltip="PlayStation 4" display="https://en.wikipedia.org/wiki/PlayStation_4" xr:uid="{0A407A43-DBE5-41F7-87C9-0D40D0F6CA1A}"/>
    <hyperlink ref="E434" r:id="rId1501" tooltip="PopCap Games" display="https://en.wikipedia.org/wiki/PopCap_Games" xr:uid="{DE48304E-F92E-4EDF-BEE2-D9F8F24D5829}"/>
    <hyperlink ref="B435" r:id="rId1502" tooltip="Plants vs. Zombies: Garden Warfare 2" display="https://en.wikipedia.org/wiki/Plants_vs._Zombies:_Garden_Warfare_2" xr:uid="{E2DA8169-7179-44DD-A0D1-4E910BB70427}"/>
    <hyperlink ref="D435" r:id="rId1503" tooltip="Microsoft Windows" display="https://en.wikipedia.org/wiki/Microsoft_Windows" xr:uid="{DB09E670-87C8-43CD-9671-A1F2E0147D95}"/>
    <hyperlink ref="E435" r:id="rId1504" tooltip="PopCap Games" display="https://en.wikipedia.org/wiki/PopCap_Games" xr:uid="{32946417-F9DD-43F0-833A-01C54487BBFA}"/>
    <hyperlink ref="B436" r:id="rId1505" tooltip="Plants vs. Zombies: Garden Warfare 2" display="https://en.wikipedia.org/wiki/Plants_vs._Zombies:_Garden_Warfare_2" xr:uid="{3DF0CE87-5B24-41ED-8CDE-F2313BB314E5}"/>
    <hyperlink ref="D436" r:id="rId1506" tooltip="Xbox One" display="https://en.wikipedia.org/wiki/Xbox_One" xr:uid="{34395417-EAB0-4882-A11F-00EF511F38DE}"/>
    <hyperlink ref="E436" r:id="rId1507" tooltip="PopCap Games" display="https://en.wikipedia.org/wiki/PopCap_Games" xr:uid="{62CBF19B-5C97-4D98-81FC-4039DE26DE38}"/>
    <hyperlink ref="B869" r:id="rId1508" tooltip="Pogo.com" display="https://en.wikipedia.org/wiki/Pogo.com" xr:uid="{E78BCE95-E9DD-4080-81C2-1C8151FAC519}"/>
    <hyperlink ref="D869" r:id="rId1509" tooltip="IOS" display="https://en.wikipedia.org/wiki/IOS" xr:uid="{AD75512A-9CD9-40E3-8AF9-DF352E5153D8}"/>
    <hyperlink ref="B684" r:id="rId1510" tooltip="Pogo.com" display="https://en.wikipedia.org/wiki/Pogo.com" xr:uid="{2D832DC7-A853-4F0F-B5CE-8226E6AD7EF9}"/>
    <hyperlink ref="D684" r:id="rId1511" tooltip="IOS" display="https://en.wikipedia.org/wiki/IOS" xr:uid="{0817B73F-32C7-4A2D-AC5B-1F766B520599}"/>
    <hyperlink ref="B962" r:id="rId1512" tooltip="R-Type" display="https://en.wikipedia.org/wiki/R-Type" xr:uid="{2DA991B4-0EB8-4B89-8DF8-87B78220F21E}"/>
    <hyperlink ref="D962" r:id="rId1513" tooltip="IOS" display="https://en.wikipedia.org/wiki/IOS" xr:uid="{DE5EEDBE-E9ED-4B4F-B15E-F1960D6CE9DF}"/>
    <hyperlink ref="E962" r:id="rId1514" tooltip="Irem" display="https://en.wikipedia.org/wiki/Irem" xr:uid="{8FFAF442-D7AE-49B1-839E-3D6E358CF18A}"/>
    <hyperlink ref="B840" r:id="rId1515" tooltip="Rango (video game)" display="https://en.wikipedia.org/wiki/Rango_(video_game)" xr:uid="{78BF6EE3-CDAB-437D-9B61-A63CE6C2BF6A}"/>
    <hyperlink ref="D840" r:id="rId1516" tooltip="Nintendo DS" display="https://en.wikipedia.org/wiki/Nintendo_DS" xr:uid="{65B87892-DBC5-4085-9B5C-F8EDFC2BA688}"/>
    <hyperlink ref="E840" r:id="rId1517" tooltip="Behaviour Interactive" display="https://en.wikipedia.org/wiki/Behaviour_Interactive" xr:uid="{7EE4A831-F854-4743-814F-B15EE2BAAA4D}"/>
    <hyperlink ref="B841" r:id="rId1518" tooltip="Rango (video game)" display="https://en.wikipedia.org/wiki/Rango_(video_game)" xr:uid="{24B5F672-3928-4680-8F7C-A410484EAEAF}"/>
    <hyperlink ref="D841" r:id="rId1519" tooltip="PlayStation 3" display="https://en.wikipedia.org/wiki/PlayStation_3" xr:uid="{46AEF086-56F4-4DD4-8DE4-7D10CC9E90EE}"/>
    <hyperlink ref="E841" r:id="rId1520" tooltip="Behaviour Interactive" display="https://en.wikipedia.org/wiki/Behaviour_Interactive" xr:uid="{C283C62B-14AD-4759-9CC9-088D973A16FB}"/>
    <hyperlink ref="B842" r:id="rId1521" tooltip="Rango (video game)" display="https://en.wikipedia.org/wiki/Rango_(video_game)" xr:uid="{E33E181C-4D2C-4817-8A8B-A71FC729CF96}"/>
    <hyperlink ref="D842" r:id="rId1522" tooltip="Wii" display="https://en.wikipedia.org/wiki/Wii" xr:uid="{99F0037B-6CF0-44A0-8392-E4DBCF68945F}"/>
    <hyperlink ref="E842" r:id="rId1523" tooltip="Behaviour Interactive" display="https://en.wikipedia.org/wiki/Behaviour_Interactive" xr:uid="{3EA08B13-EE54-4953-A45B-010B5AE210EE}"/>
    <hyperlink ref="B843" r:id="rId1524" tooltip="Rango (video game)" display="https://en.wikipedia.org/wiki/Rango_(video_game)" xr:uid="{ACE06748-925D-4B86-9850-35DC9A217589}"/>
    <hyperlink ref="D843" r:id="rId1525" tooltip="Xbox 360" display="https://en.wikipedia.org/wiki/Xbox_360" xr:uid="{DCC27207-0EBC-4720-BC55-94C066B7254D}"/>
    <hyperlink ref="E843" r:id="rId1526" tooltip="Behaviour Interactive" display="https://en.wikipedia.org/wiki/Behaviour_Interactive" xr:uid="{C85E11BD-0A6A-4B16-A585-A261824BAB17}"/>
    <hyperlink ref="B863" r:id="rId1527" tooltip="Real Racing 2" display="https://en.wikipedia.org/wiki/Real_Racing_2" xr:uid="{391B425D-425C-4F65-BAF5-854117FE7317}"/>
    <hyperlink ref="D863" r:id="rId1528" tooltip="IOS" display="https://en.wikipedia.org/wiki/IOS" xr:uid="{CAC87C9B-E634-4A40-BF93-66FDEF88C4E7}"/>
    <hyperlink ref="E863" r:id="rId1529" tooltip="Firemonkeys Studios" display="https://en.wikipedia.org/wiki/Firemonkeys_Studios" xr:uid="{52666CB2-9FAB-4FD6-B41C-7FD393F866F0}"/>
    <hyperlink ref="B722" r:id="rId1530" tooltip="Real Racing 2" display="https://en.wikipedia.org/wiki/Real_Racing_2" xr:uid="{EDEEACAB-E5ED-4F9A-A9BB-725E163BA434}"/>
    <hyperlink ref="D722" r:id="rId1531" tooltip="Android (operating system)" display="https://en.wikipedia.org/wiki/Android_(operating_system)" xr:uid="{9471B663-2BE6-4FD4-B68B-3D772DD02182}"/>
    <hyperlink ref="E722" r:id="rId1532" tooltip="Firemonkeys Studios" display="https://en.wikipedia.org/wiki/Firemonkeys_Studios" xr:uid="{C7FD0ACF-8F76-4851-AE5F-50B0CFAE01A7}"/>
    <hyperlink ref="B603" r:id="rId1533" tooltip="Real Racing 2" display="https://en.wikipedia.org/wiki/Real_Racing_2" xr:uid="{3E9381C9-09EE-4FF2-95A7-4615F1FBF5DA}"/>
    <hyperlink ref="D603" r:id="rId1534" tooltip="Windows Phone" display="https://en.wikipedia.org/wiki/Windows_Phone" xr:uid="{C1CA83CB-FD7B-4C2F-B0B2-30EB10C56FE7}"/>
    <hyperlink ref="E603" r:id="rId1535" tooltip="Firemonkeys Studios" display="https://en.wikipedia.org/wiki/Firemonkeys_Studios" xr:uid="{07C9F4F6-4C21-4C6B-A5DA-BB7FAC1111E4}"/>
    <hyperlink ref="B615" r:id="rId1536" tooltip="Real Racing 3" display="https://en.wikipedia.org/wiki/Real_Racing_3" xr:uid="{02B12C5D-07ED-40C5-8D11-4D9C533788D7}"/>
    <hyperlink ref="D615" r:id="rId1537" tooltip="Android (operating system)" display="https://en.wikipedia.org/wiki/Android_(operating_system)" xr:uid="{A9495251-C5CB-45CF-931A-FEAD8076D07B}"/>
    <hyperlink ref="E615" r:id="rId1538" tooltip="Firemonkeys Studios" display="https://en.wikipedia.org/wiki/Firemonkeys_Studios" xr:uid="{16992817-3D7D-4929-8862-020D322B0ABB}"/>
    <hyperlink ref="B616" r:id="rId1539" tooltip="Real Racing 3" display="https://en.wikipedia.org/wiki/Real_Racing_3" xr:uid="{26078CF5-230F-4513-BB86-1D1EEDC09553}"/>
    <hyperlink ref="D616" r:id="rId1540" tooltip="IOS" display="https://en.wikipedia.org/wiki/IOS" xr:uid="{BEB737ED-CEDB-431C-B04B-2CFC39D9A57D}"/>
    <hyperlink ref="E616" r:id="rId1541" tooltip="Firemonkeys Studios" display="https://en.wikipedia.org/wiki/Firemonkeys_Studios" xr:uid="{EF519C77-0996-429C-9AFF-71A431264842}"/>
    <hyperlink ref="B583" r:id="rId1542" tooltip="Real Racing 3" display="https://en.wikipedia.org/wiki/Real_Racing_3" xr:uid="{78CF9493-EF39-4E55-BDB3-9F9A8166B555}"/>
    <hyperlink ref="D583" r:id="rId1543" tooltip="BlackBerry World" display="https://en.wikipedia.org/wiki/BlackBerry_World" xr:uid="{001AB646-D2C0-4199-8A99-2397403072CC}"/>
    <hyperlink ref="E583" r:id="rId1544" tooltip="Firemonkeys Studios" display="https://en.wikipedia.org/wiki/Firemonkeys_Studios" xr:uid="{7CFD259B-97CD-469A-912E-03DF9DDE883D}"/>
    <hyperlink ref="D926" r:id="rId1545" tooltip="Android (operating system)" display="https://en.wikipedia.org/wiki/Android_(operating_system)" xr:uid="{E265B13C-A774-49A7-A6BA-D367E6EFF9A9}"/>
    <hyperlink ref="E926" r:id="rId1546" tooltip="EA Mobile" display="https://en.wikipedia.org/wiki/EA_Mobile" xr:uid="{2B0F02FF-F10E-4A79-83EF-8643C94234E3}"/>
    <hyperlink ref="D927" r:id="rId1547" tooltip="IOS" display="https://en.wikipedia.org/wiki/IOS" xr:uid="{080D12CD-8F7C-410E-8AE0-DC5E484B08C4}"/>
    <hyperlink ref="E927" r:id="rId1548" tooltip="EA Mobile" display="https://en.wikipedia.org/wiki/EA_Mobile" xr:uid="{30461EAB-8296-4804-8DBD-2AF079E7D871}"/>
    <hyperlink ref="B866" r:id="rId1549" location="Computer_and_video_games" tooltip="Risk (game)" display="https://en.wikipedia.org/wiki/Risk_(game) - Computer_and_video_games" xr:uid="{0E9CDC55-06FD-49CD-9644-FF19615DF246}"/>
    <hyperlink ref="D866" r:id="rId1550" tooltip="IOS" display="https://en.wikipedia.org/wiki/IOS" xr:uid="{D2605ABF-246D-41E8-B817-6576AD8A11A3}"/>
    <hyperlink ref="B1028" r:id="rId1551" tooltip="Risk: Factions" display="https://en.wikipedia.org/wiki/Risk:_Factions" xr:uid="{9C43A392-BB34-4E70-8328-1F0AFB9788B8}"/>
    <hyperlink ref="D1028" r:id="rId1552" tooltip="Xbox Live Arcade" display="https://en.wikipedia.org/wiki/Xbox_Live_Arcade" xr:uid="{3B4A7E46-7FA4-4078-B83D-D7367DBA5A85}"/>
    <hyperlink ref="B861" r:id="rId1553" tooltip="Risk: Factions" display="https://en.wikipedia.org/wiki/Risk:_Factions" xr:uid="{7A588243-40CF-4DFA-A9FA-6853FE805D2B}"/>
    <hyperlink ref="D861" r:id="rId1554" tooltip="PlayStation Network" display="https://en.wikipedia.org/wiki/PlayStation_Network" xr:uid="{2A2565AC-F1F8-497E-ADED-FC88B9429489}"/>
    <hyperlink ref="B832" r:id="rId1555" tooltip="Risk: Factions" display="https://en.wikipedia.org/wiki/Risk:_Factions" xr:uid="{5EA88535-3D20-4BD7-BD28-07D7D8056268}"/>
    <hyperlink ref="D832" r:id="rId1556" tooltip="Microsoft Windows" display="https://en.wikipedia.org/wiki/Microsoft_Windows" xr:uid="{556B4403-6D2D-4CA2-9C4F-585FB0021E1D}"/>
    <hyperlink ref="B912" r:id="rId1557" tooltip="Rock Band 3" display="https://en.wikipedia.org/wiki/Rock_Band_3" xr:uid="{8A6FEF85-F6D5-49BF-9C15-7BAFFAE9F67F}"/>
    <hyperlink ref="D912" r:id="rId1558" tooltip="Nintendo DS" display="https://en.wikipedia.org/wiki/Nintendo_DS" xr:uid="{213A3716-356D-45EB-A699-2013E3C64911}"/>
    <hyperlink ref="E912" r:id="rId1559" tooltip="Harmonix" display="https://en.wikipedia.org/wiki/Harmonix" xr:uid="{C34F4AA2-FA53-4C7A-9DDC-3CEA46278FEB}"/>
    <hyperlink ref="B913" r:id="rId1560" tooltip="Rock Band 3" display="https://en.wikipedia.org/wiki/Rock_Band_3" xr:uid="{9EC611A1-73D8-49D3-830C-B1F642F699D3}"/>
    <hyperlink ref="D913" r:id="rId1561" tooltip="PlayStation 3" display="https://en.wikipedia.org/wiki/PlayStation_3" xr:uid="{A8D207B6-2C9B-4DFB-A094-5EC65AC2AD50}"/>
    <hyperlink ref="E913" r:id="rId1562" tooltip="Harmonix" display="https://en.wikipedia.org/wiki/Harmonix" xr:uid="{BE7606C4-C84E-46BD-AA00-2177D6DB650A}"/>
    <hyperlink ref="B914" r:id="rId1563" tooltip="Rock Band 3" display="https://en.wikipedia.org/wiki/Rock_Band_3" xr:uid="{4D016D42-0EDE-456A-B72F-194AC9555BB2}"/>
    <hyperlink ref="D914" r:id="rId1564" tooltip="Wii" display="https://en.wikipedia.org/wiki/Wii" xr:uid="{0D46C02D-E47F-4739-A6B4-DACFA0D4F683}"/>
    <hyperlink ref="E914" r:id="rId1565" tooltip="Harmonix" display="https://en.wikipedia.org/wiki/Harmonix" xr:uid="{E7CF396E-8C16-4AA7-AA24-D962BE48CD54}"/>
    <hyperlink ref="B915" r:id="rId1566" tooltip="Rock Band 3" display="https://en.wikipedia.org/wiki/Rock_Band_3" xr:uid="{0B0738D7-0913-4EA1-9A24-7B24234DA08A}"/>
    <hyperlink ref="D915" r:id="rId1567" tooltip="Xbox 360" display="https://en.wikipedia.org/wiki/Xbox_360" xr:uid="{6F99C380-DD0E-4571-B8A4-4CC544080C78}"/>
    <hyperlink ref="E915" r:id="rId1568" tooltip="Harmonix" display="https://en.wikipedia.org/wiki/Harmonix" xr:uid="{A33CE04E-DD7F-45BF-B622-7E04FC044D2F}"/>
    <hyperlink ref="B870" r:id="rId1569" tooltip="Rock Band Reloaded" display="https://en.wikipedia.org/wiki/Rock_Band_Reloaded" xr:uid="{374912E0-3F44-4D4C-8448-EF76A4980A1B}"/>
    <hyperlink ref="D870" r:id="rId1570" tooltip="IOS" display="https://en.wikipedia.org/wiki/IOS" xr:uid="{FBE7759F-BF14-43A3-B65D-1D2EA894B53E}"/>
    <hyperlink ref="E870" r:id="rId1571" tooltip="Harmonix" display="https://en.wikipedia.org/wiki/Harmonix" xr:uid="{03F65E68-79AE-4E32-994A-206152865AB9}"/>
    <hyperlink ref="B472" r:id="rId1572" tooltip="Rory McIlroy PGA Tour" display="https://en.wikipedia.org/wiki/Rory_McIlroy_PGA_Tour" xr:uid="{75F97723-263B-4EA3-8CAE-C1675198F19A}"/>
    <hyperlink ref="D472" r:id="rId1573" tooltip="PlayStation 4" display="https://en.wikipedia.org/wiki/PlayStation_4" xr:uid="{4E93C101-4028-407D-A512-2C545332E626}"/>
    <hyperlink ref="E472" r:id="rId1574" tooltip="EA Tiburon" display="https://en.wikipedia.org/wiki/EA_Tiburon" xr:uid="{F34C3BD0-EA9C-487E-B593-A52765E1C55F}"/>
    <hyperlink ref="B473" r:id="rId1575" tooltip="Rory McIlroy PGA Tour" display="https://en.wikipedia.org/wiki/Rory_McIlroy_PGA_Tour" xr:uid="{5B402ECE-371F-4D6B-903A-4C2890A3CB88}"/>
    <hyperlink ref="D473" r:id="rId1576" tooltip="Xbox One" display="https://en.wikipedia.org/wiki/Xbox_One" xr:uid="{4C39A7A1-DC36-4A6C-92DF-D21BF7B153DD}"/>
    <hyperlink ref="E473" r:id="rId1577" tooltip="EA Tiburon" display="https://en.wikipedia.org/wiki/EA_Tiburon" xr:uid="{A2821726-B7BC-4C2C-A1A8-DDB29164948E}"/>
    <hyperlink ref="B738" r:id="rId1578" tooltip="Scrabble (video game)" display="https://en.wikipedia.org/wiki/Scrabble_(video_game)" xr:uid="{497A667B-5BDD-42B9-B6BC-103AF839CF6B}"/>
    <hyperlink ref="D738" r:id="rId1579" tooltip="Android (operating system)" display="https://en.wikipedia.org/wiki/Android_(operating_system)" xr:uid="{A39B1480-CB0A-470D-94BA-CBB7E38DBE12}"/>
    <hyperlink ref="E738" r:id="rId1580" tooltip="EA Mobile" display="https://en.wikipedia.org/wiki/EA_Mobile" xr:uid="{096EA852-033E-4AC3-A6FF-7F2DBA390DD0}"/>
    <hyperlink ref="B274" r:id="rId1581" tooltip="Sea of Solitude" display="https://en.wikipedia.org/wiki/Sea_of_Solitude" xr:uid="{CEF92A85-F74D-4191-9BC1-A5C8B9D6C0F2}"/>
    <hyperlink ref="D274" r:id="rId1582" tooltip="PlayStation 4" display="https://en.wikipedia.org/wiki/PlayStation_4" xr:uid="{F845E8CD-76E2-4CF8-B38F-22BF5A8A7927}"/>
    <hyperlink ref="B275" r:id="rId1583" tooltip="Sea of Solitude" display="https://en.wikipedia.org/wiki/Sea_of_Solitude" xr:uid="{80B6AECF-A856-4296-AE3B-18F09CA120A1}"/>
    <hyperlink ref="D275" r:id="rId1584" tooltip="Microsoft Windows" display="https://en.wikipedia.org/wiki/Microsoft_Windows" xr:uid="{4B3DB0AC-F1C1-4ED9-80BE-ACAD430B6D52}"/>
    <hyperlink ref="B276" r:id="rId1585" tooltip="Sea of Solitude" display="https://en.wikipedia.org/wiki/Sea_of_Solitude" xr:uid="{40FCA9DA-2FF0-4ED3-98B4-F98C48846085}"/>
    <hyperlink ref="D276" r:id="rId1586" tooltip="Xbox One" display="https://en.wikipedia.org/wiki/Xbox_One" xr:uid="{8B156234-5E71-4F83-B2EC-5440DCA6B5E7}"/>
    <hyperlink ref="B422" r:id="rId1587" tooltip="The Secret Life of Pets" display="https://en.wikipedia.org/wiki/The_Secret_Life_of_Pets" xr:uid="{0258B47F-1EF2-4C22-91B6-36D7A20188B6}"/>
    <hyperlink ref="D422" r:id="rId1588" tooltip="Android (operating system)" display="https://en.wikipedia.org/wiki/Android_(operating_system)" xr:uid="{197E9EC2-9CF0-4D06-A855-9B3D8626709B}"/>
    <hyperlink ref="E422" r:id="rId1589" tooltip="EA Mobile" display="https://en.wikipedia.org/wiki/EA_Mobile" xr:uid="{3DF324B2-1774-4CE1-82DB-F006D87450B2}"/>
    <hyperlink ref="B423" r:id="rId1590" tooltip="The Secret Life of Pets" display="https://en.wikipedia.org/wiki/The_Secret_Life_of_Pets" xr:uid="{B018DD93-A4E9-4169-8E0F-DAD2150AEF21}"/>
    <hyperlink ref="D423" r:id="rId1591" tooltip="IOS" display="https://en.wikipedia.org/wiki/IOS" xr:uid="{EBADB04E-B5DC-4FF6-8BF5-E8CBBF13E56F}"/>
    <hyperlink ref="E423" r:id="rId1592" tooltip="EA Mobile" display="https://en.wikipedia.org/wiki/EA_Mobile" xr:uid="{43F365EA-71D0-4F62-98F1-3923EEA21239}"/>
    <hyperlink ref="B774" r:id="rId1593" tooltip="Shadows of the Damned" display="https://en.wikipedia.org/wiki/Shadows_of_the_Damned" xr:uid="{28A99D0B-EAB3-4D60-880C-7E4054ED8B7D}"/>
    <hyperlink ref="D774" r:id="rId1594" tooltip="PlayStation 3" display="https://en.wikipedia.org/wiki/PlayStation_3" xr:uid="{2EAD681C-A827-4107-A234-F3C19E4E6A64}"/>
    <hyperlink ref="E774" r:id="rId1595" tooltip="Grasshopper Manufacture" display="https://en.wikipedia.org/wiki/Grasshopper_Manufacture" xr:uid="{2AC77CBD-09FD-48CA-AF2E-C47D12D4067E}"/>
    <hyperlink ref="B775" r:id="rId1596" tooltip="Shadows of the Damned" display="https://en.wikipedia.org/wiki/Shadows_of_the_Damned" xr:uid="{07A38D8C-5600-429B-A082-97F3C09A4364}"/>
    <hyperlink ref="D775" r:id="rId1597" tooltip="Xbox 360" display="https://en.wikipedia.org/wiki/Xbox_360" xr:uid="{1AE471A7-0AF1-4EEB-9D12-264054B208E9}"/>
    <hyperlink ref="E775" r:id="rId1598" tooltip="Grasshopper Manufacture" display="https://en.wikipedia.org/wiki/Grasshopper_Manufacture" xr:uid="{460F0D1E-EE77-4F3D-860E-0023A0E014F8}"/>
    <hyperlink ref="B963" r:id="rId1599" tooltip="Shank (video game)" display="https://en.wikipedia.org/wiki/Shank_(video_game)" xr:uid="{BD933C39-1D5A-474E-A8C0-377288F583D2}"/>
    <hyperlink ref="D963" r:id="rId1600" tooltip="PlayStation 3" display="https://en.wikipedia.org/wiki/PlayStation_3" xr:uid="{8BCA9E15-6EC0-46EF-8A7E-70EF3B39F74D}"/>
    <hyperlink ref="E963" r:id="rId1601" tooltip="Klei Entertainment" display="https://en.wikipedia.org/wiki/Klei_Entertainment" xr:uid="{58632CDB-954D-4551-8AA8-7A66D376BBDC}"/>
    <hyperlink ref="B964" r:id="rId1602" tooltip="Shank (video game)" display="https://en.wikipedia.org/wiki/Shank_(video_game)" xr:uid="{27E8AB5F-886C-4D88-8A2F-8B9FE9158C6B}"/>
    <hyperlink ref="D964" r:id="rId1603" tooltip="Xbox 360" display="https://en.wikipedia.org/wiki/Xbox_360" xr:uid="{1CAABD90-EE2A-40FE-B301-124D31FECA83}"/>
    <hyperlink ref="E964" r:id="rId1604" tooltip="Klei Entertainment" display="https://en.wikipedia.org/wiki/Klei_Entertainment" xr:uid="{30A9F741-4693-4400-BE03-A845FB80C950}"/>
    <hyperlink ref="B923" r:id="rId1605" tooltip="Shank (video game)" display="https://en.wikipedia.org/wiki/Shank_(video_game)" xr:uid="{6D6A9C8C-6E9D-4021-8A5E-CEDF4CCE8124}"/>
    <hyperlink ref="D923" r:id="rId1606" tooltip="Microsoft Windows" display="https://en.wikipedia.org/wiki/Microsoft_Windows" xr:uid="{384F36C7-2BA4-4A7A-8210-7B030820B72E}"/>
    <hyperlink ref="E923" r:id="rId1607" tooltip="Klei Entertainment" display="https://en.wikipedia.org/wiki/Klei_Entertainment" xr:uid="{BF53A192-B20C-4EC9-B727-EEAE05027E1F}"/>
    <hyperlink ref="B642" r:id="rId1608" tooltip="Shank (video game)" display="https://en.wikipedia.org/wiki/Shank_(video_game)" xr:uid="{B23174F8-34C1-4228-BA87-8FB0192DED20}"/>
    <hyperlink ref="D642" r:id="rId1609" tooltip="Macintosh" display="https://en.wikipedia.org/wiki/Macintosh" xr:uid="{D4469961-FCCA-42D3-AD25-3CA4ACF18A85}"/>
    <hyperlink ref="E642" r:id="rId1610" tooltip="Klei Entertainment" display="https://en.wikipedia.org/wiki/Klei_Entertainment" xr:uid="{A7199635-C0EF-488B-9AF5-C98EA50E1D64}"/>
    <hyperlink ref="B602" r:id="rId1611" tooltip="Shank (video game)" display="https://en.wikipedia.org/wiki/Shank_(video_game)" xr:uid="{7A92BAFD-DE08-4B84-AC78-123DF264EDF5}"/>
    <hyperlink ref="D602" r:id="rId1612" tooltip="Linux" display="https://en.wikipedia.org/wiki/Linux" xr:uid="{F59A2D3C-B492-4929-A9E1-A9C5B163E7D0}"/>
    <hyperlink ref="E602" r:id="rId1613" tooltip="Klei Entertainment" display="https://en.wikipedia.org/wiki/Klei_Entertainment" xr:uid="{A980D870-DA2C-4AE3-8FB6-2F2893DFA34F}"/>
    <hyperlink ref="B714" r:id="rId1614" tooltip="Shank 2" display="https://en.wikipedia.org/wiki/Shank_2" xr:uid="{70B9613E-D8A3-4F6D-9B4E-5DC3AB461E64}"/>
    <hyperlink ref="D714" r:id="rId1615" tooltip="PlayStation 3" display="https://en.wikipedia.org/wiki/PlayStation_3" xr:uid="{E87284D5-175A-4A31-BF99-EFF2F56EDECB}"/>
    <hyperlink ref="E714" r:id="rId1616" tooltip="Klei Entertainment" display="https://en.wikipedia.org/wiki/Klei_Entertainment" xr:uid="{8294EB8E-1BB5-4E7A-9655-3403C06F6CF7}"/>
    <hyperlink ref="B715" r:id="rId1617" tooltip="Shank 2" display="https://en.wikipedia.org/wiki/Shank_2" xr:uid="{CA712493-A9D9-4324-A6DA-92CE651DBF07}"/>
    <hyperlink ref="D715" r:id="rId1618" tooltip="Microsoft Windows" display="https://en.wikipedia.org/wiki/Microsoft_Windows" xr:uid="{EA943439-39F6-473A-B007-E66702282287}"/>
    <hyperlink ref="E715" r:id="rId1619" tooltip="Klei Entertainment" display="https://en.wikipedia.org/wiki/Klei_Entertainment" xr:uid="{9E4C069A-3AB1-4988-97F6-02D25FD01A19}"/>
    <hyperlink ref="B713" r:id="rId1620" tooltip="Shank 2" display="https://en.wikipedia.org/wiki/Shank_2" xr:uid="{7CA01102-9E44-4DCC-80D4-4A48BFA8832D}"/>
    <hyperlink ref="D713" r:id="rId1621" tooltip="Xbox 360" display="https://en.wikipedia.org/wiki/Xbox_360" xr:uid="{9FD1BD90-8073-46B7-A161-62DA39FF0E21}"/>
    <hyperlink ref="E713" r:id="rId1622" tooltip="Klei Entertainment" display="https://en.wikipedia.org/wiki/Klei_Entertainment" xr:uid="{3636AFA5-C46A-4DB7-AEFE-9E32769ADE95}"/>
    <hyperlink ref="B625" r:id="rId1623" tooltip="Shank 2" display="https://en.wikipedia.org/wiki/Shank_2" xr:uid="{BD586117-E061-45F9-8EA0-8A25509820DA}"/>
    <hyperlink ref="D625" r:id="rId1624" tooltip="Linux" display="https://en.wikipedia.org/wiki/Linux" xr:uid="{A8AD960A-F0B4-4CE3-9FBE-BAC2B49D5ED1}"/>
    <hyperlink ref="E625" r:id="rId1625" tooltip="Klei Entertainment" display="https://en.wikipedia.org/wiki/Klei_Entertainment" xr:uid="{7FCDCABA-09FF-4286-84DA-3257081B94F3}"/>
    <hyperlink ref="B626" r:id="rId1626" tooltip="Shank 2" display="https://en.wikipedia.org/wiki/Shank_2" xr:uid="{522E2E66-EB9B-49DD-8F66-C5436E5DBEA5}"/>
    <hyperlink ref="D626" r:id="rId1627" tooltip="Macintosh" display="https://en.wikipedia.org/wiki/Macintosh" xr:uid="{1540DA9E-BB6B-44B5-8D86-3F47023622F4}"/>
    <hyperlink ref="E626" r:id="rId1628" tooltip="Klei Entertainment" display="https://en.wikipedia.org/wiki/Klei_Entertainment" xr:uid="{6712DE49-8E67-41DA-B3A5-2D9422661CBF}"/>
    <hyperlink ref="B823" r:id="rId1629" tooltip="Shift 2: Unleashed" display="https://en.wikipedia.org/wiki/Shift_2:_Unleashed" xr:uid="{0206379B-5FD7-4915-A7A7-27E83148EAF6}"/>
    <hyperlink ref="D823" r:id="rId1630" tooltip="PlayStation 3" display="https://en.wikipedia.org/wiki/PlayStation_3" xr:uid="{6E924EDB-DFA1-4B1A-B285-4B25E7838BAA}"/>
    <hyperlink ref="E823" r:id="rId1631" tooltip="Slightly Mad Studios" display="https://en.wikipedia.org/wiki/Slightly_Mad_Studios" xr:uid="{8C10195F-0EE3-4538-9C12-24806F58D2CC}"/>
    <hyperlink ref="B824" r:id="rId1632" tooltip="Shift 2: Unleashed" display="https://en.wikipedia.org/wiki/Shift_2:_Unleashed" xr:uid="{3DA8DA5E-CD95-4BD0-9744-744C8AB41049}"/>
    <hyperlink ref="D824" r:id="rId1633" tooltip="Microsoft Windows" display="https://en.wikipedia.org/wiki/Microsoft_Windows" xr:uid="{B13CF284-4EB9-451A-BF77-90D1E0D00568}"/>
    <hyperlink ref="E824" r:id="rId1634" tooltip="Slightly Mad Studios" display="https://en.wikipedia.org/wiki/Slightly_Mad_Studios" xr:uid="{CB1E9A5C-FEF1-48C1-8CED-1589D2C45170}"/>
    <hyperlink ref="B825" r:id="rId1635" tooltip="Shift 2: Unleashed" display="https://en.wikipedia.org/wiki/Shift_2:_Unleashed" xr:uid="{A7EDC817-E8D0-45E9-9849-685C2D70C642}"/>
    <hyperlink ref="D825" r:id="rId1636" tooltip="Xbox 360" display="https://en.wikipedia.org/wiki/Xbox_360" xr:uid="{35FB138F-A893-47CA-B7F0-3377E390FD1C}"/>
    <hyperlink ref="E825" r:id="rId1637" tooltip="Slightly Mad Studios" display="https://en.wikipedia.org/wiki/Slightly_Mad_Studios" xr:uid="{472AE612-F25F-4D8D-9E49-64BC9105F0AC}"/>
    <hyperlink ref="B798" r:id="rId1638" tooltip="Shift 2: Unleashed" display="https://en.wikipedia.org/wiki/Shift_2:_Unleashed" xr:uid="{57BFCE3E-679C-4D41-8E49-3DA5163013CF}"/>
    <hyperlink ref="D798" r:id="rId1639" tooltip="IOS" display="https://en.wikipedia.org/wiki/IOS" xr:uid="{5CB8340C-AAB6-452B-B5DE-790A26E60F55}"/>
    <hyperlink ref="E798" r:id="rId1640" tooltip="Straight Right" display="https://en.wikipedia.org/wiki/Straight_Right" xr:uid="{69C12CE4-0965-4C5D-BCFE-F243EE0FD453}"/>
    <hyperlink ref="B612" r:id="rId1641" tooltip="SimCity (2013 video game)" display="https://en.wikipedia.org/wiki/SimCity_(2013_video_game)" xr:uid="{53BF6754-07DC-4ABF-AD28-2EF8887F1525}"/>
    <hyperlink ref="D612" r:id="rId1642" tooltip="Microsoft Windows" display="https://en.wikipedia.org/wiki/Microsoft_Windows" xr:uid="{B6E47BE1-CDD6-4D91-9B74-14040811C803}"/>
    <hyperlink ref="E612" r:id="rId1643" tooltip="Maxis Emeryville" display="https://en.wikipedia.org/wiki/Maxis_Emeryville" xr:uid="{C49EE90F-C7DF-40A5-9373-9B5A000953CF}"/>
    <hyperlink ref="B582" r:id="rId1644" tooltip="SimCity (2013 video game)" display="https://en.wikipedia.org/wiki/SimCity_(2013_video_game)" xr:uid="{397EF6B2-4C87-4C24-BF61-F9BC2D5FCD0C}"/>
    <hyperlink ref="D582" r:id="rId1645" tooltip="Macintosh" display="https://en.wikipedia.org/wiki/Macintosh" xr:uid="{0C2B953E-0CD4-4304-9ED4-DD91310977E3}"/>
    <hyperlink ref="E582" r:id="rId1646" tooltip="Maxis Emeryville" display="https://en.wikipedia.org/wiki/Maxis_Emeryville" xr:uid="{57B4F288-50DD-41E1-88F1-71EBC8E4BF43}"/>
    <hyperlink ref="B976" r:id="rId1647" location="SimCity_4:_Rush_Hour_and_SimCity_4:_Deluxe_Edition" tooltip="SimCity 4" display="https://en.wikipedia.org/wiki/SimCity_4 - SimCity_4:_Rush_Hour_and_SimCity_4:_Deluxe_Edition" xr:uid="{F449FADE-809C-4A62-8EA2-F1E2E227900F}"/>
    <hyperlink ref="D976" r:id="rId1648" tooltip="Microsoft Windows" display="https://en.wikipedia.org/wiki/Microsoft_Windows" xr:uid="{61F05428-AE77-4D68-99BF-F2E3D9FF6C76}"/>
    <hyperlink ref="E976" r:id="rId1649" tooltip="Maxis" display="https://en.wikipedia.org/wiki/Maxis" xr:uid="{8076C7BE-0B70-4EF3-B904-1F815EF1DB9E}"/>
    <hyperlink ref="B972" r:id="rId1650" tooltip="SimCity Deluxe" display="https://en.wikipedia.org/wiki/SimCity_Deluxe" xr:uid="{59BD6D0D-F0C3-4326-B7ED-5AC3842C2F00}"/>
    <hyperlink ref="D972" r:id="rId1651" tooltip="Android (operating system)" display="https://en.wikipedia.org/wiki/Android_(operating_system)" xr:uid="{9FE8C256-E65C-480B-8C3B-8EFFEB3E611B}"/>
    <hyperlink ref="E972" r:id="rId1652" tooltip="Maxis" display="https://en.wikipedia.org/wiki/Maxis" xr:uid="{23CD1BD4-2FC2-4F40-A185-69E104AA6DF5}"/>
    <hyperlink ref="B973" r:id="rId1653" tooltip="SimCity Deluxe" display="https://en.wikipedia.org/wiki/SimCity_Deluxe" xr:uid="{F32FD669-FCE7-442E-B3BE-06973E49E751}"/>
    <hyperlink ref="D973" r:id="rId1654" tooltip="IOS" display="https://en.wikipedia.org/wiki/IOS" xr:uid="{2CE68245-5888-4B7E-8643-CBE7FB8CD25E}"/>
    <hyperlink ref="E973" r:id="rId1655" tooltip="Maxis" display="https://en.wikipedia.org/wiki/Maxis" xr:uid="{D1D8F478-EEEB-4E22-BC1D-D75FF3228534}"/>
    <hyperlink ref="B753" r:id="rId1656" tooltip="SimCity Deluxe" display="https://en.wikipedia.org/wiki/SimCity_Deluxe" xr:uid="{258566AF-5CBD-40B2-9DF1-85CF5E09F5AC}"/>
    <hyperlink ref="D753" r:id="rId1657" tooltip="BlackBerry World" display="https://en.wikipedia.org/wiki/BlackBerry_World" xr:uid="{02CED1D0-FFA4-4C85-B464-CBA4BE0C7B6C}"/>
    <hyperlink ref="E753" r:id="rId1658" tooltip="Maxis" display="https://en.wikipedia.org/wiki/Maxis" xr:uid="{681290DA-1ED2-45C2-B682-1F0E1D5B8DE1}"/>
    <hyperlink ref="B675" r:id="rId1659" tooltip="SimCity Social" display="https://en.wikipedia.org/wiki/SimCity_Social" xr:uid="{B8AD4B1F-97B2-484C-98D9-E9FBE1A4EF14}"/>
    <hyperlink ref="D675" r:id="rId1660" tooltip="Facebook" display="https://en.wikipedia.org/wiki/Facebook" xr:uid="{DE93602B-6382-45EA-8575-5C7AA13A2B58}"/>
    <hyperlink ref="E675" r:id="rId1661" tooltip="Playfish" display="https://en.wikipedia.org/wiki/Playfish" xr:uid="{B6780879-6AAD-4D54-8EED-FD9C3667429C}"/>
    <hyperlink ref="B500" r:id="rId1662" tooltip="SimCity: BuildIt" display="https://en.wikipedia.org/wiki/SimCity:_BuildIt" xr:uid="{582FD543-6C19-4AF9-9EF5-EC2805780C09}"/>
    <hyperlink ref="D500" r:id="rId1663" tooltip="Android (operating system)" display="https://en.wikipedia.org/wiki/Android_(operating_system)" xr:uid="{4B8952A9-A975-4B3A-9F4A-8DBAD1B3E420}"/>
    <hyperlink ref="B499" r:id="rId1664" tooltip="SimCity: BuildIt" display="https://en.wikipedia.org/wiki/SimCity:_BuildIt" xr:uid="{52DDFF30-C101-490F-A3AC-BCADAC8411D9}"/>
    <hyperlink ref="D499" r:id="rId1665" tooltip="IOS" display="https://en.wikipedia.org/wiki/IOS" xr:uid="{8B1A25B4-D34B-4320-AFA5-D5C0CC14ACBF}"/>
    <hyperlink ref="B999" r:id="rId1666" tooltip="Skate 3" display="https://en.wikipedia.org/wiki/Skate_3" xr:uid="{74D07E68-F2E9-4069-8C60-9DB3BB983AEE}"/>
    <hyperlink ref="D999" r:id="rId1667" tooltip="PlayStation 3" display="https://en.wikipedia.org/wiki/PlayStation_3" xr:uid="{0D220F79-EA04-4EAC-A590-21F60B5FD217}"/>
    <hyperlink ref="E999" r:id="rId1668" tooltip="EA Black Box" display="https://en.wikipedia.org/wiki/EA_Black_Box" xr:uid="{A90DFAB5-80B2-4AAC-A582-5B925624759C}"/>
    <hyperlink ref="B1000" r:id="rId1669" tooltip="Skate 3" display="https://en.wikipedia.org/wiki/Skate_3" xr:uid="{A4D4DD6C-4264-4E06-91D2-B92937AC5AA6}"/>
    <hyperlink ref="D1000" r:id="rId1670" tooltip="Xbox 360" display="https://en.wikipedia.org/wiki/Xbox_360" xr:uid="{3613E579-5549-42E4-8A32-BA76EB56013E}"/>
    <hyperlink ref="E1000" r:id="rId1671" tooltip="EA Black Box" display="https://en.wikipedia.org/wiki/EA_Black_Box" xr:uid="{F68029FD-776C-4F23-B53D-4FFC7A938CA5}"/>
    <hyperlink ref="B1001" r:id="rId1672" tooltip="Skate It" display="https://en.wikipedia.org/wiki/Skate_It" xr:uid="{09824B1A-0405-4FFF-803C-1953AF5B8CDC}"/>
    <hyperlink ref="D1001" r:id="rId1673" tooltip="IOS" display="https://en.wikipedia.org/wiki/IOS" xr:uid="{4C0FD5B0-CF05-463C-BC4D-5444A259C69D}"/>
    <hyperlink ref="E1001" r:id="rId1674" tooltip="EA Black Box" display="https://en.wikipedia.org/wiki/EA_Black_Box" xr:uid="{B130BF7A-CE00-4BB0-A045-5E1DE2A8021C}"/>
    <hyperlink ref="B858" r:id="rId1675" tooltip="Spare Parts (video game)" display="https://en.wikipedia.org/wiki/Spare_Parts_(video_game)" xr:uid="{240A0724-4ACF-4054-B3DF-23F3C59DC9C6}"/>
    <hyperlink ref="D858" r:id="rId1676" tooltip="PlayStation 3" display="https://en.wikipedia.org/wiki/PlayStation_3" xr:uid="{14E2C18E-A1F4-4BB8-B006-FC6EB92BC0CB}"/>
    <hyperlink ref="E858" r:id="rId1677" tooltip="EA Bright Light" display="https://en.wikipedia.org/wiki/EA_Bright_Light" xr:uid="{0F8A6787-AD1B-4528-A502-DA3F63A9D0EE}"/>
    <hyperlink ref="B857" r:id="rId1678" tooltip="Spare Parts (video game)" display="https://en.wikipedia.org/wiki/Spare_Parts_(video_game)" xr:uid="{7BCF8E15-D7F1-49E2-A7E8-26D0A26CF617}"/>
    <hyperlink ref="D857" r:id="rId1679" tooltip="Xbox 360" display="https://en.wikipedia.org/wiki/Xbox_360" xr:uid="{F2EB9366-298C-41BC-8FAE-02EDB48C99CE}"/>
    <hyperlink ref="E857" r:id="rId1680" tooltip="EA Bright Light" display="https://en.wikipedia.org/wiki/EA_Bright_Light" xr:uid="{CD5082B6-6FD8-4834-BE60-3693447BF675}"/>
    <hyperlink ref="B1027" r:id="rId1681" tooltip="Spore Creatures" display="https://en.wikipedia.org/wiki/Spore_Creatures" xr:uid="{051BFC2A-A485-4C3E-86B2-9E7F2CACDB59}"/>
    <hyperlink ref="D1027" r:id="rId1682" tooltip="IOS" display="https://en.wikipedia.org/wiki/IOS" xr:uid="{81F307B9-BC9C-43CF-9D6D-04B7028ECFEC}"/>
    <hyperlink ref="E1027" r:id="rId1683" tooltip="Griptonite Games" display="https://en.wikipedia.org/wiki/Griptonite_Games" xr:uid="{6030DF0D-A70E-452A-B779-9EC309A6BA2A}"/>
    <hyperlink ref="B793" r:id="rId1684" tooltip="Spy Mouse" display="https://en.wikipedia.org/wiki/Spy_Mouse" xr:uid="{B72664E0-8DB5-41A3-A83B-AAD246BD7125}"/>
    <hyperlink ref="D793" r:id="rId1685" tooltip="Android (operating system)" display="https://en.wikipedia.org/wiki/Android_(operating_system)" xr:uid="{E9FC6406-3195-4F37-9BAD-6CE16608A587}"/>
    <hyperlink ref="E793" r:id="rId1686" tooltip="Firemint" display="https://en.wikipedia.org/wiki/Firemint" xr:uid="{06C8CB87-EAB3-4413-A1C5-954802F21CFF}"/>
    <hyperlink ref="B794" r:id="rId1687" tooltip="Spy Mouse" display="https://en.wikipedia.org/wiki/Spy_Mouse" xr:uid="{B959DF14-BA56-4E5C-80AE-B21ABBD05242}"/>
    <hyperlink ref="D794" r:id="rId1688" tooltip="IOS" display="https://en.wikipedia.org/wiki/IOS" xr:uid="{E6673688-A59B-4BF4-A813-715C3017458F}"/>
    <hyperlink ref="E794" r:id="rId1689" tooltip="Firemint" display="https://en.wikipedia.org/wiki/Firemint" xr:uid="{BEC7D655-DF90-4CB3-9B47-3444AF657276}"/>
    <hyperlink ref="B703" r:id="rId1690" tooltip="SSX (2012 video game)" display="https://en.wikipedia.org/wiki/SSX_(2012_video_game)" xr:uid="{9390ADC6-D5F2-43B5-96AE-F04F47C65210}"/>
    <hyperlink ref="D703" r:id="rId1691" tooltip="PlayStation 3" display="https://en.wikipedia.org/wiki/PlayStation_3" xr:uid="{8598B400-8EF9-402E-BE80-7B7E9E598F19}"/>
    <hyperlink ref="E703" r:id="rId1692" tooltip="EA Canada" display="https://en.wikipedia.org/wiki/EA_Canada" xr:uid="{FBC04EB0-280B-4723-9F4F-BA7B279351B5}"/>
    <hyperlink ref="B704" r:id="rId1693" tooltip="SSX (2012 video game)" display="https://en.wikipedia.org/wiki/SSX_(2012_video_game)" xr:uid="{84B7CE8B-023B-45D6-B432-BDED9F73E026}"/>
    <hyperlink ref="D704" r:id="rId1694" tooltip="Xbox 360" display="https://en.wikipedia.org/wiki/Xbox_360" xr:uid="{7D11D836-7DF4-45D2-862D-99BEFB23016E}"/>
    <hyperlink ref="E704" r:id="rId1695" tooltip="EA Canada" display="https://en.wikipedia.org/wiki/EA_Canada" xr:uid="{061CB231-7424-4EF4-97A2-9B105E2D1ACA}"/>
    <hyperlink ref="B336" r:id="rId1696" tooltip="SSX 3" display="https://en.wikipedia.org/wiki/SSX_3" xr:uid="{8AE33A74-E6B5-4DCC-B8ED-3624C6446971}"/>
    <hyperlink ref="D336" r:id="rId1697" tooltip="Xbox One" display="https://en.wikipedia.org/wiki/Xbox_One" xr:uid="{BFD745A7-DEAA-478B-B830-D197D2C49A24}"/>
    <hyperlink ref="E336" r:id="rId1698" tooltip="EA Canada" display="https://en.wikipedia.org/wiki/EA_Canada" xr:uid="{FB24A47F-1E2D-4AE3-87FB-DEB9206AC33A}"/>
    <hyperlink ref="B446" r:id="rId1699" tooltip="Star Wars Battlefront (2015 video game)" display="https://en.wikipedia.org/wiki/Star_Wars_Battlefront_(2015_video_game)" xr:uid="{ADD6345B-FF35-4777-8BE3-BD2E6445BE34}"/>
    <hyperlink ref="D446" r:id="rId1700" tooltip="PlayStation 4" display="https://en.wikipedia.org/wiki/PlayStation_4" xr:uid="{6668CC8C-B373-4DB0-BBB9-021D6819C58F}"/>
    <hyperlink ref="E446" r:id="rId1701" tooltip="EA DICE" display="https://en.wikipedia.org/wiki/EA_DICE" xr:uid="{6F680693-3606-4BD0-9AC5-7BAE2974EE7A}"/>
    <hyperlink ref="B447" r:id="rId1702" tooltip="Star Wars Battlefront (2015 video game)" display="https://en.wikipedia.org/wiki/Star_Wars_Battlefront_(2015_video_game)" xr:uid="{33A4AC94-F6B7-4D3B-AB18-95C0CBB604D0}"/>
    <hyperlink ref="D447" r:id="rId1703" tooltip="Microsoft Windows" display="https://en.wikipedia.org/wiki/Microsoft_Windows" xr:uid="{15C79427-A649-4AA3-8C36-A5DE2838D0FD}"/>
    <hyperlink ref="E447" r:id="rId1704" tooltip="EA DICE" display="https://en.wikipedia.org/wiki/EA_DICE" xr:uid="{BC36310D-D8C1-44D3-8FAF-1F16ADE09B75}"/>
    <hyperlink ref="B448" r:id="rId1705" tooltip="Star Wars Battlefront (2015 video game)" display="https://en.wikipedia.org/wiki/Star_Wars_Battlefront_(2015_video_game)" xr:uid="{1CE6892F-2BF2-4115-9AA2-174C2E6001D8}"/>
    <hyperlink ref="D448" r:id="rId1706" tooltip="Xbox One" display="https://en.wikipedia.org/wiki/Xbox_One" xr:uid="{F8A87AF1-FA8D-4381-B0E7-380916D8F2BC}"/>
    <hyperlink ref="E448" r:id="rId1707" tooltip="EA DICE" display="https://en.wikipedia.org/wiki/EA_DICE" xr:uid="{A237D886-43A2-482C-9210-B4730FF467FC}"/>
    <hyperlink ref="B356" r:id="rId1708" tooltip="Star Wars Battlefront II (2017 video game)" display="https://en.wikipedia.org/wiki/Star_Wars_Battlefront_II_(2017_video_game)" xr:uid="{CE32292B-0305-483E-BEE7-78B8F5FBD9C4}"/>
    <hyperlink ref="D356" r:id="rId1709" tooltip="PlayStation 4" display="https://en.wikipedia.org/wiki/PlayStation_4" xr:uid="{F499DA36-3D58-4421-9E0F-5D7D2F0E542B}"/>
    <hyperlink ref="E356" r:id="rId1710" tooltip="EA DICE" display="https://en.wikipedia.org/wiki/EA_DICE" xr:uid="{E0C5687F-34B8-430B-9B90-0A8ACD211FAE}"/>
    <hyperlink ref="B357" r:id="rId1711" tooltip="Star Wars Battlefront II (2017 video game)" display="https://en.wikipedia.org/wiki/Star_Wars_Battlefront_II_(2017_video_game)" xr:uid="{D4F00612-12DE-4138-BD34-0335FBB07D9E}"/>
    <hyperlink ref="D357" r:id="rId1712" tooltip="Microsoft Windows" display="https://en.wikipedia.org/wiki/Microsoft_Windows" xr:uid="{F34A19B6-6203-47BA-9848-61242B450BF8}"/>
    <hyperlink ref="E357" r:id="rId1713" tooltip="EA DICE" display="https://en.wikipedia.org/wiki/EA_DICE" xr:uid="{EAF7A038-E8A9-46E7-A6C7-F943FED86D1C}"/>
    <hyperlink ref="B358" r:id="rId1714" tooltip="Star Wars Battlefront II (2017 video game)" display="https://en.wikipedia.org/wiki/Star_Wars_Battlefront_II_(2017_video_game)" xr:uid="{DD98949E-C183-4F04-8BBD-892B1CBB0A4D}"/>
    <hyperlink ref="D358" r:id="rId1715" tooltip="Xbox One" display="https://en.wikipedia.org/wiki/Xbox_One" xr:uid="{9058AA4A-9804-40A7-85AD-87ED39481903}"/>
    <hyperlink ref="E358" r:id="rId1716" tooltip="EA DICE" display="https://en.wikipedia.org/wiki/EA_DICE" xr:uid="{98C9A03E-A19E-41C8-90F6-0EC0CB7A5559}"/>
    <hyperlink ref="B250" r:id="rId1717" tooltip="Star Wars Jedi: Fallen Order" display="https://en.wikipedia.org/wiki/Star_Wars_Jedi:_Fallen_Order" xr:uid="{39AF4188-CC26-4E05-BAE3-6EB01FE2C229}"/>
    <hyperlink ref="D250" r:id="rId1718" tooltip="PlayStation 4" display="https://en.wikipedia.org/wiki/PlayStation_4" xr:uid="{A8B7F07A-EA15-4F71-8F3D-A900DA9710AF}"/>
    <hyperlink ref="E250" r:id="rId1719" tooltip="Respawn Entertainment" display="https://en.wikipedia.org/wiki/Respawn_Entertainment" xr:uid="{2A9233AA-4E5C-4BBB-8C77-55C7DDF87F64}"/>
    <hyperlink ref="B251" r:id="rId1720" tooltip="Star Wars Jedi: Fallen Order" display="https://en.wikipedia.org/wiki/Star_Wars_Jedi:_Fallen_Order" xr:uid="{31F5A31F-2995-4CBC-A818-2EED547AD45F}"/>
    <hyperlink ref="D251" r:id="rId1721" tooltip="Microsoft Windows" display="https://en.wikipedia.org/wiki/Microsoft_Windows" xr:uid="{7E636AE8-EEC5-46F4-A70B-25ABAEE85FBD}"/>
    <hyperlink ref="E251" r:id="rId1722" tooltip="Respawn Entertainment" display="https://en.wikipedia.org/wiki/Respawn_Entertainment" xr:uid="{6C46AACC-9523-4656-A13A-D408446E9B48}"/>
    <hyperlink ref="B252" r:id="rId1723" tooltip="Star Wars Jedi: Fallen Order" display="https://en.wikipedia.org/wiki/Star_Wars_Jedi:_Fallen_Order" xr:uid="{1955C174-3002-4795-BADF-090EA9AD36A1}"/>
    <hyperlink ref="D252" r:id="rId1724" tooltip="Xbox One" display="https://en.wikipedia.org/wiki/Xbox_One" xr:uid="{A0D836F6-4731-4D64-9608-B289F071AF41}"/>
    <hyperlink ref="E252" r:id="rId1725" tooltip="Respawn Entertainment" display="https://en.wikipedia.org/wiki/Respawn_Entertainment" xr:uid="{A5574AD7-73B4-4DF1-8691-A60180FDD8AC}"/>
    <hyperlink ref="B203" r:id="rId1726" tooltip="Star Wars Jedi: Fallen Order" display="https://en.wikipedia.org/wiki/Star_Wars_Jedi:_Fallen_Order" xr:uid="{1EB9E151-16FA-4B93-B1D5-ECAEACE72375}"/>
    <hyperlink ref="D203" r:id="rId1727" tooltip="Google Stadia" display="https://en.wikipedia.org/wiki/Google_Stadia" xr:uid="{ADADE252-3E69-4448-8514-4E0088D838C3}"/>
    <hyperlink ref="E203" r:id="rId1728" tooltip="Respawn Entertainment" display="https://en.wikipedia.org/wiki/Respawn_Entertainment" xr:uid="{C2811F1C-2FBD-4AB7-88FE-EC8539E05320}"/>
    <hyperlink ref="B179" r:id="rId1729" tooltip="Star Wars Jedi: Fallen Order" display="https://en.wikipedia.org/wiki/Star_Wars_Jedi:_Fallen_Order" xr:uid="{E181DBDC-FDF4-4D3D-B78D-791393DD5BDB}"/>
    <hyperlink ref="D179" r:id="rId1730" tooltip="PlayStation 5" display="https://en.wikipedia.org/wiki/PlayStation_5" xr:uid="{9737509C-EF87-4E75-91E8-CFA681DC16E6}"/>
    <hyperlink ref="E179" r:id="rId1731" tooltip="Respawn Entertainment" display="https://en.wikipedia.org/wiki/Respawn_Entertainment" xr:uid="{3D7A8DD8-D3CE-4ACB-9282-5F4C4E11C675}"/>
    <hyperlink ref="B180" r:id="rId1732" tooltip="Star Wars Jedi: Fallen Order" display="https://en.wikipedia.org/wiki/Star_Wars_Jedi:_Fallen_Order" xr:uid="{36E54078-3653-41BD-B5C3-2C585F8A9883}"/>
    <hyperlink ref="D180" r:id="rId1733" tooltip="Xbox Series X and Series S" display="https://en.wikipedia.org/wiki/Xbox_Series_X_and_Series_S" xr:uid="{BD75812D-3C50-4505-AA48-6734CF825FA8}"/>
    <hyperlink ref="E180" r:id="rId1734" tooltip="Respawn Entertainment" display="https://en.wikipedia.org/wiki/Respawn_Entertainment" xr:uid="{D0FEDA72-239C-4002-A39F-93AFB7FCD35B}"/>
    <hyperlink ref="B442" r:id="rId1735" tooltip="Star Wars: Galaxy of Heroes" display="https://en.wikipedia.org/wiki/Star_Wars:_Galaxy_of_Heroes" xr:uid="{982C2F94-E27F-490D-893D-FC3E9480F941}"/>
    <hyperlink ref="D442" r:id="rId1736" tooltip="Android (operating system)" display="https://en.wikipedia.org/wiki/Android_(operating_system)" xr:uid="{3B14F854-082F-484C-B0F7-9C39CF7383F9}"/>
    <hyperlink ref="E442" r:id="rId1737" tooltip="EA Mobile" display="https://en.wikipedia.org/wiki/EA_Mobile" xr:uid="{A70CF3C7-237D-4E94-A56C-7BEC235F9A4E}"/>
    <hyperlink ref="B443" r:id="rId1738" tooltip="Star Wars: Galaxy of Heroes" display="https://en.wikipedia.org/wiki/Star_Wars:_Galaxy_of_Heroes" xr:uid="{0FB94D6B-BC8C-4385-8F6E-95332B171916}"/>
    <hyperlink ref="D443" r:id="rId1739" tooltip="IOS" display="https://en.wikipedia.org/wiki/IOS" xr:uid="{C9CCC3CB-CAD6-477C-BE30-C190244596F7}"/>
    <hyperlink ref="E443" r:id="rId1740" tooltip="EA Mobile" display="https://en.wikipedia.org/wiki/EA_Mobile" xr:uid="{D35914F0-DE19-443B-9597-F89F2790F671}"/>
    <hyperlink ref="B723" r:id="rId1741" tooltip="Star Wars: The Old Republic" display="https://en.wikipedia.org/wiki/Star_Wars:_The_Old_Republic" xr:uid="{91F3CCFD-DE5F-44AB-BB16-77E695733E3E}"/>
    <hyperlink ref="D723" r:id="rId1742" tooltip="Microsoft Windows" display="https://en.wikipedia.org/wiki/Microsoft_Windows" xr:uid="{E726534D-26F6-41C2-9AD4-934E4E5B84B8}"/>
    <hyperlink ref="E723" r:id="rId1743" tooltip="BioWare" display="https://en.wikipedia.org/wiki/BioWare" xr:uid="{EC8D7177-7CEC-4F32-A519-47CBAC72583C}"/>
    <hyperlink ref="B1007" r:id="rId1744" tooltip="Surviving High School" display="https://en.wikipedia.org/wiki/Surviving_High_School" xr:uid="{FCAF4E4C-5A34-4524-8F4A-BDA10610CFD6}"/>
    <hyperlink ref="D1007" r:id="rId1745" tooltip="Nintendo DS" display="https://en.wikipedia.org/wiki/Nintendo_DS" xr:uid="{F5131D1B-F3E6-4B66-9258-929E2DE354BC}"/>
    <hyperlink ref="E1007" r:id="rId1746" tooltip="EA Mobile" display="https://en.wikipedia.org/wiki/EA_Mobile" xr:uid="{D6962888-6DF1-442A-936D-D3E2054F54EA}"/>
    <hyperlink ref="B721" r:id="rId1747" tooltip="Surviving High School" display="https://en.wikipedia.org/wiki/Surviving_High_School" xr:uid="{2785748E-72DD-4288-B925-27B84512C64D}"/>
    <hyperlink ref="D721" r:id="rId1748" tooltip="Android (operating system)" display="https://en.wikipedia.org/wiki/Android_(operating_system)" xr:uid="{48FC265F-FB48-4956-B8AF-6F02475F60DE}"/>
    <hyperlink ref="E721" r:id="rId1749" tooltip="EA Mobile" display="https://en.wikipedia.org/wiki/EA_Mobile" xr:uid="{B3BB4DC5-DDA6-4475-AF64-5E614540CE23}"/>
    <hyperlink ref="B706" r:id="rId1750" tooltip="Syndicate (2012 video game)" display="https://en.wikipedia.org/wiki/Syndicate_(2012_video_game)" xr:uid="{6847367E-3DC0-44B9-8E60-B2B482DE26C7}"/>
    <hyperlink ref="D706" r:id="rId1751" tooltip="PlayStation 3" display="https://en.wikipedia.org/wiki/PlayStation_3" xr:uid="{BBD7DF4B-19CD-475E-B347-0706AD185182}"/>
    <hyperlink ref="E706" r:id="rId1752" tooltip="Starbreeze Studios" display="https://en.wikipedia.org/wiki/Starbreeze_Studios" xr:uid="{719C3341-7E59-4CBF-A815-35C5F8BE84E9}"/>
    <hyperlink ref="B707" r:id="rId1753" tooltip="Syndicate (2012 video game)" display="https://en.wikipedia.org/wiki/Syndicate_(2012_video_game)" xr:uid="{BA3A205A-1C8E-4507-88E0-C49D1B992FB5}"/>
    <hyperlink ref="D707" r:id="rId1754" tooltip="Microsoft Windows" display="https://en.wikipedia.org/wiki/Microsoft_Windows" xr:uid="{F55F3F5F-8A19-42A7-9C4C-60662927B6CD}"/>
    <hyperlink ref="E707" r:id="rId1755" tooltip="Starbreeze Studios" display="https://en.wikipedia.org/wiki/Starbreeze_Studios" xr:uid="{BAB1739F-AA54-45F1-8737-BB6C2352662C}"/>
    <hyperlink ref="B708" r:id="rId1756" tooltip="Syndicate (2012 video game)" display="https://en.wikipedia.org/wiki/Syndicate_(2012_video_game)" xr:uid="{48B46757-107E-4CBD-B632-A92671879B4C}"/>
    <hyperlink ref="D708" r:id="rId1757" tooltip="Xbox 360" display="https://en.wikipedia.org/wiki/Xbox_360" xr:uid="{7C0CEE69-B2A3-430C-A98B-DFC865CDFECE}"/>
    <hyperlink ref="E708" r:id="rId1758" tooltip="Starbreeze Studios" display="https://en.wikipedia.org/wiki/Starbreeze_Studios" xr:uid="{0A6C8861-E3E4-47E8-9C06-6BBFFC35776F}"/>
    <hyperlink ref="B925" r:id="rId1759" tooltip="Tetris (Electronic Arts)" display="https://en.wikipedia.org/wiki/Tetris_(Electronic_Arts)" xr:uid="{3EEE1373-CBDD-48A0-9A43-60291D3F991C}"/>
    <hyperlink ref="D925" r:id="rId1760" tooltip="Windows Phone" display="https://en.wikipedia.org/wiki/Windows_Phone" xr:uid="{438826D4-F977-4DBA-A24A-62FDE33C35C5}"/>
    <hyperlink ref="E925" r:id="rId1761" tooltip="EA Mobile" display="https://en.wikipedia.org/wiki/EA_Mobile" xr:uid="{4DABB4A7-1ED0-4310-B40D-D099362905E8}"/>
    <hyperlink ref="B860" r:id="rId1762" tooltip="Tetris (Electronic Arts)" display="https://en.wikipedia.org/wiki/Tetris_(Electronic_Arts)" xr:uid="{6D625D17-2A57-450B-999D-B419AA843F55}"/>
    <hyperlink ref="D860" r:id="rId1763" tooltip="PlayStation 3" display="https://en.wikipedia.org/wiki/PlayStation_3" xr:uid="{CC9A48B1-B413-4DBF-B69A-AE3870A92D5E}"/>
    <hyperlink ref="E860" r:id="rId1764" tooltip="EA Mobile" display="https://en.wikipedia.org/wiki/EA_Mobile" xr:uid="{44401AB8-9AFA-4DAB-8778-1B00F01575BA}"/>
    <hyperlink ref="B782" r:id="rId1765" tooltip="Tetris (Electronic Arts)" display="https://en.wikipedia.org/wiki/Tetris_(Electronic_Arts)" xr:uid="{723C6363-D081-4E5E-B96A-A505CC5D1CA9}"/>
    <hyperlink ref="D782" r:id="rId1766" tooltip="Android (operating system)" display="https://en.wikipedia.org/wiki/Android_(operating_system)" xr:uid="{EED08F22-A17C-464C-813B-D09CE4BBD302}"/>
    <hyperlink ref="E782" r:id="rId1767" tooltip="EA Mobile" display="https://en.wikipedia.org/wiki/EA_Mobile" xr:uid="{32ACE8B3-F346-47B0-B544-BFEB9B10FCF4}"/>
    <hyperlink ref="B900" r:id="rId1768" tooltip="Texas Hold 'em (video game)" display="https://en.wikipedia.org/wiki/Texas_Hold_%27em_(video_game)" xr:uid="{81C6CA0F-1C01-45B5-8CDD-D75DE6DCD47C}"/>
    <hyperlink ref="D900" r:id="rId1769" tooltip="Kindle Fire" display="https://en.wikipedia.org/wiki/Kindle_Fire" xr:uid="{ED47E7D4-EAC1-4D0E-8281-5B93E4780DA1}"/>
    <hyperlink ref="B674" r:id="rId1770" tooltip="The Secret World" display="https://en.wikipedia.org/wiki/The_Secret_World" xr:uid="{6339CB31-2130-4977-A389-90F7F5B2B223}"/>
    <hyperlink ref="D674" r:id="rId1771" tooltip="Microsoft Windows" display="https://en.wikipedia.org/wiki/Microsoft_Windows" xr:uid="{B4433256-B9E8-48B9-8D59-07703C303F4E}"/>
    <hyperlink ref="E674" r:id="rId1772" tooltip="Funcom" display="https://en.wikipedia.org/wiki/Funcom" xr:uid="{7C9DC252-86A3-424D-B048-D0148403D977}"/>
    <hyperlink ref="B700" r:id="rId1773" tooltip="The Simpsons: Tapped Out" display="https://en.wikipedia.org/wiki/The_Simpsons:_Tapped_Out" xr:uid="{F859A6E3-4C8A-4A1D-9F42-5FE305D1CD14}"/>
    <hyperlink ref="D700" r:id="rId1774" tooltip="IOS" display="https://en.wikipedia.org/wiki/IOS" xr:uid="{F7D53A8C-4A7D-4C65-A42F-BC28B13DD46B}"/>
    <hyperlink ref="E700" r:id="rId1775" tooltip="EA Mobile" display="https://en.wikipedia.org/wiki/EA_Mobile" xr:uid="{3152F4D7-8224-45B2-B018-221CFC09C020}"/>
    <hyperlink ref="B620" r:id="rId1776" tooltip="The Simpsons: Tapped Out" display="https://en.wikipedia.org/wiki/The_Simpsons:_Tapped_Out" xr:uid="{084AA0E5-2ACB-424F-9AE7-F7D63BDF7A35}"/>
    <hyperlink ref="D620" r:id="rId1777" tooltip="Android (operating system)" display="https://en.wikipedia.org/wiki/Android_(operating_system)" xr:uid="{47D78F16-CC97-42A3-B25C-1BB3992039DB}"/>
    <hyperlink ref="E620" r:id="rId1778" tooltip="EA Mobile" display="https://en.wikipedia.org/wiki/EA_Mobile" xr:uid="{972DF234-8526-4306-853E-BC0C527534AD}"/>
    <hyperlink ref="B597" r:id="rId1779" tooltip="The Simpsons: Tapped Out" display="https://en.wikipedia.org/wiki/The_Simpsons:_Tapped_Out" xr:uid="{0B0459A8-781B-4DE7-BA15-A52AB9A3F9D8}"/>
    <hyperlink ref="D597" r:id="rId1780" tooltip="Kindle Fire" display="https://en.wikipedia.org/wiki/Kindle_Fire" xr:uid="{6BCF9C69-6E52-4F45-B0DD-9DE3AB6F8CAE}"/>
    <hyperlink ref="E597" r:id="rId1781" tooltip="EA Mobile" display="https://en.wikipedia.org/wiki/EA_Mobile" xr:uid="{DC8294A9-4521-4FFE-8F54-284BC9DA11E6}"/>
    <hyperlink ref="B924" r:id="rId1782" tooltip="The Sims 3" display="https://en.wikipedia.org/wiki/The_Sims_3" xr:uid="{730B0ABD-B5BB-41FA-BE2D-10AA87F770E6}"/>
    <hyperlink ref="D924" r:id="rId1783" tooltip="Windows Phone" display="https://en.wikipedia.org/wiki/Windows_Phone" xr:uid="{375E84A0-EE4A-46EF-B7DE-F2B93FF8C67E}"/>
    <hyperlink ref="E924" r:id="rId1784" tooltip="EA Mobile" display="https://en.wikipedia.org/wiki/EA_Mobile" xr:uid="{40324E18-8A51-493D-BEE9-2AD014D7D6D8}"/>
    <hyperlink ref="B909" r:id="rId1785" tooltip="The Sims 3" display="https://en.wikipedia.org/wiki/The_Sims_3" xr:uid="{14E856DA-8E73-4951-87AE-960D15FBA586}"/>
    <hyperlink ref="D909" r:id="rId1786" tooltip="Nintendo DSi" display="https://en.wikipedia.org/wiki/Nintendo_DSi" xr:uid="{9CBAEE0F-7026-4DA5-B004-80D3103451D1}"/>
    <hyperlink ref="E909" r:id="rId1787" tooltip="Edge of Reality" display="https://en.wikipedia.org/wiki/Edge_of_Reality" xr:uid="{0F9ED759-D84E-48C5-93DB-B8CD7FE13333}"/>
    <hyperlink ref="B910" r:id="rId1788" tooltip="The Sims 3" display="https://en.wikipedia.org/wiki/The_Sims_3" xr:uid="{8B9AFD95-269C-4375-9702-87F5B3BC912C}"/>
    <hyperlink ref="D910" r:id="rId1789" tooltip="PlayStation 3" display="https://en.wikipedia.org/wiki/PlayStation_3" xr:uid="{7C42CEA7-11D2-4F2A-BDA1-B16FF46DFC89}"/>
    <hyperlink ref="E910" r:id="rId1790" tooltip="Edge of Reality" display="https://en.wikipedia.org/wiki/Edge_of_Reality" xr:uid="{22B17B3F-48EB-4F2F-8E58-6E9214279DD1}"/>
    <hyperlink ref="B911" r:id="rId1791" tooltip="The Sims 3" display="https://en.wikipedia.org/wiki/The_Sims_3" xr:uid="{FEC2AF80-FAFC-476F-8A89-E8D375DF4A1B}"/>
    <hyperlink ref="D911" r:id="rId1792" tooltip="Xbox 360" display="https://en.wikipedia.org/wiki/Xbox_360" xr:uid="{5D4FA067-1759-493F-B686-A697CEF65231}"/>
    <hyperlink ref="E911" r:id="rId1793" tooltip="Edge of Reality" display="https://en.wikipedia.org/wiki/Edge_of_Reality" xr:uid="{3F181851-75F3-4E2D-9872-1C7A77F73EC0}"/>
    <hyperlink ref="B899" r:id="rId1794" tooltip="The Sims 3" display="https://en.wikipedia.org/wiki/The_Sims_3" xr:uid="{12D2CAD3-A712-42CD-B91E-1447920487C0}"/>
    <hyperlink ref="D899" r:id="rId1795" tooltip="Wii" display="https://en.wikipedia.org/wiki/Wii" xr:uid="{A3EC6269-6A4C-4719-B6ED-BBB716548C05}"/>
    <hyperlink ref="E899" r:id="rId1796" tooltip="Edge of Reality" display="https://en.wikipedia.org/wiki/Edge_of_Reality" xr:uid="{977587F6-A4EC-46FB-921D-FAE25EC6AEC4}"/>
    <hyperlink ref="B826" r:id="rId1797" tooltip="The Sims 3" display="https://en.wikipedia.org/wiki/The_Sims_3" xr:uid="{A19A84DF-9D73-48F3-B330-FCA25F4E6521}"/>
    <hyperlink ref="D826" r:id="rId1798" tooltip="Nintendo 3DS" display="https://en.wikipedia.org/wiki/Nintendo_3DS" xr:uid="{5A439E92-3FDA-4792-BB32-75D7DDB43CCE}"/>
    <hyperlink ref="E826" r:id="rId1799" tooltip="Edge of Reality" display="https://en.wikipedia.org/wiki/Edge_of_Reality" xr:uid="{65491D19-C923-4023-BBC2-89DEAF17E5EC}"/>
    <hyperlink ref="D975" r:id="rId1800" tooltip="Android (operating system)" display="https://en.wikipedia.org/wiki/Android_(operating_system)" xr:uid="{1F052D90-8661-4F8E-9F95-5D8D6835BBBD}"/>
    <hyperlink ref="E975" r:id="rId1801" tooltip="Maxis Redwood Shores" display="https://en.wikipedia.org/wiki/Maxis_Redwood_Shores" xr:uid="{E6E014FC-31B2-4CEA-987E-43F829624467}"/>
    <hyperlink ref="B1022" r:id="rId1802" tooltip="The Sims 3 Stuff packs" display="https://en.wikipedia.org/wiki/The_Sims_3_Stuff_packs" xr:uid="{54790018-7C7E-47D6-B3CE-512EDCAB1D7F}"/>
    <hyperlink ref="D1022" r:id="rId1803" tooltip="Macintosh" display="https://en.wikipedia.org/wiki/Macintosh" xr:uid="{95574B6F-310B-485D-981F-A013F60D39CA}"/>
    <hyperlink ref="E1022" r:id="rId1804" tooltip="Maxis Redwood Shores" display="https://en.wikipedia.org/wiki/Maxis_Redwood_Shores" xr:uid="{E0753CA9-FD24-4ECF-B485-B98731FB8E5A}"/>
    <hyperlink ref="B1023" r:id="rId1805" tooltip="The Sims 3 Stuff packs" display="https://en.wikipedia.org/wiki/The_Sims_3_Stuff_packs" xr:uid="{FA13D572-1708-47C0-97A2-800CA4F6AAD0}"/>
    <hyperlink ref="D1023" r:id="rId1806" tooltip="Microsoft Windows" display="https://en.wikipedia.org/wiki/Microsoft_Windows" xr:uid="{B63B51BB-7DD0-49F8-BC3B-9253C8A4AB5C}"/>
    <hyperlink ref="E1023" r:id="rId1807" tooltip="Maxis Redwood Shores" display="https://en.wikipedia.org/wiki/Maxis_Redwood_Shores" xr:uid="{D4F59287-ABB9-4807-812B-AD8A02A994D8}"/>
    <hyperlink ref="B993" r:id="rId1808" tooltip="The Sims 3: Ambitions" display="https://en.wikipedia.org/wiki/The_Sims_3:_Ambitions" xr:uid="{1ACA2ABE-0F2B-4701-BB1F-26DB977072CE}"/>
    <hyperlink ref="D993" r:id="rId1809" tooltip="IOS" display="https://en.wikipedia.org/wiki/IOS" xr:uid="{1345E2D3-D860-498C-8F14-BCC8283CCC2D}"/>
    <hyperlink ref="E993" r:id="rId1810" tooltip="EA Mobile" display="https://en.wikipedia.org/wiki/EA_Mobile" xr:uid="{11C59F49-BDA4-4655-A4C0-9E49E4CA4A07}"/>
    <hyperlink ref="B994" r:id="rId1811" tooltip="The Sims 3: Ambitions" display="https://en.wikipedia.org/wiki/The_Sims_3:_Ambitions" xr:uid="{73F52158-BE11-48E7-A693-C290CF4EE295}"/>
    <hyperlink ref="D994" r:id="rId1812" tooltip="Macintosh" display="https://en.wikipedia.org/wiki/Macintosh" xr:uid="{A3F27ACC-6D47-40FD-A07F-B0628FFAD355}"/>
    <hyperlink ref="E994" r:id="rId1813" tooltip="Maxis Redwood Shores" display="https://en.wikipedia.org/wiki/Maxis_Redwood_Shores" xr:uid="{35F0E360-B0D5-43D8-AA0A-536C33975C45}"/>
    <hyperlink ref="B995" r:id="rId1814" tooltip="The Sims 3: Ambitions" display="https://en.wikipedia.org/wiki/The_Sims_3:_Ambitions" xr:uid="{5DBDD3C7-26E0-4E4C-A649-0738991EFD65}"/>
    <hyperlink ref="D995" r:id="rId1815" tooltip="Mobile phones" display="https://en.wikipedia.org/wiki/Mobile_phones" xr:uid="{60824454-3D8C-495A-906D-D30A0C6C21A5}"/>
    <hyperlink ref="E995" r:id="rId1816" tooltip="Maxis Redwood Shores" display="https://en.wikipedia.org/wiki/Maxis_Redwood_Shores" xr:uid="{1FC0C3A0-EDF6-44D7-A53E-B98DABC07270}"/>
    <hyperlink ref="B996" r:id="rId1817" tooltip="The Sims 3: Ambitions" display="https://en.wikipedia.org/wiki/The_Sims_3:_Ambitions" xr:uid="{F7EC6A45-B53E-4544-9320-8E9D42F8DC26}"/>
    <hyperlink ref="D996" r:id="rId1818" tooltip="Microsoft Windows" display="https://en.wikipedia.org/wiki/Microsoft_Windows" xr:uid="{6BC899B3-6617-4B0F-BB64-9E08AA4B3BAB}"/>
    <hyperlink ref="E996" r:id="rId1819" tooltip="Maxis Redwood Shores" display="https://en.wikipedia.org/wiki/Maxis_Redwood_Shores" xr:uid="{A3B9DA08-DEBA-4C9A-9102-4E0699439099}"/>
    <hyperlink ref="B816" r:id="rId1820" tooltip="The Sims 3: Generations" display="https://en.wikipedia.org/wiki/The_Sims_3:_Generations" xr:uid="{6008FAB3-9233-4A8A-B80F-C1417E2A8611}"/>
    <hyperlink ref="D816" r:id="rId1821" tooltip="Macintosh" display="https://en.wikipedia.org/wiki/Macintosh" xr:uid="{4E434F5E-DD6F-42C0-BDB0-98772FD1E97D}"/>
    <hyperlink ref="E816" r:id="rId1822" tooltip="Maxis Redwood Shores" display="https://en.wikipedia.org/wiki/Maxis_Redwood_Shores" xr:uid="{46A80DA2-1B26-4E84-B8D3-0E08E4A1D5D3}"/>
    <hyperlink ref="B817" r:id="rId1823" tooltip="The Sims 3: Generations" display="https://en.wikipedia.org/wiki/The_Sims_3:_Generations" xr:uid="{3745C5DB-25FD-4F77-8075-FA37C283CF55}"/>
    <hyperlink ref="D817" r:id="rId1824" tooltip="Microsoft Windows" display="https://en.wikipedia.org/wiki/Microsoft_Windows" xr:uid="{160E6224-0E68-49C0-A1AC-26FC1B23224F}"/>
    <hyperlink ref="E817" r:id="rId1825" tooltip="Maxis Redwood Shores" display="https://en.wikipedia.org/wiki/Maxis_Redwood_Shores" xr:uid="{A2052552-A9A4-4B3E-B318-9052FEF36A08}"/>
    <hyperlink ref="B565" r:id="rId1826" tooltip="The Sims 3: Into the Future" display="https://en.wikipedia.org/wiki/The_Sims_3:_Into_the_Future" xr:uid="{89B96A2D-0831-46BB-B21D-49ED89687CF1}"/>
    <hyperlink ref="D565" r:id="rId1827" tooltip="Macintosh" display="https://en.wikipedia.org/wiki/Macintosh" xr:uid="{E28D8EFA-80D3-4A71-AB0C-FB2D82E7F743}"/>
    <hyperlink ref="E565" r:id="rId1828" tooltip="EA Salt Lake" display="https://en.wikipedia.org/wiki/EA_Salt_Lake" xr:uid="{D6171799-315C-4476-847F-4B69FBEF5F0A}"/>
    <hyperlink ref="B566" r:id="rId1829" tooltip="The Sims 3: Into the Future" display="https://en.wikipedia.org/wiki/The_Sims_3:_Into_the_Future" xr:uid="{452EE513-322C-45EC-A409-B0EC8CA10F20}"/>
    <hyperlink ref="D566" r:id="rId1830" tooltip="Microsoft Windows" display="https://en.wikipedia.org/wiki/Microsoft_Windows" xr:uid="{A1401440-4ED2-4B15-ABF1-B91C31A073C2}"/>
    <hyperlink ref="E566" r:id="rId1831" tooltip="EA Salt Lake" display="https://en.wikipedia.org/wiki/EA_Salt_Lake" xr:uid="{32BBC2B3-FA3A-481B-A3D1-AF9C1F5C5F84}"/>
    <hyperlink ref="B595" r:id="rId1832" tooltip="The Sims 3: Island Paradise" display="https://en.wikipedia.org/wiki/The_Sims_3:_Island_Paradise" xr:uid="{CB2D4626-4DC1-4F09-9A25-DEC5E41730B4}"/>
    <hyperlink ref="D595" r:id="rId1833" tooltip="Macintosh" display="https://en.wikipedia.org/wiki/Macintosh" xr:uid="{AC59EA53-4900-42C3-B938-9485FA1015CD}"/>
    <hyperlink ref="E595" r:id="rId1834" tooltip="Maxis Redwood Shores" display="https://en.wikipedia.org/wiki/Maxis_Redwood_Shores" xr:uid="{44F46541-565C-47F7-A8ED-24DD406DB62D}"/>
    <hyperlink ref="B596" r:id="rId1835" tooltip="The Sims 3: Island Paradise" display="https://en.wikipedia.org/wiki/The_Sims_3:_Island_Paradise" xr:uid="{B98C612B-1288-44CF-8045-85BE2540B6A8}"/>
    <hyperlink ref="D596" r:id="rId1836" tooltip="Microsoft Windows" display="https://en.wikipedia.org/wiki/Microsoft_Windows" xr:uid="{35280807-4DEE-48E1-95FD-48D35CCE86DF}"/>
    <hyperlink ref="E596" r:id="rId1837" tooltip="Maxis Redwood Shores" display="https://en.wikipedia.org/wiki/Maxis_Redwood_Shores" xr:uid="{2FC828BB-43C1-499C-85C9-B9E4992EC9C1}"/>
    <hyperlink ref="B907" r:id="rId1838" tooltip="The Sims 3: Late Night" display="https://en.wikipedia.org/wiki/The_Sims_3:_Late_Night" xr:uid="{9897F157-2260-4041-A966-EBF66E83525A}"/>
    <hyperlink ref="D907" r:id="rId1839" tooltip="Macintosh" display="https://en.wikipedia.org/wiki/Macintosh" xr:uid="{172A2B09-AB2B-4637-9A74-69F86FCD0B5F}"/>
    <hyperlink ref="E907" r:id="rId1840" tooltip="Maxis Redwood Shores" display="https://en.wikipedia.org/wiki/Maxis_Redwood_Shores" xr:uid="{F9C80374-0EB0-498A-848A-CF0103475165}"/>
    <hyperlink ref="B908" r:id="rId1841" tooltip="The Sims 3: Late Night" display="https://en.wikipedia.org/wiki/The_Sims_3:_Late_Night" xr:uid="{FD35D1B0-5D53-4F04-9445-B04021ABF741}"/>
    <hyperlink ref="D908" r:id="rId1842" tooltip="Microsoft Windows" display="https://en.wikipedia.org/wiki/Microsoft_Windows" xr:uid="{59535FB0-A751-4E44-B41D-A938850C6896}"/>
    <hyperlink ref="E908" r:id="rId1843" tooltip="Maxis Redwood Shores" display="https://en.wikipedia.org/wiki/Maxis_Redwood_Shores" xr:uid="{07E6F602-E9F0-4C0E-AB33-6ECA86977A90}"/>
    <hyperlink ref="B748" r:id="rId1844" tooltip="The Sims 3: Pets" display="https://en.wikipedia.org/wiki/The_Sims_3:_Pets" xr:uid="{ED088512-5FF0-49E0-AA62-589C9B08FAB8}"/>
    <hyperlink ref="D748" r:id="rId1845" tooltip="Nintendo 3DS" display="https://en.wikipedia.org/wiki/Nintendo_3DS" xr:uid="{BAEAB224-1DBC-444B-BD3F-AB22C202DBF2}"/>
    <hyperlink ref="E748" r:id="rId1846" tooltip="EA Salt Lake" display="https://en.wikipedia.org/wiki/EA_Salt_Lake" xr:uid="{919B6BFE-9AC1-4B76-A7C6-BD1236570911}"/>
    <hyperlink ref="B749" r:id="rId1847" tooltip="The Sims 3: Pets" display="https://en.wikipedia.org/wiki/The_Sims_3:_Pets" xr:uid="{CF4CA8DD-6046-418D-9B6D-3D28638FD2DC}"/>
    <hyperlink ref="D749" r:id="rId1848" tooltip="Macintosh" display="https://en.wikipedia.org/wiki/Macintosh" xr:uid="{6E29F0EA-4B17-47BF-86DE-8CB6F546FFD8}"/>
    <hyperlink ref="E749" r:id="rId1849" tooltip="Maxis Redwood Shores" display="https://en.wikipedia.org/wiki/Maxis_Redwood_Shores" xr:uid="{1DBBF0E5-20DB-436B-AA3F-6510BA5358BE}"/>
    <hyperlink ref="B750" r:id="rId1850" tooltip="The Sims 3: Pets" display="https://en.wikipedia.org/wiki/The_Sims_3:_Pets" xr:uid="{0A3890B0-3B28-490B-80C8-10508BB91E49}"/>
    <hyperlink ref="D750" r:id="rId1851" tooltip="PlayStation 3" display="https://en.wikipedia.org/wiki/PlayStation_3" xr:uid="{EDFF48F8-EEE4-4A5E-9A8B-35120D68F111}"/>
    <hyperlink ref="E750" r:id="rId1852" tooltip="Edge of Reality" display="https://en.wikipedia.org/wiki/Edge_of_Reality" xr:uid="{0D26E9C4-459E-4531-B863-238DA07DC77D}"/>
    <hyperlink ref="B751" r:id="rId1853" tooltip="The Sims 3: Pets" display="https://en.wikipedia.org/wiki/The_Sims_3:_Pets" xr:uid="{B6035416-5989-4CCA-B141-FC59C82194AE}"/>
    <hyperlink ref="D751" r:id="rId1854" tooltip="Microsoft Windows" display="https://en.wikipedia.org/wiki/Microsoft_Windows" xr:uid="{9AF1B23A-0466-42DE-95F8-8D25BB27AE4B}"/>
    <hyperlink ref="E751" r:id="rId1855" tooltip="Maxis Redwood Shores" display="https://en.wikipedia.org/wiki/Maxis_Redwood_Shores" xr:uid="{C4F89EA7-E02D-4528-B28F-ACBCD2B082DD}"/>
    <hyperlink ref="B752" r:id="rId1856" tooltip="The Sims 3: Pets" display="https://en.wikipedia.org/wiki/The_Sims_3:_Pets" xr:uid="{26F53363-8EF7-4CE9-9846-2AD06D67DDB6}"/>
    <hyperlink ref="D752" r:id="rId1857" tooltip="Xbox 360" display="https://en.wikipedia.org/wiki/Xbox_360" xr:uid="{07B0D59E-2C62-4C33-8460-A61CE2B56C01}"/>
    <hyperlink ref="E752" r:id="rId1858" tooltip="Edge of Reality" display="https://en.wikipedia.org/wiki/Edge_of_Reality" xr:uid="{2C911C7C-6C42-491A-B4DD-E08EE7B22397}"/>
    <hyperlink ref="B631" r:id="rId1859" tooltip="The Sims 3: Seasons" display="https://en.wikipedia.org/wiki/The_Sims_3:_Seasons" xr:uid="{30D9F0E0-32BA-4CC3-A4BB-7B067B6B8BD9}"/>
    <hyperlink ref="D631" r:id="rId1860" tooltip="Macintosh" display="https://en.wikipedia.org/wiki/Macintosh" xr:uid="{8432FEEC-36CC-493C-9659-5B546503621E}"/>
    <hyperlink ref="E631" r:id="rId1861" tooltip="Maxis Redwood Shores" display="https://en.wikipedia.org/wiki/Maxis_Redwood_Shores" xr:uid="{4A4E80E4-C034-4657-BD79-B24D08CF44B7}"/>
    <hyperlink ref="B632" r:id="rId1862" tooltip="The Sims 3: Seasons" display="https://en.wikipedia.org/wiki/The_Sims_3:_Seasons" xr:uid="{F8D33424-1FE5-4524-B8CA-9300D6130E63}"/>
    <hyperlink ref="D632" r:id="rId1863" tooltip="Microsoft Windows" display="https://en.wikipedia.org/wiki/Microsoft_Windows" xr:uid="{367929E6-6126-49A9-990A-1FFA6A01EEC3}"/>
    <hyperlink ref="E632" r:id="rId1864" tooltip="Maxis Redwood Shores" display="https://en.wikipedia.org/wiki/Maxis_Redwood_Shores" xr:uid="{696AFFF1-B9E9-4954-9CF1-DE9CA835F5E7}"/>
    <hyperlink ref="B694" r:id="rId1865" tooltip="The Sims 3: Showtime" display="https://en.wikipedia.org/wiki/The_Sims_3:_Showtime" xr:uid="{CB04F1F7-FEAC-4F45-B9AD-4EE7B24DFBB0}"/>
    <hyperlink ref="D694" r:id="rId1866" tooltip="Macintosh" display="https://en.wikipedia.org/wiki/Macintosh" xr:uid="{F032E8C1-BF6A-48C2-AE85-361BE14D09C5}"/>
    <hyperlink ref="E694" r:id="rId1867" tooltip="EA Salt Lake" display="https://en.wikipedia.org/wiki/EA_Salt_Lake" xr:uid="{F76C1132-621E-436D-B072-B0197D3C0891}"/>
    <hyperlink ref="B695" r:id="rId1868" tooltip="The Sims 3: Showtime" display="https://en.wikipedia.org/wiki/The_Sims_3:_Showtime" xr:uid="{826DA815-0912-4679-B9EC-E7738B62835D}"/>
    <hyperlink ref="D695" r:id="rId1869" tooltip="Microsoft Windows" display="https://en.wikipedia.org/wiki/Microsoft_Windows" xr:uid="{103BA37D-65F5-4AAA-AD12-1F9B730598A5}"/>
    <hyperlink ref="E695" r:id="rId1870" tooltip="EA Salt Lake" display="https://en.wikipedia.org/wiki/EA_Salt_Lake" xr:uid="{C75A5E9C-D910-4F3D-A869-C49BDC350EAE}"/>
    <hyperlink ref="B659" r:id="rId1871" tooltip="The Sims 3: Supernatural" display="https://en.wikipedia.org/wiki/The_Sims_3:_Supernatural" xr:uid="{132CCA32-CE21-46FE-8430-5C3C2468C6FB}"/>
    <hyperlink ref="D659" r:id="rId1872" tooltip="Macintosh" display="https://en.wikipedia.org/wiki/Macintosh" xr:uid="{CCFE8010-4C45-4ED2-85E3-4AEFD6692CD0}"/>
    <hyperlink ref="E659" r:id="rId1873" tooltip="EA Salt Lake" display="https://en.wikipedia.org/wiki/EA_Salt_Lake" xr:uid="{87F87DA8-98D1-4317-AC8D-2124076BF6F4}"/>
    <hyperlink ref="B660" r:id="rId1874" tooltip="The Sims 3: Supernatural" display="https://en.wikipedia.org/wiki/The_Sims_3:_Supernatural" xr:uid="{55252E05-1FED-4848-830D-28559C84CF77}"/>
    <hyperlink ref="D660" r:id="rId1875" tooltip="Microsoft Windows" display="https://en.wikipedia.org/wiki/Microsoft_Windows" xr:uid="{6066B698-87AA-494D-BF8E-AF533F761D3B}"/>
    <hyperlink ref="E660" r:id="rId1876" tooltip="EA Salt Lake" display="https://en.wikipedia.org/wiki/EA_Salt_Lake" xr:uid="{ED9D213C-CE20-407F-9F05-695C33971E14}"/>
    <hyperlink ref="B613" r:id="rId1877" tooltip="The Sims 3: University Life" display="https://en.wikipedia.org/wiki/The_Sims_3:_University_Life" xr:uid="{845CD50E-4EA3-434A-9986-4083FE31AC13}"/>
    <hyperlink ref="D613" r:id="rId1878" tooltip="Macintosh" display="https://en.wikipedia.org/wiki/Macintosh" xr:uid="{5A9139C9-2657-44C6-9234-827014AA7849}"/>
    <hyperlink ref="E613" r:id="rId1879" tooltip="EA Salt Lake" display="https://en.wikipedia.org/wiki/EA_Salt_Lake" xr:uid="{079746CF-775E-4282-8DD5-25CEF8CD1F74}"/>
    <hyperlink ref="B614" r:id="rId1880" tooltip="The Sims 3: University Life" display="https://en.wikipedia.org/wiki/The_Sims_3:_University_Life" xr:uid="{84F996F8-9B26-4463-91F8-A1D3DB212819}"/>
    <hyperlink ref="D614" r:id="rId1881" tooltip="Microsoft Windows" display="https://en.wikipedia.org/wiki/Microsoft_Windows" xr:uid="{84763499-8195-434D-88F5-A20CADBCF889}"/>
    <hyperlink ref="E614" r:id="rId1882" tooltip="EA Salt Lake" display="https://en.wikipedia.org/wiki/EA_Salt_Lake" xr:uid="{4F3B246A-093A-4FEF-8D13-D7C8A045A6E8}"/>
    <hyperlink ref="B518" r:id="rId1883" tooltip="The Sims 4" display="https://en.wikipedia.org/wiki/The_Sims_4" xr:uid="{43058FFF-EED1-4875-8A89-0F41F6E760CC}"/>
    <hyperlink ref="D518" r:id="rId1884" tooltip="Microsoft Windows" display="https://en.wikipedia.org/wiki/Microsoft_Windows" xr:uid="{3FB2FE26-E7AC-47C8-BDF2-49F945A21D09}"/>
    <hyperlink ref="E518" r:id="rId1885" tooltip="Maxis" display="https://en.wikipedia.org/wiki/Maxis" xr:uid="{8CC73321-2A19-4A5D-9A16-820527B86ADB}"/>
    <hyperlink ref="B487" r:id="rId1886" tooltip="The Sims 4" display="https://en.wikipedia.org/wiki/The_Sims_4" xr:uid="{95325AA7-959A-47A7-B015-0E9B49DAE984}"/>
    <hyperlink ref="D487" r:id="rId1887" tooltip="Macintosh" display="https://en.wikipedia.org/wiki/Macintosh" xr:uid="{2BB0F4DB-7185-492B-A1C2-4283B9D2B5AC}"/>
    <hyperlink ref="E487" r:id="rId1888" tooltip="Maxis" display="https://en.wikipedia.org/wiki/Maxis" xr:uid="{6811FC11-1693-4108-9D93-DDC7ED9A0343}"/>
    <hyperlink ref="B363" r:id="rId1889" tooltip="The Sims 4" display="https://en.wikipedia.org/wiki/The_Sims_4" xr:uid="{84CD1C94-8CE9-4993-B320-DE6847B9D1DE}"/>
    <hyperlink ref="D363" r:id="rId1890" tooltip="PlayStation 4" display="https://en.wikipedia.org/wiki/PlayStation_4" xr:uid="{D8B3FF67-3AF8-4D94-AD63-255B4C24FCD9}"/>
    <hyperlink ref="E363" r:id="rId1891" tooltip="Maxis" display="https://en.wikipedia.org/wiki/Maxis" xr:uid="{04182725-9E44-426E-9919-4EE78592E790}"/>
    <hyperlink ref="B364" r:id="rId1892" tooltip="The Sims 4" display="https://en.wikipedia.org/wiki/The_Sims_4" xr:uid="{76494B3B-9F20-477A-AC5D-AE22396D7750}"/>
    <hyperlink ref="D364" r:id="rId1893" tooltip="Xbox One" display="https://en.wikipedia.org/wiki/Xbox_One" xr:uid="{C2F96CC0-E9EF-419F-BE2D-FEC9D9B9CA43}"/>
    <hyperlink ref="E364" r:id="rId1894" tooltip="Maxis" display="https://en.wikipedia.org/wiki/Maxis" xr:uid="{B977A269-1C0B-44A5-B792-88F52D6A4700}"/>
    <hyperlink ref="B474" r:id="rId1895" tooltip="The Sims 4 Stuff packs" display="https://en.wikipedia.org/wiki/The_Sims_4_Stuff_packs" xr:uid="{86E6F54C-EF1B-4F69-8608-25209DFF9D6F}"/>
    <hyperlink ref="D474" r:id="rId1896" tooltip="Macintosh" display="https://en.wikipedia.org/wiki/Macintosh" xr:uid="{028611D6-CBD6-4B2A-B9AA-2ACEEEDF3236}"/>
    <hyperlink ref="E474" r:id="rId1897" tooltip="Maxis Redwood Shores" display="https://en.wikipedia.org/wiki/Maxis_Redwood_Shores" xr:uid="{A0F96A9B-84FC-40BF-A0D1-C35EB9E54A07}"/>
    <hyperlink ref="B475" r:id="rId1898" tooltip="The Sims 4 Stuff packs" display="https://en.wikipedia.org/wiki/The_Sims_4_Stuff_packs" xr:uid="{97B168B0-2F90-49EB-8917-74CC98670971}"/>
    <hyperlink ref="D475" r:id="rId1899" tooltip="PlayStation 4" display="https://en.wikipedia.org/wiki/PlayStation_4" xr:uid="{CEDD55B2-C2CF-4DD3-90C5-48CC56C254D5}"/>
    <hyperlink ref="E475" r:id="rId1900" tooltip="Maxis Redwood Shores" display="https://en.wikipedia.org/wiki/Maxis_Redwood_Shores" xr:uid="{CDAEF439-695D-4312-9CD9-100EA02CD1AF}"/>
    <hyperlink ref="B476" r:id="rId1901" tooltip="The Sims 4 Stuff packs" display="https://en.wikipedia.org/wiki/The_Sims_4_Stuff_packs" xr:uid="{FC34F8A7-0082-476C-8A3B-A6492D068819}"/>
    <hyperlink ref="D476" r:id="rId1902" tooltip="Microsoft Windows" display="https://en.wikipedia.org/wiki/Microsoft_Windows" xr:uid="{0C54B86B-4A01-44E6-8204-2E091162872A}"/>
    <hyperlink ref="E476" r:id="rId1903" tooltip="Maxis Redwood Shores" display="https://en.wikipedia.org/wiki/Maxis_Redwood_Shores" xr:uid="{2A3949B8-9BCC-49CA-B64E-6C7C6181E9B9}"/>
    <hyperlink ref="B477" r:id="rId1904" tooltip="The Sims 4 Stuff packs" display="https://en.wikipedia.org/wiki/The_Sims_4_Stuff_packs" xr:uid="{C055911D-A03D-40FF-9CF3-3D23F1503566}"/>
    <hyperlink ref="D477" r:id="rId1905" tooltip="Xbox One" display="https://en.wikipedia.org/wiki/Xbox_One" xr:uid="{C2508BDC-1DF1-4ED6-B86C-451B0A244D2A}"/>
    <hyperlink ref="E477" r:id="rId1906" tooltip="Maxis Redwood Shores" display="https://en.wikipedia.org/wiki/Maxis_Redwood_Shores" xr:uid="{26FD55BD-C32C-4B2B-BE41-2D4683620725}"/>
    <hyperlink ref="B365" r:id="rId1907" tooltip="The Sims 4: Cats &amp; Dogs" display="https://en.wikipedia.org/wiki/The_Sims_4:_Cats_%26_Dogs" xr:uid="{59C831F9-4CA6-468A-8AA9-85F89D43C3A7}"/>
    <hyperlink ref="D365" r:id="rId1908" tooltip="Macintosh" display="https://en.wikipedia.org/wiki/Macintosh" xr:uid="{EE88C26A-F48F-43A0-B6D3-7A702D4BE6EB}"/>
    <hyperlink ref="E365" r:id="rId1909" tooltip="Maxis Redwood Shores" display="https://en.wikipedia.org/wiki/Maxis_Redwood_Shores" xr:uid="{0E897080-2EFA-4D71-9AE4-818FDB63F164}"/>
    <hyperlink ref="B366" r:id="rId1910" tooltip="The Sims 4: Cats &amp; Dogs" display="https://en.wikipedia.org/wiki/The_Sims_4:_Cats_%26_Dogs" xr:uid="{A980E0A4-943C-4BEB-ACE0-92B62D920204}"/>
    <hyperlink ref="D366" r:id="rId1911" tooltip="Microsoft Windows" display="https://en.wikipedia.org/wiki/Microsoft_Windows" xr:uid="{139EB698-26A7-4D18-B30A-7A704ABB842C}"/>
    <hyperlink ref="E366" r:id="rId1912" tooltip="Maxis Redwood Shores" display="https://en.wikipedia.org/wiki/Maxis_Redwood_Shores" xr:uid="{F4C1F5BA-15E0-4328-BC9F-CE30540AD36A}"/>
    <hyperlink ref="B324" r:id="rId1913" tooltip="The Sims 4: Cats &amp; Dogs" display="https://en.wikipedia.org/wiki/The_Sims_4:_Cats_%26_Dogs" xr:uid="{B3D95D94-CFCA-4EE8-866F-C5BB6D0732E8}"/>
    <hyperlink ref="D324" r:id="rId1914" tooltip="PlayStation 4" display="https://en.wikipedia.org/wiki/PlayStation_4" xr:uid="{53797CF9-A12A-4F8D-963A-1CA7C0C17A52}"/>
    <hyperlink ref="E324" r:id="rId1915" tooltip="Maxis Redwood Shores" display="https://en.wikipedia.org/wiki/Maxis_Redwood_Shores" xr:uid="{C048FE4E-5A93-4821-BDA2-C06A73A3BCA0}"/>
    <hyperlink ref="B325" r:id="rId1916" tooltip="The Sims 4: Cats &amp; Dogs" display="https://en.wikipedia.org/wiki/The_Sims_4:_Cats_%26_Dogs" xr:uid="{997EAA26-74BD-45A3-A849-C7DFBB9F44B3}"/>
    <hyperlink ref="D325" r:id="rId1917" tooltip="Xbox One" display="https://en.wikipedia.org/wiki/Xbox_One" xr:uid="{A76BFBB0-52BE-46DE-BE04-A419AAA5FBDB}"/>
    <hyperlink ref="E325" r:id="rId1918" tooltip="Maxis Redwood Shores" display="https://en.wikipedia.org/wiki/Maxis_Redwood_Shores" xr:uid="{89EB5C22-05B6-4B4F-8175-E6DFF42EEF24}"/>
    <hyperlink ref="B394" r:id="rId1919" tooltip="The Sims 4: City Living" display="https://en.wikipedia.org/wiki/The_Sims_4:_City_Living" xr:uid="{002947C8-EF79-417D-B7F8-B65673756CD6}"/>
    <hyperlink ref="D394" r:id="rId1920" tooltip="Macintosh" display="https://en.wikipedia.org/wiki/Macintosh" xr:uid="{807A6B2D-A022-480F-ADF2-4550001885C2}"/>
    <hyperlink ref="E394" r:id="rId1921" tooltip="Maxis Redwood Shores" display="https://en.wikipedia.org/wiki/Maxis_Redwood_Shores" xr:uid="{E0A4AA26-64A8-4C0F-BCF6-73A135BAA3B2}"/>
    <hyperlink ref="B395" r:id="rId1922" tooltip="The Sims 4: City Living" display="https://en.wikipedia.org/wiki/The_Sims_4:_City_Living" xr:uid="{B152CA99-C2F1-4607-A7D0-981FB29C30A3}"/>
    <hyperlink ref="D395" r:id="rId1923" tooltip="Microsoft Windows" display="https://en.wikipedia.org/wiki/Microsoft_Windows" xr:uid="{B36202F3-7A29-402A-9BFA-1E10246656F3}"/>
    <hyperlink ref="E395" r:id="rId1924" tooltip="Maxis Redwood Shores" display="https://en.wikipedia.org/wiki/Maxis_Redwood_Shores" xr:uid="{9D25076A-799E-4B34-8D7C-C49030E5EBCB}"/>
    <hyperlink ref="B361" r:id="rId1925" tooltip="The Sims 4: City Living" display="https://en.wikipedia.org/wiki/The_Sims_4:_City_Living" xr:uid="{077578CF-63D6-45DE-A5EB-BA21F051FEEF}"/>
    <hyperlink ref="D361" r:id="rId1926" tooltip="PlayStation 4" display="https://en.wikipedia.org/wiki/PlayStation_4" xr:uid="{D426DB33-FCD8-407B-A6E5-B950721B13FE}"/>
    <hyperlink ref="E361" r:id="rId1927" tooltip="Maxis Redwood Shores" display="https://en.wikipedia.org/wiki/Maxis_Redwood_Shores" xr:uid="{835970BC-F4CD-4DEC-A8AF-7B010DB3F51C}"/>
    <hyperlink ref="B362" r:id="rId1928" tooltip="The Sims 4: City Living" display="https://en.wikipedia.org/wiki/The_Sims_4:_City_Living" xr:uid="{702DF62E-82DF-4ACA-8DD2-2A75A6FD8E39}"/>
    <hyperlink ref="D362" r:id="rId1929" tooltip="Xbox One" display="https://en.wikipedia.org/wiki/Xbox_One" xr:uid="{2DFA9841-C295-4CA7-ABAF-119754F105D9}"/>
    <hyperlink ref="E362" r:id="rId1930" tooltip="Maxis Redwood Shores" display="https://en.wikipedia.org/wiki/Maxis_Redwood_Shores" xr:uid="{A8F5EAD7-6133-4466-A08F-505403169252}"/>
    <hyperlink ref="B424" r:id="rId1931" tooltip="The Sims 4: Dine Out" display="https://en.wikipedia.org/wiki/The_Sims_4:_Dine_Out" xr:uid="{48C7E862-E9C7-4FAD-8B6B-41FCBF0769FA}"/>
    <hyperlink ref="D424" r:id="rId1932" tooltip="Macintosh" display="https://en.wikipedia.org/wiki/Macintosh" xr:uid="{B32EAD8D-1627-40A9-8C62-38D9B30F9D3B}"/>
    <hyperlink ref="E424" r:id="rId1933" tooltip="Maxis Redwood Shores" display="https://en.wikipedia.org/wiki/Maxis_Redwood_Shores" xr:uid="{06010FEF-0186-45E2-B6AB-1E738976B67D}"/>
    <hyperlink ref="B425" r:id="rId1934" tooltip="The Sims 4: Dine Out" display="https://en.wikipedia.org/wiki/The_Sims_4:_Dine_Out" xr:uid="{C298A0F6-F3A1-4179-B06C-A6D59222D6CB}"/>
    <hyperlink ref="D425" r:id="rId1935" tooltip="Microsoft Windows" display="https://en.wikipedia.org/wiki/Microsoft_Windows" xr:uid="{0B57D523-0E9F-4914-ACC4-D8F1820C5F76}"/>
    <hyperlink ref="E425" r:id="rId1936" tooltip="Maxis Redwood Shores" display="https://en.wikipedia.org/wiki/Maxis_Redwood_Shores" xr:uid="{0807DDD3-A8B3-4704-BB30-E6AE26A6B246}"/>
    <hyperlink ref="B354" r:id="rId1937" tooltip="The Sims 4: Dine Out" display="https://en.wikipedia.org/wiki/The_Sims_4:_Dine_Out" xr:uid="{63B2A944-67D9-4F08-B689-56A0BAA3B5B0}"/>
    <hyperlink ref="D354" r:id="rId1938" tooltip="PlayStation 4" display="https://en.wikipedia.org/wiki/PlayStation_4" xr:uid="{246B4941-6E48-4D77-86AC-B59ACFBBEE9A}"/>
    <hyperlink ref="E354" r:id="rId1939" tooltip="Maxis Redwood Shores" display="https://en.wikipedia.org/wiki/Maxis_Redwood_Shores" xr:uid="{83CFA4E2-86F3-496B-B755-9A02826D035E}"/>
    <hyperlink ref="B355" r:id="rId1940" tooltip="The Sims 4: Dine Out" display="https://en.wikipedia.org/wiki/The_Sims_4:_Dine_Out" xr:uid="{273AE19E-0DB7-478D-8146-DE3761E1B59D}"/>
    <hyperlink ref="D355" r:id="rId1941" tooltip="Xbox One" display="https://en.wikipedia.org/wiki/Xbox_One" xr:uid="{3A72BFDB-2D3C-4048-8968-F209646E41BC}"/>
    <hyperlink ref="E355" r:id="rId1942" tooltip="Maxis Redwood Shores" display="https://en.wikipedia.org/wiki/Maxis_Redwood_Shores" xr:uid="{027B1DEA-36B8-402E-B2BA-B893E98CACE2}"/>
    <hyperlink ref="B248" r:id="rId1943" tooltip="The Sims 4: Discover University" display="https://en.wikipedia.org/wiki/The_Sims_4:_Discover_University" xr:uid="{D1BD196B-D4C1-4C8B-A0D1-57FFC630643B}"/>
    <hyperlink ref="D248" r:id="rId1944" tooltip="Macintosh" display="https://en.wikipedia.org/wiki/Macintosh" xr:uid="{1820D2E1-D886-4C8D-A386-B56AE8A801F2}"/>
    <hyperlink ref="E248" r:id="rId1945" tooltip="Maxis Redwood Shores" display="https://en.wikipedia.org/wiki/Maxis_Redwood_Shores" xr:uid="{558B1AE0-2A0E-481F-B666-4D1BDD73D78E}"/>
    <hyperlink ref="B249" r:id="rId1946" tooltip="The Sims 4: Discover University" display="https://en.wikipedia.org/wiki/The_Sims_4:_Discover_University" xr:uid="{9D17631D-CDAD-49F6-8ED6-F12A64119A5F}"/>
    <hyperlink ref="D249" r:id="rId1947" tooltip="Microsoft Windows" display="https://en.wikipedia.org/wiki/Microsoft_Windows" xr:uid="{66150908-8E21-4AB9-83E5-DE46ABFC7EE6}"/>
    <hyperlink ref="E249" r:id="rId1948" tooltip="Maxis Redwood Shores" display="https://en.wikipedia.org/wiki/Maxis_Redwood_Shores" xr:uid="{428AE4E7-DDB5-4989-BE36-88D592DA8B9F}"/>
    <hyperlink ref="B246" r:id="rId1949" tooltip="The Sims 4: Discover University" display="https://en.wikipedia.org/wiki/The_Sims_4:_Discover_University" xr:uid="{4D68E430-E0A0-499E-98C0-441DE4E663B7}"/>
    <hyperlink ref="D246" r:id="rId1950" tooltip="PlayStation 4" display="https://en.wikipedia.org/wiki/PlayStation_4" xr:uid="{7F6EFB05-EF4F-4150-A8BD-78C1A4E9A107}"/>
    <hyperlink ref="E246" r:id="rId1951" tooltip="Maxis Redwood Shores" display="https://en.wikipedia.org/wiki/Maxis_Redwood_Shores" xr:uid="{5B36D31D-1B77-4E19-BB4D-58BF9982BE9D}"/>
    <hyperlink ref="B247" r:id="rId1952" tooltip="The Sims 4: Discover University" display="https://en.wikipedia.org/wiki/The_Sims_4:_Discover_University" xr:uid="{362FC72B-E756-435D-A31C-8E907691DF97}"/>
    <hyperlink ref="D247" r:id="rId1953" tooltip="Xbox One" display="https://en.wikipedia.org/wiki/Xbox_One" xr:uid="{4A9585BB-A579-4119-8AAA-4C7954AAEEBB}"/>
    <hyperlink ref="E247" r:id="rId1954" tooltip="Maxis Redwood Shores" display="https://en.wikipedia.org/wiki/Maxis_Redwood_Shores" xr:uid="{A403795A-C168-43DF-8B02-E92A42A1C74B}"/>
    <hyperlink ref="B302" r:id="rId1955" tooltip="The Sims 4: Get Famous" display="https://en.wikipedia.org/wiki/The_Sims_4:_Get_Famous" xr:uid="{A71BFC38-DC32-40D5-B53A-97A517DBDA48}"/>
    <hyperlink ref="D302" r:id="rId1956" tooltip="Macintosh" display="https://en.wikipedia.org/wiki/Macintosh" xr:uid="{89890181-1706-4A94-87F8-5F18409AFD8B}"/>
    <hyperlink ref="E302" r:id="rId1957" tooltip="Maxis Redwood Shores" display="https://en.wikipedia.org/wiki/Maxis_Redwood_Shores" xr:uid="{394B96EB-9F17-480E-926B-807D46436BF2}"/>
    <hyperlink ref="B303" r:id="rId1958" tooltip="The Sims 4: Get Famous" display="https://en.wikipedia.org/wiki/The_Sims_4:_Get_Famous" xr:uid="{81AB791F-521F-4375-BAB9-CCA23030C059}"/>
    <hyperlink ref="D303" r:id="rId1959" tooltip="Microsoft Windows" display="https://en.wikipedia.org/wiki/Microsoft_Windows" xr:uid="{5CD12E5F-A1A6-474E-B1B1-9B62506485BF}"/>
    <hyperlink ref="E303" r:id="rId1960" tooltip="Maxis Redwood Shores" display="https://en.wikipedia.org/wiki/Maxis_Redwood_Shores" xr:uid="{60D456E9-A5C3-4BDF-A215-EF07F3687591}"/>
    <hyperlink ref="B287" r:id="rId1961" tooltip="The Sims 4: Get Famous" display="https://en.wikipedia.org/wiki/The_Sims_4:_Get_Famous" xr:uid="{6549108E-F9FF-49B5-AD4A-325C0061E75C}"/>
    <hyperlink ref="D287" r:id="rId1962" tooltip="PlayStation 4" display="https://en.wikipedia.org/wiki/PlayStation_4" xr:uid="{C1979457-4B63-41F7-95FA-3E825D9B49F9}"/>
    <hyperlink ref="E287" r:id="rId1963" tooltip="Maxis Redwood Shores" display="https://en.wikipedia.org/wiki/Maxis_Redwood_Shores" xr:uid="{BECAA028-4152-4C14-9264-C4C0EAA7F485}"/>
    <hyperlink ref="B288" r:id="rId1964" tooltip="The Sims 4: Get Famous" display="https://en.wikipedia.org/wiki/The_Sims_4:_Get_Famous" xr:uid="{CC71F635-CD9F-422E-AE97-0304E7F1DBFF}"/>
    <hyperlink ref="D288" r:id="rId1965" tooltip="Xbox One" display="https://en.wikipedia.org/wiki/Xbox_One" xr:uid="{4A33BB29-413D-435B-86BD-4C7F76F66540}"/>
    <hyperlink ref="E288" r:id="rId1966" tooltip="Maxis Redwood Shores" display="https://en.wikipedia.org/wiki/Maxis_Redwood_Shores" xr:uid="{007DF825-EB13-48C9-BA7E-7F9B4F928D08}"/>
    <hyperlink ref="B480" r:id="rId1967" tooltip="The Sims 4: Get to Work" display="https://en.wikipedia.org/wiki/The_Sims_4:_Get_to_Work" xr:uid="{EFA113D0-DDCF-4FBD-AA36-81C2B78BF158}"/>
    <hyperlink ref="D480" r:id="rId1968" tooltip="Macintosh" display="https://en.wikipedia.org/wiki/Macintosh" xr:uid="{35A7EA09-77C1-4A63-AC25-04C77C765353}"/>
    <hyperlink ref="E480" r:id="rId1969" tooltip="Maxis Redwood Shores" display="https://en.wikipedia.org/wiki/Maxis_Redwood_Shores" xr:uid="{21811300-3BF3-4FC7-B8CE-F6D20A2EAD43}"/>
    <hyperlink ref="B481" r:id="rId1970" tooltip="The Sims 4: Get to Work" display="https://en.wikipedia.org/wiki/The_Sims_4:_Get_to_Work" xr:uid="{A2BD40FD-CCFA-4B2A-9F5B-3448971A7E78}"/>
    <hyperlink ref="D481" r:id="rId1971" tooltip="Microsoft Windows" display="https://en.wikipedia.org/wiki/Microsoft_Windows" xr:uid="{414666CC-DDB6-46D0-9234-C43D0CE2BE3C}"/>
    <hyperlink ref="E481" r:id="rId1972" tooltip="Maxis Redwood Shores" display="https://en.wikipedia.org/wiki/Maxis_Redwood_Shores" xr:uid="{2EF3F06C-521D-4ECA-8A1D-07A2713A7E07}"/>
    <hyperlink ref="B340" r:id="rId1973" tooltip="The Sims 4: Get to Work" display="https://en.wikipedia.org/wiki/The_Sims_4:_Get_to_Work" xr:uid="{970FFF55-CCCC-4B3F-BA85-8CE49D333658}"/>
    <hyperlink ref="D340" r:id="rId1974" tooltip="PlayStation 4" display="https://en.wikipedia.org/wiki/PlayStation_4" xr:uid="{11836F6C-D7A8-4D4A-A4FE-F41130E8E149}"/>
    <hyperlink ref="E340" r:id="rId1975" tooltip="Maxis Redwood Shores" display="https://en.wikipedia.org/wiki/Maxis_Redwood_Shores" xr:uid="{2C853FDD-C1C9-408B-8565-2349CFC55F9B}"/>
    <hyperlink ref="B341" r:id="rId1976" tooltip="The Sims 4: Get to Work" display="https://en.wikipedia.org/wiki/The_Sims_4:_Get_to_Work" xr:uid="{DAF2E426-2DEA-418C-B16D-7D5DFD3FE266}"/>
    <hyperlink ref="D341" r:id="rId1977" tooltip="Xbox One" display="https://en.wikipedia.org/wiki/Xbox_One" xr:uid="{EA77C7D0-F93C-4F75-8766-4CEC228EB907}"/>
    <hyperlink ref="E341" r:id="rId1978" tooltip="Maxis Redwood Shores" display="https://en.wikipedia.org/wiki/Maxis_Redwood_Shores" xr:uid="{C2F414EA-9737-46A5-80EC-AFCE1CE7E357}"/>
    <hyperlink ref="B440" r:id="rId1979" tooltip="The Sims 4: Get Together" display="https://en.wikipedia.org/wiki/The_Sims_4:_Get_Together" xr:uid="{FA9F1190-ACFD-461F-BDA4-FC134C376BC0}"/>
    <hyperlink ref="D440" r:id="rId1980" tooltip="Macintosh" display="https://en.wikipedia.org/wiki/Macintosh" xr:uid="{E8E999F6-8A29-43C8-91E6-354597164B4A}"/>
    <hyperlink ref="E440" r:id="rId1981" tooltip="Maxis Redwood Shores" display="https://en.wikipedia.org/wiki/Maxis_Redwood_Shores" xr:uid="{8A21F08F-A5AC-44C4-8F1D-D927F9A67641}"/>
    <hyperlink ref="B441" r:id="rId1982" tooltip="The Sims 4: Get Together" display="https://en.wikipedia.org/wiki/The_Sims_4:_Get_Together" xr:uid="{800AB765-1FB8-4486-978B-1973A7384F15}"/>
    <hyperlink ref="D441" r:id="rId1983" tooltip="Microsoft Windows" display="https://en.wikipedia.org/wiki/Microsoft_Windows" xr:uid="{FF8BC101-D9AC-4F8D-8B20-7CC58B274BBB}"/>
    <hyperlink ref="E441" r:id="rId1984" tooltip="Maxis Redwood Shores" display="https://en.wikipedia.org/wiki/Maxis_Redwood_Shores" xr:uid="{68C94AC0-93A9-4576-9C7C-99F339E1A684}"/>
    <hyperlink ref="B314" r:id="rId1985" tooltip="The Sims 4: Get Together" display="https://en.wikipedia.org/wiki/The_Sims_4:_Get_Together" xr:uid="{ABBE896C-5284-4045-B84F-2EE4C71FADFA}"/>
    <hyperlink ref="D314" r:id="rId1986" tooltip="PlayStation 4" display="https://en.wikipedia.org/wiki/PlayStation_4" xr:uid="{C38AC595-4C4B-40AD-AC97-1A3B23D5296E}"/>
    <hyperlink ref="E314" r:id="rId1987" tooltip="Maxis Redwood Shores" display="https://en.wikipedia.org/wiki/Maxis_Redwood_Shores" xr:uid="{4BF22A6D-5286-408B-8D28-7AE3D3FEF36A}"/>
    <hyperlink ref="B315" r:id="rId1988" tooltip="The Sims 4: Get Together" display="https://en.wikipedia.org/wiki/The_Sims_4:_Get_Together" xr:uid="{EE762E92-368F-4A46-A16D-E59C99140382}"/>
    <hyperlink ref="D315" r:id="rId1989" tooltip="Xbox One" display="https://en.wikipedia.org/wiki/Xbox_One" xr:uid="{1E659E03-3155-4E10-8ABB-2D5643A50833}"/>
    <hyperlink ref="E315" r:id="rId1990" tooltip="Maxis Redwood Shores" display="https://en.wikipedia.org/wiki/Maxis_Redwood_Shores" xr:uid="{9263FE81-DDFA-4DA3-80EA-1BAC9941E2FD}"/>
    <hyperlink ref="B277" r:id="rId1991" tooltip="The Sims 4: Island Living" display="https://en.wikipedia.org/wiki/The_Sims_4:_Island_Living" xr:uid="{BB12BFF3-08C4-4511-AF16-178562D2FAC5}"/>
    <hyperlink ref="D277" r:id="rId1992" tooltip="Macintosh" display="https://en.wikipedia.org/wiki/Macintosh" xr:uid="{67B22792-6FFC-4FF2-8B26-56E8F12FB3E7}"/>
    <hyperlink ref="E277" r:id="rId1993" tooltip="Maxis Redwood Shores" display="https://en.wikipedia.org/wiki/Maxis_Redwood_Shores" xr:uid="{544835E1-344C-4A65-BA44-5584EE3805F3}"/>
    <hyperlink ref="B278" r:id="rId1994" tooltip="The Sims 4: Island Living" display="https://en.wikipedia.org/wiki/The_Sims_4:_Island_Living" xr:uid="{863B644F-F419-47D1-BC8F-5CCBC9D2F7CF}"/>
    <hyperlink ref="D278" r:id="rId1995" tooltip="Microsoft Windows" display="https://en.wikipedia.org/wiki/Microsoft_Windows" xr:uid="{F45C5F45-451B-4A90-9FCC-BB5F0A0EDF55}"/>
    <hyperlink ref="E278" r:id="rId1996" tooltip="Maxis Redwood Shores" display="https://en.wikipedia.org/wiki/Maxis_Redwood_Shores" xr:uid="{699A8E7D-47AC-48E7-BCAE-BAD73F999F8E}"/>
    <hyperlink ref="B272" r:id="rId1997" tooltip="The Sims 4: Island Living" display="https://en.wikipedia.org/wiki/The_Sims_4:_Island_Living" xr:uid="{795DB1CE-B3C9-41A8-B3A8-E4E2F9FEAC47}"/>
    <hyperlink ref="D272" r:id="rId1998" tooltip="PlayStation 4" display="https://en.wikipedia.org/wiki/PlayStation_4" xr:uid="{6EA4F235-5DA3-46F4-9261-98CE5C7761E5}"/>
    <hyperlink ref="E272" r:id="rId1999" tooltip="Maxis Redwood Shores" display="https://en.wikipedia.org/wiki/Maxis_Redwood_Shores" xr:uid="{F095A217-919D-4FC1-AB24-5E66E588B85A}"/>
    <hyperlink ref="B273" r:id="rId2000" tooltip="The Sims 4: Island Living" display="https://en.wikipedia.org/wiki/The_Sims_4:_Island_Living" xr:uid="{171E0303-0F5B-4ED7-8443-F392D97AD4F3}"/>
    <hyperlink ref="D273" r:id="rId2001" tooltip="Xbox One" display="https://en.wikipedia.org/wiki/Xbox_One" xr:uid="{53E4BAFC-8E19-4055-946A-6606DE4E536B}"/>
    <hyperlink ref="E273" r:id="rId2002" tooltip="Maxis Redwood Shores" display="https://en.wikipedia.org/wiki/Maxis_Redwood_Shores" xr:uid="{EAFC18ED-DFF9-4817-90D2-5460D103E21B}"/>
    <hyperlink ref="B346" r:id="rId2003" tooltip="The Sims 4: Jungle Adventure" display="https://en.wikipedia.org/wiki/The_Sims_4:_Jungle_Adventure" xr:uid="{4C352D54-65D7-4521-B7F2-9BFCB7F4E6D9}"/>
    <hyperlink ref="D346" r:id="rId2004" tooltip="Macintosh" display="https://en.wikipedia.org/wiki/Macintosh" xr:uid="{3F424577-7A2C-457E-A0BB-E200F7D160C5}"/>
    <hyperlink ref="E346" r:id="rId2005" tooltip="Maxis Redwood Shores" display="https://en.wikipedia.org/wiki/Maxis_Redwood_Shores" xr:uid="{7BEAC8C7-3CA1-444F-A0A9-D579139183DB}"/>
    <hyperlink ref="B347" r:id="rId2006" tooltip="The Sims 4: Jungle Adventure" display="https://en.wikipedia.org/wiki/The_Sims_4:_Jungle_Adventure" xr:uid="{98FF96F3-38B0-47EC-BAB1-980E87FB0C4E}"/>
    <hyperlink ref="D347" r:id="rId2007" tooltip="Microsoft Windows" display="https://en.wikipedia.org/wiki/Microsoft_Windows" xr:uid="{6718A4D1-3066-42C7-8A6F-E784EC2B182D}"/>
    <hyperlink ref="E347" r:id="rId2008" tooltip="Maxis Redwood Shores" display="https://en.wikipedia.org/wiki/Maxis_Redwood_Shores" xr:uid="{E528C157-D118-410A-89DD-8245716B7B32}"/>
    <hyperlink ref="B295" r:id="rId2009" tooltip="The Sims 4: Jungle Adventure" display="https://en.wikipedia.org/wiki/The_Sims_4:_Jungle_Adventure" xr:uid="{7FD3FF47-3CC0-441D-A641-4DA1F1ACBBAF}"/>
    <hyperlink ref="D295" r:id="rId2010" tooltip="PlayStation 4" display="https://en.wikipedia.org/wiki/PlayStation_4" xr:uid="{14CE1221-9B26-41D5-AEAA-B3F540B51F53}"/>
    <hyperlink ref="E295" r:id="rId2011" tooltip="Maxis Redwood Shores" display="https://en.wikipedia.org/wiki/Maxis_Redwood_Shores" xr:uid="{325D1A04-82C5-428F-A0C3-B4D12F855F03}"/>
    <hyperlink ref="B296" r:id="rId2012" tooltip="The Sims 4: Jungle Adventure" display="https://en.wikipedia.org/wiki/The_Sims_4:_Jungle_Adventure" xr:uid="{6AF7FA8C-F3E8-4EC7-81A5-EA81A7B03FEA}"/>
    <hyperlink ref="D296" r:id="rId2013" tooltip="Xbox One" display="https://en.wikipedia.org/wiki/Xbox_One" xr:uid="{12DF639E-14BA-4BE9-9016-A94B04D5E9B3}"/>
    <hyperlink ref="E296" r:id="rId2014" tooltip="Maxis Redwood Shores" display="https://en.wikipedia.org/wiki/Maxis_Redwood_Shores" xr:uid="{FD6CB436-EB47-43AB-9A89-4C1C64CCFF8C}"/>
    <hyperlink ref="B488" r:id="rId2015" tooltip="The Sims 4: Outdoor Retreat" display="https://en.wikipedia.org/wiki/The_Sims_4:_Outdoor_Retreat" xr:uid="{5596D061-2770-47DD-960C-264AF9E16A01}"/>
    <hyperlink ref="D488" r:id="rId2016" tooltip="Macintosh" display="https://en.wikipedia.org/wiki/Macintosh" xr:uid="{91C86577-141E-495E-A09C-1C158F8F4580}"/>
    <hyperlink ref="E488" r:id="rId2017" tooltip="Maxis Redwood Shores" display="https://en.wikipedia.org/wiki/Maxis_Redwood_Shores" xr:uid="{0C09D9FB-4A5E-4D6B-8CA7-E28DA541F250}"/>
    <hyperlink ref="B489" r:id="rId2018" tooltip="The Sims 4: Outdoor Retreat" display="https://en.wikipedia.org/wiki/The_Sims_4:_Outdoor_Retreat" xr:uid="{DEF3975A-F01E-4B32-B7A2-56CD93204AA0}"/>
    <hyperlink ref="D489" r:id="rId2019" tooltip="Microsoft Windows" display="https://en.wikipedia.org/wiki/Microsoft_Windows" xr:uid="{B32F04D7-E690-4D87-A32B-0D0C266F47E9}"/>
    <hyperlink ref="E489" r:id="rId2020" tooltip="Maxis Redwood Shores" display="https://en.wikipedia.org/wiki/Maxis_Redwood_Shores" xr:uid="{447ADB0A-1791-476D-8379-46A1A5A09BF7}"/>
    <hyperlink ref="B293" r:id="rId2021" tooltip="The Sims 4: Outdoor Retreat" display="https://en.wikipedia.org/wiki/The_Sims_4:_Outdoor_Retreat" xr:uid="{69E0B70A-6495-4E60-A4E2-6F3907B6ABF3}"/>
    <hyperlink ref="D293" r:id="rId2022" tooltip="PlayStation 4" display="https://en.wikipedia.org/wiki/PlayStation_4" xr:uid="{C02E51D6-C232-45C5-A011-38EF78D82E62}"/>
    <hyperlink ref="E293" r:id="rId2023" tooltip="Maxis Redwood Shores" display="https://en.wikipedia.org/wiki/Maxis_Redwood_Shores" xr:uid="{3546C63A-C3B0-4DD3-9C77-DDFE3B9AB862}"/>
    <hyperlink ref="B294" r:id="rId2024" tooltip="The Sims 4: Outdoor Retreat" display="https://en.wikipedia.org/wiki/The_Sims_4:_Outdoor_Retreat" xr:uid="{629E5C71-0ACF-41B2-8559-33F39A07B02D}"/>
    <hyperlink ref="D294" r:id="rId2025" tooltip="Xbox One" display="https://en.wikipedia.org/wiki/Xbox_One" xr:uid="{1828C741-9068-4283-A71B-825F99E203B4}"/>
    <hyperlink ref="E294" r:id="rId2026" tooltip="Maxis Redwood Shores" display="https://en.wikipedia.org/wiki/Maxis_Redwood_Shores" xr:uid="{0B7AB867-E2B5-41EE-9597-FCAC4B2E724B}"/>
    <hyperlink ref="B384" r:id="rId2027" tooltip="The Sims 4: Parenthood" display="https://en.wikipedia.org/wiki/The_Sims_4:_Parenthood" xr:uid="{3E69257A-4659-4AA4-9424-582DFEDDDDBE}"/>
    <hyperlink ref="D384" r:id="rId2028" tooltip="Macintosh" display="https://en.wikipedia.org/wiki/Macintosh" xr:uid="{86237423-7C93-4C81-829C-C578C56B1EE8}"/>
    <hyperlink ref="E384" r:id="rId2029" tooltip="Maxis Redwood Shores" display="https://en.wikipedia.org/wiki/Maxis_Redwood_Shores" xr:uid="{FB48256E-4263-4139-BE53-2D8D6D6A90A1}"/>
    <hyperlink ref="B385" r:id="rId2030" tooltip="The Sims 4: Parenthood" display="https://en.wikipedia.org/wiki/The_Sims_4:_Parenthood" xr:uid="{94922F75-965E-4DB9-BF10-000AEF0A387E}"/>
    <hyperlink ref="D385" r:id="rId2031" tooltip="Microsoft Windows" display="https://en.wikipedia.org/wiki/Microsoft_Windows" xr:uid="{69DFADD3-7A47-4096-AA00-918B4CD1B2E7}"/>
    <hyperlink ref="E385" r:id="rId2032" tooltip="Maxis Redwood Shores" display="https://en.wikipedia.org/wiki/Maxis_Redwood_Shores" xr:uid="{55F7CB27-0567-4F31-B80D-667FEFD1D7B8}"/>
    <hyperlink ref="B330" r:id="rId2033" tooltip="The Sims 4: Parenthood" display="https://en.wikipedia.org/wiki/The_Sims_4:_Parenthood" xr:uid="{A964558C-87D6-495E-B385-EFD5C9A16758}"/>
    <hyperlink ref="D330" r:id="rId2034" tooltip="PlayStation 4" display="https://en.wikipedia.org/wiki/PlayStation_4" xr:uid="{93788313-8708-45A4-9AEB-06B515856C86}"/>
    <hyperlink ref="E330" r:id="rId2035" tooltip="Maxis Redwood Shores" display="https://en.wikipedia.org/wiki/Maxis_Redwood_Shores" xr:uid="{5345D334-6FF2-4010-926B-2B96353FFD7F}"/>
    <hyperlink ref="B331" r:id="rId2036" tooltip="The Sims 4: Parenthood" display="https://en.wikipedia.org/wiki/The_Sims_4:_Parenthood" xr:uid="{CFB7DCC3-B490-4FC6-B285-9B7458B819B8}"/>
    <hyperlink ref="D331" r:id="rId2037" tooltip="Xbox One" display="https://en.wikipedia.org/wiki/Xbox_One" xr:uid="{C5E2394B-E0EA-4C6F-9E1C-90D3A02A1FE6}"/>
    <hyperlink ref="E331" r:id="rId2038" tooltip="Maxis Redwood Shores" display="https://en.wikipedia.org/wiki/Maxis_Redwood_Shores" xr:uid="{DA3B8BB4-231A-4B5F-AC44-DB66566D5171}"/>
    <hyperlink ref="B267" r:id="rId2039" tooltip="The Sims 4: Realm of Magic" display="https://en.wikipedia.org/wiki/The_Sims_4:_Realm_of_Magic" xr:uid="{EA9E0F92-FF3C-4D98-A2CF-917A4666CC71}"/>
    <hyperlink ref="D267" r:id="rId2040" tooltip="Macintosh" display="https://en.wikipedia.org/wiki/Macintosh" xr:uid="{76B64E75-9D21-40C1-8FC1-E66B9DC6B91C}"/>
    <hyperlink ref="E267" r:id="rId2041" tooltip="Maxis Redwood Shores" display="https://en.wikipedia.org/wiki/Maxis_Redwood_Shores" xr:uid="{FC6399D0-5064-4094-A1E8-97E7161DAFA4}"/>
    <hyperlink ref="B268" r:id="rId2042" tooltip="The Sims 4: Realm of Magic" display="https://en.wikipedia.org/wiki/The_Sims_4:_Realm_of_Magic" xr:uid="{F041BDF4-38B6-4E23-BB0B-E60C4D190418}"/>
    <hyperlink ref="D268" r:id="rId2043" tooltip="Microsoft Windows" display="https://en.wikipedia.org/wiki/Microsoft_Windows" xr:uid="{303BFE5E-03F7-4B11-9DE9-42778BECB949}"/>
    <hyperlink ref="E268" r:id="rId2044" tooltip="Maxis Redwood Shores" display="https://en.wikipedia.org/wiki/Maxis_Redwood_Shores" xr:uid="{E66D95AF-CCBA-4DD1-BDA2-B5374EB5FFA1}"/>
    <hyperlink ref="B259" r:id="rId2045" tooltip="The Sims 4: Realm of Magic" display="https://en.wikipedia.org/wiki/The_Sims_4:_Realm_of_Magic" xr:uid="{A1E60870-CFCC-4B66-A25C-A6D09D23448C}"/>
    <hyperlink ref="D259" r:id="rId2046" tooltip="PlayStation 4" display="https://en.wikipedia.org/wiki/PlayStation_4" xr:uid="{00C29263-A5D2-4DB6-9E57-E81E569BCA3D}"/>
    <hyperlink ref="E259" r:id="rId2047" tooltip="Maxis Redwood Shores" display="https://en.wikipedia.org/wiki/Maxis_Redwood_Shores" xr:uid="{793DEFC9-5AAF-4A60-9C77-7FA90ED67FC0}"/>
    <hyperlink ref="B260" r:id="rId2048" tooltip="The Sims 4: Realm of Magic" display="https://en.wikipedia.org/wiki/The_Sims_4:_Realm_of_Magic" xr:uid="{DF4C719F-7E01-4A7B-A57D-B712EF91F545}"/>
    <hyperlink ref="D260" r:id="rId2049" tooltip="Xbox One" display="https://en.wikipedia.org/wiki/Xbox_One" xr:uid="{D00049C2-72C9-4FBF-81CB-CA3E3271F29A}"/>
    <hyperlink ref="E260" r:id="rId2050" tooltip="Maxis Redwood Shores" display="https://en.wikipedia.org/wiki/Maxis_Redwood_Shores" xr:uid="{EA228C16-0EFB-40A2-AC14-B81325CCAC11}"/>
    <hyperlink ref="B326" r:id="rId2051" tooltip="The Sims 4: Seasons" display="https://en.wikipedia.org/wiki/The_Sims_4:_Seasons" xr:uid="{0C4060BB-3610-48F5-A19F-97863B05A2E8}"/>
    <hyperlink ref="D326" r:id="rId2052" tooltip="Macintosh" display="https://en.wikipedia.org/wiki/Macintosh" xr:uid="{D8D44949-1ED0-47AB-97B4-CD9E947D59E1}"/>
    <hyperlink ref="E326" r:id="rId2053" tooltip="Maxis Redwood Shores" display="https://en.wikipedia.org/wiki/Maxis_Redwood_Shores" xr:uid="{D70B8C26-07B7-45CA-8508-CA882F5F010C}"/>
    <hyperlink ref="B327" r:id="rId2054" tooltip="The Sims 4: Seasons" display="https://en.wikipedia.org/wiki/The_Sims_4:_Seasons" xr:uid="{F21CB697-6335-4C97-A919-FDF0EAC942F8}"/>
    <hyperlink ref="D327" r:id="rId2055" tooltip="Microsoft Windows" display="https://en.wikipedia.org/wiki/Microsoft_Windows" xr:uid="{6136F901-A6C1-491C-A01E-CA3B7C05BF67}"/>
    <hyperlink ref="E327" r:id="rId2056" tooltip="Maxis Redwood Shores" display="https://en.wikipedia.org/wiki/Maxis_Redwood_Shores" xr:uid="{08381842-60A3-42FC-AC64-1FDF0E5492C6}"/>
    <hyperlink ref="B304" r:id="rId2057" tooltip="The Sims 4: Seasons" display="https://en.wikipedia.org/wiki/The_Sims_4:_Seasons" xr:uid="{E3619F87-B74B-4DA3-BF87-8EBE6F6B601F}"/>
    <hyperlink ref="D304" r:id="rId2058" tooltip="PlayStation 4" display="https://en.wikipedia.org/wiki/PlayStation_4" xr:uid="{F1DDDD71-4852-4840-A699-7A81EF830996}"/>
    <hyperlink ref="E304" r:id="rId2059" tooltip="Maxis Redwood Shores" display="https://en.wikipedia.org/wiki/Maxis_Redwood_Shores" xr:uid="{65790304-76DD-474B-956F-486005ED86B9}"/>
    <hyperlink ref="B305" r:id="rId2060" tooltip="The Sims 4: Seasons" display="https://en.wikipedia.org/wiki/The_Sims_4:_Seasons" xr:uid="{C0E87C04-0F06-4616-8E18-79A1C75D4DE6}"/>
    <hyperlink ref="D305" r:id="rId2061" tooltip="Xbox One" display="https://en.wikipedia.org/wiki/Xbox_One" xr:uid="{F8F5C772-448A-4452-9F47-2BF159EBF09D}"/>
    <hyperlink ref="E305" r:id="rId2062" tooltip="Maxis Redwood Shores" display="https://en.wikipedia.org/wiki/Maxis_Redwood_Shores" xr:uid="{B3B0C5A3-2B00-4F4B-A19B-383DC28AD43E}"/>
    <hyperlink ref="B382" r:id="rId2063" tooltip="The Sims 4: Spa Day" display="https://en.wikipedia.org/wiki/The_Sims_4:_Spa_Day" xr:uid="{A89ABB7D-298F-4F5B-8BB9-3DB7B90264C9}"/>
    <hyperlink ref="D382" r:id="rId2064" tooltip="Macintosh" display="https://en.wikipedia.org/wiki/Macintosh" xr:uid="{41905BE9-EBA1-4A78-A439-4997FC12291D}"/>
    <hyperlink ref="E382" r:id="rId2065" tooltip="Maxis Redwood Shores" display="https://en.wikipedia.org/wiki/Maxis_Redwood_Shores" xr:uid="{3D46E643-AA83-497E-9FF4-31622C7BF703}"/>
    <hyperlink ref="B383" r:id="rId2066" tooltip="The Sims 4: Spa Day" display="https://en.wikipedia.org/wiki/The_Sims_4:_Spa_Day" xr:uid="{BBE39862-E434-44EE-ACF9-F275B17205F2}"/>
    <hyperlink ref="D383" r:id="rId2067" tooltip="Microsoft Windows" display="https://en.wikipedia.org/wiki/Microsoft_Windows" xr:uid="{26A53B3E-DF17-45BD-A7C2-6C4F7C52B413}"/>
    <hyperlink ref="E383" r:id="rId2068" tooltip="Maxis Redwood Shores" display="https://en.wikipedia.org/wiki/Maxis_Redwood_Shores" xr:uid="{98D8BCA6-7FAA-4DBE-9129-EB3FAADE5E97}"/>
    <hyperlink ref="B328" r:id="rId2069" tooltip="The Sims 4: Spa Day" display="https://en.wikipedia.org/wiki/The_Sims_4:_Spa_Day" xr:uid="{A766295D-2D3E-4852-990B-5078297172DB}"/>
    <hyperlink ref="D328" r:id="rId2070" tooltip="PlayStation 4" display="https://en.wikipedia.org/wiki/PlayStation_4" xr:uid="{23774813-7596-48B7-9A9E-E79CAE9FFB66}"/>
    <hyperlink ref="E328" r:id="rId2071" tooltip="Maxis Redwood Shores" display="https://en.wikipedia.org/wiki/Maxis_Redwood_Shores" xr:uid="{C4F4F301-B1D4-46DE-825D-823B1A41AD35}"/>
    <hyperlink ref="B329" r:id="rId2072" tooltip="The Sims 4: Spa Day" display="https://en.wikipedia.org/wiki/The_Sims_4:_Spa_Day" xr:uid="{0898BFDF-99F5-4D0E-BF51-DBC7BBC97AC6}"/>
    <hyperlink ref="D329" r:id="rId2073" tooltip="Xbox One" display="https://en.wikipedia.org/wiki/Xbox_One" xr:uid="{342BF6D8-4DEE-408D-9057-0C9F2AB8C916}"/>
    <hyperlink ref="E329" r:id="rId2074" tooltip="Maxis Redwood Shores" display="https://en.wikipedia.org/wiki/Maxis_Redwood_Shores" xr:uid="{1E696EDA-2330-4D5A-83D2-870A5DD91E42}"/>
    <hyperlink ref="B282" r:id="rId2075" tooltip="The Sims 4: StrangerVille" display="https://en.wikipedia.org/wiki/The_Sims_4:_StrangerVille" xr:uid="{A91BC3A0-D610-4086-A5DA-7E7C1B8BD021}"/>
    <hyperlink ref="D282" r:id="rId2076" tooltip="Macintosh" display="https://en.wikipedia.org/wiki/Macintosh" xr:uid="{49C34A2A-069D-44F5-8C37-9A038384AB06}"/>
    <hyperlink ref="E282" r:id="rId2077" tooltip="Maxis Redwood Shores" display="https://en.wikipedia.org/wiki/Maxis_Redwood_Shores" xr:uid="{F9E5AE36-17F7-474B-BF46-3534FF42F9FC}"/>
    <hyperlink ref="B283" r:id="rId2078" tooltip="The Sims 4: StrangerVille" display="https://en.wikipedia.org/wiki/The_Sims_4:_StrangerVille" xr:uid="{8809E482-10C1-4F68-959D-22A2AFD9BF92}"/>
    <hyperlink ref="D283" r:id="rId2079" tooltip="Microsoft Windows" display="https://en.wikipedia.org/wiki/Microsoft_Windows" xr:uid="{F7409D8B-89F2-4604-BEED-831388FC0888}"/>
    <hyperlink ref="E283" r:id="rId2080" tooltip="Maxis Redwood Shores" display="https://en.wikipedia.org/wiki/Maxis_Redwood_Shores" xr:uid="{555D6121-CB53-4B95-A2F8-95A86B9071D2}"/>
    <hyperlink ref="B279" r:id="rId2081" tooltip="The Sims 4: StrangerVille" display="https://en.wikipedia.org/wiki/The_Sims_4:_StrangerVille" xr:uid="{176ADE93-2894-41E7-BAE3-8DDF88E11246}"/>
    <hyperlink ref="D279" r:id="rId2082" tooltip="PlayStation 4" display="https://en.wikipedia.org/wiki/PlayStation_4" xr:uid="{CBD7AED4-3051-4C5E-9736-8968C393FDFB}"/>
    <hyperlink ref="E279" r:id="rId2083" tooltip="Maxis Redwood Shores" display="https://en.wikipedia.org/wiki/Maxis_Redwood_Shores" xr:uid="{9F21EC8D-6E42-406A-B1F2-B925264B3D7C}"/>
    <hyperlink ref="B280" r:id="rId2084" tooltip="The Sims 4: StrangerVille" display="https://en.wikipedia.org/wiki/The_Sims_4:_StrangerVille" xr:uid="{B48AC6F4-FACC-4023-BEBA-6AC3794AC931}"/>
    <hyperlink ref="D280" r:id="rId2085" tooltip="Xbox One" display="https://en.wikipedia.org/wiki/Xbox_One" xr:uid="{6DF36BC4-55CC-4CE2-BCDE-DA6F29AD7AAE}"/>
    <hyperlink ref="E280" r:id="rId2086" tooltip="Maxis Redwood Shores" display="https://en.wikipedia.org/wiki/Maxis_Redwood_Shores" xr:uid="{9F4F8FE2-8B25-4A82-B6FC-9CB44AC1EEAB}"/>
    <hyperlink ref="B390" r:id="rId2087" tooltip="The Sims 4: Vampires" display="https://en.wikipedia.org/wiki/The_Sims_4:_Vampires" xr:uid="{B329250A-2CE9-4C00-9E9A-CD26E8E519E5}"/>
    <hyperlink ref="D390" r:id="rId2088" tooltip="Macintosh" display="https://en.wikipedia.org/wiki/Macintosh" xr:uid="{D653C260-7DDC-43D5-BAB1-E8770F78118E}"/>
    <hyperlink ref="E390" r:id="rId2089" tooltip="Maxis Redwood Shores" display="https://en.wikipedia.org/wiki/Maxis_Redwood_Shores" xr:uid="{F9F92EC5-893F-4B7F-AD51-A8DB03F30F66}"/>
    <hyperlink ref="B391" r:id="rId2090" tooltip="The Sims 4: Vampires" display="https://en.wikipedia.org/wiki/The_Sims_4:_Vampires" xr:uid="{066BB0A5-DB62-43FA-8471-EBA274BA6D07}"/>
    <hyperlink ref="D391" r:id="rId2091" tooltip="Microsoft Windows" display="https://en.wikipedia.org/wiki/Microsoft_Windows" xr:uid="{4C318064-5790-430E-8515-099F42C2D0F9}"/>
    <hyperlink ref="E391" r:id="rId2092" tooltip="Maxis Redwood Shores" display="https://en.wikipedia.org/wiki/Maxis_Redwood_Shores" xr:uid="{E7BE4A3D-5440-4851-B456-B9DA90A626D9}"/>
    <hyperlink ref="B359" r:id="rId2093" tooltip="The Sims 4: Vampires" display="https://en.wikipedia.org/wiki/The_Sims_4:_Vampires" xr:uid="{392AE4B1-0C54-4124-8DAD-D3A69AEE19F8}"/>
    <hyperlink ref="D359" r:id="rId2094" tooltip="PlayStation 4" display="https://en.wikipedia.org/wiki/PlayStation_4" xr:uid="{5D3706B5-CD66-4393-BD8D-0F466CA7D9AF}"/>
    <hyperlink ref="E359" r:id="rId2095" tooltip="Maxis Redwood Shores" display="https://en.wikipedia.org/wiki/Maxis_Redwood_Shores" xr:uid="{B38AF3C8-6193-450F-B20E-0B0276940A50}"/>
    <hyperlink ref="B360" r:id="rId2096" tooltip="The Sims 4: Vampires" display="https://en.wikipedia.org/wiki/The_Sims_4:_Vampires" xr:uid="{3C436DEA-E367-4550-BE00-23C60FBC1BDB}"/>
    <hyperlink ref="D360" r:id="rId2097" tooltip="Xbox One" display="https://en.wikipedia.org/wiki/Xbox_One" xr:uid="{71F62576-AF9E-4C77-ADE6-8FEB7CE4FE8A}"/>
    <hyperlink ref="E360" r:id="rId2098" tooltip="Maxis Redwood Shores" display="https://en.wikipedia.org/wiki/Maxis_Redwood_Shores" xr:uid="{994C3105-EEB5-4BF1-9C24-91AC9CB2A835}"/>
    <hyperlink ref="B727" r:id="rId2099" tooltip="The Sims FreePlay" display="https://en.wikipedia.org/wiki/The_Sims_FreePlay" xr:uid="{39A06FA9-4717-4F3C-A178-C48E1F6A35CF}"/>
    <hyperlink ref="D727" r:id="rId2100" tooltip="IOS" display="https://en.wikipedia.org/wiki/IOS" xr:uid="{7B809168-28EC-4726-9D9F-615CBED0EE1C}"/>
    <hyperlink ref="B710" r:id="rId2101" tooltip="The Sims FreePlay" display="https://en.wikipedia.org/wiki/The_Sims_FreePlay" xr:uid="{E5C76100-B506-46A9-A413-6E306ECE8646}"/>
    <hyperlink ref="D710" r:id="rId2102" tooltip="Android (operating system)" display="https://en.wikipedia.org/wiki/Android_(operating_system)" xr:uid="{3B2238D5-AC96-48DD-9C40-F4A25212BFD4}"/>
    <hyperlink ref="B589" r:id="rId2103" tooltip="The Sims FreePlay" display="https://en.wikipedia.org/wiki/The_Sims_FreePlay" xr:uid="{0A656DD6-5C20-442E-B64F-C68F9F6D3709}"/>
    <hyperlink ref="D589" r:id="rId2104" tooltip="BlackBerry World" display="https://en.wikipedia.org/wiki/BlackBerry_World" xr:uid="{86A3E98E-2C3E-4CB8-BC48-5079ED1ADF67}"/>
    <hyperlink ref="B579" r:id="rId2105" tooltip="The Sims FreePlay" display="https://en.wikipedia.org/wiki/The_Sims_FreePlay" xr:uid="{1A14F767-2B60-4B47-A7D5-B1FC709D80C5}"/>
    <hyperlink ref="D579" r:id="rId2106" tooltip="Windows Phone" display="https://en.wikipedia.org/wiki/Windows_Phone" xr:uid="{B16E90D2-F172-4135-B011-CB4CD6EE6D9E}"/>
    <hyperlink ref="B771" r:id="rId2107" tooltip="The Sims Medieval" display="https://en.wikipedia.org/wiki/The_Sims_Medieval" xr:uid="{522F318D-6C83-4B48-9E7B-42C9A44CF316}"/>
    <hyperlink ref="D771" r:id="rId2108" tooltip="IOS" display="https://en.wikipedia.org/wiki/IOS" xr:uid="{F9DA51FC-9A3C-408C-8628-9F97100D96D9}"/>
    <hyperlink ref="B772" r:id="rId2109" tooltip="The Sims Medieval" display="https://en.wikipedia.org/wiki/The_Sims_Medieval" xr:uid="{549BB592-514C-4B2A-97A0-50732F0B4D9D}"/>
    <hyperlink ref="D772" r:id="rId2110" tooltip="Macintosh" display="https://en.wikipedia.org/wiki/Macintosh" xr:uid="{E45FF491-B6DC-4391-8EB0-EC7498A92A25}"/>
    <hyperlink ref="E772" r:id="rId2111" tooltip="Maxis Redwood Shores" display="https://en.wikipedia.org/wiki/Maxis_Redwood_Shores" xr:uid="{2118734F-D3DB-4516-9445-34B3B521C5B2}"/>
    <hyperlink ref="B773" r:id="rId2112" tooltip="The Sims Medieval" display="https://en.wikipedia.org/wiki/The_Sims_Medieval" xr:uid="{1574042F-B456-4003-8A0E-12818A618826}"/>
    <hyperlink ref="D773" r:id="rId2113" tooltip="Microsoft Windows" display="https://en.wikipedia.org/wiki/Microsoft_Windows" xr:uid="{C8C985B6-EC81-45D1-9BAC-59F695556392}"/>
    <hyperlink ref="E773" r:id="rId2114" tooltip="Maxis Redwood Shores" display="https://en.wikipedia.org/wiki/Maxis_Redwood_Shores" xr:uid="{3D8B3B66-6759-476E-8D65-0FA10630C51E}"/>
    <hyperlink ref="B609" r:id="rId2115" tooltip="The Sims Medieval" display="https://en.wikipedia.org/wiki/The_Sims_Medieval" xr:uid="{281285E0-E396-4B2D-8368-61E21576C06B}"/>
    <hyperlink ref="D609" r:id="rId2116" tooltip="Windows Phone" display="https://en.wikipedia.org/wiki/Windows_Phone" xr:uid="{8BF6646E-3A2A-4E3E-A4BA-C74DE372842C}"/>
    <hyperlink ref="E609" r:id="rId2117" tooltip="Maxis Redwood Shores" display="https://en.wikipedia.org/wiki/Maxis_Redwood_Shores" xr:uid="{0DF587F0-D5C1-48BF-9C50-D1E95CD28706}"/>
    <hyperlink ref="B783" r:id="rId2118" tooltip="The Sims Medieval: Pirates and Nobles" display="https://en.wikipedia.org/wiki/The_Sims_Medieval:_Pirates_and_Nobles" xr:uid="{C691BC10-6807-4197-BC39-8B70329F8F23}"/>
    <hyperlink ref="D783" r:id="rId2119" tooltip="Macintosh" display="https://en.wikipedia.org/wiki/Macintosh" xr:uid="{FAD60C12-092D-4B96-A937-8C900A848A25}"/>
    <hyperlink ref="E783" r:id="rId2120" tooltip="Maxis Redwood Shores" display="https://en.wikipedia.org/wiki/Maxis_Redwood_Shores" xr:uid="{DD0A1E7B-7013-490D-9AD4-7FB19F511A80}"/>
    <hyperlink ref="B784" r:id="rId2121" tooltip="The Sims Medieval: Pirates and Nobles" display="https://en.wikipedia.org/wiki/The_Sims_Medieval:_Pirates_and_Nobles" xr:uid="{54F27F7C-A30E-47FD-9361-07DD11630D4D}"/>
    <hyperlink ref="D784" r:id="rId2122" tooltip="Microsoft Windows" display="https://en.wikipedia.org/wiki/Microsoft_Windows" xr:uid="{76DE4B98-5436-47F9-BFF7-A74F81BD38D7}"/>
    <hyperlink ref="E784" r:id="rId2123" tooltip="Maxis Redwood Shores" display="https://en.wikipedia.org/wiki/Maxis_Redwood_Shores" xr:uid="{F2FA7A52-D15D-4C5F-8378-A3B8E508EF75}"/>
    <hyperlink ref="B344" r:id="rId2124" tooltip="The Sims Mobile" display="https://en.wikipedia.org/wiki/The_Sims_Mobile" xr:uid="{2C882260-5459-408C-A70F-FE75111C92D4}"/>
    <hyperlink ref="D344" r:id="rId2125" tooltip="Android (operating system)" display="https://en.wikipedia.org/wiki/Android_(operating_system)" xr:uid="{0839FFFD-3629-461E-B10B-CE4361757F4C}"/>
    <hyperlink ref="B345" r:id="rId2126" tooltip="The Sims Mobile" display="https://en.wikipedia.org/wiki/The_Sims_Mobile" xr:uid="{2B7D8029-CAB9-4ABC-BD85-C8B06E2C0039}"/>
    <hyperlink ref="D345" r:id="rId2127" tooltip="IOS" display="https://en.wikipedia.org/wiki/IOS" xr:uid="{9082D6AF-C237-4FAD-A512-FBAC439054D9}"/>
    <hyperlink ref="B797" r:id="rId2128" tooltip="The Sims Social" display="https://en.wikipedia.org/wiki/The_Sims_Social" xr:uid="{089B644F-7DA4-4D34-B73E-B26F0BFAE2E1}"/>
    <hyperlink ref="D797" r:id="rId2129" tooltip="Facebook" display="https://en.wikipedia.org/wiki/Facebook" xr:uid="{E7A93F69-A633-48C5-B395-81B187026E2B}"/>
    <hyperlink ref="E797" r:id="rId2130" tooltip="Playfish" display="https://en.wikipedia.org/wiki/Playfish" xr:uid="{192F4D2A-FF6D-4177-9DBF-6FEC09DFF71B}"/>
    <hyperlink ref="B730" r:id="rId2131" tooltip="Theme Park (video game)" display="https://en.wikipedia.org/wiki/Theme_Park_(video_game)" xr:uid="{6BABDD4F-4B80-46A3-8C38-F9257CE11CC7}"/>
    <hyperlink ref="D730" r:id="rId2132" tooltip="IOS" display="https://en.wikipedia.org/wiki/IOS" xr:uid="{CE8B40D1-DDBB-49B2-BBC5-03C656D81AFD}"/>
    <hyperlink ref="E730" r:id="rId2133" tooltip="Bullfrog Productions" display="https://en.wikipedia.org/wiki/Bullfrog_Productions" xr:uid="{40F89F96-87D0-4642-953B-DE9D5F3CA6E8}"/>
    <hyperlink ref="B986" r:id="rId2134" tooltip="Tiger Woods PGA Tour 11" display="https://en.wikipedia.org/wiki/Tiger_Woods_PGA_Tour_11" xr:uid="{041D4160-D7BE-4196-A49C-0B3AFF71644B}"/>
    <hyperlink ref="D986" r:id="rId2135" tooltip="IOS" display="https://en.wikipedia.org/wiki/IOS" xr:uid="{07F90A92-97A7-40C8-AC83-C67A9F796401}"/>
    <hyperlink ref="E986" r:id="rId2136" tooltip="EA Tiburon" display="https://en.wikipedia.org/wiki/EA_Tiburon" xr:uid="{CB081B9E-27D4-4DA8-A0CA-F04007B96EB1}"/>
    <hyperlink ref="B987" r:id="rId2137" tooltip="Tiger Woods PGA Tour 11" display="https://en.wikipedia.org/wiki/Tiger_Woods_PGA_Tour_11" xr:uid="{F3CA0456-27AD-4BE1-8399-C0B747CF88FA}"/>
    <hyperlink ref="D987" r:id="rId2138" tooltip="PlayStation 3" display="https://en.wikipedia.org/wiki/PlayStation_3" xr:uid="{11E8DC5A-85F9-406C-BA2F-70A3A26B2138}"/>
    <hyperlink ref="E987" r:id="rId2139" tooltip="EA Tiburon" display="https://en.wikipedia.org/wiki/EA_Tiburon" xr:uid="{BCFC66AC-6171-495F-A976-F306BE966199}"/>
    <hyperlink ref="B988" r:id="rId2140" tooltip="Tiger Woods PGA Tour 11" display="https://en.wikipedia.org/wiki/Tiger_Woods_PGA_Tour_11" xr:uid="{06108625-C47C-4514-99BC-6E8E685AE072}"/>
    <hyperlink ref="D988" r:id="rId2141" tooltip="Wii" display="https://en.wikipedia.org/wiki/Wii" xr:uid="{3AFD7370-8A40-4089-B69C-6775ADD08CF2}"/>
    <hyperlink ref="E988" r:id="rId2142" tooltip="EA Tiburon" display="https://en.wikipedia.org/wiki/EA_Tiburon" xr:uid="{5062BDC5-D40A-471E-8F7C-FAB151D36261}"/>
    <hyperlink ref="B989" r:id="rId2143" tooltip="Tiger Woods PGA Tour 11" display="https://en.wikipedia.org/wiki/Tiger_Woods_PGA_Tour_11" xr:uid="{665ECC20-D840-46ED-A30E-CD931A21156F}"/>
    <hyperlink ref="D989" r:id="rId2144" tooltip="Xbox 360" display="https://en.wikipedia.org/wiki/Xbox_360" xr:uid="{0A611BD9-BB77-4655-902F-CDB2E37F526E}"/>
    <hyperlink ref="E989" r:id="rId2145" tooltip="EA Tiburon" display="https://en.wikipedia.org/wiki/EA_Tiburon" xr:uid="{FAF0426D-B5B9-46C3-A63C-0D3DFF083A7F}"/>
    <hyperlink ref="B819" r:id="rId2146" tooltip="Tiger Woods PGA Tour 12" display="https://en.wikipedia.org/wiki/Tiger_Woods_PGA_Tour_12" xr:uid="{246E876E-2540-40A2-8515-CB61CEF4209B}"/>
    <hyperlink ref="D819" r:id="rId2147" tooltip="IOS" display="https://en.wikipedia.org/wiki/IOS" xr:uid="{03CEC9B8-8952-4D27-B5EB-725565F39B60}"/>
    <hyperlink ref="E819" r:id="rId2148" tooltip="EA Tiburon" display="https://en.wikipedia.org/wiki/EA_Tiburon" xr:uid="{CFE6A9B3-91D9-4B5F-BE6C-C863B813E473}"/>
    <hyperlink ref="B820" r:id="rId2149" tooltip="Tiger Woods PGA Tour 12" display="https://en.wikipedia.org/wiki/Tiger_Woods_PGA_Tour_12" xr:uid="{86CFE263-D166-49B6-97BC-D8D5C001884F}"/>
    <hyperlink ref="D820" r:id="rId2150" tooltip="PlayStation 3" display="https://en.wikipedia.org/wiki/PlayStation_3" xr:uid="{48E5548A-E260-4CDA-A583-20D4CBDA2153}"/>
    <hyperlink ref="E820" r:id="rId2151" tooltip="EA Tiburon" display="https://en.wikipedia.org/wiki/EA_Tiburon" xr:uid="{2F7D3A39-C1E6-484C-89D3-C7BD327DE1C9}"/>
    <hyperlink ref="B821" r:id="rId2152" tooltip="Tiger Woods PGA Tour 12" display="https://en.wikipedia.org/wiki/Tiger_Woods_PGA_Tour_12" xr:uid="{0D7658CD-522F-456B-8A61-CACB957AD93F}"/>
    <hyperlink ref="D821" r:id="rId2153" tooltip="Wii" display="https://en.wikipedia.org/wiki/Wii" xr:uid="{5C15A009-8BB5-40BF-8AD8-B2A3DCEB036C}"/>
    <hyperlink ref="E821" r:id="rId2154" tooltip="EA Tiburon" display="https://en.wikipedia.org/wiki/EA_Tiburon" xr:uid="{93F224F7-8BF0-48AE-9E54-CCEADD2B3558}"/>
    <hyperlink ref="B822" r:id="rId2155" tooltip="Tiger Woods PGA Tour 12" display="https://en.wikipedia.org/wiki/Tiger_Woods_PGA_Tour_12" xr:uid="{3878CBE1-3178-44E0-B5FF-B88D3FBDA8D2}"/>
    <hyperlink ref="D822" r:id="rId2156" tooltip="Xbox 360" display="https://en.wikipedia.org/wiki/Xbox_360" xr:uid="{C02EF9FB-4AB9-4133-9EDD-066A48A14163}"/>
    <hyperlink ref="E822" r:id="rId2157" tooltip="EA Tiburon" display="https://en.wikipedia.org/wiki/EA_Tiburon" xr:uid="{69553C07-519D-454C-90E7-D3553DF0FAB3}"/>
    <hyperlink ref="B780" r:id="rId2158" tooltip="Tiger Woods PGA Tour 12" display="https://en.wikipedia.org/wiki/Tiger_Woods_PGA_Tour_12" xr:uid="{A0336411-AB69-447D-BA48-4FB62058CC71}"/>
    <hyperlink ref="D780" r:id="rId2159" tooltip="Macintosh" display="https://en.wikipedia.org/wiki/Macintosh" xr:uid="{7DB220F5-70E8-42B2-ACE5-09CE1C2A16FC}"/>
    <hyperlink ref="E780" r:id="rId2160" tooltip="EA Tiburon" display="https://en.wikipedia.org/wiki/EA_Tiburon" xr:uid="{E9A4D00E-999D-4CDA-AB62-8CC504F36F55}"/>
    <hyperlink ref="B781" r:id="rId2161" tooltip="Tiger Woods PGA Tour 12" display="https://en.wikipedia.org/wiki/Tiger_Woods_PGA_Tour_12" xr:uid="{2E8AA97A-E864-41AD-BBBA-4AD06BA6E0CE}"/>
    <hyperlink ref="D781" r:id="rId2162" tooltip="Microsoft Windows" display="https://en.wikipedia.org/wiki/Microsoft_Windows" xr:uid="{B8611A1D-6977-421E-BF68-F091C216AB5D}"/>
    <hyperlink ref="E781" r:id="rId2163" tooltip="EA Tiburon" display="https://en.wikipedia.org/wiki/EA_Tiburon" xr:uid="{0AD9B688-5B3F-43C5-BD6D-D0D0BBC8F734}"/>
    <hyperlink ref="B685" r:id="rId2164" tooltip="Tiger Woods PGA Tour 13" display="https://en.wikipedia.org/wiki/Tiger_Woods_PGA_Tour_13" xr:uid="{B869035E-E750-44EC-85D9-A5B1320B89A7}"/>
    <hyperlink ref="D685" r:id="rId2165" tooltip="PlayStation 3" display="https://en.wikipedia.org/wiki/PlayStation_3" xr:uid="{4F93C696-9C60-43E7-AC24-D87EE400DE5E}"/>
    <hyperlink ref="E685" r:id="rId2166" tooltip="EA Tiburon" display="https://en.wikipedia.org/wiki/EA_Tiburon" xr:uid="{4787BAF9-9CBF-49E3-A97F-7E50443BEBCA}"/>
    <hyperlink ref="B686" r:id="rId2167" tooltip="Tiger Woods PGA Tour 13" display="https://en.wikipedia.org/wiki/Tiger_Woods_PGA_Tour_13" xr:uid="{A4EE808A-D41C-4053-B8E0-AD4338BE6F71}"/>
    <hyperlink ref="D686" r:id="rId2168" tooltip="Xbox 360" display="https://en.wikipedia.org/wiki/Xbox_360" xr:uid="{6937EB45-3B71-44CF-B3E4-AB88B2107918}"/>
    <hyperlink ref="E686" r:id="rId2169" tooltip="EA Tiburon" display="https://en.wikipedia.org/wiki/EA_Tiburon" xr:uid="{D1623BD9-0164-4E6B-BCFD-2D0C8EF63263}"/>
    <hyperlink ref="B605" r:id="rId2170" tooltip="Tiger Woods PGA Tour 14" display="https://en.wikipedia.org/wiki/Tiger_Woods_PGA_Tour_14" xr:uid="{F02DFD99-80A9-40CF-BE44-21824BF3DAF5}"/>
    <hyperlink ref="D605" r:id="rId2171" tooltip="PlayStation 3" display="https://en.wikipedia.org/wiki/PlayStation_3" xr:uid="{20EA7579-6B8D-4A41-BB8E-2774B5287597}"/>
    <hyperlink ref="E605" r:id="rId2172" tooltip="EA Tiburon" display="https://en.wikipedia.org/wiki/EA_Tiburon" xr:uid="{D0D10E02-DC82-4013-8DD6-C62E6D14FC4C}"/>
    <hyperlink ref="B606" r:id="rId2173" tooltip="Tiger Woods PGA Tour 14" display="https://en.wikipedia.org/wiki/Tiger_Woods_PGA_Tour_14" xr:uid="{D44AC6B6-9CA6-4F99-B0C9-D655585FB089}"/>
    <hyperlink ref="D606" r:id="rId2174" tooltip="Xbox 360" display="https://en.wikipedia.org/wiki/Xbox_360" xr:uid="{4ACE7428-626A-47AB-BE89-F543237A2E24}"/>
    <hyperlink ref="E606" r:id="rId2175" tooltip="EA Tiburon" display="https://en.wikipedia.org/wiki/EA_Tiburon" xr:uid="{8CD0A40B-504E-4301-9FEB-29D2FD07ABA9}"/>
    <hyperlink ref="B1008" r:id="rId2176" tooltip="Tiger Woods PGA Tour Online" display="https://en.wikipedia.org/wiki/Tiger_Woods_PGA_Tour_Online" xr:uid="{0FD9D113-B465-4B00-8A6E-00B52F0250C7}"/>
    <hyperlink ref="D1008" r:id="rId2177" tooltip="Microsoft Windows" display="https://en.wikipedia.org/wiki/Microsoft_Windows" xr:uid="{971B6853-174D-4DF3-8E8B-AC8A3204E0FA}"/>
    <hyperlink ref="E1008" r:id="rId2178" tooltip="EA Sports" display="https://en.wikipedia.org/wiki/EA_Sports" xr:uid="{B5DD728F-4CC3-400D-8793-84B829E8D9C1}"/>
    <hyperlink ref="B533" r:id="rId2179" tooltip="Titanfall" display="https://en.wikipedia.org/wiki/Titanfall" xr:uid="{BEA04894-2EA1-44B2-80E0-68B2E25C997E}"/>
    <hyperlink ref="D533" r:id="rId2180" tooltip="Microsoft Windows" display="https://en.wikipedia.org/wiki/Microsoft_Windows" xr:uid="{07ABD563-5475-40BC-A8D4-2FCEA952CBCC}"/>
    <hyperlink ref="E533" r:id="rId2181" tooltip="Respawn Entertainment" display="https://en.wikipedia.org/wiki/Respawn_Entertainment" xr:uid="{D9048301-7C26-4BEE-8125-AF1E5BD290E5}"/>
    <hyperlink ref="B534" r:id="rId2182" tooltip="Titanfall" display="https://en.wikipedia.org/wiki/Titanfall" xr:uid="{F92A6415-ADF4-470B-B0EC-07E64D307E22}"/>
    <hyperlink ref="D534" r:id="rId2183" tooltip="Xbox 360" display="https://en.wikipedia.org/wiki/Xbox_360" xr:uid="{FCE66D4E-6E80-4F4B-883D-3221FF3C4234}"/>
    <hyperlink ref="E534" r:id="rId2184" tooltip="Respawn Entertainment" display="https://en.wikipedia.org/wiki/Respawn_Entertainment" xr:uid="{FF559094-265A-4DAA-95ED-06CFFB6F9B1E}"/>
    <hyperlink ref="B535" r:id="rId2185" tooltip="Titanfall" display="https://en.wikipedia.org/wiki/Titanfall" xr:uid="{B53BEEF7-51F8-44E1-9365-241B9EC382B5}"/>
    <hyperlink ref="D535" r:id="rId2186" tooltip="Xbox One" display="https://en.wikipedia.org/wiki/Xbox_One" xr:uid="{100CAE30-A2E1-440C-827D-FE3C656F3E5F}"/>
    <hyperlink ref="E535" r:id="rId2187" tooltip="Respawn Entertainment" display="https://en.wikipedia.org/wiki/Respawn_Entertainment" xr:uid="{F7D8E6E4-710E-4EED-8F99-F02866B22F34}"/>
    <hyperlink ref="B396" r:id="rId2188" tooltip="Titanfall 2" display="https://en.wikipedia.org/wiki/Titanfall_2" xr:uid="{808A5138-D68A-43E6-853C-299C6EA0F390}"/>
    <hyperlink ref="D396" r:id="rId2189" tooltip="PlayStation 4" display="https://en.wikipedia.org/wiki/PlayStation_4" xr:uid="{F7BF70DC-2D43-4CEF-A7A3-77A4D7428AC9}"/>
    <hyperlink ref="E396" r:id="rId2190" tooltip="Respawn Entertainment" display="https://en.wikipedia.org/wiki/Respawn_Entertainment" xr:uid="{504223C1-E396-42A7-BAFC-1A203DBD7557}"/>
    <hyperlink ref="B397" r:id="rId2191" tooltip="Titanfall 2" display="https://en.wikipedia.org/wiki/Titanfall_2" xr:uid="{46FA1B07-0730-44C9-B9D8-945A502603FE}"/>
    <hyperlink ref="D397" r:id="rId2192" tooltip="Microsoft Windows" display="https://en.wikipedia.org/wiki/Microsoft_Windows" xr:uid="{DCF44DD5-F699-490B-BB50-461E0415716A}"/>
    <hyperlink ref="E397" r:id="rId2193" tooltip="Respawn Entertainment" display="https://en.wikipedia.org/wiki/Respawn_Entertainment" xr:uid="{B9C5BCC2-200A-48D8-AE67-1812FAD4668E}"/>
    <hyperlink ref="B398" r:id="rId2194" tooltip="Titanfall 2" display="https://en.wikipedia.org/wiki/Titanfall_2" xr:uid="{B689866C-FCA0-4656-A5AD-E72A971823A7}"/>
    <hyperlink ref="D398" r:id="rId2195" tooltip="Xbox One" display="https://en.wikipedia.org/wiki/Xbox_One" xr:uid="{AEDDF030-C29B-466B-9FC3-A1C35FA53E72}"/>
    <hyperlink ref="E398" r:id="rId2196" tooltip="Respawn Entertainment" display="https://en.wikipedia.org/wiki/Respawn_Entertainment" xr:uid="{5A00CFB4-341C-4359-B0A8-C91695A5ADAC}"/>
    <hyperlink ref="B726" r:id="rId2197" tooltip="Trenches 2" display="https://en.wikipedia.org/wiki/Trenches_2" xr:uid="{C05B92F4-42C8-4855-B8C7-D0A98C43DCE7}"/>
    <hyperlink ref="D726" r:id="rId2198" tooltip="IOS" display="https://en.wikipedia.org/wiki/IOS" xr:uid="{B668F1A9-C8BB-47F5-A315-795F76CD60CE}"/>
    <hyperlink ref="B680" r:id="rId2199" tooltip="UEFA Euro 2012 (video game)" display="https://en.wikipedia.org/wiki/UEFA_Euro_2012_(video_game)" xr:uid="{42E7AC50-1004-49A1-B079-9A5924FF875F}"/>
    <hyperlink ref="D680" r:id="rId2200" tooltip="PlayStation 3" display="https://en.wikipedia.org/wiki/PlayStation_3" xr:uid="{FF0227CD-8D99-4630-BED8-A02C05ADD12A}"/>
    <hyperlink ref="E680" r:id="rId2201" tooltip="EA Canada" display="https://en.wikipedia.org/wiki/EA_Canada" xr:uid="{68350680-69EA-4D45-AF39-7B14A21D5784}"/>
    <hyperlink ref="B681" r:id="rId2202" tooltip="UEFA Euro 2012 (video game)" display="https://en.wikipedia.org/wiki/UEFA_Euro_2012_(video_game)" xr:uid="{A46E1E6A-E40D-44D4-865A-0D9131798753}"/>
    <hyperlink ref="D681" r:id="rId2203" tooltip="Microsoft Windows" display="https://en.wikipedia.org/wiki/Microsoft_Windows" xr:uid="{CC353134-0948-4FC1-B9C4-4A6FE79B532F}"/>
    <hyperlink ref="E681" r:id="rId2204" tooltip="EA Canada" display="https://en.wikipedia.org/wiki/EA_Canada" xr:uid="{D2E0ABDD-A6A1-4978-81DD-5AD65DDCD264}"/>
    <hyperlink ref="B682" r:id="rId2205" tooltip="UEFA Euro 2012 (video game)" display="https://en.wikipedia.org/wiki/UEFA_Euro_2012_(video_game)" xr:uid="{751AEA61-A330-43DE-ADF7-04C1A2A61FC1}"/>
    <hyperlink ref="D682" r:id="rId2206" tooltip="Xbox 360" display="https://en.wikipedia.org/wiki/Xbox_360" xr:uid="{B1199FDC-8FB9-44CA-99E3-236F63F5D89A}"/>
    <hyperlink ref="E682" r:id="rId2207" tooltip="EA Canada" display="https://en.wikipedia.org/wiki/EA_Canada" xr:uid="{888199F6-88AC-4F72-A6F3-2DD5386385A2}"/>
    <hyperlink ref="B478" r:id="rId2208" tooltip="EA Sports UFC" display="https://en.wikipedia.org/wiki/EA_Sports_UFC" xr:uid="{D5B28466-E1A9-4FD9-A0D1-3C54B6D6DFFF}"/>
    <hyperlink ref="D478" r:id="rId2209" tooltip="Android (operating system)" display="https://en.wikipedia.org/wiki/Android_(operating_system)" xr:uid="{27FEA7E5-E263-463B-85EA-845252BFA7B1}"/>
    <hyperlink ref="B479" r:id="rId2210" tooltip="EA Sports UFC" display="https://en.wikipedia.org/wiki/EA_Sports_UFC" xr:uid="{A3EB5CBE-41BF-4FF9-802C-0279EAC0E3F5}"/>
    <hyperlink ref="D479" r:id="rId2211" tooltip="IOS" display="https://en.wikipedia.org/wiki/IOS" xr:uid="{6767635D-7035-4829-B330-FE7770519A9D}"/>
    <hyperlink ref="B588" r:id="rId2212" tooltip="Ultima Forever: Quest for the Avatar" display="https://en.wikipedia.org/wiki/Ultima_Forever:_Quest_for_the_Avatar" xr:uid="{DE8A9226-1D13-44F3-BD61-0B2D32BA2EAF}"/>
    <hyperlink ref="D588" r:id="rId2213" tooltip="IOS" display="https://en.wikipedia.org/wiki/IOS" xr:uid="{32AC5F3D-1B4C-42B4-94E1-53FC5074EB81}"/>
    <hyperlink ref="D815" r:id="rId2214" tooltip="DOS" display="https://en.wikipedia.org/wiki/DOS" xr:uid="{1863AC3A-72F6-4640-8ACB-080BC9956A95}"/>
    <hyperlink ref="B862" r:id="rId2215" tooltip="Ultimate Mortal Kombat 3" display="https://en.wikipedia.org/wiki/Ultimate_Mortal_Kombat_3" xr:uid="{E0F981A2-BB8C-4CE2-9068-FE21788731A1}"/>
    <hyperlink ref="D862" r:id="rId2216" tooltip="IOS" display="https://en.wikipedia.org/wiki/IOS" xr:uid="{FEC8E370-FA07-4A05-A527-2B68DB00FBFA}"/>
    <hyperlink ref="B437" r:id="rId2217" tooltip="Unravel (video game)" display="https://en.wikipedia.org/wiki/Unravel_(video_game)" xr:uid="{CDD0B76E-8B03-4E8C-8032-C169729BC6FB}"/>
    <hyperlink ref="D437" r:id="rId2218" tooltip="PlayStation 4" display="https://en.wikipedia.org/wiki/PlayStation_4" xr:uid="{65F6B70E-E061-4B5E-8E48-60FA9A9AD03B}"/>
    <hyperlink ref="B438" r:id="rId2219" tooltip="Unravel (video game)" display="https://en.wikipedia.org/wiki/Unravel_(video_game)" xr:uid="{189B5388-428B-4EDE-83AD-894FD355A75D}"/>
    <hyperlink ref="D438" r:id="rId2220" tooltip="Microsoft Windows" display="https://en.wikipedia.org/wiki/Microsoft_Windows" xr:uid="{3D1F1BF2-263D-4F8C-92E1-26A485DFAFA8}"/>
    <hyperlink ref="B439" r:id="rId2221" tooltip="Unravel (video game)" display="https://en.wikipedia.org/wiki/Unravel_(video_game)" xr:uid="{C05F909B-BDA0-4BAC-9732-75E22DEF76E9}"/>
    <hyperlink ref="D439" r:id="rId2222" tooltip="Xbox One" display="https://en.wikipedia.org/wiki/Xbox_One" xr:uid="{27C5BB83-C66D-4393-84F6-2AFDFC704FEC}"/>
    <hyperlink ref="B332" r:id="rId2223" tooltip="Unravel Two" display="https://en.wikipedia.org/wiki/Unravel_Two" xr:uid="{16780D02-94EE-4B0E-AB5E-3B1AAC1F4FF1}"/>
    <hyperlink ref="D332" r:id="rId2224" tooltip="PlayStation 4" display="https://en.wikipedia.org/wiki/PlayStation_4" xr:uid="{9F9F0784-9AAE-43AE-9794-B045F92B2773}"/>
    <hyperlink ref="B333" r:id="rId2225" tooltip="Unravel Two" display="https://en.wikipedia.org/wiki/Unravel_Two" xr:uid="{B84B23C4-0092-400B-A698-B8482A61FFF1}"/>
    <hyperlink ref="D333" r:id="rId2226" tooltip="Microsoft Windows" display="https://en.wikipedia.org/wiki/Microsoft_Windows" xr:uid="{60108D7E-D242-43D9-8400-0DC6F1377F44}"/>
    <hyperlink ref="B334" r:id="rId2227" tooltip="Unravel Two" display="https://en.wikipedia.org/wiki/Unravel_Two" xr:uid="{3AC49AA0-10D9-4869-B24C-88425CE4151F}"/>
    <hyperlink ref="D334" r:id="rId2228" tooltip="Xbox One" display="https://en.wikipedia.org/wiki/Xbox_One" xr:uid="{F7518C30-909B-4397-8492-78149F075F34}"/>
    <hyperlink ref="B281" r:id="rId2229" tooltip="Unravel Two" display="https://en.wikipedia.org/wiki/Unravel_Two" xr:uid="{93A9CBC9-E27E-4A57-BCE2-201BDD3F3FFC}"/>
    <hyperlink ref="D281" r:id="rId2230" tooltip="Nintendo Switch" display="https://en.wikipedia.org/wiki/Nintendo_Switch" xr:uid="{0B0233D8-FF48-43B4-A6C3-18FB4147F4CB}"/>
    <hyperlink ref="B392" r:id="rId2231" tooltip="WarFriends" display="https://en.wikipedia.org/wiki/WarFriends" xr:uid="{B85809FB-4C35-421F-8450-79DD6074825E}"/>
    <hyperlink ref="D392" r:id="rId2232" tooltip="Android (operating system)" display="https://en.wikipedia.org/wiki/Android_(operating_system)" xr:uid="{A1FE0930-3622-4859-945A-1454107DCE05}"/>
    <hyperlink ref="B393" r:id="rId2233" tooltip="WarFriends" display="https://en.wikipedia.org/wiki/WarFriends" xr:uid="{35B09251-ABD4-4A06-9EE5-8CB18A941CA3}"/>
    <hyperlink ref="D393" r:id="rId2234" tooltip="IOS" display="https://en.wikipedia.org/wiki/IOS" xr:uid="{A350EBE1-A935-47DB-AB85-7A3E1966F354}"/>
    <hyperlink ref="B709" r:id="rId2235" tooltip="Warp (2012 video game)" display="https://en.wikipedia.org/wiki/Warp_(2012_video_game)" xr:uid="{3B6560CC-A592-4E9D-B2BB-DC38C171399B}"/>
    <hyperlink ref="D709" r:id="rId2236" tooltip="Xbox 360" display="https://en.wikipedia.org/wiki/Xbox_360" xr:uid="{DB40A0BA-074F-4D6C-A7EA-34E4B32540FA}"/>
    <hyperlink ref="E709" r:id="rId2237" tooltip="Trapdoor (company)" display="https://en.wikipedia.org/wiki/Trapdoor_(company)" xr:uid="{26E81AF3-8E49-43F8-9E05-C5D59C76771F}"/>
    <hyperlink ref="B690" r:id="rId2238" tooltip="Warp (2012 video game)" display="https://en.wikipedia.org/wiki/Warp_(2012_video_game)" xr:uid="{865F671F-7167-4FAD-ACF9-E69A25F298C9}"/>
    <hyperlink ref="D690" r:id="rId2239" tooltip="PlayStation 3" display="https://en.wikipedia.org/wiki/PlayStation_3" xr:uid="{634EC2C4-41DF-452F-B736-9AB9E0867331}"/>
    <hyperlink ref="E690" r:id="rId2240" tooltip="Trapdoor (company)" display="https://en.wikipedia.org/wiki/Trapdoor_(company)" xr:uid="{F6D0E6CD-886A-4248-A410-DBF1CC5125FD}"/>
    <hyperlink ref="B691" r:id="rId2241" tooltip="Warp (2012 video game)" display="https://en.wikipedia.org/wiki/Warp_(2012_video_game)" xr:uid="{CA00DD6C-47A7-445A-9A3B-95CC4BE98A2D}"/>
    <hyperlink ref="D691" r:id="rId2242" tooltip="Microsoft Windows" display="https://en.wikipedia.org/wiki/Microsoft_Windows" xr:uid="{A0D79E4A-A55A-4D78-985C-35B08976D1B2}"/>
    <hyperlink ref="E691" r:id="rId2243" tooltip="Trapdoor (company)" display="https://en.wikipedia.org/wiki/Trapdoor_(company)" xr:uid="{58C6DD9A-79A2-4636-A599-0241D4E69DAE}"/>
    <hyperlink ref="B671" r:id="rId2244" tooltip="World Series of Poker (video game)" display="https://en.wikipedia.org/wiki/World_Series_of_Poker_(video_game)" xr:uid="{B352C2AB-3EE1-43DC-BA8D-A0678547BDD8}"/>
    <hyperlink ref="D671" r:id="rId2245" tooltip="IOS" display="https://en.wikipedia.org/wiki/IOS" xr:uid="{27F55231-735E-483F-A36F-0F0169083018}"/>
    <hyperlink ref="E671" r:id="rId2246" tooltip="Left Field Productions" display="https://en.wikipedia.org/wiki/Left_Field_Productions" xr:uid="{6E23E781-A2FF-4770-8BD6-70658B80EDDB}"/>
    <hyperlink ref="D567" r:id="rId2247" tooltip="IOS" display="https://en.wikipedia.org/wiki/IOS" xr:uid="{7D58E3AB-2CA7-4268-B9F3-A5A2EFA47AA6}"/>
    <hyperlink ref="B844" r:id="rId2248" tooltip="Zuma's Revenge!" display="https://en.wikipedia.org/wiki/Zuma%27s_Revenge!" xr:uid="{0CE95B1E-2767-4AF8-9DBD-44A6F67D1669}"/>
    <hyperlink ref="D844" r:id="rId2249" tooltip="Nintendo DS" display="https://en.wikipedia.org/wiki/Nintendo_DS" xr:uid="{B65F8F74-D20D-4468-82B6-CDB9C6DCDCAB}"/>
    <hyperlink ref="E844" r:id="rId2250" tooltip="PopCap Games" display="https://en.wikipedia.org/wiki/PopCap_Games" xr:uid="{BAE1B659-65E7-4D5C-AA23-166A5F6DA353}"/>
    <hyperlink ref="B689" r:id="rId2251" tooltip="Zuma's Revenge!" display="https://en.wikipedia.org/wiki/Zuma%27s_Revenge!" xr:uid="{4C6B378C-6E96-4777-A85B-29C4E05E8E9D}"/>
    <hyperlink ref="D689" r:id="rId2252" tooltip="IOS" display="https://en.wikipedia.org/wiki/IOS" xr:uid="{1B5DE09F-0B75-43FA-A64D-C6CE15085C28}"/>
    <hyperlink ref="E689" r:id="rId2253" tooltip="PopCap Games" display="https://en.wikipedia.org/wiki/PopCap_Games" xr:uid="{ADFEEBB8-2CED-4E98-B796-7AB21C686680}"/>
    <hyperlink ref="B670" r:id="rId2254" tooltip="Zuma's Revenge!" display="https://en.wikipedia.org/wiki/Zuma%27s_Revenge!" xr:uid="{B86F664A-120F-4F7B-B036-1614D7329CCD}"/>
    <hyperlink ref="D670" r:id="rId2255" tooltip="Xbox Live Arcade" display="https://en.wikipedia.org/wiki/Xbox_Live_Arcade" xr:uid="{D84C40D0-9C26-49B0-982B-321E68985972}"/>
    <hyperlink ref="E670" r:id="rId2256" tooltip="PopCap Games" display="https://en.wikipedia.org/wiki/PopCap_Games" xr:uid="{15BED0A9-64EA-451A-97FD-BCF444F27EDB}"/>
    <hyperlink ref="B245" r:id="rId2257" tooltip="Command &amp; Conquer (1995 video game)" display="https://en.wikipedia.org/wiki/Command_%26_Conquer_(1995_video_game)" xr:uid="{A7385981-EB20-4CAC-85B9-00154961B3A4}"/>
    <hyperlink ref="D245" r:id="rId2258" tooltip="Microsoft Windows" display="https://en.wikipedia.org/wiki/Microsoft_Windows" xr:uid="{804213AB-C205-45D7-84FE-7E6947320C4F}"/>
    <hyperlink ref="E245" r:id="rId2259" tooltip="Petroglyph Games" display="https://en.wikipedia.org/wiki/Petroglyph_Games" xr:uid="{ECC5F664-7C43-4443-95AF-084D0C8378BC}"/>
    <hyperlink ref="B241" r:id="rId2260" tooltip="The Sims 4: Eco Lifestyle" display="https://en.wikipedia.org/wiki/The_Sims_4:_Eco_Lifestyle" xr:uid="{526F7A4E-691C-405C-AA63-9A6646C7B4AA}"/>
    <hyperlink ref="D241" r:id="rId2261" tooltip="Macintosh" display="https://en.wikipedia.org/wiki/Macintosh" xr:uid="{7542A1BA-ACC5-4DE5-B0AF-0E4F1C75BAB0}"/>
    <hyperlink ref="E241" r:id="rId2262" tooltip="Maxis Redwood Shores" display="https://en.wikipedia.org/wiki/Maxis_Redwood_Shores" xr:uid="{02996A22-F950-4F4B-A996-6C067FE2CD30}"/>
    <hyperlink ref="D242" r:id="rId2263" tooltip="PlayStation 4" display="https://en.wikipedia.org/wiki/PlayStation_4" xr:uid="{1963958A-292E-4ECF-B2BE-3D7FB508B8DC}"/>
    <hyperlink ref="D243" r:id="rId2264" tooltip="Microsoft Windows" display="https://en.wikipedia.org/wiki/Microsoft_Windows" xr:uid="{0CBB6638-BDFB-4AC3-9B87-7E8A7540B436}"/>
    <hyperlink ref="D244" r:id="rId2265" tooltip="Xbox One" display="https://en.wikipedia.org/wiki/Xbox_One" xr:uid="{FB96D9D5-FB5F-4AB2-B9E1-A75FC8BD10DE}"/>
    <hyperlink ref="B237" r:id="rId2266" tooltip="Rocket Arena (video game)" display="https://en.wikipedia.org/wiki/Rocket_Arena_(video_game)" xr:uid="{093D4FF1-F3EC-4BAE-BBE5-AF3106412000}"/>
    <hyperlink ref="D237" r:id="rId2267" tooltip="PlayStation 4" display="https://en.wikipedia.org/wiki/PlayStation_4" xr:uid="{73B6127C-0DF5-4A3B-B762-6663FE1EC804}"/>
    <hyperlink ref="D238" r:id="rId2268" tooltip="Microsoft Windows" display="https://en.wikipedia.org/wiki/Microsoft_Windows" xr:uid="{B9ECCC2C-B46F-4A1E-9C68-34CFFD2C8FD2}"/>
    <hyperlink ref="D239" r:id="rId2269" tooltip="Xbox One" display="https://en.wikipedia.org/wiki/Xbox_One" xr:uid="{957BF5A4-0BFE-48E5-9481-A5675D96CA21}"/>
    <hyperlink ref="B235" r:id="rId2270" tooltip="Madden NFL 21" display="https://en.wikipedia.org/wiki/Madden_NFL_21" xr:uid="{CC1AA4F7-F42B-4A47-A3DD-E0CB51E98251}"/>
    <hyperlink ref="D235" r:id="rId2271" tooltip="Android (operating system)" display="https://en.wikipedia.org/wiki/Android_(operating_system)" xr:uid="{764133A2-8EFD-4389-A0BC-23AC6FFBE610}"/>
    <hyperlink ref="E235" r:id="rId2272" tooltip="EA Tiburon" display="https://en.wikipedia.org/wiki/EA_Tiburon" xr:uid="{440211F6-ACCA-4D8E-9C09-36489E0CCEC9}"/>
    <hyperlink ref="D236" r:id="rId2273" tooltip="IOS" display="https://en.wikipedia.org/wiki/IOS" xr:uid="{2DE16D1A-69CE-4FB9-85A3-ABBE81BBDFB8}"/>
    <hyperlink ref="B233" r:id="rId2274" tooltip="EA Sports UFC 4" display="https://en.wikipedia.org/wiki/EA_Sports_UFC_4" xr:uid="{2B50FCAA-DFFE-42AF-BA28-08A50E5772B1}"/>
    <hyperlink ref="D233" r:id="rId2275" tooltip="PlayStation 4" display="https://en.wikipedia.org/wiki/PlayStation_4" xr:uid="{CF8311B7-E7C6-474B-9598-B7B1789741E8}"/>
    <hyperlink ref="E233" r:id="rId2276" tooltip="EA Canada" display="https://en.wikipedia.org/wiki/EA_Canada" xr:uid="{C3B21493-85CD-49E4-A34E-B7A8892119B8}"/>
    <hyperlink ref="D234" r:id="rId2277" tooltip="Xbox One" display="https://en.wikipedia.org/wiki/Xbox_One" xr:uid="{34576CBF-E3C9-45DF-B952-F9520CA8B774}"/>
    <hyperlink ref="B229" r:id="rId2278" tooltip="Madden NFL 21" display="https://en.wikipedia.org/wiki/Madden_NFL_21" xr:uid="{78525CDB-5BAE-4E37-B153-2EC1487E8BC2}"/>
    <hyperlink ref="D229" r:id="rId2279" tooltip="PlayStation 4" display="https://en.wikipedia.org/wiki/PlayStation_4" xr:uid="{28E47064-1776-4EC5-A6F0-487C6E2D750D}"/>
    <hyperlink ref="E229" r:id="rId2280" tooltip="EA Tiburon" display="https://en.wikipedia.org/wiki/EA_Tiburon" xr:uid="{616A0646-7309-4F51-A1FE-9410CC124955}"/>
    <hyperlink ref="D230" r:id="rId2281" tooltip="Google Stadia" display="https://en.wikipedia.org/wiki/Google_Stadia" xr:uid="{6901C906-E8E9-4C44-9EDB-FD3F87B73FDF}"/>
    <hyperlink ref="D231" r:id="rId2282" tooltip="Xbox One" display="https://en.wikipedia.org/wiki/Xbox_One" xr:uid="{B17EB9A3-C148-466B-90BE-422315D6DC7C}"/>
    <hyperlink ref="D232" r:id="rId2283" tooltip="Microsoft Windows" display="https://en.wikipedia.org/wiki/Microsoft_Windows" xr:uid="{1916C9DB-8F7F-47A9-BAFF-9ADEDE934C38}"/>
    <hyperlink ref="D211" r:id="rId2284" tooltip="Xbox Series X" display="https://en.wikipedia.org/wiki/Xbox_Series_X" xr:uid="{5C1D86C8-0FEA-4922-9F18-5B577CC5DF7A}"/>
    <hyperlink ref="D209" r:id="rId2285" tooltip="PlayStation 5" display="https://en.wikipedia.org/wiki/PlayStation_5" xr:uid="{B4CAA1F8-C5E3-40C1-B15F-324449725AED}"/>
    <hyperlink ref="B225" r:id="rId2286" tooltip="The Sims 4: Star Wars: Journey to Batuu" display="https://en.wikipedia.org/wiki/The_Sims_4:_Star_Wars:_Journey_to_Batuu" xr:uid="{E863D17C-6F36-4697-9F75-D815972C1694}"/>
    <hyperlink ref="D225" r:id="rId2287" tooltip="Macintosh" display="https://en.wikipedia.org/wiki/Macintosh" xr:uid="{380B7F16-D5F7-4739-B30C-0939F0FBB22A}"/>
    <hyperlink ref="E225" r:id="rId2288" tooltip="Maxis Redwood Shores" display="https://en.wikipedia.org/wiki/Maxis_Redwood_Shores" xr:uid="{AA6E921E-895B-47A7-8519-8F83CEB4991D}"/>
    <hyperlink ref="D226" r:id="rId2289" tooltip="PlayStation 4" display="https://en.wikipedia.org/wiki/PlayStation_4" xr:uid="{E8B0D14F-6211-4B7E-A8B6-1D33F35EC55D}"/>
    <hyperlink ref="D227" r:id="rId2290" tooltip="Microsoft Windows" display="https://en.wikipedia.org/wiki/Microsoft_Windows" xr:uid="{F7476564-432A-4688-80A8-6DAC5752BECD}"/>
    <hyperlink ref="D228" r:id="rId2291" tooltip="Xbox One" display="https://en.wikipedia.org/wiki/Xbox_One" xr:uid="{FA83B156-E621-44CD-B9D5-69BC39684A79}"/>
    <hyperlink ref="B222" r:id="rId2292" tooltip="Star Wars: Squadrons" display="https://en.wikipedia.org/wiki/Star_Wars:_Squadrons" xr:uid="{037105A6-7ADB-4AA2-B630-A15BE5E1C24A}"/>
    <hyperlink ref="D222" r:id="rId2293" tooltip="PlayStation 4" display="https://en.wikipedia.org/wiki/PlayStation_4" xr:uid="{F155E2E0-BBD4-4F81-9BE2-B88DDF562EC8}"/>
    <hyperlink ref="E222" r:id="rId2294" tooltip="Motive Studios" display="https://en.wikipedia.org/wiki/Motive_Studios" xr:uid="{48588CDA-435A-48FD-8046-3A79A504CCE1}"/>
    <hyperlink ref="D223" r:id="rId2295" tooltip="Xbox One" display="https://en.wikipedia.org/wiki/Xbox_One" xr:uid="{4691B5A1-EEE1-4D09-8CB6-BC53DE3D2DA1}"/>
    <hyperlink ref="D224" r:id="rId2296" tooltip="Microsoft Windows" display="https://en.wikipedia.org/wiki/Microsoft_Windows" xr:uid="{63A6ADE4-E67A-46B6-A210-A53C5AF3E204}"/>
    <hyperlink ref="B218" r:id="rId2297" tooltip="FIFA 21" display="https://en.wikipedia.org/wiki/FIFA_21" xr:uid="{437FBFF8-777B-4913-B884-0C193DE26442}"/>
    <hyperlink ref="D218" r:id="rId2298" tooltip="Nintendo Switch" display="https://en.wikipedia.org/wiki/Nintendo_Switch" xr:uid="{E6620B7A-0A28-46EE-8B3C-53ADBC13B056}"/>
    <hyperlink ref="D219" r:id="rId2299" tooltip="PlayStation 4" display="https://en.wikipedia.org/wiki/PlayStation_4" xr:uid="{4DC057DE-2326-45AA-8916-1CC7A2E76B0B}"/>
    <hyperlink ref="D220" r:id="rId2300" tooltip="Microsoft Windows" display="https://en.wikipedia.org/wiki/Microsoft_Windows" xr:uid="{848A3880-B9D7-4DED-8727-93794EC5AA14}"/>
    <hyperlink ref="D221" r:id="rId2301" tooltip="Xbox One" display="https://en.wikipedia.org/wiki/Xbox_One" xr:uid="{06D15DD6-65D9-4804-AC04-CF0BC15A2BA4}"/>
    <hyperlink ref="B216" r:id="rId2302" tooltip="NHL 21" display="https://en.wikipedia.org/wiki/NHL_21" xr:uid="{AEBF9FED-DCA2-43AE-AB74-D91812780C39}"/>
    <hyperlink ref="D216" r:id="rId2303" tooltip="PlayStation 4" display="https://en.wikipedia.org/wiki/PlayStation_4" xr:uid="{0721FD8A-61BC-4146-9E5E-EFADAD48CF3C}"/>
    <hyperlink ref="E216" r:id="rId2304" tooltip="EA Vancouver" display="https://en.wikipedia.org/wiki/EA_Vancouver" xr:uid="{CE7BCAC9-2E49-4BF0-AC57-07029A4CC2BC}"/>
    <hyperlink ref="D217" r:id="rId2305" tooltip="Xbox One" display="https://en.wikipedia.org/wiki/Xbox_One" xr:uid="{1FFD7BF3-5323-45BD-AA53-A88439C36EBC}"/>
    <hyperlink ref="B213" r:id="rId2306" tooltip="Need for Speed: Hot Pursuit (2010 video game)" display="https://en.wikipedia.org/wiki/Need_for_Speed:_Hot_Pursuit_(2010_video_game)" xr:uid="{10D73BAD-0E20-403F-B07D-DDEA4118B7FF}"/>
    <hyperlink ref="D213" r:id="rId2307" tooltip="PlayStation 4" display="https://en.wikipedia.org/wiki/PlayStation_4" xr:uid="{B84B5B1C-28B4-4EC4-A5AC-F20EE23A9050}"/>
    <hyperlink ref="E213" r:id="rId2308" tooltip="Criterion Games" display="https://en.wikipedia.org/wiki/Criterion_Games" xr:uid="{97692408-852E-4D70-8FE7-C1DFA9628ADE}"/>
    <hyperlink ref="D214" r:id="rId2309" tooltip="Microsoft Windows" display="https://en.wikipedia.org/wiki/Microsoft_Windows" xr:uid="{80A2AEF4-6971-4E66-83B1-4F57481EA46C}"/>
    <hyperlink ref="D215" r:id="rId2310" tooltip="Xbox One" display="https://en.wikipedia.org/wiki/Xbox_One" xr:uid="{F1F78D1A-429D-4519-80F4-0ADE53DEAA82}"/>
    <hyperlink ref="D208" r:id="rId2311" tooltip="Nintendo Switch" display="https://en.wikipedia.org/wiki/Nintendo_Switch" xr:uid="{45144F75-1E19-40B2-8CE0-5B2109FFD4BA}"/>
    <hyperlink ref="B204" r:id="rId2312" tooltip="The Sims 4: Snowy Escape" display="https://en.wikipedia.org/wiki/The_Sims_4:_Snowy_Escape" xr:uid="{5D24FDFB-1208-4B41-AAD8-AC543B31C109}"/>
    <hyperlink ref="D204" r:id="rId2313" tooltip="Macintosh" display="https://en.wikipedia.org/wiki/Macintosh" xr:uid="{6D788862-5809-42B4-AC17-DA168B77C2DA}"/>
    <hyperlink ref="E204" r:id="rId2314" tooltip="Maxis Redwood Shores" display="https://en.wikipedia.org/wiki/Maxis_Redwood_Shores" xr:uid="{C182B475-9FEB-43A4-90D1-2D914D52B194}"/>
    <hyperlink ref="D205" r:id="rId2315" tooltip="PlayStation 4" display="https://en.wikipedia.org/wiki/PlayStation_4" xr:uid="{468F2045-6F7A-442C-81D4-DE1FBF6A883A}"/>
    <hyperlink ref="D206" r:id="rId2316" tooltip="Microsoft Windows" display="https://en.wikipedia.org/wiki/Microsoft_Windows" xr:uid="{8A60C822-F7E3-44F5-9625-1CBA4383BE95}"/>
    <hyperlink ref="D207" r:id="rId2317" tooltip="Xbox One" display="https://en.wikipedia.org/wiki/Xbox_One" xr:uid="{66CFDF7D-83BB-4482-8E12-65EDFD2A2B82}"/>
    <hyperlink ref="B201" r:id="rId2318" tooltip="Medal of Honor: Above and Beyond" display="https://en.wikipedia.org/wiki/Medal_of_Honor:_Above_and_Beyond" xr:uid="{1FE1F329-49D3-409A-BB10-7585F5798059}"/>
    <hyperlink ref="D201" r:id="rId2319" tooltip="Oculus Rift" display="https://en.wikipedia.org/wiki/Oculus_Rift" xr:uid="{23B68228-6B65-4185-B1B8-A5BFCFEC0CF3}"/>
    <hyperlink ref="E201" r:id="rId2320" tooltip="Respawn Entertainment" display="https://en.wikipedia.org/wiki/Respawn_Entertainment" xr:uid="{19E8D4CB-2C3C-4643-B69E-624079FB1F2D}"/>
    <hyperlink ref="D202" r:id="rId2321" tooltip="Steam VR" display="https://en.wikipedia.org/wiki/Steam_VR" xr:uid="{111375FB-3C9B-4CA5-86A0-54099E509C2F}"/>
    <hyperlink ref="B194" r:id="rId2322" tooltip="It Takes Two (video game)" display="https://en.wikipedia.org/wiki/It_Takes_Two_(video_game)" xr:uid="{4CBB8D30-E7B0-4598-AF6C-3C1ED78666F1}"/>
    <hyperlink ref="D194" r:id="rId2323" tooltip="PlayStation 4" display="https://en.wikipedia.org/wiki/PlayStation_4" xr:uid="{AEADBE79-EAEE-42D0-ADD1-14BB1305479A}"/>
    <hyperlink ref="E194" r:id="rId2324" tooltip="Hazelight Studios" display="https://en.wikipedia.org/wiki/Hazelight_Studios" xr:uid="{790CD535-307C-4FA4-93EC-AB684A83C129}"/>
    <hyperlink ref="D195" r:id="rId2325" tooltip="PlayStation 5" display="https://en.wikipedia.org/wiki/PlayStation_5" xr:uid="{DBE75612-FE9E-4612-832F-3F7C726FAB30}"/>
    <hyperlink ref="D196" r:id="rId2326" tooltip="Microsoft Windows" display="https://en.wikipedia.org/wiki/Microsoft_Windows" xr:uid="{D8C66A01-4925-4F9E-BF49-66ED56FCE6D0}"/>
    <hyperlink ref="D197" r:id="rId2327" tooltip="Xbox One" display="https://en.wikipedia.org/wiki/Xbox_One" xr:uid="{F8086AB6-CFB4-4C6A-AA8C-045238D73D14}"/>
    <hyperlink ref="D198" r:id="rId2328" tooltip="Xbox Series X and Series S" display="https://en.wikipedia.org/wiki/Xbox_Series_X_and_Series_S" xr:uid="{735C4AAB-2028-4F8A-A5BF-D33E2C505F1A}"/>
    <hyperlink ref="D96" r:id="rId2329" tooltip="Nintendo Switch" display="https://en.wikipedia.org/wiki/Nintendo_Switch" xr:uid="{4650E8B3-1F75-4D9E-81C7-B418B633694B}"/>
    <hyperlink ref="B191" r:id="rId2330" tooltip="Mass Effect Legendary Edition" display="https://en.wikipedia.org/wiki/Mass_Effect_Legendary_Edition" xr:uid="{4AA298BD-34D7-40E9-9A17-9697412A8EA2}"/>
    <hyperlink ref="D191" r:id="rId2331" tooltip="PlayStation 4" display="https://en.wikipedia.org/wiki/PlayStation_4" xr:uid="{AE0FA396-2091-426A-AA58-0AA1A1E3AFE7}"/>
    <hyperlink ref="E191" r:id="rId2332" tooltip="BioWare" display="https://en.wikipedia.org/wiki/BioWare" xr:uid="{FE956D06-3681-49D0-A3E1-EF285E283107}"/>
    <hyperlink ref="D192" r:id="rId2333" tooltip="Microsoft Windows" display="https://en.wikipedia.org/wiki/Microsoft_Windows" xr:uid="{4B5F5506-F185-4528-9899-A5969A8257D5}"/>
    <hyperlink ref="D193" r:id="rId2334" tooltip="Xbox One" display="https://en.wikipedia.org/wiki/Xbox_One" xr:uid="{C02D1E22-F3E7-4CEA-B393-DD1DFC45766D}"/>
    <hyperlink ref="B185" r:id="rId2335" tooltip="Knockout City" display="https://en.wikipedia.org/wiki/Knockout_City" xr:uid="{28236E33-31B9-4773-923B-BD3FA36DB888}"/>
    <hyperlink ref="D185" r:id="rId2336" tooltip="Nintendo Switch" display="https://en.wikipedia.org/wiki/Nintendo_Switch" xr:uid="{D4AD48A8-9DB3-4048-AA24-C29BEF145BC2}"/>
    <hyperlink ref="D186" r:id="rId2337" tooltip="PlayStation 4" display="https://en.wikipedia.org/wiki/PlayStation_4" xr:uid="{65A2244B-7488-4D0A-A6C6-A5DE0443BA8E}"/>
    <hyperlink ref="D187" r:id="rId2338" tooltip="PlayStation 5" display="https://en.wikipedia.org/wiki/PlayStation_5" xr:uid="{539C695D-D569-42EF-A650-D4853C0955B1}"/>
    <hyperlink ref="D188" r:id="rId2339" tooltip="Microsoft Windows" display="https://en.wikipedia.org/wiki/Microsoft_Windows" xr:uid="{CFE45670-3EE0-4CCE-889D-D4354DA6E23A}"/>
    <hyperlink ref="D189" r:id="rId2340" tooltip="Xbox One" display="https://en.wikipedia.org/wiki/Xbox_One" xr:uid="{0D03616C-3EBD-49F6-B017-822609123363}"/>
    <hyperlink ref="D190" r:id="rId2341" tooltip="Xbox Series X and Series S" display="https://en.wikipedia.org/wiki/Xbox_Series_X_and_Series_S" xr:uid="{B41578BF-6FC7-4EBC-AD15-13400FEBFC2E}"/>
    <hyperlink ref="B181" r:id="rId2342" tooltip="The Sims 4: Dream Home Decorator" display="https://en.wikipedia.org/wiki/The_Sims_4:_Dream_Home_Decorator" xr:uid="{551D4289-1127-4692-9F11-23085FA6168E}"/>
    <hyperlink ref="D181" r:id="rId2343" tooltip="Macintosh" display="https://en.wikipedia.org/wiki/Macintosh" xr:uid="{4AE4C208-4C11-45CA-98B7-63FF34587316}"/>
    <hyperlink ref="E181" r:id="rId2344" tooltip="Maxis Redwood Shores" display="https://en.wikipedia.org/wiki/Maxis_Redwood_Shores" xr:uid="{CD134187-5083-4631-93FD-49F6F171E019}"/>
    <hyperlink ref="D182" r:id="rId2345" tooltip="PlayStation 4" display="https://en.wikipedia.org/wiki/PlayStation_4" xr:uid="{AD38156F-55AF-467F-BBCE-35C972C27D6B}"/>
    <hyperlink ref="D183" r:id="rId2346" tooltip="Microsoft Windows" display="https://en.wikipedia.org/wiki/Microsoft_Windows" xr:uid="{9E2F4580-6E64-41E1-9FDC-1D10F92ADDCB}"/>
    <hyperlink ref="D184" r:id="rId2347" tooltip="Xbox One" display="https://en.wikipedia.org/wiki/Xbox_One" xr:uid="{6C067CBB-E09A-495A-A3FF-96ABF69959BA}"/>
    <hyperlink ref="B174" r:id="rId2348" tooltip="F1 2021 (video game)" display="https://en.wikipedia.org/wiki/F1_2021_(video_game)" xr:uid="{DF15AC39-F2EF-41E2-B606-38276F1EF040}"/>
    <hyperlink ref="D174" r:id="rId2349" tooltip="PlayStation 4" display="https://en.wikipedia.org/wiki/PlayStation_4" xr:uid="{1DBE06E4-3FE8-48D3-9F0A-C93E1EC6E82B}"/>
    <hyperlink ref="E174" r:id="rId2350" tooltip="Codemasters" display="https://en.wikipedia.org/wiki/Codemasters" xr:uid="{04703E90-2093-433A-947E-23D2134F863D}"/>
    <hyperlink ref="D175" r:id="rId2351" tooltip="PlayStation 5" display="https://en.wikipedia.org/wiki/PlayStation_5" xr:uid="{F864CDDA-51C7-4B47-B8E6-BEDC1F6A750F}"/>
    <hyperlink ref="D176" r:id="rId2352" tooltip="Xbox One" display="https://en.wikipedia.org/wiki/Xbox_One" xr:uid="{EE952D48-28BA-47B5-B1C2-61992BBF4691}"/>
    <hyperlink ref="D177" r:id="rId2353" tooltip="Xbox Series X and Series S" display="https://en.wikipedia.org/wiki/Xbox_Series_X_and_Series_S" xr:uid="{82A4B568-E845-4AEB-AC11-E54B6D386240}"/>
    <hyperlink ref="D178" r:id="rId2354" tooltip="Microsoft Windows" display="https://en.wikipedia.org/wiki/Microsoft_Windows" xr:uid="{F6C0B800-6410-44B5-9DF5-69EAFE9519B1}"/>
    <hyperlink ref="B169" r:id="rId2355" tooltip="The Sims 4: Cottage Living" display="https://en.wikipedia.org/wiki/The_Sims_4:_Cottage_Living" xr:uid="{0406FCCC-F646-4DC5-9510-84228F3A74B4}"/>
    <hyperlink ref="D169" r:id="rId2356" tooltip="Macintosh" display="https://en.wikipedia.org/wiki/Macintosh" xr:uid="{3FB0A745-E069-4609-8603-3C30FEDEBECC}"/>
    <hyperlink ref="E169" r:id="rId2357" tooltip="Maxis Redwood Shores" display="https://en.wikipedia.org/wiki/Maxis_Redwood_Shores" xr:uid="{4B2E6536-1CB8-4EA1-B549-495C6EC46B40}"/>
    <hyperlink ref="D170" r:id="rId2358" tooltip="PlayStation 5" display="https://en.wikipedia.org/wiki/PlayStation_5" xr:uid="{4546E950-D3B3-4DBE-9CCF-10EAE0D790C2}"/>
    <hyperlink ref="D171" r:id="rId2359" tooltip="Xbox One" display="https://en.wikipedia.org/wiki/Xbox_One" xr:uid="{B80B673A-DB31-4DF9-90F3-924FF053B8A2}"/>
    <hyperlink ref="D172" r:id="rId2360" tooltip="Xbox Series X and Series S" display="https://en.wikipedia.org/wiki/Xbox_Series_X_and_Series_S" xr:uid="{B61983BC-FF47-401D-A581-AB8397F1AA90}"/>
    <hyperlink ref="D173" r:id="rId2361" tooltip="Microsoft Windows" display="https://en.wikipedia.org/wiki/Microsoft_Windows" xr:uid="{3143DAC0-22EB-45ED-8EAD-421A11A05661}"/>
    <hyperlink ref="B163" r:id="rId2362" tooltip="Madden NFL 22" display="https://en.wikipedia.org/wiki/Madden_NFL_22" xr:uid="{7566304F-ED8F-4E75-A870-7A469A786629}"/>
    <hyperlink ref="D163" r:id="rId2363" tooltip="PlayStation 4" display="https://en.wikipedia.org/wiki/PlayStation_4" xr:uid="{805AFE25-7B25-4182-BC4A-B0C079AEFFC1}"/>
    <hyperlink ref="E163" r:id="rId2364" tooltip="EA Tiburon" display="https://en.wikipedia.org/wiki/EA_Tiburon" xr:uid="{E54BF4CE-27C9-48D7-B412-CB73AEC36D03}"/>
    <hyperlink ref="D164" r:id="rId2365" tooltip="PlayStation 5" display="https://en.wikipedia.org/wiki/PlayStation_5" xr:uid="{DF68B669-8692-440D-B57D-11CBCFB703F3}"/>
    <hyperlink ref="D165" r:id="rId2366" tooltip="Xbox One" display="https://en.wikipedia.org/wiki/Xbox_One" xr:uid="{F1FAB77E-B5D6-4BF9-BBA9-E8032181337B}"/>
    <hyperlink ref="D166" r:id="rId2367" tooltip="Xbox Series X and Series S" display="https://en.wikipedia.org/wiki/Xbox_Series_X_and_Series_S" xr:uid="{A5C15DFA-C7AB-45E2-AC24-07E2CD803729}"/>
    <hyperlink ref="D167" r:id="rId2368" tooltip="Microsoft Windows" display="https://en.wikipedia.org/wiki/Microsoft_Windows" xr:uid="{9F8CC92A-A366-45E4-B081-ABD69C9679F5}"/>
    <hyperlink ref="D168" r:id="rId2369" tooltip="Google Stadia" display="https://en.wikipedia.org/wiki/Google_Stadia" xr:uid="{6093B942-57A0-4CDC-ADBB-2DE8A6C6C70C}"/>
    <hyperlink ref="B157" r:id="rId2370" tooltip="Lost in Random" display="https://en.wikipedia.org/wiki/Lost_in_Random" xr:uid="{254BD043-89A8-4B29-B3D0-11E3E2BC285B}"/>
    <hyperlink ref="D157" r:id="rId2371" tooltip="Nintendo Switch" display="https://en.wikipedia.org/wiki/Nintendo_Switch" xr:uid="{7F9EAF63-6D21-450B-A920-823DF8035789}"/>
    <hyperlink ref="E157" r:id="rId2372" tooltip="Zoink" display="https://en.wikipedia.org/wiki/Zoink" xr:uid="{D8D939DC-8DF7-457E-87E1-5C75B0E65E24}"/>
    <hyperlink ref="D158" r:id="rId2373" tooltip="PlayStation 4" display="https://en.wikipedia.org/wiki/PlayStation_4" xr:uid="{FCE514DF-0B9B-481A-B0D8-BE9E3C2AFF44}"/>
    <hyperlink ref="D159" r:id="rId2374" tooltip="PlayStation 5" display="https://en.wikipedia.org/wiki/PlayStation_5" xr:uid="{73E3BDD4-9107-4E66-B62E-1502D784BDEA}"/>
    <hyperlink ref="D160" r:id="rId2375" tooltip="Xbox One" display="https://en.wikipedia.org/wiki/Xbox_One" xr:uid="{0E035EA3-10B1-4E62-AE44-B76356856EEA}"/>
    <hyperlink ref="D161" r:id="rId2376" tooltip="Xbox Series X and Series S" display="https://en.wikipedia.org/wiki/Xbox_Series_X_and_Series_S" xr:uid="{31CDB90B-ACEE-4A81-B132-A6110B871B44}"/>
    <hyperlink ref="D162" r:id="rId2377" tooltip="Microsoft Windows" display="https://en.wikipedia.org/wiki/Microsoft_Windows" xr:uid="{3D513EB1-67D7-4649-91A6-AFF833E89EF9}"/>
    <hyperlink ref="B150" r:id="rId2378" tooltip="FIFA 22" display="https://en.wikipedia.org/wiki/FIFA_22" xr:uid="{CB5B0A86-541E-4377-955E-A02EE7E4B4A7}"/>
    <hyperlink ref="D150" r:id="rId2379" tooltip="Nintendo Switch" display="https://en.wikipedia.org/wiki/Nintendo_Switch" xr:uid="{14D1B1F0-383F-4C55-B6E6-BC943CDBA725}"/>
    <hyperlink ref="E150" r:id="rId2380" tooltip="EA Vancouver" display="https://en.wikipedia.org/wiki/EA_Vancouver" xr:uid="{B70AEB75-9432-4A66-B7F0-253FD22FAB3B}"/>
    <hyperlink ref="D151" r:id="rId2381" tooltip="PlayStation 4" display="https://en.wikipedia.org/wiki/PlayStation_4" xr:uid="{E2512598-0738-45FA-8765-E26B2EFE7355}"/>
    <hyperlink ref="D152" r:id="rId2382" tooltip="PlayStation 5" display="https://en.wikipedia.org/wiki/PlayStation_5" xr:uid="{8CD8343D-0CB7-4027-9B5D-871B488B9812}"/>
    <hyperlink ref="D153" r:id="rId2383" tooltip="Xbox One" display="https://en.wikipedia.org/wiki/Xbox_One" xr:uid="{22C32C31-B844-453A-B2C2-3DFBE0C8354E}"/>
    <hyperlink ref="D154" r:id="rId2384" tooltip="Xbox Series X and Series S" display="https://en.wikipedia.org/wiki/Xbox_Series_X_and_Series_S" xr:uid="{ADBCC08E-773B-4578-AC3A-AB29CA1A1D9A}"/>
    <hyperlink ref="D155" r:id="rId2385" tooltip="Microsoft Windows" display="https://en.wikipedia.org/wiki/Microsoft_Windows" xr:uid="{12D291F6-9382-464A-BDEC-E9476467C002}"/>
    <hyperlink ref="D156" r:id="rId2386" tooltip="Google Stadia" display="https://en.wikipedia.org/wiki/Google_Stadia" xr:uid="{BED4AF6A-9718-4632-88F9-C12EA3FB4209}"/>
    <hyperlink ref="B146" r:id="rId2387" tooltip="NHL 22" display="https://en.wikipedia.org/wiki/NHL_22" xr:uid="{D7F6985D-C3EE-4AED-A327-E70114316CAF}"/>
    <hyperlink ref="D146" r:id="rId2388" tooltip="PlayStation 4" display="https://en.wikipedia.org/wiki/PlayStation_4" xr:uid="{A5541187-F68B-4B4A-B6AE-D3B0FB9E4A7B}"/>
    <hyperlink ref="E146" r:id="rId2389" tooltip="EA Vancouver" display="https://en.wikipedia.org/wiki/EA_Vancouver" xr:uid="{D8AD972B-6959-42D0-A93B-425D55BB8D17}"/>
    <hyperlink ref="D147" r:id="rId2390" tooltip="PlayStation 5" display="https://en.wikipedia.org/wiki/PlayStation_5" xr:uid="{89CBC654-7DBF-4C88-BE10-3A6520AA619C}"/>
    <hyperlink ref="D148" r:id="rId2391" tooltip="Xbox One" display="https://en.wikipedia.org/wiki/Xbox_One" xr:uid="{30BED933-416D-4C1D-97D0-8D5F845C26D4}"/>
    <hyperlink ref="D149" r:id="rId2392" tooltip="Xbox Series X and Series S" display="https://en.wikipedia.org/wiki/Xbox_Series_X_and_Series_S" xr:uid="{B453725B-53FA-4F52-96F1-4CE0DC0D0307}"/>
    <hyperlink ref="B141" r:id="rId2393" tooltip="Battlefield 2042" display="https://en.wikipedia.org/wiki/Battlefield_2042" xr:uid="{264B54AF-5D10-445D-9EC1-B464D3CF116B}"/>
    <hyperlink ref="D141" r:id="rId2394" tooltip="PlayStation 4" display="https://en.wikipedia.org/wiki/PlayStation_4" xr:uid="{3E7568E1-4F83-48A3-9316-91C9D20BBCA0}"/>
    <hyperlink ref="E141" r:id="rId2395" tooltip="EA DICE" display="https://en.wikipedia.org/wiki/EA_DICE" xr:uid="{2CCEFB1B-CCEA-48FC-824E-B4262BE8E6E0}"/>
    <hyperlink ref="D142" r:id="rId2396" tooltip="PlayStation 5" display="https://en.wikipedia.org/wiki/PlayStation_5" xr:uid="{97B1C5FF-CC6A-4E7A-9EA5-FB592F465B22}"/>
    <hyperlink ref="D143" r:id="rId2397" tooltip="Xbox One" display="https://en.wikipedia.org/wiki/Xbox_One" xr:uid="{07423926-8E35-490E-BA3E-181C2D799092}"/>
    <hyperlink ref="D144" r:id="rId2398" tooltip="Xbox Series X and Series S" display="https://en.wikipedia.org/wiki/Xbox_Series_X_and_Series_S" xr:uid="{1CA41DDA-60EE-4C86-AC88-7E8F7E17212B}"/>
    <hyperlink ref="D145" r:id="rId2399" tooltip="Microsoft Windows" display="https://en.wikipedia.org/wiki/Microsoft_Windows" xr:uid="{6C01740D-B6E0-4CC0-8778-3D89496B06BC}"/>
    <hyperlink ref="B137" r:id="rId2400" tooltip="The Sims 4: My Wedding Stories" display="https://en.wikipedia.org/wiki/The_Sims_4:_My_Wedding_Stories" xr:uid="{5F59AC5B-9B27-40AA-95A1-252FE602A955}"/>
    <hyperlink ref="D137" r:id="rId2401" tooltip="Macintosh" display="https://en.wikipedia.org/wiki/Macintosh" xr:uid="{30EB569D-14EB-4598-A6E0-9354DBCAAAED}"/>
    <hyperlink ref="E137" r:id="rId2402" tooltip="Maxis Redwood Shores" display="https://en.wikipedia.org/wiki/Maxis_Redwood_Shores" xr:uid="{E28B4B71-78E0-4044-96DF-F232C02F5AC2}"/>
    <hyperlink ref="D138" r:id="rId2403" tooltip="PlayStation 4" display="https://en.wikipedia.org/wiki/PlayStation_4" xr:uid="{333A4F65-9891-48F4-BFCB-16B6C90153A4}"/>
    <hyperlink ref="D139" r:id="rId2404" tooltip="Microsoft Windows" display="https://en.wikipedia.org/wiki/Microsoft_Windows" xr:uid="{AAB423D0-71E6-4FB5-B39E-AD641A3FC562}"/>
    <hyperlink ref="D140" r:id="rId2405" tooltip="Xbox One" display="https://en.wikipedia.org/wiki/Xbox_One" xr:uid="{61863F15-653B-4A10-A88C-F70C1972D43B}"/>
    <hyperlink ref="B132" r:id="rId2406" tooltip="Grid Legends" display="https://en.wikipedia.org/wiki/Grid_Legends" xr:uid="{A67CA7B8-EECF-4767-8FC1-BB17EF79D738}"/>
    <hyperlink ref="D132" r:id="rId2407" tooltip="PlayStation 4" display="https://en.wikipedia.org/wiki/PlayStation_4" xr:uid="{46EC402F-51CE-4BD8-9715-7783515ECC4E}"/>
    <hyperlink ref="E132" r:id="rId2408" tooltip="Codemasters" display="https://en.wikipedia.org/wiki/Codemasters" xr:uid="{78AA306F-B1BF-464B-BF98-02FD3A746453}"/>
    <hyperlink ref="D133" r:id="rId2409" tooltip="PlayStation 5" display="https://en.wikipedia.org/wiki/PlayStation_5" xr:uid="{D5139613-84B3-43DB-B729-ACB484128F65}"/>
    <hyperlink ref="D134" r:id="rId2410" tooltip="Xbox One" display="https://en.wikipedia.org/wiki/Xbox_One" xr:uid="{4D8703FA-126C-4E0B-8496-0F0FCE651180}"/>
    <hyperlink ref="D135" r:id="rId2411" tooltip="Xbox Series X and Series S" display="https://en.wikipedia.org/wiki/Xbox_Series_X_and_Series_S" xr:uid="{D892AAD7-9C99-48D6-9413-790C1C0A6217}"/>
    <hyperlink ref="D136" r:id="rId2412" tooltip="Microsoft Windows" display="https://en.wikipedia.org/wiki/Microsoft_Windows" xr:uid="{AA30A2CC-0369-443F-9DE5-36FFDF3C796B}"/>
    <hyperlink ref="D92" r:id="rId2413" tooltip="Quest 2" display="https://en.wikipedia.org/wiki/Quest_2" xr:uid="{03C9A81B-E834-478A-8981-E1834BD1FB09}"/>
    <hyperlink ref="D131" r:id="rId2414" tooltip="Macintosh" display="https://en.wikipedia.org/wiki/Macintosh" xr:uid="{E2C636B4-324A-42A5-B3F7-36292A073A68}"/>
    <hyperlink ref="B123" r:id="rId2415" tooltip="The Sims 4: Werewolves" display="https://en.wikipedia.org/wiki/The_Sims_4:_Werewolves" xr:uid="{F251AC49-ED13-4959-8970-99794EFB1B06}"/>
    <hyperlink ref="D123" r:id="rId2416" tooltip="Macintosh" display="https://en.wikipedia.org/wiki/Macintosh" xr:uid="{F57AD84B-68A3-4962-89A6-75C3CF4CCF83}"/>
    <hyperlink ref="E123" r:id="rId2417" tooltip="Maxis Redwood Shores" display="https://en.wikipedia.org/wiki/Maxis_Redwood_Shores" xr:uid="{8773BDA8-FF9A-4499-BF1B-724E69600F81}"/>
    <hyperlink ref="D124" r:id="rId2418" tooltip="PlayStation 4" display="https://en.wikipedia.org/wiki/PlayStation_4" xr:uid="{3DAC9CE9-DD87-4662-9229-7E77707006A7}"/>
    <hyperlink ref="D125" r:id="rId2419" tooltip="Microsoft Windows" display="https://en.wikipedia.org/wiki/Microsoft_Windows" xr:uid="{69FDD5F4-16BA-4D4A-80DE-C9D05A454F21}"/>
    <hyperlink ref="D126" r:id="rId2420" tooltip="Xbox One" display="https://en.wikipedia.org/wiki/Xbox_One" xr:uid="{D982D3A4-A326-4113-8968-49924DAC6C19}"/>
    <hyperlink ref="B118" r:id="rId2421" tooltip="F1 22" display="https://en.wikipedia.org/wiki/F1_22" xr:uid="{721AD6DB-A327-4DEA-B14B-520C413B10FF}"/>
    <hyperlink ref="D118" r:id="rId2422" tooltip="PlayStation 4" display="https://en.wikipedia.org/wiki/PlayStation_4" xr:uid="{8B0691AB-E0CC-4F26-90DD-627094D010A0}"/>
    <hyperlink ref="E118" r:id="rId2423" tooltip="Codemasters" display="https://en.wikipedia.org/wiki/Codemasters" xr:uid="{57761446-6075-48D5-9540-2B06EF1937F1}"/>
    <hyperlink ref="D119" r:id="rId2424" tooltip="PlayStation 5" display="https://en.wikipedia.org/wiki/PlayStation_5" xr:uid="{091BD997-5A7D-48E9-BD10-AF98512A8C4F}"/>
    <hyperlink ref="D120" r:id="rId2425" tooltip="Xbox One" display="https://en.wikipedia.org/wiki/Xbox_One" xr:uid="{04EFB74B-6355-4343-854A-68670D2CA2F8}"/>
    <hyperlink ref="D121" r:id="rId2426" tooltip="Xbox Series X and Series S" display="https://en.wikipedia.org/wiki/Xbox_Series_X_and_Series_S" xr:uid="{152DC361-B343-47B6-B6C7-61AABEE1E7C4}"/>
    <hyperlink ref="D122" r:id="rId2427" tooltip="Microsoft Windows" display="https://en.wikipedia.org/wiki/Microsoft_Windows" xr:uid="{CFFB2E27-343E-48B1-98DF-9C93CB7C2501}"/>
    <hyperlink ref="B113" r:id="rId2428" tooltip="The Sims 4: High School Years" display="https://en.wikipedia.org/wiki/The_Sims_4:_High_School_Years" xr:uid="{F6D114E9-7497-42F4-A327-DD0EFAADDDA2}"/>
    <hyperlink ref="D113" r:id="rId2429" tooltip="Macintosh" display="https://en.wikipedia.org/wiki/Macintosh" xr:uid="{CBA1E14F-873B-4773-A54D-BAE5848B7C62}"/>
    <hyperlink ref="E113" r:id="rId2430" tooltip="Maxis Redwood Shores" display="https://en.wikipedia.org/wiki/Maxis_Redwood_Shores" xr:uid="{84EA6004-20CF-4EA4-90EB-70D1D58F5379}"/>
    <hyperlink ref="D114" r:id="rId2431" tooltip="PlayStation 5" display="https://en.wikipedia.org/wiki/PlayStation_5" xr:uid="{DEE01B0C-1A6B-4B65-98F5-076D34815204}"/>
    <hyperlink ref="D115" r:id="rId2432" tooltip="Xbox One" display="https://en.wikipedia.org/wiki/Xbox_One" xr:uid="{1DA36099-E083-47D0-A047-9FB12D037369}"/>
    <hyperlink ref="D116" r:id="rId2433" tooltip="Xbox Series X and Series S" display="https://en.wikipedia.org/wiki/Xbox_Series_X_and_Series_S" xr:uid="{569E8B36-9EEC-4768-A73F-E03B9B0B56F9}"/>
    <hyperlink ref="D117" r:id="rId2434" tooltip="Microsoft Windows" display="https://en.wikipedia.org/wiki/Microsoft_Windows" xr:uid="{5709442F-0393-4A04-8D27-823E8EA8D3F9}"/>
    <hyperlink ref="B107" r:id="rId2435" tooltip="Madden NFL 23" display="https://en.wikipedia.org/wiki/Madden_NFL_23" xr:uid="{2B50046D-D787-4E45-9344-F4DEBFC0B4C7}"/>
    <hyperlink ref="D107" r:id="rId2436" tooltip="Macintosh" display="https://en.wikipedia.org/wiki/Macintosh" xr:uid="{ECB495C2-DE2E-464F-B474-C0917CC7BD27}"/>
    <hyperlink ref="E107" r:id="rId2437" tooltip="EA Tiburon" display="https://en.wikipedia.org/wiki/EA_Tiburon" xr:uid="{F341B63E-5F6A-47A8-8606-3F17321DFCFD}"/>
    <hyperlink ref="D108" r:id="rId2438" tooltip="PlayStation 4" display="https://en.wikipedia.org/wiki/PlayStation_4" xr:uid="{CF369207-7F70-4E18-90E1-EC87D2C36652}"/>
    <hyperlink ref="D109" r:id="rId2439" tooltip="PlayStation 5" display="https://en.wikipedia.org/wiki/PlayStation_5" xr:uid="{89536C7D-2C66-441D-8AFA-7CE04B0A31A5}"/>
    <hyperlink ref="D110" r:id="rId2440" tooltip="Xbox One" display="https://en.wikipedia.org/wiki/Xbox_One" xr:uid="{288BB537-0FD1-4128-B4B1-728892A98408}"/>
    <hyperlink ref="D111" r:id="rId2441" tooltip="Xbox Series X and Series S" display="https://en.wikipedia.org/wiki/Xbox_Series_X_and_Series_S" xr:uid="{84C48A46-3D60-4960-9C0D-80A5AFF835FC}"/>
    <hyperlink ref="D112" r:id="rId2442" tooltip="Microsoft Windows" display="https://en.wikipedia.org/wiki/Microsoft_Windows" xr:uid="{4B1D6D8E-ED65-427F-B871-29B4633D5B77}"/>
    <hyperlink ref="B101" r:id="rId2443" tooltip="FIFA 23" display="https://en.wikipedia.org/wiki/FIFA_23" xr:uid="{E93D4710-7C42-4DBA-A189-A7ABCC67CCA5}"/>
    <hyperlink ref="D101" r:id="rId2444" tooltip="Nintendo Switch" display="https://en.wikipedia.org/wiki/Nintendo_Switch" xr:uid="{36D80A54-E689-48EA-8502-4FCDE13DF71E}"/>
    <hyperlink ref="E101" r:id="rId2445" tooltip="EA Vancouver" display="https://en.wikipedia.org/wiki/EA_Vancouver" xr:uid="{2EA594C3-67C7-47EB-8AC6-FA97AB72A7BF}"/>
    <hyperlink ref="D102" r:id="rId2446" tooltip="PlayStation 4" display="https://en.wikipedia.org/wiki/PlayStation_4" xr:uid="{18A53EE7-B048-4CB1-8A9B-5586842FE956}"/>
    <hyperlink ref="D103" r:id="rId2447" tooltip="PlayStation 5" display="https://en.wikipedia.org/wiki/PlayStation_5" xr:uid="{91020980-6833-4DBA-B33E-37E4714D50C8}"/>
    <hyperlink ref="D104" r:id="rId2448" tooltip="Xbox One" display="https://en.wikipedia.org/wiki/Xbox_One" xr:uid="{39F878C7-5422-470D-A15C-3005AD7190E6}"/>
    <hyperlink ref="D105" r:id="rId2449" tooltip="Xbox Series X and Series S" display="https://en.wikipedia.org/wiki/Xbox_Series_X_and_Series_S" xr:uid="{891FEE75-18CD-4E4C-BED3-36E7C5D80787}"/>
    <hyperlink ref="D106" r:id="rId2450" tooltip="Microsoft Windows" display="https://en.wikipedia.org/wiki/Microsoft_Windows" xr:uid="{758E1F1E-1FA1-4B0D-82ED-650B5966F421}"/>
    <hyperlink ref="B97" r:id="rId2451" tooltip="NHL 23" display="https://en.wikipedia.org/wiki/NHL_23" xr:uid="{EC72AE79-B9F3-4013-B8C4-D0AAF269CB3A}"/>
    <hyperlink ref="D97" r:id="rId2452" tooltip="PlayStation 4" display="https://en.wikipedia.org/wiki/PlayStation_4" xr:uid="{588C14B5-A034-405C-9664-B52756456E2C}"/>
    <hyperlink ref="E97" r:id="rId2453" tooltip="EA Vancouver" display="https://en.wikipedia.org/wiki/EA_Vancouver" xr:uid="{80C1C43B-8B8C-426E-9242-58694A562989}"/>
    <hyperlink ref="D98" r:id="rId2454" tooltip="PlayStation 5" display="https://en.wikipedia.org/wiki/PlayStation_5" xr:uid="{DDA0F04D-4A24-457A-BD61-9460B690026B}"/>
    <hyperlink ref="D99" r:id="rId2455" tooltip="Xbox One" display="https://en.wikipedia.org/wiki/Xbox_One" xr:uid="{0A3C0BA0-B334-4FFF-9C58-A7C2C4FB636C}"/>
    <hyperlink ref="D100" r:id="rId2456" tooltip="Xbox Series X and Series S" display="https://en.wikipedia.org/wiki/Xbox_Series_X_and_Series_S" xr:uid="{3F72FCA7-5531-4B3D-B16E-0E7F50F19E0C}"/>
    <hyperlink ref="B93" r:id="rId2457" tooltip="Need for Speed Unbound" display="https://en.wikipedia.org/wiki/Need_for_Speed_Unbound" xr:uid="{C689EF6A-A787-4D71-8354-A3D25283A0E7}"/>
    <hyperlink ref="D93" r:id="rId2458" tooltip="PlayStation 5" display="https://en.wikipedia.org/wiki/PlayStation_5" xr:uid="{09FA41B4-48A8-4C7E-9D52-DC0CB764ABC4}"/>
    <hyperlink ref="E93" r:id="rId2459" tooltip="Criterion Games" display="https://en.wikipedia.org/wiki/Criterion_Games" xr:uid="{1EB42BAA-06B2-47A3-8C99-D3E21AB35A71}"/>
    <hyperlink ref="D94" r:id="rId2460" tooltip="Xbox Series X and Series S" display="https://en.wikipedia.org/wiki/Xbox_Series_X_and_Series_S" xr:uid="{B80032E0-EFDB-4CE1-8DDA-92C99A44E265}"/>
    <hyperlink ref="D95" r:id="rId2461" tooltip="Microsoft Windows" display="https://en.wikipedia.org/wiki/Microsoft_Windows" xr:uid="{034326FA-3E64-4D94-8BBA-F402B89F54DD}"/>
    <hyperlink ref="B91" r:id="rId2462" tooltip="Dead Space (2023 video game)" display="https://en.wikipedia.org/wiki/Dead_Space_(2023_video_game)" xr:uid="{6A451D4A-9244-489F-B1A7-82AA7E6A92F0}"/>
    <hyperlink ref="D91" r:id="rId2463" tooltip="PlayStation 5" display="https://en.wikipedia.org/wiki/PlayStation_5" xr:uid="{C952A65A-4A6F-4273-995B-CDCB1CE72EDE}"/>
    <hyperlink ref="E91" r:id="rId2464" tooltip="Motive Studios" display="https://en.wikipedia.org/wiki/Motive_Studios" xr:uid="{3C4DEB7A-AC8A-4F39-9291-D23A808A02B6}"/>
    <hyperlink ref="D855" r:id="rId2465" tooltip="Xbox Series X and Series S" display="https://en.wikipedia.org/wiki/Xbox_Series_X_and_Series_S" xr:uid="{49667F86-B738-44DA-98C0-094357DCD85C}"/>
    <hyperlink ref="D856" r:id="rId2466" tooltip="Microsoft Windows" display="https://en.wikipedia.org/wiki/Microsoft_Windows" xr:uid="{9DAC00C9-9826-4A84-887C-59451A10A205}"/>
    <hyperlink ref="B88" r:id="rId2467" tooltip="Wild Hearts (video game)" display="https://en.wikipedia.org/wiki/Wild_Hearts_(video_game)" xr:uid="{4B07A66F-2648-45DF-8FFC-38039031F043}"/>
    <hyperlink ref="D88" r:id="rId2468" tooltip="PlayStation 5" display="https://en.wikipedia.org/wiki/PlayStation_5" xr:uid="{20AAD855-61D0-42C2-8837-052E6AEFE0AC}"/>
    <hyperlink ref="E88" r:id="rId2469" tooltip="Omega Force" display="https://en.wikipedia.org/wiki/Omega_Force" xr:uid="{8C40E959-2C43-4584-9941-A6B1C58F46BD}"/>
    <hyperlink ref="D89" r:id="rId2470" tooltip="Xbox Series X and Series S" display="https://en.wikipedia.org/wiki/Xbox_Series_X_and_Series_S" xr:uid="{16080EFA-1F4A-4432-B063-D9008AF986F5}"/>
    <hyperlink ref="D90" r:id="rId2471" tooltip="Microsoft Windows" display="https://en.wikipedia.org/wiki/Microsoft_Windows" xr:uid="{4EEF2811-83D3-4A86-9FCA-7483588DA7F8}"/>
    <hyperlink ref="B83" r:id="rId2472" tooltip="The Sims 4: Growing Together" display="https://en.wikipedia.org/wiki/The_Sims_4:_Growing_Together" xr:uid="{9E60B0C2-8E9D-4D28-8DB1-6F93AE193C8F}"/>
    <hyperlink ref="D83" r:id="rId2473" tooltip="Macintosh" display="https://en.wikipedia.org/wiki/Macintosh" xr:uid="{48E43F37-E3A7-43A2-8755-AEEE568BB146}"/>
    <hyperlink ref="E83" r:id="rId2474" tooltip="Maxis Redwood Shores" display="https://en.wikipedia.org/wiki/Maxis_Redwood_Shores" xr:uid="{A8F9618C-7565-4FA3-9CF1-02490C706B55}"/>
    <hyperlink ref="D84" r:id="rId2475" tooltip="PlayStation 4" display="https://en.wikipedia.org/wiki/PlayStation_4" xr:uid="{423C5F41-908E-47ED-BA65-5757124EA860}"/>
    <hyperlink ref="D85" r:id="rId2476" tooltip="Xbox One" display="https://en.wikipedia.org/wiki/Xbox_One" xr:uid="{235FE4A1-C897-40EC-8881-B1A4945831E5}"/>
    <hyperlink ref="D86" r:id="rId2477" tooltip="Xbox Series X and Series S" display="https://en.wikipedia.org/wiki/Xbox_Series_X_and_Series_S" xr:uid="{A155B3E3-FF4F-4737-BC2F-AEF9DDE07DE2}"/>
    <hyperlink ref="D87" r:id="rId2478" tooltip="Microsoft Windows" display="https://en.wikipedia.org/wiki/Microsoft_Windows" xr:uid="{09046D4B-2649-4632-BAD1-EB17BAF285D4}"/>
    <hyperlink ref="B80" r:id="rId2479" tooltip="EA Sports PGA Tour" display="https://en.wikipedia.org/wiki/EA_Sports_PGA_Tour" xr:uid="{364E8865-4C1B-4F7B-B4B3-D0AFE71AD8CF}"/>
    <hyperlink ref="D80" r:id="rId2480" tooltip="PlayStation 5" display="https://en.wikipedia.org/wiki/PlayStation_5" xr:uid="{D1C3C9C8-711C-4545-AF84-FED2D64AB513}"/>
    <hyperlink ref="E80" r:id="rId2481" tooltip="EA Tiburon" display="https://en.wikipedia.org/wiki/EA_Tiburon" xr:uid="{B9CAF345-0AFE-4916-92B4-12F5E5495BD7}"/>
    <hyperlink ref="D81" r:id="rId2482" tooltip="Xbox Series X and Series S" display="https://en.wikipedia.org/wiki/Xbox_Series_X_and_Series_S" xr:uid="{818ECF24-F32A-4C73-8C04-AC0B3B06C557}"/>
    <hyperlink ref="D82" r:id="rId2483" tooltip="Microsoft Windows" display="https://en.wikipedia.org/wiki/Microsoft_Windows" xr:uid="{B98D9F55-9F50-480B-A6B6-F4F31BC05B54}"/>
    <hyperlink ref="B77" r:id="rId2484" tooltip="Star Wars Jedi: Survivor" display="https://en.wikipedia.org/wiki/Star_Wars_Jedi:_Survivor" xr:uid="{3CB40F22-A1A2-4C79-8E47-4A5591F26F79}"/>
    <hyperlink ref="D77" r:id="rId2485" tooltip="PlayStation 5" display="https://en.wikipedia.org/wiki/PlayStation_5" xr:uid="{EBA5409A-56C0-4240-B9F9-4E71DFB1F1AA}"/>
    <hyperlink ref="E77" r:id="rId2486" tooltip="Respawn Entertainment" display="https://en.wikipedia.org/wiki/Respawn_Entertainment" xr:uid="{D6E5BBB0-6CF4-4B5E-A7AD-0D3C885648AC}"/>
    <hyperlink ref="D78" r:id="rId2487" tooltip="Xbox Series X and Series S" display="https://en.wikipedia.org/wiki/Xbox_Series_X_and_Series_S" xr:uid="{E363977B-4B19-4EA6-9486-ABB4046D1463}"/>
    <hyperlink ref="D79" r:id="rId2488" tooltip="Microsoft Windows" display="https://en.wikipedia.org/wiki/Microsoft_Windows" xr:uid="{5C22E131-0A0D-455B-A724-131FB42FA04D}"/>
    <hyperlink ref="B75" r:id="rId2489" tooltip="The Lord of the Rings: Heroes of Middle-earth" display="https://en.wikipedia.org/wiki/The_Lord_of_the_Rings:_Heroes_of_Middle-earth" xr:uid="{EA657B49-4818-4D6D-8873-51D723C72A6F}"/>
    <hyperlink ref="D75" r:id="rId2490" tooltip="IOS" display="https://en.wikipedia.org/wiki/IOS" xr:uid="{B65E2560-25A5-40FF-A62A-322F0F01130F}"/>
    <hyperlink ref="D76" r:id="rId2491" tooltip="Android (operating system)" display="https://en.wikipedia.org/wiki/Android_(operating_system)" xr:uid="{45839D01-56D7-4DD4-B5F5-2C8A49679688}"/>
    <hyperlink ref="B69" r:id="rId2492" tooltip="Super Mega Baseball 4" display="https://en.wikipedia.org/wiki/Super_Mega_Baseball_4" xr:uid="{65DAB75A-54B7-41A1-B926-B20C5E183A80}"/>
    <hyperlink ref="D69" r:id="rId2493" tooltip="Nintendo Switch" display="https://en.wikipedia.org/wiki/Nintendo_Switch" xr:uid="{E95C22B3-FE54-48F0-955B-0679C7C94FE0}"/>
    <hyperlink ref="D70" r:id="rId2494" tooltip="PlayStation 4" display="https://en.wikipedia.org/wiki/PlayStation_4" xr:uid="{E042C4F8-6D92-46C9-A973-628ABE8FE3CC}"/>
    <hyperlink ref="D71" r:id="rId2495" tooltip="PlayStation 5" display="https://en.wikipedia.org/wiki/PlayStation_5" xr:uid="{90EA4F61-1200-4625-A3FA-1B76B0FE4B8B}"/>
    <hyperlink ref="D72" r:id="rId2496" tooltip="Xbox One" display="https://en.wikipedia.org/wiki/Xbox_One" xr:uid="{5FD104C8-BAF6-45E9-A997-2ECF11DECD8E}"/>
    <hyperlink ref="D73" r:id="rId2497" tooltip="Xbox Series X and Series S" display="https://en.wikipedia.org/wiki/Xbox_Series_X_and_Series_S" xr:uid="{DCA3B10E-20AB-43A4-8B26-2365D25EDB4A}"/>
    <hyperlink ref="D74" r:id="rId2498" tooltip="Microsoft Windows" display="https://en.wikipedia.org/wiki/Microsoft_Windows" xr:uid="{7716838C-6C02-4EEF-AED7-E7CE2DA30A83}"/>
    <hyperlink ref="B64" r:id="rId2499" tooltip="F1 23" display="https://en.wikipedia.org/wiki/F1_23" xr:uid="{D0BB5831-343E-4DAF-9742-65763B02BCA2}"/>
    <hyperlink ref="D64" r:id="rId2500" tooltip="PlayStation 4" display="https://en.wikipedia.org/wiki/PlayStation_4" xr:uid="{6D408849-A3A5-41F8-B8D8-DEE3C79B6E86}"/>
    <hyperlink ref="E64" r:id="rId2501" tooltip="Codemasters" display="https://en.wikipedia.org/wiki/Codemasters" xr:uid="{F02362F1-7EF6-4D5C-9D2B-053CD52C035D}"/>
    <hyperlink ref="D65" r:id="rId2502" tooltip="PlayStation 5" display="https://en.wikipedia.org/wiki/PlayStation_5" xr:uid="{1FCA5360-EC3B-4F34-9027-959CEA543324}"/>
    <hyperlink ref="D66" r:id="rId2503" tooltip="Xbox One" display="https://en.wikipedia.org/wiki/Xbox_One" xr:uid="{64193520-9C18-4E71-AE5C-CBC4469FAFE9}"/>
    <hyperlink ref="D67" r:id="rId2504" tooltip="Xbox Series X and Series S" display="https://en.wikipedia.org/wiki/Xbox_Series_X_and_Series_S" xr:uid="{4110962F-0FA0-4800-AB42-F04578B1FFCC}"/>
    <hyperlink ref="D68" r:id="rId2505" tooltip="Microsoft Windows" display="https://en.wikipedia.org/wiki/Microsoft_Windows" xr:uid="{B6C34715-8779-4C30-9E10-417FA2296539}"/>
    <hyperlink ref="B60" r:id="rId2506" tooltip="The Sims 4: Horse Ranch" display="https://en.wikipedia.org/wiki/The_Sims_4:_Horse_Ranch" xr:uid="{0402507A-73F3-42C2-B777-A4ECF97EB6A2}"/>
    <hyperlink ref="D60" r:id="rId2507" tooltip="Macintosh" display="https://en.wikipedia.org/wiki/Macintosh" xr:uid="{20114D6A-CEDC-4528-A220-B63659077249}"/>
    <hyperlink ref="E60" r:id="rId2508" tooltip="Maxis Redwood Shores" display="https://en.wikipedia.org/wiki/Maxis_Redwood_Shores" xr:uid="{48A849EF-8E75-4867-BFA7-D71ABACDB776}"/>
    <hyperlink ref="D61" r:id="rId2509" tooltip="PlayStation 4" display="https://en.wikipedia.org/wiki/PlayStation_4" xr:uid="{0906D32D-2FA3-4F69-BFD1-780E977FB3B1}"/>
    <hyperlink ref="D62" r:id="rId2510" tooltip="Microsoft Windows" display="https://en.wikipedia.org/wiki/Microsoft_Windows" xr:uid="{F49FA87D-597E-480B-BE44-AD7BD778CF82}"/>
    <hyperlink ref="D63" r:id="rId2511" tooltip="Xbox One" display="https://en.wikipedia.org/wiki/Xbox_One" xr:uid="{D5E63FDB-62FF-455C-BF5E-6D9B40EA707E}"/>
    <hyperlink ref="B54" r:id="rId2512" tooltip="Madden NFL 24" display="https://en.wikipedia.org/wiki/Madden_NFL_24" xr:uid="{E20E0AAC-530E-4E7D-B198-8BAD2E958DDB}"/>
    <hyperlink ref="D54" r:id="rId2513" tooltip="Macintosh" display="https://en.wikipedia.org/wiki/Macintosh" xr:uid="{A3008966-F15D-411B-A2C0-727D934A318B}"/>
    <hyperlink ref="E54" r:id="rId2514" tooltip="EA Tiburon" display="https://en.wikipedia.org/wiki/EA_Tiburon" xr:uid="{F7AFC070-E44F-453B-93D3-B9A27744CB47}"/>
    <hyperlink ref="D55" r:id="rId2515" tooltip="PlayStation 4" display="https://en.wikipedia.org/wiki/PlayStation_4" xr:uid="{EBB75EE4-77B8-4045-8F3C-511F0DF51DC7}"/>
    <hyperlink ref="D56" r:id="rId2516" tooltip="PlayStation 5" display="https://en.wikipedia.org/wiki/PlayStation_5" xr:uid="{28B750D8-8236-4DE7-90C8-990B2616C2C7}"/>
    <hyperlink ref="D57" r:id="rId2517" tooltip="Xbox One" display="https://en.wikipedia.org/wiki/Xbox_One" xr:uid="{E383BD68-A3D2-43FE-A83D-B5E3D6B0A980}"/>
    <hyperlink ref="D58" r:id="rId2518" tooltip="Xbox Series X and Series S" display="https://en.wikipedia.org/wiki/Xbox_Series_X_and_Series_S" xr:uid="{E6869D59-5200-4656-9681-4CDF51D8A0F2}"/>
    <hyperlink ref="D59" r:id="rId2519" tooltip="Microsoft Windows" display="https://en.wikipedia.org/wiki/Microsoft_Windows" xr:uid="{A4A86CBA-1EF5-413A-BA3E-1EFD3D2951A5}"/>
    <hyperlink ref="B51" r:id="rId2520" tooltip="Immortals of Aveum" display="https://en.wikipedia.org/wiki/Immortals_of_Aveum" xr:uid="{89D4AD99-34BB-429D-A0F7-024286B89D69}"/>
    <hyperlink ref="D51" r:id="rId2521" tooltip="PlayStation 5" display="https://en.wikipedia.org/wiki/PlayStation_5" xr:uid="{ED7BF57B-D197-4FD8-AEC5-DCCA305EE3A0}"/>
    <hyperlink ref="E51" r:id="rId2522" tooltip="Ascendant Studios" display="https://en.wikipedia.org/wiki/Ascendant_Studios" xr:uid="{6B655AFC-7AEA-4F19-8FC1-F9CB28812479}"/>
    <hyperlink ref="D52" r:id="rId2523" tooltip="Xbox Series X and Series S" display="https://en.wikipedia.org/wiki/Xbox_Series_X_and_Series_S" xr:uid="{45D8EEDE-9531-4D09-84DE-BFCB78D1FFF0}"/>
    <hyperlink ref="D53" r:id="rId2524" tooltip="Microsoft Windows" display="https://en.wikipedia.org/wiki/Microsoft_Windows" xr:uid="{8565A95A-357F-4A85-9C7B-4FCD9F74D5B6}"/>
    <hyperlink ref="B45" r:id="rId2525" tooltip="EA FC 24" display="https://en.wikipedia.org/wiki/EA_FC_24" xr:uid="{4791119C-B40B-4F8F-9F18-88600BCDC9C8}"/>
    <hyperlink ref="D45" r:id="rId2526" tooltip="Nintendo Switch" display="https://en.wikipedia.org/wiki/Nintendo_Switch" xr:uid="{97D001CD-0E74-46F7-B20E-34A5F8FF182B}"/>
    <hyperlink ref="E45" r:id="rId2527" tooltip="EA Vancouver" display="https://en.wikipedia.org/wiki/EA_Vancouver" xr:uid="{D9B9A681-D5E3-4A01-81DD-E4F5AA804CD3}"/>
    <hyperlink ref="D46" r:id="rId2528" tooltip="PlayStation 4" display="https://en.wikipedia.org/wiki/PlayStation_4" xr:uid="{86D5D699-5927-4236-90A7-E54EF872684C}"/>
    <hyperlink ref="D47" r:id="rId2529" tooltip="PlayStation 5" display="https://en.wikipedia.org/wiki/PlayStation_5" xr:uid="{90C74416-D23D-46B8-B372-BD53F05C7E00}"/>
    <hyperlink ref="D48" r:id="rId2530" tooltip="Xbox One" display="https://en.wikipedia.org/wiki/Xbox_One" xr:uid="{92FD1A86-E0E0-4E34-AA2C-3DF4F3FCC773}"/>
    <hyperlink ref="D49" r:id="rId2531" tooltip="Xbox Series X and Series S" display="https://en.wikipedia.org/wiki/Xbox_Series_X_and_Series_S" xr:uid="{741AF052-C290-45C3-BEDC-4341B59A8DA4}"/>
    <hyperlink ref="D50" r:id="rId2532" tooltip="Microsoft Windows" display="https://en.wikipedia.org/wiki/Microsoft_Windows" xr:uid="{F2E9C76A-7817-47BC-A4F5-D7722F8E8BBE}"/>
    <hyperlink ref="B41" r:id="rId2533" tooltip="NHL 24" display="https://en.wikipedia.org/wiki/NHL_24" xr:uid="{45600157-A950-402B-B262-C6ACABAA53C6}"/>
    <hyperlink ref="D41" r:id="rId2534" tooltip="PlayStation 4" display="https://en.wikipedia.org/wiki/PlayStation_4" xr:uid="{6319C0C9-C6F1-4994-A9E0-B22BBC89D1BD}"/>
    <hyperlink ref="E41" r:id="rId2535" tooltip="EA Vancouver" display="https://en.wikipedia.org/wiki/EA_Vancouver" xr:uid="{74944916-135B-4F6A-9B5B-C01496E9F8E2}"/>
    <hyperlink ref="D42" r:id="rId2536" tooltip="PlayStation 5" display="https://en.wikipedia.org/wiki/PlayStation_5" xr:uid="{34CAA28A-7CA6-4516-89DD-162F9A30914F}"/>
    <hyperlink ref="D43" r:id="rId2537" tooltip="Xbox One" display="https://en.wikipedia.org/wiki/Xbox_One" xr:uid="{B812B8AA-D4AC-4BF6-B950-244605E0F31E}"/>
    <hyperlink ref="D44" r:id="rId2538" tooltip="Xbox Series X and Series S" display="https://en.wikipedia.org/wiki/Xbox_Series_X_and_Series_S" xr:uid="{9EA4CFF3-E71F-4591-83A9-7F43FBA429C9}"/>
    <hyperlink ref="B39" r:id="rId2539" tooltip="EA Sports UFC 5" display="https://en.wikipedia.org/wiki/EA_Sports_UFC_5" xr:uid="{43D2AECF-DA83-4BDA-AB42-4892A0037ACB}"/>
    <hyperlink ref="D39" r:id="rId2540" tooltip="PlayStation 5" display="https://en.wikipedia.org/wiki/PlayStation_5" xr:uid="{7760C40D-CD5D-48ED-8D1B-0E538A46E713}"/>
    <hyperlink ref="E39" r:id="rId2541" tooltip="EA Vancouver" display="https://en.wikipedia.org/wiki/EA_Vancouver" xr:uid="{3756208F-A8F9-4A82-BE90-46E2BF266CD9}"/>
    <hyperlink ref="D40" r:id="rId2542" tooltip="Xbox Series X and Series S" display="https://en.wikipedia.org/wiki/Xbox_Series_X_and_Series_S" xr:uid="{4B734534-434F-4D0A-B2F3-92306F9942F7}"/>
    <hyperlink ref="B36" r:id="rId2543" tooltip="EA Sports WRC" display="https://en.wikipedia.org/wiki/EA_Sports_WRC" xr:uid="{1564A0B4-0B0B-40AE-B031-5185592E8678}"/>
    <hyperlink ref="D36" r:id="rId2544" tooltip="PlayStation 5" display="https://en.wikipedia.org/wiki/PlayStation_5" xr:uid="{5A3A0500-8F92-4DEF-8368-DC55D11E0C5F}"/>
    <hyperlink ref="E36" r:id="rId2545" tooltip="Codemasters" display="https://en.wikipedia.org/wiki/Codemasters" xr:uid="{0886AB0B-96CF-4385-AA4B-FAE22CABA473}"/>
    <hyperlink ref="D37" r:id="rId2546" tooltip="Xbox Series X and Series S" display="https://en.wikipedia.org/wiki/Xbox_Series_X_and_Series_S" xr:uid="{D563DD41-16C0-491F-A439-4C5662FD6802}"/>
    <hyperlink ref="D38" r:id="rId2547" tooltip="Microsoft Windows" display="https://en.wikipedia.org/wiki/Microsoft_Windows" xr:uid="{FC1B7CAC-7735-457D-A04D-C55CEA1BF1AD}"/>
    <hyperlink ref="B30" r:id="rId2548" tooltip="The Sims 4: For Rent" display="https://en.wikipedia.org/wiki/The_Sims_4:_For_Rent" xr:uid="{74C9227E-35DD-4781-B801-7E06E46D2079}"/>
    <hyperlink ref="D30" r:id="rId2549" tooltip="Macintosh" display="https://en.wikipedia.org/wiki/Macintosh" xr:uid="{1939D1EE-8102-42B1-BC77-85DDCD64C9BC}"/>
    <hyperlink ref="E30" r:id="rId2550" tooltip="Maxis Redwood Shores" display="https://en.wikipedia.org/wiki/Maxis_Redwood_Shores" xr:uid="{B12D37AF-FA50-461F-86DB-3011659F06A8}"/>
    <hyperlink ref="D31" r:id="rId2551" tooltip="PlayStation 4" display="https://en.wikipedia.org/wiki/PlayStation_4" xr:uid="{C02C54D1-4A51-44FB-A6CB-3221CBB35929}"/>
    <hyperlink ref="D32" r:id="rId2552" tooltip="PlayStation 5" display="https://en.wikipedia.org/wiki/PlayStation_5" xr:uid="{46D3A80D-BF09-43B7-B471-6F36C10B5823}"/>
    <hyperlink ref="D33" r:id="rId2553" tooltip="Xbox One" display="https://en.wikipedia.org/wiki/Xbox_One" xr:uid="{C84EA203-2C10-4240-A37A-AD5FC899E8B7}"/>
    <hyperlink ref="D34" r:id="rId2554" tooltip="Xbox Series X and Series S" display="https://en.wikipedia.org/wiki/Xbox_Series_X_and_Series_S" xr:uid="{3CB786EE-2D37-492E-AA42-C38EA40DEBCF}"/>
    <hyperlink ref="D35" r:id="rId2555" tooltip="Microsoft Windows" display="https://en.wikipedia.org/wiki/Microsoft_Windows" xr:uid="{394F0E50-1980-44FC-90B1-4F7A6D27350A}"/>
    <hyperlink ref="B26" r:id="rId2556" tooltip="Tales of Kenzera: Zau" display="https://en.wikipedia.org/wiki/Tales_of_Kenzera:_Zau" xr:uid="{46035D51-572B-4A3E-BA02-9FB07A772675}"/>
    <hyperlink ref="D26" r:id="rId2557" tooltip="Nintendo Switch" display="https://en.wikipedia.org/wiki/Nintendo_Switch" xr:uid="{21F72A10-4E48-44B3-AA28-749C1A45C6A2}"/>
    <hyperlink ref="E26" r:id="rId2558" tooltip="Surgent Studios" display="https://en.wikipedia.org/wiki/Surgent_Studios" xr:uid="{7C6C4B52-F04A-409E-8B77-1CE4F10F24C0}"/>
    <hyperlink ref="D27" r:id="rId2559" tooltip="PlayStation 5" display="https://en.wikipedia.org/wiki/PlayStation_5" xr:uid="{E11F9970-8BED-48D6-96EF-4366EBA17F71}"/>
    <hyperlink ref="D28" r:id="rId2560" tooltip="Xbox Series X and Series S" display="https://en.wikipedia.org/wiki/Xbox_Series_X_and_Series_S" xr:uid="{0813F24E-7AAB-4B20-95B8-14BF55C9395D}"/>
    <hyperlink ref="D29" r:id="rId2561" tooltip="Microsoft Windows" display="https://en.wikipedia.org/wiki/Microsoft_Windows" xr:uid="{502B5A34-7421-4AF3-9528-ADAF453533CB}"/>
    <hyperlink ref="B21" r:id="rId2562" tooltip="F1 24" display="https://en.wikipedia.org/wiki/F1_24" xr:uid="{AFA57F00-53DB-47F6-9F3E-A36031C0C1A2}"/>
    <hyperlink ref="D21" r:id="rId2563" tooltip="PlayStation 4" display="https://en.wikipedia.org/wiki/PlayStation_4" xr:uid="{9FF7A27F-DA5C-4741-A0F5-F9897CAE4CA7}"/>
    <hyperlink ref="E21" r:id="rId2564" tooltip="Codemasters" display="https://en.wikipedia.org/wiki/Codemasters" xr:uid="{80ACAA9F-C849-4C39-84AA-8331F586B338}"/>
    <hyperlink ref="D22" r:id="rId2565" tooltip="PlayStation 5" display="https://en.wikipedia.org/wiki/PlayStation_5" xr:uid="{7E540EC1-1B6C-4775-9AFE-78F342AB75CC}"/>
    <hyperlink ref="D23" r:id="rId2566" tooltip="Xbox One" display="https://en.wikipedia.org/wiki/Xbox_One" xr:uid="{851A907C-9416-4A6E-928E-C165E39FC280}"/>
    <hyperlink ref="D24" r:id="rId2567" tooltip="Xbox Series X and Series S" display="https://en.wikipedia.org/wiki/Xbox_Series_X_and_Series_S" xr:uid="{94C5158F-A535-4C72-9E17-84FDDA66D7CD}"/>
    <hyperlink ref="D25" r:id="rId2568" tooltip="Microsoft Windows" display="https://en.wikipedia.org/wiki/Microsoft_Windows" xr:uid="{9E46BD01-8F89-4793-ACCC-95F7BE8CC984}"/>
    <hyperlink ref="B17" r:id="rId2569" tooltip="Dragon Age: Dreadwolf" display="https://en.wikipedia.org/wiki/Dragon_Age:_Dreadwolf" xr:uid="{5656DC47-7E44-4AF6-A8EC-FD60DFB9FAAA}"/>
    <hyperlink ref="D17" r:id="rId2570" tooltip="PlayStation 5" display="https://en.wikipedia.org/wiki/PlayStation_5" xr:uid="{1400339A-5473-4A3B-AB17-6FF4D50E66B0}"/>
    <hyperlink ref="E17" r:id="rId2571" tooltip="BioWare" display="https://en.wikipedia.org/wiki/BioWare" xr:uid="{2E6F8C83-7880-48A7-A9BE-FAA36EAE4464}"/>
    <hyperlink ref="D18" r:id="rId2572" tooltip="Xbox Series X and Series S" display="https://en.wikipedia.org/wiki/Xbox_Series_X_and_Series_S" xr:uid="{5D10102F-0191-459E-ABD9-8BF5FAD65A94}"/>
    <hyperlink ref="D19" r:id="rId2573" tooltip="Microsoft Windows" display="https://en.wikipedia.org/wiki/Microsoft_Windows" xr:uid="{1EF5C77A-DC81-4F86-923E-C450835FCBE7}"/>
    <hyperlink ref="B15" r:id="rId2574" tooltip="Plants vs. Zombies 3: Welcome to Zomburbia" display="https://en.wikipedia.org/wiki/Plants_vs._Zombies_3:_Welcome_to_Zomburbia" xr:uid="{F93A7853-5809-4DD3-8A3C-E6416CBEB10F}"/>
    <hyperlink ref="D15" r:id="rId2575" tooltip="Android (operating system)" display="https://en.wikipedia.org/wiki/Android_(operating_system)" xr:uid="{8D3D263B-51E6-4614-AF07-B54BBFAC36FA}"/>
    <hyperlink ref="E15" r:id="rId2576" tooltip="PopCap Games" display="https://en.wikipedia.org/wiki/PopCap_Games" xr:uid="{BF0A1543-1D40-4DDA-892A-18CD04099591}"/>
    <hyperlink ref="D16" r:id="rId2577" tooltip="IOS" display="https://en.wikipedia.org/wiki/IOS" xr:uid="{16B40D6A-FD6C-4187-AAC1-B26DF3107F98}"/>
    <hyperlink ref="B12" r:id="rId2578" tooltip="Skate 4" display="https://en.wikipedia.org/wiki/Skate_4" xr:uid="{DC94454D-3F91-4452-B3BB-2EC4E87371C7}"/>
    <hyperlink ref="E4" r:id="rId2579" tooltip="Respawn Entertainment" display="https://en.wikipedia.org/wiki/Respawn_Entertainment" xr:uid="{3BDF6BCC-A759-4438-8C79-6A529CE687D6}"/>
    <hyperlink ref="B11" r:id="rId2580" tooltip="Respawn Entertainment" display="https://en.wikipedia.org/wiki/Respawn_Entertainment" xr:uid="{3B685A40-85D5-4080-840D-920018A1BC1A}"/>
    <hyperlink ref="E11" r:id="rId2581" tooltip="Respawn Entertainment" display="https://en.wikipedia.org/wiki/Respawn_Entertainment" xr:uid="{3BDC3CB6-39C1-46B4-B0E5-E2C7FCE80B03}"/>
    <hyperlink ref="E5" r:id="rId2582" tooltip="Respawn Entertainment" display="https://en.wikipedia.org/wiki/Respawn_Entertainment" xr:uid="{653A0F8E-0E87-4844-AC78-FAE62C72C4BA}"/>
    <hyperlink ref="B8" r:id="rId2583" tooltip="Iron Man" display="https://en.wikipedia.org/wiki/Iron_Man" xr:uid="{E9903B51-99BC-46DA-BCC3-58690EAFCE23}"/>
    <hyperlink ref="E8" r:id="rId2584" tooltip="Motive Studios" display="https://en.wikipedia.org/wiki/Motive_Studios" xr:uid="{8CF4AA47-E810-4052-B008-AAF2D6DBD25C}"/>
    <hyperlink ref="B6" r:id="rId2585" tooltip="Mass Effect" display="https://en.wikipedia.org/wiki/Mass_Effect" xr:uid="{C252B3D4-4AFD-49A8-833D-49670CD9A975}"/>
    <hyperlink ref="E6" r:id="rId2586" tooltip="BioWare" display="https://en.wikipedia.org/wiki/BioWare" xr:uid="{E37D5AC6-80AD-4305-8AC8-B9199F9C1EF4}"/>
    <hyperlink ref="B10" r:id="rId2587" tooltip="Battlefield (video game series)" display="https://en.wikipedia.org/wiki/Battlefield_(video_game_series)" xr:uid="{B0A413A2-9944-4AC4-BB81-3E3F50954503}"/>
    <hyperlink ref="E10" r:id="rId2588" tooltip="DICE (company)" display="https://en.wikipedia.org/wiki/DICE_(company)" xr:uid="{24535749-88DA-4B89-8671-174765168E2A}"/>
    <hyperlink ref="B14" r:id="rId2589" tooltip="The Sims" display="https://en.wikipedia.org/wiki/The_Sims" xr:uid="{543522D4-7166-4F94-8FBC-15E8F799A10F}"/>
    <hyperlink ref="E14" r:id="rId2590" tooltip="Maxis" display="https://en.wikipedia.org/wiki/Maxis" xr:uid="{110F59D3-E1EB-4ECF-B5A9-81A49E98FA15}"/>
    <hyperlink ref="B9" r:id="rId2591" tooltip="Black Panther (character)" display="https://en.wikipedia.org/wiki/Black_Panther_(character)" xr:uid="{AFF59720-0B56-426D-8C8A-5D5778444FE1}"/>
    <hyperlink ref="B7" r:id="rId2592" tooltip="Marvel Comics" display="https://en.wikipedia.org/wiki/Marvel_Comics" xr:uid="{572C7764-9828-4560-9439-82F5A38AD195}"/>
    <hyperlink ref="D210" r:id="rId2593" tooltip="PlayStation 5" display="https://en.wikipedia.org/wiki/PlayStation_5" xr:uid="{32ED78CD-CB40-47BB-8129-FC9595BDAA62}"/>
    <hyperlink ref="D212" r:id="rId2594" tooltip="Xbox Series X" display="https://en.wikipedia.org/wiki/Xbox_Series_X" xr:uid="{B012E9F1-87F8-4CBE-8C7E-B220318DAC2B}"/>
  </hyperlinks>
  <pageMargins left="0.7" right="0.7" top="0.75" bottom="0.75" header="0.3" footer="0.3"/>
  <pageSetup paperSize="0" orientation="portrait" horizontalDpi="0" verticalDpi="0" copies="0" r:id="rId2595"/>
  <legacyDrawing r:id="rId2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Model</vt:lpstr>
      <vt:lpstr>Release</vt:lpstr>
      <vt:lpstr>CFB</vt:lpstr>
      <vt:lpstr>Titles</vt:lpstr>
      <vt:lpstr>Model!Print_Area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Whitter</dc:creator>
  <cp:lastModifiedBy>Julien Whitter</cp:lastModifiedBy>
  <dcterms:created xsi:type="dcterms:W3CDTF">2025-08-17T23:11:31Z</dcterms:created>
  <dcterms:modified xsi:type="dcterms:W3CDTF">2025-08-17T23:13:48Z</dcterms:modified>
</cp:coreProperties>
</file>