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jj\Java\bim_workspace\BouwBesluitMaterials\test\ReferenceExcelFiles\"/>
    </mc:Choice>
  </mc:AlternateContent>
  <xr:revisionPtr revIDLastSave="0" documentId="8_{D81F8668-FDAB-4AD7-8B91-546BF1654982}" xr6:coauthVersionLast="41" xr6:coauthVersionMax="41" xr10:uidLastSave="{00000000-0000-0000-0000-000000000000}"/>
  <bookViews>
    <workbookView xWindow="-28920" yWindow="-6480" windowWidth="29040" windowHeight="15840" tabRatio="845" xr2:uid="{00000000-000D-0000-FFFF-FFFF00000000}"/>
  </bookViews>
  <sheets>
    <sheet name="BOM rijtjeswoning" sheetId="3" r:id="rId1"/>
    <sheet name="Gebouweigenschappen" sheetId="15" r:id="rId2"/>
    <sheet name="Dichtheden" sheetId="12" r:id="rId3"/>
    <sheet name="Materialen" sheetId="1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6" i="3" l="1"/>
  <c r="O16" i="3"/>
  <c r="L13" i="3"/>
  <c r="S3" i="3" l="1"/>
  <c r="S4" i="3"/>
  <c r="S5" i="3"/>
  <c r="S6" i="3"/>
  <c r="S7" i="3"/>
  <c r="S8" i="3"/>
  <c r="S9" i="3"/>
  <c r="S10" i="3"/>
  <c r="S12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2" i="3"/>
  <c r="H37" i="3"/>
  <c r="H33" i="3"/>
  <c r="G32" i="3"/>
  <c r="G31" i="3"/>
  <c r="H32" i="3"/>
  <c r="H31" i="3"/>
  <c r="H30" i="3"/>
  <c r="O30" i="3" s="1"/>
  <c r="L29" i="3"/>
  <c r="J25" i="3"/>
  <c r="J24" i="3"/>
  <c r="L23" i="3"/>
  <c r="L22" i="3"/>
  <c r="L21" i="3"/>
  <c r="L20" i="3"/>
  <c r="Q18" i="3"/>
  <c r="O18" i="3" s="1"/>
  <c r="H18" i="3"/>
  <c r="J18" i="3"/>
  <c r="L12" i="3"/>
  <c r="L11" i="3"/>
  <c r="L10" i="3"/>
  <c r="Q10" i="3"/>
  <c r="O10" i="3" s="1"/>
  <c r="J10" i="3" s="1"/>
  <c r="L9" i="3"/>
  <c r="L8" i="3"/>
  <c r="O8" i="3" s="1"/>
  <c r="H4" i="3"/>
  <c r="L4" i="3" s="1"/>
  <c r="H3" i="3"/>
  <c r="O3" i="3" s="1"/>
  <c r="N3" i="3" s="1"/>
  <c r="O32" i="3" l="1"/>
  <c r="X10" i="3"/>
  <c r="W10" i="3" s="1"/>
  <c r="O31" i="3"/>
  <c r="X18" i="3"/>
  <c r="W18" i="3" s="1"/>
  <c r="O4" i="3"/>
  <c r="N4" i="3" s="1"/>
  <c r="L3" i="3"/>
  <c r="L2" i="3"/>
  <c r="I31" i="15" l="1"/>
  <c r="B25" i="15" l="1"/>
  <c r="C25" i="15" s="1"/>
  <c r="D25" i="15"/>
  <c r="Q3" i="3" s="1"/>
  <c r="X3" i="3" s="1"/>
  <c r="W3" i="3" s="1"/>
  <c r="I2" i="15"/>
  <c r="I3" i="15"/>
  <c r="I4" i="15"/>
  <c r="I5" i="15"/>
  <c r="H6" i="15"/>
  <c r="I6" i="15" s="1"/>
  <c r="B7" i="15"/>
  <c r="B10" i="15" s="1"/>
  <c r="B11" i="15" s="1"/>
  <c r="B9" i="15"/>
  <c r="B16" i="15"/>
  <c r="C17" i="15"/>
  <c r="K3" i="15" l="1"/>
  <c r="G35" i="3"/>
  <c r="L26" i="3"/>
  <c r="L25" i="3"/>
  <c r="L27" i="3"/>
  <c r="L28" i="3"/>
  <c r="K6" i="15"/>
  <c r="L6" i="15" s="1"/>
  <c r="G38" i="3"/>
  <c r="K2" i="15"/>
  <c r="G33" i="3"/>
  <c r="G34" i="3"/>
  <c r="L24" i="3"/>
  <c r="K5" i="15"/>
  <c r="G37" i="3"/>
  <c r="K4" i="15"/>
  <c r="L4" i="15" s="1"/>
  <c r="G36" i="3"/>
  <c r="J2" i="3"/>
  <c r="I33" i="15"/>
  <c r="L2" i="15"/>
  <c r="M2" i="15"/>
  <c r="B8" i="15"/>
  <c r="M6" i="15"/>
  <c r="L3" i="15"/>
  <c r="M3" i="15"/>
  <c r="L5" i="15"/>
  <c r="M5" i="15"/>
  <c r="N36" i="3" l="1"/>
  <c r="N38" i="3"/>
  <c r="O38" i="3"/>
  <c r="N34" i="3"/>
  <c r="H38" i="3"/>
  <c r="H36" i="3"/>
  <c r="O36" i="3" s="1"/>
  <c r="H35" i="3"/>
  <c r="L17" i="3"/>
  <c r="H34" i="3"/>
  <c r="O34" i="3" s="1"/>
  <c r="L14" i="3"/>
  <c r="L15" i="3" s="1"/>
  <c r="N37" i="3"/>
  <c r="O37" i="3"/>
  <c r="N33" i="3"/>
  <c r="O33" i="3"/>
  <c r="N35" i="3"/>
  <c r="O35" i="3"/>
  <c r="M4" i="15"/>
  <c r="H28" i="3"/>
  <c r="O28" i="3" s="1"/>
  <c r="H27" i="3"/>
  <c r="O27" i="3" s="1"/>
  <c r="B23" i="14"/>
  <c r="Q9" i="3" l="1"/>
  <c r="X9" i="3" s="1"/>
  <c r="W9" i="3" s="1"/>
  <c r="Q8" i="3"/>
  <c r="X8" i="3" s="1"/>
  <c r="W8" i="3" s="1"/>
  <c r="R9" i="3" l="1"/>
  <c r="O9" i="3"/>
  <c r="B9" i="14"/>
  <c r="A1" i="14"/>
  <c r="B99" i="14"/>
  <c r="A99" i="14"/>
  <c r="B98" i="14"/>
  <c r="A98" i="14"/>
  <c r="B97" i="14"/>
  <c r="A97" i="14"/>
  <c r="B96" i="14"/>
  <c r="A96" i="14"/>
  <c r="B95" i="14"/>
  <c r="A95" i="14"/>
  <c r="B94" i="14"/>
  <c r="A94" i="14"/>
  <c r="B93" i="14"/>
  <c r="A93" i="14"/>
  <c r="B92" i="14"/>
  <c r="A92" i="14"/>
  <c r="B91" i="14"/>
  <c r="A91" i="14"/>
  <c r="B90" i="14"/>
  <c r="A90" i="14"/>
  <c r="B89" i="14"/>
  <c r="A89" i="14"/>
  <c r="B88" i="14"/>
  <c r="A88" i="14"/>
  <c r="B87" i="14"/>
  <c r="A87" i="14"/>
  <c r="B86" i="14"/>
  <c r="A86" i="14"/>
  <c r="B85" i="14"/>
  <c r="A85" i="14"/>
  <c r="B84" i="14"/>
  <c r="A84" i="14"/>
  <c r="B83" i="14"/>
  <c r="A83" i="14"/>
  <c r="B82" i="14"/>
  <c r="A82" i="14"/>
  <c r="B81" i="14"/>
  <c r="A81" i="14"/>
  <c r="B80" i="14"/>
  <c r="A80" i="14"/>
  <c r="B79" i="14"/>
  <c r="A79" i="14"/>
  <c r="B78" i="14"/>
  <c r="A78" i="14"/>
  <c r="B77" i="14"/>
  <c r="A77" i="14"/>
  <c r="B76" i="14"/>
  <c r="A76" i="14"/>
  <c r="B75" i="14"/>
  <c r="A75" i="14"/>
  <c r="B74" i="14"/>
  <c r="A74" i="14"/>
  <c r="B73" i="14"/>
  <c r="A73" i="14"/>
  <c r="B72" i="14"/>
  <c r="A72" i="14"/>
  <c r="B71" i="14"/>
  <c r="A71" i="14"/>
  <c r="B70" i="14"/>
  <c r="A70" i="14"/>
  <c r="B69" i="14"/>
  <c r="A69" i="14"/>
  <c r="B68" i="14"/>
  <c r="A68" i="14"/>
  <c r="B67" i="14"/>
  <c r="A67" i="14"/>
  <c r="B66" i="14"/>
  <c r="A66" i="14"/>
  <c r="B65" i="14"/>
  <c r="A65" i="14"/>
  <c r="B64" i="14"/>
  <c r="A64" i="14"/>
  <c r="B63" i="14"/>
  <c r="A63" i="14"/>
  <c r="B62" i="14"/>
  <c r="A62" i="14"/>
  <c r="B61" i="14"/>
  <c r="A61" i="14"/>
  <c r="B60" i="14"/>
  <c r="A60" i="14"/>
  <c r="B59" i="14"/>
  <c r="A59" i="14"/>
  <c r="B58" i="14"/>
  <c r="A58" i="14"/>
  <c r="B57" i="14"/>
  <c r="A57" i="14"/>
  <c r="B56" i="14"/>
  <c r="A56" i="14"/>
  <c r="B55" i="14"/>
  <c r="A55" i="14"/>
  <c r="B54" i="14"/>
  <c r="A54" i="14"/>
  <c r="B53" i="14"/>
  <c r="A53" i="14"/>
  <c r="B52" i="14"/>
  <c r="A52" i="14"/>
  <c r="B51" i="14"/>
  <c r="A51" i="14"/>
  <c r="B50" i="14"/>
  <c r="A50" i="14"/>
  <c r="B49" i="14"/>
  <c r="A49" i="14"/>
  <c r="B48" i="14"/>
  <c r="A48" i="14"/>
  <c r="B47" i="14"/>
  <c r="A47" i="14"/>
  <c r="B46" i="14"/>
  <c r="A46" i="14"/>
  <c r="B45" i="14"/>
  <c r="A45" i="14"/>
  <c r="B44" i="14"/>
  <c r="A44" i="14"/>
  <c r="B43" i="14"/>
  <c r="A43" i="14"/>
  <c r="B42" i="14"/>
  <c r="A42" i="14"/>
  <c r="B41" i="14"/>
  <c r="A41" i="14"/>
  <c r="B40" i="14"/>
  <c r="A40" i="14"/>
  <c r="B39" i="14"/>
  <c r="A39" i="14"/>
  <c r="B38" i="14"/>
  <c r="A38" i="14"/>
  <c r="B37" i="14"/>
  <c r="A37" i="14"/>
  <c r="B36" i="14"/>
  <c r="A36" i="14"/>
  <c r="B35" i="14"/>
  <c r="A35" i="14"/>
  <c r="B34" i="14"/>
  <c r="A34" i="14"/>
  <c r="B33" i="14"/>
  <c r="A33" i="14"/>
  <c r="B32" i="14"/>
  <c r="A32" i="14"/>
  <c r="B31" i="14"/>
  <c r="A31" i="14"/>
  <c r="B30" i="14"/>
  <c r="A30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A9" i="14"/>
  <c r="B8" i="14"/>
  <c r="A8" i="14"/>
  <c r="B7" i="14"/>
  <c r="A7" i="14"/>
  <c r="B6" i="14"/>
  <c r="A6" i="14"/>
  <c r="B5" i="14"/>
  <c r="A5" i="14"/>
  <c r="B4" i="14"/>
  <c r="A4" i="14"/>
  <c r="B3" i="14"/>
  <c r="A3" i="14"/>
  <c r="B2" i="14"/>
  <c r="A2" i="14"/>
  <c r="B1" i="14"/>
  <c r="E9" i="3" l="1"/>
  <c r="Q32" i="3" l="1"/>
  <c r="Q31" i="3"/>
  <c r="R31" i="3" l="1"/>
  <c r="X31" i="3"/>
  <c r="W31" i="3" s="1"/>
  <c r="R32" i="3"/>
  <c r="X32" i="3"/>
  <c r="W32" i="3" s="1"/>
  <c r="Q23" i="3"/>
  <c r="R23" i="3" l="1"/>
  <c r="X23" i="3"/>
  <c r="W23" i="3" s="1"/>
  <c r="Q4" i="3"/>
  <c r="R4" i="3" l="1"/>
  <c r="X4" i="3"/>
  <c r="W4" i="3" s="1"/>
  <c r="R3" i="3"/>
  <c r="Q2" i="3"/>
  <c r="R2" i="3" l="1"/>
  <c r="X2" i="3"/>
  <c r="W2" i="3" s="1"/>
  <c r="R8" i="3"/>
  <c r="Q11" i="3" l="1"/>
  <c r="X11" i="3" s="1"/>
  <c r="W11" i="3" s="1"/>
  <c r="R10" i="3"/>
  <c r="R11" i="3" l="1"/>
  <c r="O11" i="3"/>
  <c r="J11" i="3" s="1"/>
  <c r="Q37" i="3"/>
  <c r="R37" i="3" l="1"/>
  <c r="X37" i="3"/>
  <c r="W37" i="3" s="1"/>
  <c r="Q15" i="3"/>
  <c r="X15" i="3" s="1"/>
  <c r="W15" i="3" s="1"/>
  <c r="Q16" i="3"/>
  <c r="X16" i="3" s="1"/>
  <c r="W16" i="3" s="1"/>
  <c r="Q17" i="3"/>
  <c r="X17" i="3" s="1"/>
  <c r="W17" i="3" s="1"/>
  <c r="Q14" i="3"/>
  <c r="X14" i="3" s="1"/>
  <c r="W14" i="3" s="1"/>
  <c r="Q13" i="3"/>
  <c r="X13" i="3" s="1"/>
  <c r="W13" i="3" s="1"/>
  <c r="Q36" i="3"/>
  <c r="Q35" i="3"/>
  <c r="Q38" i="3"/>
  <c r="Q34" i="3"/>
  <c r="Q33" i="3"/>
  <c r="R33" i="3" l="1"/>
  <c r="X33" i="3"/>
  <c r="W33" i="3" s="1"/>
  <c r="R34" i="3"/>
  <c r="X34" i="3"/>
  <c r="W34" i="3" s="1"/>
  <c r="R38" i="3"/>
  <c r="X38" i="3"/>
  <c r="W38" i="3" s="1"/>
  <c r="R36" i="3"/>
  <c r="X36" i="3"/>
  <c r="W36" i="3" s="1"/>
  <c r="R35" i="3"/>
  <c r="X35" i="3"/>
  <c r="W35" i="3" s="1"/>
  <c r="R15" i="3"/>
  <c r="O15" i="3"/>
  <c r="R17" i="3"/>
  <c r="O17" i="3"/>
  <c r="R13" i="3"/>
  <c r="O13" i="3"/>
  <c r="R14" i="3"/>
  <c r="O14" i="3"/>
  <c r="R16" i="3"/>
  <c r="Q7" i="3"/>
  <c r="X7" i="3" s="1"/>
  <c r="W7" i="3" s="1"/>
  <c r="Q29" i="3"/>
  <c r="X29" i="3" s="1"/>
  <c r="W29" i="3" s="1"/>
  <c r="R29" i="3" l="1"/>
  <c r="O29" i="3"/>
  <c r="I29" i="3" s="1"/>
  <c r="R7" i="3"/>
  <c r="O7" i="3"/>
  <c r="Q30" i="3"/>
  <c r="R30" i="3" l="1"/>
  <c r="X30" i="3"/>
  <c r="W30" i="3" s="1"/>
  <c r="Q6" i="3"/>
  <c r="Q12" i="3"/>
  <c r="X12" i="3" s="1"/>
  <c r="W12" i="3" s="1"/>
  <c r="O6" i="3" l="1"/>
  <c r="X6" i="3"/>
  <c r="W6" i="3" s="1"/>
  <c r="R12" i="3"/>
  <c r="O12" i="3"/>
  <c r="Q5" i="3"/>
  <c r="X5" i="3" s="1"/>
  <c r="W5" i="3" s="1"/>
  <c r="R6" i="3"/>
  <c r="Q28" i="3"/>
  <c r="Q27" i="3"/>
  <c r="R27" i="3" l="1"/>
  <c r="X27" i="3"/>
  <c r="W27" i="3" s="1"/>
  <c r="R28" i="3"/>
  <c r="X28" i="3"/>
  <c r="W28" i="3" s="1"/>
  <c r="R5" i="3"/>
  <c r="O5" i="3"/>
  <c r="I5" i="3" s="1"/>
  <c r="Q22" i="3"/>
  <c r="Q21" i="3"/>
  <c r="Q20" i="3"/>
  <c r="R20" i="3" l="1"/>
  <c r="X20" i="3"/>
  <c r="W20" i="3" s="1"/>
  <c r="R22" i="3"/>
  <c r="X22" i="3"/>
  <c r="W22" i="3" s="1"/>
  <c r="R21" i="3"/>
  <c r="X21" i="3"/>
  <c r="W21" i="3" s="1"/>
  <c r="Q19" i="3"/>
  <c r="X19" i="3" s="1"/>
  <c r="W19" i="3" s="1"/>
  <c r="R18" i="3"/>
  <c r="Q24" i="3"/>
  <c r="Q25" i="3"/>
  <c r="Q26" i="3"/>
  <c r="R26" i="3" l="1"/>
  <c r="X26" i="3"/>
  <c r="W26" i="3" s="1"/>
  <c r="R25" i="3"/>
  <c r="X25" i="3"/>
  <c r="W25" i="3" s="1"/>
  <c r="R24" i="3"/>
  <c r="X24" i="3"/>
  <c r="W24" i="3" s="1"/>
  <c r="R19" i="3"/>
  <c r="O19" i="3"/>
  <c r="E31" i="3"/>
  <c r="E20" i="3"/>
  <c r="E5" i="3"/>
  <c r="E18" i="3"/>
  <c r="E19" i="3"/>
  <c r="E36" i="3"/>
  <c r="E22" i="3"/>
  <c r="E29" i="3"/>
  <c r="E10" i="3"/>
  <c r="E25" i="3"/>
  <c r="E12" i="3"/>
  <c r="E37" i="3"/>
  <c r="E2" i="3"/>
  <c r="E24" i="3"/>
  <c r="E8" i="3"/>
  <c r="E4" i="3"/>
  <c r="E14" i="3"/>
  <c r="E33" i="3"/>
  <c r="E17" i="3"/>
  <c r="E11" i="3"/>
  <c r="E32" i="3"/>
  <c r="E16" i="3"/>
  <c r="E15" i="3"/>
  <c r="E6" i="3"/>
  <c r="E13" i="3"/>
  <c r="E3" i="3"/>
  <c r="E27" i="3"/>
  <c r="E21" i="3"/>
  <c r="E35" i="3"/>
  <c r="E28" i="3"/>
  <c r="E38" i="3"/>
  <c r="E26" i="3"/>
  <c r="E23" i="3"/>
  <c r="E30" i="3"/>
  <c r="E34" i="3"/>
  <c r="E7" i="3"/>
  <c r="B22" i="15" l="1"/>
</calcChain>
</file>

<file path=xl/sharedStrings.xml><?xml version="1.0" encoding="utf-8"?>
<sst xmlns="http://schemas.openxmlformats.org/spreadsheetml/2006/main" count="383" uniqueCount="184">
  <si>
    <t>Daken</t>
  </si>
  <si>
    <t>kg/woning</t>
  </si>
  <si>
    <t>hout</t>
  </si>
  <si>
    <t>baksteen</t>
  </si>
  <si>
    <t>Begane grond vloeren</t>
  </si>
  <si>
    <t>Verdiepingsvloeren</t>
  </si>
  <si>
    <t>Muurisolatie</t>
  </si>
  <si>
    <t>kalkzandsteen</t>
  </si>
  <si>
    <t>polystyreen</t>
  </si>
  <si>
    <t>balkensysteem</t>
  </si>
  <si>
    <t>latjes</t>
  </si>
  <si>
    <t>dakelementen</t>
  </si>
  <si>
    <t>pannen</t>
  </si>
  <si>
    <t>OSB + PUR</t>
  </si>
  <si>
    <t>enkelglas</t>
  </si>
  <si>
    <t>dubbelglas</t>
  </si>
  <si>
    <t>HR-glas</t>
  </si>
  <si>
    <t>Ramen</t>
  </si>
  <si>
    <t>Kozijnen</t>
  </si>
  <si>
    <t>Deuren</t>
  </si>
  <si>
    <t>staal</t>
  </si>
  <si>
    <t>hout/staal --&gt; aanname 50-50?</t>
  </si>
  <si>
    <t>Bouwdeel</t>
  </si>
  <si>
    <t>Toelichting</t>
  </si>
  <si>
    <t>Materiaal</t>
  </si>
  <si>
    <t>Fundering</t>
  </si>
  <si>
    <t>beton</t>
  </si>
  <si>
    <t>Waterafvoer</t>
  </si>
  <si>
    <t>keramisch</t>
  </si>
  <si>
    <t>oppervlak</t>
  </si>
  <si>
    <t>Enkel glas</t>
  </si>
  <si>
    <t>Dubbel glas</t>
  </si>
  <si>
    <t>HR glas</t>
  </si>
  <si>
    <t>aanname</t>
  </si>
  <si>
    <t>grondgebonden oppervlak</t>
  </si>
  <si>
    <t>gesloten geveldelen</t>
  </si>
  <si>
    <t>hellend dak</t>
  </si>
  <si>
    <t>steen/beton</t>
  </si>
  <si>
    <t>Dakisolatie</t>
  </si>
  <si>
    <t>25 tot 30 mm polystyreen (35%)</t>
  </si>
  <si>
    <t>glaswol</t>
  </si>
  <si>
    <t>verdiepingen incl begane grond</t>
  </si>
  <si>
    <t>Dakgoot</t>
  </si>
  <si>
    <t>Zink</t>
  </si>
  <si>
    <t>Regenpijp</t>
  </si>
  <si>
    <t>Leidingen</t>
  </si>
  <si>
    <t>CV</t>
  </si>
  <si>
    <t>Wateraanvoer</t>
  </si>
  <si>
    <t>Gas</t>
  </si>
  <si>
    <t>Elektra</t>
  </si>
  <si>
    <t>Koper</t>
  </si>
  <si>
    <t>Water aan</t>
  </si>
  <si>
    <t>Water af</t>
  </si>
  <si>
    <t>Kunststof</t>
  </si>
  <si>
    <t>CV - schacht</t>
  </si>
  <si>
    <t>CV - verdeler e.v.</t>
  </si>
  <si>
    <t>#</t>
  </si>
  <si>
    <t>m2</t>
  </si>
  <si>
    <t>m</t>
  </si>
  <si>
    <t>AgentschapNL (2011). Voorbeeldwoningen</t>
  </si>
  <si>
    <t>(aanname)</t>
  </si>
  <si>
    <t>afgeleid</t>
  </si>
  <si>
    <t>diepte begane grond</t>
  </si>
  <si>
    <t>breedte begane grond</t>
  </si>
  <si>
    <t>oppervlak verdieping 1</t>
  </si>
  <si>
    <t>oppervlak verdieping 2</t>
  </si>
  <si>
    <t>diepte 1e verdieping</t>
  </si>
  <si>
    <t>breedte 1e verdieping</t>
  </si>
  <si>
    <t>diepte 2e verdieping</t>
  </si>
  <si>
    <t>breedte 2e verdieping</t>
  </si>
  <si>
    <t>Parameter</t>
  </si>
  <si>
    <t>Hoeveelheid</t>
  </si>
  <si>
    <t>Eenheid</t>
  </si>
  <si>
    <t>Bron</t>
  </si>
  <si>
    <t>Berekende parameters:</t>
  </si>
  <si>
    <t>doorsnede (m)</t>
  </si>
  <si>
    <t>dikte (m)</t>
  </si>
  <si>
    <t>straal (m)</t>
  </si>
  <si>
    <t>volume (m3) per m</t>
  </si>
  <si>
    <t>kg/m3</t>
  </si>
  <si>
    <t>gewicht indien PVC (kg/m)</t>
  </si>
  <si>
    <t>gewicht indien koper (kg/m)</t>
  </si>
  <si>
    <t>hoogte muren binnenmaat</t>
  </si>
  <si>
    <t>hoogte muren buitenmaat</t>
  </si>
  <si>
    <t>Binnenmuren</t>
  </si>
  <si>
    <t>Buiten- en zijmuren</t>
  </si>
  <si>
    <t>zijgevel</t>
  </si>
  <si>
    <t>Rogier: 50% gips, 45% gasbeton, 5% kalkzandsteen</t>
  </si>
  <si>
    <t>volume alle bakstenen in fundering</t>
  </si>
  <si>
    <t>volume 1 meter baksteenmuur</t>
  </si>
  <si>
    <t>volume voor beton &amp; staal</t>
  </si>
  <si>
    <t>Dakwaterafvoer</t>
  </si>
  <si>
    <t>Meeste deuren van hout?</t>
  </si>
  <si>
    <t>stalen frame</t>
  </si>
  <si>
    <t>deklaag</t>
  </si>
  <si>
    <t>stalen versterking</t>
  </si>
  <si>
    <t>Gemetseld, 1½ Steens. Dragende gevel, wel spouw. Buitenblad baksteen</t>
  </si>
  <si>
    <t>Gemetseld, 1½ Steens. Dragende gevel, wel spouw. Binnenblad kalkzandsteen</t>
  </si>
  <si>
    <t>Ondertussen door na-isolatie: 10% HR-glas</t>
  </si>
  <si>
    <t xml:space="preserve">baksteengedeelte. </t>
  </si>
  <si>
    <t>gegoten beton</t>
  </si>
  <si>
    <t>materiaal</t>
  </si>
  <si>
    <t>bron</t>
  </si>
  <si>
    <t>gips</t>
  </si>
  <si>
    <t>grind</t>
  </si>
  <si>
    <t>http://gwwmaterialen.blogspot.nl/p/soortelijk-gewicht.html</t>
  </si>
  <si>
    <t>koper</t>
  </si>
  <si>
    <t>pvc</t>
  </si>
  <si>
    <t>material key</t>
  </si>
  <si>
    <t>gipsplaat</t>
  </si>
  <si>
    <t>gasbeton</t>
  </si>
  <si>
    <t>PVC</t>
  </si>
  <si>
    <t>zink</t>
  </si>
  <si>
    <t>zandcement</t>
  </si>
  <si>
    <t>kg/m2</t>
  </si>
  <si>
    <t>Funderingsconstructie</t>
  </si>
  <si>
    <t>Vloeren</t>
  </si>
  <si>
    <t>Buitenwanden</t>
  </si>
  <si>
    <t>Binnenwanden</t>
  </si>
  <si>
    <t>Dakafwerking</t>
  </si>
  <si>
    <t>Buitenwandopeningen</t>
  </si>
  <si>
    <t>Afvoeren</t>
  </si>
  <si>
    <t>Water</t>
  </si>
  <si>
    <t>Gassen</t>
  </si>
  <si>
    <t>Centrale Elektrotechnische voorzieningen</t>
  </si>
  <si>
    <t>binnenwanden</t>
  </si>
  <si>
    <t>SfB element</t>
  </si>
  <si>
    <t>key SfB element</t>
  </si>
  <si>
    <t>Binnenwandopeningen</t>
  </si>
  <si>
    <t>Warmtedistributie</t>
  </si>
  <si>
    <t>planken</t>
  </si>
  <si>
    <t>Levensduur</t>
  </si>
  <si>
    <t>jaar</t>
  </si>
  <si>
    <t>Baksteen eigenschappen</t>
  </si>
  <si>
    <t>b</t>
  </si>
  <si>
    <t>d</t>
  </si>
  <si>
    <t>m³</t>
  </si>
  <si>
    <t>l</t>
  </si>
  <si>
    <t>volume baksteen</t>
  </si>
  <si>
    <t>breedte (m)</t>
  </si>
  <si>
    <t>lengte (m)</t>
  </si>
  <si>
    <t xml:space="preserve">hoeveelheid </t>
  </si>
  <si>
    <t>dichtheid (kg/m³)</t>
  </si>
  <si>
    <t>hoeveelheid bakstenen per fundering</t>
  </si>
  <si>
    <t>MKI/kg</t>
  </si>
  <si>
    <t>volume/woning (m³)</t>
  </si>
  <si>
    <t>units</t>
  </si>
  <si>
    <t>volume m³/m (muur)</t>
  </si>
  <si>
    <t>opmerkingen</t>
  </si>
  <si>
    <t>meter muur met fundering</t>
  </si>
  <si>
    <t>eenheid</t>
  </si>
  <si>
    <t>m²</t>
  </si>
  <si>
    <t>MKI/woning</t>
  </si>
  <si>
    <t>MKI/m²</t>
  </si>
  <si>
    <t>NMD productkaart</t>
  </si>
  <si>
    <t>oppervlak per woning</t>
  </si>
  <si>
    <t>units/woning</t>
  </si>
  <si>
    <t>units/verdieping</t>
  </si>
  <si>
    <t>kg/m²</t>
  </si>
  <si>
    <t>Enkelglas; 4mm</t>
  </si>
  <si>
    <t>ondertussen door na-isolatie: 52% dubbelglas 9mm</t>
  </si>
  <si>
    <t>0047-fab&amp;Zandcement (o.b.v. Cement cast plaster floor {GLO}| market for | Cut-off, U)</t>
  </si>
  <si>
    <t>0223-fab&amp;Polypropeen, PP, vezels, toepassing in beton (o.b.v. Polypropylene, granulate {GLO}| market for | Cut-off, U + Extrusion, plastic film {GLO}| market for | Cut-off, U)</t>
  </si>
  <si>
    <t>0011-fab&amp;Gips, stuc, voor pleisterwerk en gipsplaat (o.b.v. Stucco {GLO}| market for | Cut-off, U)</t>
  </si>
  <si>
    <t>0007-fab&amp;Polystyreen, EPS (o.b.v. Polystyrene foam slab {GLO}| market for | Cut-off, U)</t>
  </si>
  <si>
    <t>0027-fab&amp;Hout, Europees hardhout, eiken, kastanje, robinia, western red cedar, gezaagd (o.b.v. Sawnwood, hardwood, raw, dried (u=20%) {RER}| market for | Cut-off, U en 650 kg/m3) ==&gt;VOEG TRANSPORT TOE VOOR ANDERE HERKOMST</t>
  </si>
  <si>
    <t>0008-fab&amp;Baksteen, metselbaksteen, straatbaksteen, klinker (o.b.v. Clay brick {GLO}| market for | Cut-off, U)</t>
  </si>
  <si>
    <t>0004-fab&amp;Betonmortel C20/25 (o.b.v. 75% CEM III en 25% CEM I), 2407 kg/m3</t>
  </si>
  <si>
    <t>0167-fab&amp;Staal, wapening (betonstaal, wapeningsnet, vezels, voorspanstaal) (o.b.v. Reinforcing steel {GLO}| market for | Cut-off, U; 84% primair, 16% secundair)</t>
  </si>
  <si>
    <t>XXXX Kalkzandsteen, stenen en blokken (o.b.v. Sand-lime brick {GLO}| market for | Cut-off, U)</t>
  </si>
  <si>
    <t>0065-fab&amp;Cellenbeton, blokken (o.b.v. Autoclaved aerated concrete block {GLO}| market for | Cut-off, U)</t>
  </si>
  <si>
    <t>0070-fab&amp;Dakpan, keramisch (o.b.v. Roof tile {GLO}| market for | Cut-off, U)</t>
  </si>
  <si>
    <t>0078-fab&amp;Dakpan, beton (o.b.v. Concrete roof tile {GLO}| market for | Cut-off, U)</t>
  </si>
  <si>
    <t>0017-fab&amp;Glaswol (o.b.v. Glass wool mat {GLO}| market for | Cut-off, U; 80% secundair / glasscherven)</t>
  </si>
  <si>
    <t>0032-fab&amp;PUR (o.b.v. Polyurethane, rigid foam {GLO}| market for | Cut-off, U)</t>
  </si>
  <si>
    <t>Not included  
0023-fab&amp;Hout, OSB (o.b.v. Oriented strand board {GLO}| market for | Cut-off, U en 600 kg/m3)
MKI = 0,116/kg</t>
  </si>
  <si>
    <t>0019-fab&amp;Glas, vlakglas (o.b.v. Flat glass, coated {GLO}| market for | Cut-off, U)</t>
  </si>
  <si>
    <t>0202-fab&amp;Staal, hooggelegeerd, RVS (o.b.v. Steel, chromium steel 18/8, hot rolled {RER}| production | Cut-off, U; 72% primair, 28% secundair)</t>
  </si>
  <si>
    <t>0199-fab&amp;PVC, geëxtrudeerd (o.b.v. Polyvinylchloride, suspension polymerised {GLO}| market for | Cut-off, U + Extrusion, plastic pipes {GLO}| market for | Cut-off, U)</t>
  </si>
  <si>
    <t>0028-fab&amp;Zink (o.b.v. Zinc {GLO}| market for | Cut-off, U; 100% primair, 0% secundair)</t>
  </si>
  <si>
    <t>0059-fab&amp;Koper (o.b.v. Copper {GLO}| market for | Cut-off, U; 71% primair, 29% secundair)</t>
  </si>
  <si>
    <t>MPG</t>
  </si>
  <si>
    <t>MKI/m²/jaar</t>
  </si>
  <si>
    <t>ID NMD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</si>
</sst>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0.0"/>
    <numFmt numFmtId="166" formatCode="0.00000"/>
    <numFmt numFmtId="167" formatCode="0.0000"/>
    <numFmt numFmtId="168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32323"/>
      <name val="Calibri"/>
      <family val="2"/>
      <scheme val="minor"/>
    </font>
    <font>
      <b/>
      <sz val="11"/>
      <color rgb="FF23232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6" fillId="0" borderId="0" applyFont="0" applyFill="0" applyBorder="0" applyAlignment="0" applyProtection="0"/>
    <xf numFmtId="0" fontId="7" fillId="0" borderId="0"/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103">
    <xf numFmtId="0" fontId="0" fillId="0" borderId="0" xfId="0"/>
    <xf numFmtId="1" fontId="1" fillId="0" borderId="0" xfId="0" applyNumberFormat="1" applyFont="1" applyFill="1" applyBorder="1" applyAlignment="1">
      <alignment vertical="top" wrapText="1"/>
    </xf>
    <xf numFmtId="1" fontId="3" fillId="0" borderId="0" xfId="0" applyNumberFormat="1" applyFont="1" applyFill="1" applyBorder="1" applyAlignment="1">
      <alignment horizontal="justify" vertical="top" wrapText="1"/>
    </xf>
    <xf numFmtId="1" fontId="2" fillId="0" borderId="0" xfId="0" applyNumberFormat="1" applyFont="1" applyFill="1" applyBorder="1" applyAlignment="1">
      <alignment horizontal="justify" vertical="top" wrapText="1"/>
    </xf>
    <xf numFmtId="1" fontId="0" fillId="0" borderId="0" xfId="0" applyNumberFormat="1" applyFont="1" applyFill="1" applyBorder="1" applyAlignment="1">
      <alignment vertical="top" wrapText="1"/>
    </xf>
    <xf numFmtId="1" fontId="4" fillId="0" borderId="0" xfId="0" applyNumberFormat="1" applyFont="1" applyFill="1" applyBorder="1" applyAlignment="1">
      <alignment vertical="top" wrapText="1"/>
    </xf>
    <xf numFmtId="1" fontId="5" fillId="0" borderId="0" xfId="0" applyNumberFormat="1" applyFont="1" applyFill="1" applyBorder="1" applyAlignment="1">
      <alignment vertical="top" wrapText="1"/>
    </xf>
    <xf numFmtId="1" fontId="0" fillId="0" borderId="0" xfId="0" applyNumberFormat="1" applyFill="1" applyBorder="1" applyAlignment="1">
      <alignment vertical="top" wrapText="1"/>
    </xf>
    <xf numFmtId="1" fontId="2" fillId="0" borderId="0" xfId="0" applyNumberFormat="1" applyFont="1" applyFill="1" applyBorder="1" applyAlignment="1">
      <alignment horizontal="right" vertical="top" wrapText="1"/>
    </xf>
    <xf numFmtId="1" fontId="0" fillId="0" borderId="0" xfId="0" applyNumberFormat="1" applyFont="1" applyFill="1" applyBorder="1" applyAlignment="1">
      <alignment horizontal="right" vertical="top" wrapText="1"/>
    </xf>
    <xf numFmtId="1" fontId="5" fillId="0" borderId="0" xfId="0" applyNumberFormat="1" applyFont="1" applyFill="1" applyBorder="1" applyAlignment="1">
      <alignment horizontal="right" vertical="top" wrapText="1"/>
    </xf>
    <xf numFmtId="1" fontId="3" fillId="0" borderId="1" xfId="0" applyNumberFormat="1" applyFont="1" applyFill="1" applyBorder="1" applyAlignment="1">
      <alignment vertical="top" wrapText="1"/>
    </xf>
    <xf numFmtId="1" fontId="3" fillId="0" borderId="1" xfId="0" applyNumberFormat="1" applyFont="1" applyFill="1" applyBorder="1" applyAlignment="1">
      <alignment horizontal="right" vertical="top" wrapText="1"/>
    </xf>
    <xf numFmtId="1" fontId="2" fillId="0" borderId="1" xfId="0" applyNumberFormat="1" applyFont="1" applyFill="1" applyBorder="1" applyAlignment="1">
      <alignment horizontal="right" vertical="top" wrapText="1"/>
    </xf>
    <xf numFmtId="1" fontId="3" fillId="0" borderId="1" xfId="0" applyNumberFormat="1" applyFont="1" applyFill="1" applyBorder="1" applyAlignment="1">
      <alignment horizontal="justify" vertical="top" wrapText="1"/>
    </xf>
    <xf numFmtId="1" fontId="2" fillId="0" borderId="1" xfId="0" applyNumberFormat="1" applyFont="1" applyFill="1" applyBorder="1" applyAlignment="1">
      <alignment horizontal="justify" vertical="top" wrapText="1"/>
    </xf>
    <xf numFmtId="1" fontId="0" fillId="0" borderId="1" xfId="0" applyNumberFormat="1" applyFill="1" applyBorder="1" applyAlignment="1">
      <alignment vertical="top" wrapText="1"/>
    </xf>
    <xf numFmtId="1" fontId="0" fillId="0" borderId="0" xfId="0" applyNumberFormat="1" applyFill="1" applyBorder="1" applyAlignment="1">
      <alignment horizontal="left" vertical="top" wrapText="1"/>
    </xf>
    <xf numFmtId="1" fontId="3" fillId="0" borderId="0" xfId="0" applyNumberFormat="1" applyFont="1" applyFill="1" applyBorder="1" applyAlignment="1">
      <alignment horizontal="left" vertical="top" wrapText="1"/>
    </xf>
    <xf numFmtId="1" fontId="1" fillId="0" borderId="0" xfId="0" applyNumberFormat="1" applyFont="1" applyFill="1" applyBorder="1" applyAlignment="1">
      <alignment horizontal="left" vertical="top" wrapText="1"/>
    </xf>
    <xf numFmtId="1" fontId="4" fillId="0" borderId="0" xfId="0" applyNumberFormat="1" applyFont="1" applyFill="1" applyBorder="1" applyAlignment="1">
      <alignment horizontal="left" vertical="top" wrapText="1"/>
    </xf>
    <xf numFmtId="1" fontId="2" fillId="0" borderId="1" xfId="0" applyNumberFormat="1" applyFont="1" applyFill="1" applyBorder="1" applyAlignment="1">
      <alignment vertical="top" wrapText="1"/>
    </xf>
    <xf numFmtId="1" fontId="2" fillId="2" borderId="1" xfId="0" applyNumberFormat="1" applyFont="1" applyFill="1" applyBorder="1" applyAlignment="1">
      <alignment horizontal="right" vertical="top" wrapText="1"/>
    </xf>
    <xf numFmtId="0" fontId="0" fillId="0" borderId="0" xfId="0" applyAlignment="1">
      <alignment vertical="top"/>
    </xf>
    <xf numFmtId="1" fontId="3" fillId="0" borderId="1" xfId="0" applyNumberFormat="1" applyFont="1" applyFill="1" applyBorder="1" applyAlignment="1">
      <alignment horizontal="left" vertical="top" wrapText="1"/>
    </xf>
    <xf numFmtId="1" fontId="0" fillId="0" borderId="1" xfId="0" applyNumberFormat="1" applyFont="1" applyFill="1" applyBorder="1" applyAlignment="1">
      <alignment vertical="top" wrapText="1"/>
    </xf>
    <xf numFmtId="1" fontId="0" fillId="0" borderId="1" xfId="0" applyNumberFormat="1" applyFont="1" applyFill="1" applyBorder="1" applyAlignment="1">
      <alignment horizontal="right" vertical="top" wrapText="1"/>
    </xf>
    <xf numFmtId="165" fontId="0" fillId="0" borderId="1" xfId="0" applyNumberFormat="1" applyFont="1" applyFill="1" applyBorder="1" applyAlignment="1">
      <alignment horizontal="right" vertical="top" wrapText="1"/>
    </xf>
    <xf numFmtId="9" fontId="0" fillId="0" borderId="1" xfId="1" applyFont="1" applyFill="1" applyBorder="1" applyAlignment="1">
      <alignment horizontal="right" vertical="top" wrapText="1"/>
    </xf>
    <xf numFmtId="9" fontId="2" fillId="0" borderId="1" xfId="1" applyFont="1" applyFill="1" applyBorder="1" applyAlignment="1">
      <alignment horizontal="right" vertical="top" wrapText="1"/>
    </xf>
    <xf numFmtId="165" fontId="2" fillId="0" borderId="1" xfId="0" applyNumberFormat="1" applyFont="1" applyFill="1" applyBorder="1" applyAlignment="1">
      <alignment vertical="top" wrapText="1"/>
    </xf>
    <xf numFmtId="165" fontId="2" fillId="0" borderId="1" xfId="0" applyNumberFormat="1" applyFont="1" applyFill="1" applyBorder="1" applyAlignment="1">
      <alignment horizontal="right" vertical="top" wrapText="1"/>
    </xf>
    <xf numFmtId="1" fontId="1" fillId="0" borderId="1" xfId="0" applyNumberFormat="1" applyFont="1" applyFill="1" applyBorder="1" applyAlignment="1">
      <alignment horizontal="left" vertical="top" wrapText="1"/>
    </xf>
    <xf numFmtId="1" fontId="1" fillId="0" borderId="1" xfId="0" applyNumberFormat="1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11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/>
    </xf>
    <xf numFmtId="165" fontId="0" fillId="0" borderId="1" xfId="0" applyNumberFormat="1" applyBorder="1" applyAlignment="1">
      <alignment vertical="top" wrapText="1"/>
    </xf>
    <xf numFmtId="49" fontId="1" fillId="0" borderId="1" xfId="0" applyNumberFormat="1" applyFont="1" applyFill="1" applyBorder="1" applyAlignment="1">
      <alignment vertical="top" wrapText="1"/>
    </xf>
    <xf numFmtId="49" fontId="0" fillId="0" borderId="1" xfId="0" applyNumberFormat="1" applyFill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49" fontId="3" fillId="0" borderId="1" xfId="0" applyNumberFormat="1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horizontal="justify" vertical="top" wrapText="1"/>
    </xf>
    <xf numFmtId="49" fontId="2" fillId="0" borderId="0" xfId="0" applyNumberFormat="1" applyFont="1" applyFill="1" applyBorder="1" applyAlignment="1">
      <alignment horizontal="justify" vertical="top" wrapText="1"/>
    </xf>
    <xf numFmtId="49" fontId="2" fillId="0" borderId="2" xfId="0" applyNumberFormat="1" applyFont="1" applyFill="1" applyBorder="1" applyAlignment="1">
      <alignment vertical="top" wrapText="1"/>
    </xf>
    <xf numFmtId="49" fontId="0" fillId="0" borderId="1" xfId="0" applyNumberFormat="1" applyFont="1" applyBorder="1" applyAlignment="1">
      <alignment horizontal="left" vertical="top" wrapText="1"/>
    </xf>
    <xf numFmtId="49" fontId="0" fillId="0" borderId="2" xfId="0" applyNumberFormat="1" applyFont="1" applyFill="1" applyBorder="1" applyAlignment="1">
      <alignment vertical="top" wrapText="1"/>
    </xf>
    <xf numFmtId="0" fontId="1" fillId="0" borderId="1" xfId="0" applyFont="1" applyBorder="1"/>
    <xf numFmtId="0" fontId="0" fillId="0" borderId="1" xfId="0" applyBorder="1"/>
    <xf numFmtId="9" fontId="2" fillId="0" borderId="1" xfId="1" applyFont="1" applyFill="1" applyBorder="1" applyAlignment="1">
      <alignment horizontal="left" vertical="top" wrapText="1"/>
    </xf>
    <xf numFmtId="1" fontId="2" fillId="0" borderId="1" xfId="0" applyNumberFormat="1" applyFont="1" applyFill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right" vertical="top" wrapText="1"/>
    </xf>
    <xf numFmtId="0" fontId="0" fillId="3" borderId="1" xfId="0" applyNumberFormat="1" applyFill="1" applyBorder="1" applyAlignment="1">
      <alignment horizontal="right" vertical="top" wrapText="1"/>
    </xf>
    <xf numFmtId="0" fontId="0" fillId="0" borderId="0" xfId="0" applyNumberFormat="1"/>
    <xf numFmtId="1" fontId="3" fillId="0" borderId="1" xfId="0" applyNumberFormat="1" applyFont="1" applyFill="1" applyBorder="1" applyAlignment="1">
      <alignment horizontal="left" vertical="top" wrapText="1"/>
    </xf>
    <xf numFmtId="1" fontId="3" fillId="0" borderId="2" xfId="0" applyNumberFormat="1" applyFont="1" applyFill="1" applyBorder="1" applyAlignment="1">
      <alignment vertical="top" wrapText="1"/>
    </xf>
    <xf numFmtId="165" fontId="0" fillId="2" borderId="1" xfId="0" applyNumberFormat="1" applyFont="1" applyFill="1" applyBorder="1" applyAlignment="1">
      <alignment horizontal="right" vertical="top" wrapText="1"/>
    </xf>
    <xf numFmtId="0" fontId="0" fillId="0" borderId="1" xfId="0" applyFont="1" applyBorder="1" applyAlignment="1">
      <alignment horizontal="right" vertical="top" wrapText="1"/>
    </xf>
    <xf numFmtId="1" fontId="2" fillId="0" borderId="1" xfId="0" applyNumberFormat="1" applyFont="1" applyFill="1" applyBorder="1" applyAlignment="1">
      <alignment horizontal="right" vertical="top" wrapText="1"/>
    </xf>
    <xf numFmtId="0" fontId="0" fillId="0" borderId="1" xfId="0" applyBorder="1" applyAlignment="1">
      <alignment vertical="top" wrapText="1"/>
    </xf>
    <xf numFmtId="1" fontId="2" fillId="0" borderId="1" xfId="0" applyNumberFormat="1" applyFont="1" applyFill="1" applyBorder="1" applyAlignment="1">
      <alignment horizontal="right" vertical="top" wrapText="1"/>
    </xf>
    <xf numFmtId="0" fontId="0" fillId="0" borderId="1" xfId="0" applyBorder="1" applyAlignment="1">
      <alignment vertical="top" wrapText="1"/>
    </xf>
    <xf numFmtId="167" fontId="0" fillId="0" borderId="0" xfId="0" applyNumberFormat="1"/>
    <xf numFmtId="2" fontId="0" fillId="0" borderId="0" xfId="0" applyNumberFormat="1"/>
    <xf numFmtId="166" fontId="0" fillId="0" borderId="1" xfId="0" applyNumberFormat="1" applyBorder="1" applyAlignment="1">
      <alignment vertical="top" wrapText="1"/>
    </xf>
    <xf numFmtId="2" fontId="2" fillId="0" borderId="1" xfId="0" applyNumberFormat="1" applyFont="1" applyFill="1" applyBorder="1" applyAlignment="1">
      <alignment vertical="top" wrapText="1"/>
    </xf>
    <xf numFmtId="1" fontId="3" fillId="0" borderId="0" xfId="0" applyNumberFormat="1" applyFont="1" applyFill="1" applyBorder="1" applyAlignment="1">
      <alignment horizontal="right" vertical="top" wrapText="1"/>
    </xf>
    <xf numFmtId="0" fontId="0" fillId="0" borderId="0" xfId="0" applyFill="1" applyAlignment="1">
      <alignment vertical="top"/>
    </xf>
    <xf numFmtId="1" fontId="1" fillId="0" borderId="0" xfId="0" applyNumberFormat="1" applyFont="1" applyFill="1" applyBorder="1" applyAlignment="1">
      <alignment horizontal="right" vertical="top" wrapText="1"/>
    </xf>
    <xf numFmtId="1" fontId="4" fillId="0" borderId="0" xfId="0" applyNumberFormat="1" applyFont="1" applyFill="1" applyBorder="1" applyAlignment="1">
      <alignment horizontal="right" vertical="top" wrapText="1"/>
    </xf>
    <xf numFmtId="1" fontId="0" fillId="0" borderId="0" xfId="0" applyNumberFormat="1" applyFill="1" applyBorder="1" applyAlignment="1">
      <alignment horizontal="right" vertical="top" wrapText="1"/>
    </xf>
    <xf numFmtId="2" fontId="2" fillId="0" borderId="1" xfId="0" applyNumberFormat="1" applyFont="1" applyFill="1" applyBorder="1" applyAlignment="1">
      <alignment horizontal="right" vertical="top" wrapText="1"/>
    </xf>
    <xf numFmtId="2" fontId="2" fillId="0" borderId="1" xfId="0" applyNumberFormat="1" applyFont="1" applyFill="1" applyBorder="1" applyAlignment="1">
      <alignment horizontal="justify" vertical="top" wrapText="1"/>
    </xf>
    <xf numFmtId="168" fontId="2" fillId="0" borderId="1" xfId="0" applyNumberFormat="1" applyFont="1" applyFill="1" applyBorder="1" applyAlignment="1">
      <alignment horizontal="right" vertical="top" wrapText="1"/>
    </xf>
    <xf numFmtId="2" fontId="0" fillId="0" borderId="1" xfId="0" applyNumberFormat="1" applyFont="1" applyFill="1" applyBorder="1" applyAlignment="1">
      <alignment horizontal="right" vertical="top" wrapText="1"/>
    </xf>
    <xf numFmtId="168" fontId="0" fillId="0" borderId="1" xfId="0" applyNumberFormat="1" applyFont="1" applyFill="1" applyBorder="1" applyAlignment="1">
      <alignment horizontal="right" vertical="top" wrapText="1"/>
    </xf>
    <xf numFmtId="1" fontId="3" fillId="0" borderId="1" xfId="0" applyNumberFormat="1" applyFont="1" applyFill="1" applyBorder="1" applyAlignment="1">
      <alignment horizontal="center" vertical="top" wrapText="1"/>
    </xf>
    <xf numFmtId="165" fontId="0" fillId="0" borderId="0" xfId="0" applyNumberFormat="1" applyFont="1" applyFill="1" applyBorder="1" applyAlignment="1">
      <alignment horizontal="left" vertical="top" wrapText="1"/>
    </xf>
    <xf numFmtId="1" fontId="2" fillId="0" borderId="0" xfId="0" applyNumberFormat="1" applyFont="1" applyFill="1" applyBorder="1" applyAlignment="1">
      <alignment horizontal="left" vertical="top" wrapText="1"/>
    </xf>
    <xf numFmtId="1" fontId="0" fillId="0" borderId="0" xfId="0" applyNumberFormat="1" applyFont="1" applyFill="1" applyBorder="1" applyAlignment="1">
      <alignment horizontal="left" vertical="top" wrapText="1"/>
    </xf>
    <xf numFmtId="1" fontId="5" fillId="0" borderId="0" xfId="0" applyNumberFormat="1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1" fontId="2" fillId="4" borderId="1" xfId="0" applyNumberFormat="1" applyFont="1" applyFill="1" applyBorder="1" applyAlignment="1">
      <alignment vertical="top" wrapText="1"/>
    </xf>
    <xf numFmtId="165" fontId="0" fillId="4" borderId="1" xfId="0" applyNumberFormat="1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1" fontId="3" fillId="0" borderId="3" xfId="0" applyNumberFormat="1" applyFont="1" applyFill="1" applyBorder="1" applyAlignment="1">
      <alignment vertical="top" wrapText="1"/>
    </xf>
    <xf numFmtId="0" fontId="0" fillId="0" borderId="4" xfId="0" applyFont="1" applyBorder="1" applyAlignment="1">
      <alignment horizontal="right" vertical="top" wrapText="1"/>
    </xf>
    <xf numFmtId="1" fontId="2" fillId="0" borderId="4" xfId="0" applyNumberFormat="1" applyFont="1" applyFill="1" applyBorder="1" applyAlignment="1">
      <alignment vertical="top" wrapText="1"/>
    </xf>
    <xf numFmtId="49" fontId="2" fillId="0" borderId="3" xfId="0" applyNumberFormat="1" applyFont="1" applyFill="1" applyBorder="1" applyAlignment="1">
      <alignment vertical="top" wrapText="1"/>
    </xf>
    <xf numFmtId="0" fontId="0" fillId="3" borderId="4" xfId="0" applyNumberFormat="1" applyFill="1" applyBorder="1" applyAlignment="1">
      <alignment horizontal="right" vertical="top" wrapText="1"/>
    </xf>
    <xf numFmtId="1" fontId="3" fillId="0" borderId="4" xfId="0" applyNumberFormat="1" applyFont="1" applyFill="1" applyBorder="1" applyAlignment="1">
      <alignment vertical="top" wrapText="1"/>
    </xf>
    <xf numFmtId="2" fontId="2" fillId="0" borderId="4" xfId="0" applyNumberFormat="1" applyFont="1" applyFill="1" applyBorder="1" applyAlignment="1">
      <alignment horizontal="right" vertical="top" wrapText="1"/>
    </xf>
    <xf numFmtId="2" fontId="2" fillId="0" borderId="4" xfId="0" applyNumberFormat="1" applyFont="1" applyFill="1" applyBorder="1" applyAlignment="1">
      <alignment vertical="top" wrapText="1"/>
    </xf>
    <xf numFmtId="1" fontId="2" fillId="0" borderId="4" xfId="0" applyNumberFormat="1" applyFont="1" applyFill="1" applyBorder="1" applyAlignment="1">
      <alignment horizontal="right" vertical="top" wrapText="1"/>
    </xf>
    <xf numFmtId="1" fontId="0" fillId="2" borderId="4" xfId="0" applyNumberFormat="1" applyFont="1" applyFill="1" applyBorder="1" applyAlignment="1">
      <alignment horizontal="right" vertical="top" wrapText="1"/>
    </xf>
    <xf numFmtId="165" fontId="0" fillId="2" borderId="4" xfId="0" applyNumberFormat="1" applyFont="1" applyFill="1" applyBorder="1" applyAlignment="1">
      <alignment horizontal="right" vertical="top" wrapText="1"/>
    </xf>
    <xf numFmtId="165" fontId="0" fillId="0" borderId="4" xfId="0" applyNumberFormat="1" applyFont="1" applyFill="1" applyBorder="1" applyAlignment="1">
      <alignment horizontal="right" vertical="top" wrapText="1"/>
    </xf>
    <xf numFmtId="2" fontId="0" fillId="0" borderId="4" xfId="0" applyNumberFormat="1" applyFont="1" applyFill="1" applyBorder="1" applyAlignment="1">
      <alignment horizontal="right" vertical="top" wrapText="1"/>
    </xf>
    <xf numFmtId="168" fontId="0" fillId="0" borderId="4" xfId="0" applyNumberFormat="1" applyFont="1" applyFill="1" applyBorder="1" applyAlignment="1">
      <alignment horizontal="right" vertical="top" wrapText="1"/>
    </xf>
  </cellXfs>
  <cellStyles count="5">
    <cellStyle name="Komma 2" xfId="4" xr:uid="{00000000-0005-0000-0000-000030000000}"/>
    <cellStyle name="Normal" xfId="0" builtinId="0"/>
    <cellStyle name="Percent" xfId="1" builtinId="5"/>
    <cellStyle name="Procent 2" xfId="3" xr:uid="{00000000-0005-0000-0000-000031000000}"/>
    <cellStyle name="Standaard 2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83154</xdr:colOff>
      <xdr:row>7</xdr:row>
      <xdr:rowOff>32657</xdr:rowOff>
    </xdr:from>
    <xdr:ext cx="4763060" cy="4259916"/>
    <xdr:pic>
      <xdr:nvPicPr>
        <xdr:cNvPr id="4" name="Afbeelding 1" descr="https://static.karwei.nl/medias/sys_master/had/h14/8796266463262.jpg">
          <a:extLst>
            <a:ext uri="{FF2B5EF4-FFF2-40B4-BE49-F238E27FC236}">
              <a16:creationId xmlns:a16="http://schemas.microsoft.com/office/drawing/2014/main" id="{3CF0B4B7-9E53-4015-9442-FBB67CED3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8854" y="2509157"/>
          <a:ext cx="4763060" cy="42599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365tno-my.sharepoint.com/personal/diana_godoibizarro_tno_nl/Documents/BIM%20Bots/Copy%20of%20Definitielijst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uwstijlen"/>
      <sheetName val="Bouwstijlen_omgekeerd"/>
      <sheetName val="Bouwelementen"/>
      <sheetName val="Bouwelementen_omgekeerd"/>
      <sheetName val="SfB elementen"/>
      <sheetName val="Bouwmaterialen"/>
      <sheetName val="Bouwmaterialen_omgekeerd"/>
      <sheetName val="Bouwstijlen invoer"/>
      <sheetName val="Bouwmaterialen invoer"/>
      <sheetName val="Bouwelementen invoer"/>
      <sheetName val="SfB elementen invoer"/>
      <sheetName val="Investeringsscenario's"/>
      <sheetName val="Sloopmethodes"/>
      <sheetName val="Levensduren"/>
      <sheetName val="Copy of Definitielijst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4"/>
  <dimension ref="A1:Y43"/>
  <sheetViews>
    <sheetView tabSelected="1" zoomScaleNormal="100" workbookViewId="0">
      <pane xSplit="1" ySplit="1" topLeftCell="E12" activePane="bottomRight" state="frozen"/>
      <selection pane="topRight" activeCell="B1" sqref="B1"/>
      <selection pane="bottomLeft" activeCell="A2" sqref="A2"/>
      <selection pane="bottomRight" activeCell="K18" sqref="K18"/>
    </sheetView>
  </sheetViews>
  <sheetFormatPr defaultColWidth="9.1796875" defaultRowHeight="14.5" x14ac:dyDescent="0.35"/>
  <cols>
    <col min="1" max="1" width="27.1796875" style="17" customWidth="1"/>
    <col min="2" max="4" width="33.54296875" style="17" customWidth="1"/>
    <col min="5" max="5" width="32.81640625" style="4" customWidth="1"/>
    <col min="6" max="6" width="13.81640625" style="7" customWidth="1"/>
    <col min="7" max="8" width="19.81640625" style="7" customWidth="1"/>
    <col min="9" max="9" width="19.81640625" style="74" customWidth="1"/>
    <col min="10" max="11" width="19.81640625" style="7" customWidth="1"/>
    <col min="12" max="12" width="19.81640625" style="74" customWidth="1"/>
    <col min="13" max="15" width="19.81640625" style="7" customWidth="1"/>
    <col min="16" max="16" width="19.81640625" style="74" customWidth="1"/>
    <col min="17" max="17" width="10.453125" style="9" bestFit="1" customWidth="1"/>
    <col min="18" max="18" width="6.7265625" style="9" bestFit="1" customWidth="1"/>
    <col min="19" max="19" width="6.7265625" style="9" customWidth="1"/>
    <col min="20" max="20" width="56.1796875" style="83" customWidth="1"/>
    <col min="21" max="22" width="9.1796875" style="71"/>
    <col min="23" max="23" width="7.7265625" style="23" bestFit="1" customWidth="1"/>
    <col min="24" max="24" width="12.1796875" style="23" bestFit="1" customWidth="1"/>
    <col min="25" max="25" width="86.453125" style="23" customWidth="1"/>
    <col min="26" max="26" width="24" style="23" customWidth="1"/>
    <col min="27" max="27" width="20.7265625" style="23" customWidth="1"/>
    <col min="28" max="16384" width="9.1796875" style="23"/>
  </cols>
  <sheetData>
    <row r="1" spans="1:24" ht="29" x14ac:dyDescent="0.35">
      <c r="A1" s="58" t="s">
        <v>22</v>
      </c>
      <c r="B1" s="34" t="s">
        <v>127</v>
      </c>
      <c r="C1" s="58" t="s">
        <v>126</v>
      </c>
      <c r="D1" s="44" t="s">
        <v>23</v>
      </c>
      <c r="E1" s="55" t="s">
        <v>108</v>
      </c>
      <c r="F1" s="11" t="s">
        <v>24</v>
      </c>
      <c r="G1" s="12" t="s">
        <v>139</v>
      </c>
      <c r="H1" s="12" t="s">
        <v>140</v>
      </c>
      <c r="I1" s="12" t="s">
        <v>76</v>
      </c>
      <c r="J1" s="11" t="s">
        <v>141</v>
      </c>
      <c r="K1" s="11" t="s">
        <v>150</v>
      </c>
      <c r="L1" s="80" t="s">
        <v>155</v>
      </c>
      <c r="M1" s="11" t="s">
        <v>148</v>
      </c>
      <c r="N1" s="11" t="s">
        <v>147</v>
      </c>
      <c r="O1" s="11" t="s">
        <v>145</v>
      </c>
      <c r="P1" s="12" t="s">
        <v>142</v>
      </c>
      <c r="Q1" s="12" t="s">
        <v>1</v>
      </c>
      <c r="R1" s="12" t="s">
        <v>114</v>
      </c>
      <c r="S1" s="12" t="s">
        <v>183</v>
      </c>
      <c r="T1" s="80" t="s">
        <v>154</v>
      </c>
      <c r="U1" s="38"/>
      <c r="V1" s="38"/>
      <c r="W1" s="38" t="s">
        <v>153</v>
      </c>
      <c r="X1" s="38" t="s">
        <v>152</v>
      </c>
    </row>
    <row r="2" spans="1:24" ht="29" x14ac:dyDescent="0.35">
      <c r="A2" s="89" t="s">
        <v>25</v>
      </c>
      <c r="B2" s="90">
        <v>16</v>
      </c>
      <c r="C2" s="91" t="s">
        <v>115</v>
      </c>
      <c r="D2" s="92" t="s">
        <v>99</v>
      </c>
      <c r="E2" s="93" t="e">
        <f>VLOOKUP(F2,Materialen!$A$2:$B$99,2,FALSE)</f>
        <v>#N/A</v>
      </c>
      <c r="F2" s="94" t="s">
        <v>3</v>
      </c>
      <c r="G2" s="95">
        <v>0.115</v>
      </c>
      <c r="H2" s="95">
        <v>0.24</v>
      </c>
      <c r="I2" s="95">
        <v>0.04</v>
      </c>
      <c r="J2" s="95">
        <f>Gebouweigenschappen!C25/Gebouweigenschappen!I31</f>
        <v>2541.304347826087</v>
      </c>
      <c r="K2" s="96" t="s">
        <v>156</v>
      </c>
      <c r="L2" s="95">
        <f>3*Gebouweigenschappen!B5+3*Gebouweigenschappen!B6</f>
        <v>42</v>
      </c>
      <c r="M2" s="96" t="s">
        <v>149</v>
      </c>
      <c r="N2" s="95">
        <v>6.6799999999999998E-2</v>
      </c>
      <c r="O2" s="95">
        <v>2.8</v>
      </c>
      <c r="P2" s="97">
        <v>1800</v>
      </c>
      <c r="Q2" s="98">
        <f>Gebouweigenschappen!C25*1800</f>
        <v>5050.08</v>
      </c>
      <c r="R2" s="99">
        <f>Q2/Gebouweigenschappen!$B$3</f>
        <v>58.046896551724139</v>
      </c>
      <c r="S2" s="100" t="str">
        <f>LEFT(T2,4)</f>
        <v>0008</v>
      </c>
      <c r="T2" s="81" t="s">
        <v>166</v>
      </c>
      <c r="U2" s="101">
        <v>4.4200000000000003E-2</v>
      </c>
      <c r="V2" s="102" t="s">
        <v>144</v>
      </c>
      <c r="W2" s="99">
        <f>X2/Gebouweigenschappen!$B$3</f>
        <v>2.5656728275862069</v>
      </c>
      <c r="X2" s="99">
        <f>Q2*U2</f>
        <v>223.213536</v>
      </c>
    </row>
    <row r="3" spans="1:24" ht="29" x14ac:dyDescent="0.35">
      <c r="A3" s="59" t="s">
        <v>25</v>
      </c>
      <c r="B3" s="61">
        <v>16</v>
      </c>
      <c r="C3" s="21" t="s">
        <v>115</v>
      </c>
      <c r="D3" s="48" t="s">
        <v>100</v>
      </c>
      <c r="E3" s="56" t="e">
        <f>VLOOKUP(F3,Materialen!$A$2:$B$99,2,FALSE)</f>
        <v>#N/A</v>
      </c>
      <c r="F3" s="11" t="s">
        <v>26</v>
      </c>
      <c r="G3" s="75">
        <v>0.7</v>
      </c>
      <c r="H3" s="75">
        <f>(3*Gebouweigenschappen!B5+3*Gebouweigenschappen!B6)</f>
        <v>42</v>
      </c>
      <c r="I3" s="75">
        <v>0.15</v>
      </c>
      <c r="J3" s="75"/>
      <c r="K3" s="21"/>
      <c r="L3" s="75">
        <f>H3*G3</f>
        <v>29.4</v>
      </c>
      <c r="M3" s="69" t="s">
        <v>151</v>
      </c>
      <c r="N3" s="75">
        <f>O3/H3</f>
        <v>9.9749999999999991E-2</v>
      </c>
      <c r="O3" s="75">
        <f>G3*I3*H3*0.95</f>
        <v>4.1894999999999998</v>
      </c>
      <c r="P3" s="64">
        <v>2380</v>
      </c>
      <c r="Q3" s="22">
        <f>0.95*Gebouweigenschappen!D25*2380</f>
        <v>9971.0099999999966</v>
      </c>
      <c r="R3" s="60">
        <f>Q3/Gebouweigenschappen!$B$3</f>
        <v>114.60931034482755</v>
      </c>
      <c r="S3" s="27" t="str">
        <f t="shared" ref="S3:S38" si="0">LEFT(T3,4)</f>
        <v>0004</v>
      </c>
      <c r="T3" s="81" t="s">
        <v>167</v>
      </c>
      <c r="U3" s="75">
        <v>8.6099999999999996E-3</v>
      </c>
      <c r="V3" s="79" t="s">
        <v>144</v>
      </c>
      <c r="W3" s="60">
        <f>X3/Gebouweigenschappen!$B$3</f>
        <v>0.98678616206896519</v>
      </c>
      <c r="X3" s="60">
        <f>Q3*U3</f>
        <v>85.850396099999969</v>
      </c>
    </row>
    <row r="4" spans="1:24" ht="43.5" x14ac:dyDescent="0.35">
      <c r="A4" s="59" t="s">
        <v>25</v>
      </c>
      <c r="B4" s="61">
        <v>16</v>
      </c>
      <c r="C4" s="21" t="s">
        <v>115</v>
      </c>
      <c r="D4" s="48" t="s">
        <v>93</v>
      </c>
      <c r="E4" s="56" t="e">
        <f>VLOOKUP(F4,Materialen!$A$2:$B$99,2,FALSE)</f>
        <v>#N/A</v>
      </c>
      <c r="F4" s="11" t="s">
        <v>20</v>
      </c>
      <c r="G4" s="75">
        <v>0.7</v>
      </c>
      <c r="H4" s="75">
        <f>(3*Gebouweigenschappen!B5+3*Gebouweigenschappen!B6)</f>
        <v>42</v>
      </c>
      <c r="I4" s="75">
        <v>0.15</v>
      </c>
      <c r="J4" s="75"/>
      <c r="K4" s="21"/>
      <c r="L4" s="75">
        <f>H4*G4</f>
        <v>29.4</v>
      </c>
      <c r="M4" s="69" t="s">
        <v>151</v>
      </c>
      <c r="N4" s="75">
        <f>O4/H4</f>
        <v>5.2500000000000003E-3</v>
      </c>
      <c r="O4" s="75">
        <f>G4*I4*H4*0.05</f>
        <v>0.22050000000000003</v>
      </c>
      <c r="P4" s="64">
        <v>2380</v>
      </c>
      <c r="Q4" s="22">
        <f>0.05*Gebouweigenschappen!D25*2380</f>
        <v>524.79</v>
      </c>
      <c r="R4" s="60">
        <f>Q4/Gebouweigenschappen!$B$3</f>
        <v>6.032068965517241</v>
      </c>
      <c r="S4" s="27" t="str">
        <f t="shared" si="0"/>
        <v>0167</v>
      </c>
      <c r="T4" s="81" t="s">
        <v>168</v>
      </c>
      <c r="U4" s="75">
        <v>0.82799999999999996</v>
      </c>
      <c r="V4" s="79" t="s">
        <v>144</v>
      </c>
      <c r="W4" s="60">
        <f>X4/Gebouweigenschappen!$B$3</f>
        <v>4.9945531034482755</v>
      </c>
      <c r="X4" s="60">
        <f>U4*Q4</f>
        <v>434.52611999999993</v>
      </c>
    </row>
    <row r="5" spans="1:24" ht="43.5" x14ac:dyDescent="0.35">
      <c r="A5" s="59" t="s">
        <v>4</v>
      </c>
      <c r="B5" s="61">
        <v>23</v>
      </c>
      <c r="C5" s="54" t="s">
        <v>116</v>
      </c>
      <c r="D5" s="48" t="s">
        <v>95</v>
      </c>
      <c r="E5" s="56" t="e">
        <f>VLOOKUP(F5,Materialen!$A$2:$B$99,2,FALSE)</f>
        <v>#N/A</v>
      </c>
      <c r="F5" s="14" t="s">
        <v>20</v>
      </c>
      <c r="G5" s="75"/>
      <c r="H5" s="75"/>
      <c r="I5" s="75">
        <f>O5/L5</f>
        <v>1.0000000000000002E-2</v>
      </c>
      <c r="J5" s="75"/>
      <c r="K5" s="15"/>
      <c r="L5" s="75">
        <v>47</v>
      </c>
      <c r="M5" s="69" t="s">
        <v>151</v>
      </c>
      <c r="N5" s="75"/>
      <c r="O5" s="75">
        <f>Q5/P5</f>
        <v>0.47000000000000008</v>
      </c>
      <c r="P5" s="64">
        <v>2380</v>
      </c>
      <c r="Q5" s="22">
        <f>Q6*0.05</f>
        <v>1118.6000000000001</v>
      </c>
      <c r="R5" s="60">
        <f>Q5/Gebouweigenschappen!$B$3</f>
        <v>12.857471264367817</v>
      </c>
      <c r="S5" s="27" t="str">
        <f t="shared" si="0"/>
        <v>0167</v>
      </c>
      <c r="T5" s="81" t="s">
        <v>168</v>
      </c>
      <c r="U5" s="75">
        <v>0.82799999999999996</v>
      </c>
      <c r="V5" s="79" t="s">
        <v>144</v>
      </c>
      <c r="W5" s="60">
        <f>X5/Gebouweigenschappen!$B$3</f>
        <v>10.645986206896552</v>
      </c>
      <c r="X5" s="60">
        <f>U5*Q5</f>
        <v>926.20080000000007</v>
      </c>
    </row>
    <row r="6" spans="1:24" ht="29" x14ac:dyDescent="0.35">
      <c r="A6" s="59" t="s">
        <v>4</v>
      </c>
      <c r="B6" s="13">
        <v>23</v>
      </c>
      <c r="C6" s="35" t="s">
        <v>116</v>
      </c>
      <c r="D6" s="48" t="s">
        <v>37</v>
      </c>
      <c r="E6" s="56" t="e">
        <f>VLOOKUP(F6,Materialen!$A$2:$B$99,2,FALSE)</f>
        <v>#N/A</v>
      </c>
      <c r="F6" s="14" t="s">
        <v>26</v>
      </c>
      <c r="G6" s="75"/>
      <c r="H6" s="75"/>
      <c r="I6" s="75">
        <v>0.2</v>
      </c>
      <c r="J6" s="75"/>
      <c r="K6" s="15"/>
      <c r="L6" s="75">
        <v>47</v>
      </c>
      <c r="M6" s="69" t="s">
        <v>151</v>
      </c>
      <c r="N6" s="75"/>
      <c r="O6" s="75">
        <f>Q6/P6</f>
        <v>9.4</v>
      </c>
      <c r="P6" s="64">
        <v>2380</v>
      </c>
      <c r="Q6" s="22">
        <f>Gebouweigenschappen!B4*0.2*2380</f>
        <v>22372</v>
      </c>
      <c r="R6" s="60">
        <f>Q6/Gebouweigenschappen!$B$3</f>
        <v>257.14942528735634</v>
      </c>
      <c r="S6" s="27" t="str">
        <f t="shared" si="0"/>
        <v>0004</v>
      </c>
      <c r="T6" s="81" t="s">
        <v>167</v>
      </c>
      <c r="U6" s="75">
        <v>8.6099999999999996E-3</v>
      </c>
      <c r="V6" s="79" t="s">
        <v>144</v>
      </c>
      <c r="W6" s="60">
        <f>X6/Gebouweigenschappen!$B$3</f>
        <v>2.2140565517241377</v>
      </c>
      <c r="X6" s="60">
        <f>Q6*U6</f>
        <v>192.62291999999999</v>
      </c>
    </row>
    <row r="7" spans="1:24" ht="29" x14ac:dyDescent="0.35">
      <c r="A7" s="59" t="s">
        <v>4</v>
      </c>
      <c r="B7" s="13">
        <v>23</v>
      </c>
      <c r="C7" s="35" t="s">
        <v>116</v>
      </c>
      <c r="D7" s="48" t="s">
        <v>94</v>
      </c>
      <c r="E7" s="56" t="e">
        <f>VLOOKUP(F7,Materialen!$A$2:$B$99,2,FALSE)</f>
        <v>#N/A</v>
      </c>
      <c r="F7" s="14" t="s">
        <v>113</v>
      </c>
      <c r="G7" s="75"/>
      <c r="H7" s="75"/>
      <c r="I7" s="75">
        <v>0.05</v>
      </c>
      <c r="J7" s="75"/>
      <c r="K7" s="15"/>
      <c r="L7" s="75">
        <v>47</v>
      </c>
      <c r="M7" s="69" t="s">
        <v>151</v>
      </c>
      <c r="N7" s="75"/>
      <c r="O7" s="75">
        <f>Q7/P7</f>
        <v>1.8760504201680672</v>
      </c>
      <c r="P7" s="64">
        <v>2380</v>
      </c>
      <c r="Q7" s="22">
        <f>Gebouweigenschappen!B4*0.05*1900</f>
        <v>4465</v>
      </c>
      <c r="R7" s="60">
        <f>Q7/Gebouweigenschappen!$B$3</f>
        <v>51.321839080459768</v>
      </c>
      <c r="S7" s="27" t="str">
        <f t="shared" si="0"/>
        <v>0047</v>
      </c>
      <c r="T7" s="81" t="s">
        <v>161</v>
      </c>
      <c r="U7" s="75">
        <v>2.3199999999999998E-2</v>
      </c>
      <c r="V7" s="79" t="s">
        <v>144</v>
      </c>
      <c r="W7" s="60">
        <f>X7/Gebouweigenschappen!$B$3</f>
        <v>1.1906666666666665</v>
      </c>
      <c r="X7" s="60">
        <f t="shared" ref="X7:X20" si="1">U7*Q7</f>
        <v>103.58799999999999</v>
      </c>
    </row>
    <row r="8" spans="1:24" ht="58" x14ac:dyDescent="0.35">
      <c r="A8" s="24" t="s">
        <v>5</v>
      </c>
      <c r="B8" s="13">
        <v>23</v>
      </c>
      <c r="C8" s="35" t="s">
        <v>116</v>
      </c>
      <c r="D8" s="46" t="s">
        <v>130</v>
      </c>
      <c r="E8" s="56" t="e">
        <f>VLOOKUP(F8,Materialen!$A$2:$B$99,2,FALSE)</f>
        <v>#N/A</v>
      </c>
      <c r="F8" s="14" t="s">
        <v>2</v>
      </c>
      <c r="G8" s="75"/>
      <c r="H8" s="75"/>
      <c r="I8" s="75">
        <v>0.02</v>
      </c>
      <c r="J8" s="75"/>
      <c r="K8" s="15"/>
      <c r="L8" s="75">
        <f>(Gebouweigenschappen!B3-Gebouweigenschappen!B4)*(Gebouweigenschappen!B2-1)</f>
        <v>80</v>
      </c>
      <c r="M8" s="69" t="s">
        <v>151</v>
      </c>
      <c r="N8" s="75"/>
      <c r="O8" s="75">
        <f>L8*I8</f>
        <v>1.6</v>
      </c>
      <c r="P8" s="64">
        <v>500</v>
      </c>
      <c r="Q8" s="22">
        <f>(0.02*(Gebouweigenschappen!B3-Gebouweigenschappen!B4)*500)*(Gebouweigenschappen!B2-1)</f>
        <v>800</v>
      </c>
      <c r="R8" s="60">
        <f>Q8/Gebouweigenschappen!$B$3</f>
        <v>9.1954022988505741</v>
      </c>
      <c r="S8" s="27" t="str">
        <f t="shared" si="0"/>
        <v>0027</v>
      </c>
      <c r="T8" s="81" t="s">
        <v>165</v>
      </c>
      <c r="U8" s="75">
        <v>3.6600000000000001E-2</v>
      </c>
      <c r="V8" s="79" t="s">
        <v>144</v>
      </c>
      <c r="W8" s="60">
        <f>X8/Gebouweigenschappen!$B$3</f>
        <v>0.33655172413793105</v>
      </c>
      <c r="X8" s="60">
        <f t="shared" si="1"/>
        <v>29.28</v>
      </c>
    </row>
    <row r="9" spans="1:24" ht="58" x14ac:dyDescent="0.35">
      <c r="A9" s="58" t="s">
        <v>5</v>
      </c>
      <c r="B9" s="64">
        <v>23</v>
      </c>
      <c r="C9" s="65" t="s">
        <v>116</v>
      </c>
      <c r="D9" s="46" t="s">
        <v>9</v>
      </c>
      <c r="E9" s="56" t="e">
        <f>VLOOKUP(F9,Materialen!$A$2:$B$99,2,FALSE)</f>
        <v>#N/A</v>
      </c>
      <c r="F9" s="14" t="s">
        <v>2</v>
      </c>
      <c r="G9" s="75">
        <v>0.25</v>
      </c>
      <c r="H9" s="75">
        <v>9</v>
      </c>
      <c r="I9" s="75">
        <v>6.7000000000000004E-2</v>
      </c>
      <c r="J9" s="75">
        <v>10</v>
      </c>
      <c r="K9" s="69" t="s">
        <v>157</v>
      </c>
      <c r="L9" s="75">
        <f>G9*H9*J9*2</f>
        <v>45</v>
      </c>
      <c r="M9" s="69" t="s">
        <v>151</v>
      </c>
      <c r="N9" s="75"/>
      <c r="O9" s="75">
        <f t="shared" ref="O9:O19" si="2">Q9/P9</f>
        <v>3.0150000000000001</v>
      </c>
      <c r="P9" s="64">
        <v>500</v>
      </c>
      <c r="Q9" s="22">
        <f>(10*0.25*0.067*9*500)*(Gebouweigenschappen!B2-1)</f>
        <v>1507.5</v>
      </c>
      <c r="R9" s="60">
        <f>Q9/Gebouweigenschappen!$B$3</f>
        <v>17.327586206896552</v>
      </c>
      <c r="S9" s="27" t="str">
        <f t="shared" si="0"/>
        <v>0027</v>
      </c>
      <c r="T9" s="81" t="s">
        <v>165</v>
      </c>
      <c r="U9" s="75">
        <v>3.6600000000000001E-2</v>
      </c>
      <c r="V9" s="79" t="s">
        <v>144</v>
      </c>
      <c r="W9" s="60">
        <f>X9/Gebouweigenschappen!$B$3</f>
        <v>0.63418965517241377</v>
      </c>
      <c r="X9" s="60">
        <f t="shared" si="1"/>
        <v>55.174500000000002</v>
      </c>
    </row>
    <row r="10" spans="1:24" ht="29" x14ac:dyDescent="0.35">
      <c r="A10" s="59" t="s">
        <v>85</v>
      </c>
      <c r="B10" s="13">
        <v>21</v>
      </c>
      <c r="C10" s="35" t="s">
        <v>117</v>
      </c>
      <c r="D10" s="50" t="s">
        <v>96</v>
      </c>
      <c r="E10" s="56" t="e">
        <f>VLOOKUP(F10,Materialen!$A$2:$B$99,2,FALSE)</f>
        <v>#N/A</v>
      </c>
      <c r="F10" s="14" t="s">
        <v>3</v>
      </c>
      <c r="G10" s="75"/>
      <c r="H10" s="75"/>
      <c r="I10" s="75">
        <v>0.1</v>
      </c>
      <c r="J10" s="75">
        <f>O10/0.001104</f>
        <v>8632.246376811594</v>
      </c>
      <c r="K10" s="15" t="s">
        <v>156</v>
      </c>
      <c r="L10" s="75">
        <f>Gebouweigenschappen!B13+Gebouweigenschappen!B14</f>
        <v>95.3</v>
      </c>
      <c r="M10" s="69" t="s">
        <v>151</v>
      </c>
      <c r="O10" s="75">
        <f t="shared" si="2"/>
        <v>9.5299999999999994</v>
      </c>
      <c r="P10" s="64">
        <v>1800</v>
      </c>
      <c r="Q10" s="22">
        <f>(Gebouweigenschappen!B13+Gebouweigenschappen!B14)*0.1*1800</f>
        <v>17154</v>
      </c>
      <c r="R10" s="60">
        <f>Q10/Gebouweigenschappen!$B$3</f>
        <v>197.17241379310346</v>
      </c>
      <c r="S10" s="27" t="str">
        <f t="shared" si="0"/>
        <v>0008</v>
      </c>
      <c r="T10" s="81" t="s">
        <v>166</v>
      </c>
      <c r="U10" s="78">
        <v>4.4200000000000003E-2</v>
      </c>
      <c r="V10" s="79" t="s">
        <v>144</v>
      </c>
      <c r="W10" s="60">
        <f>X10/Gebouweigenschappen!$B$3</f>
        <v>8.715020689655173</v>
      </c>
      <c r="X10" s="60">
        <f t="shared" si="1"/>
        <v>758.20680000000004</v>
      </c>
    </row>
    <row r="11" spans="1:24" ht="43.5" x14ac:dyDescent="0.35">
      <c r="A11" s="59" t="s">
        <v>85</v>
      </c>
      <c r="B11" s="13">
        <v>21</v>
      </c>
      <c r="C11" s="35" t="s">
        <v>117</v>
      </c>
      <c r="D11" s="50" t="s">
        <v>97</v>
      </c>
      <c r="E11" s="56" t="e">
        <f>VLOOKUP(F11,Materialen!$A$2:$B$99,2,FALSE)</f>
        <v>#N/A</v>
      </c>
      <c r="F11" s="14" t="s">
        <v>7</v>
      </c>
      <c r="G11" s="75"/>
      <c r="H11" s="75"/>
      <c r="I11" s="75">
        <v>0.1</v>
      </c>
      <c r="J11" s="75">
        <f>O11/0.001104</f>
        <v>8632.246376811594</v>
      </c>
      <c r="K11" s="15" t="s">
        <v>156</v>
      </c>
      <c r="L11" s="75">
        <f>Gebouweigenschappen!B13+Gebouweigenschappen!B14</f>
        <v>95.3</v>
      </c>
      <c r="M11" s="69" t="s">
        <v>151</v>
      </c>
      <c r="N11" s="75"/>
      <c r="O11" s="75">
        <f t="shared" si="2"/>
        <v>9.5299999999999994</v>
      </c>
      <c r="P11" s="64">
        <v>1800</v>
      </c>
      <c r="Q11" s="22">
        <f>(Gebouweigenschappen!B13+Gebouweigenschappen!B14)*0.1*1800</f>
        <v>17154</v>
      </c>
      <c r="R11" s="60">
        <f>Q11/Gebouweigenschappen!$B$3</f>
        <v>197.17241379310346</v>
      </c>
      <c r="S11" s="27"/>
      <c r="T11" s="81" t="s">
        <v>169</v>
      </c>
      <c r="U11" s="75">
        <v>2.7400000000000001E-2</v>
      </c>
      <c r="V11" s="79" t="s">
        <v>144</v>
      </c>
      <c r="W11" s="60">
        <f>X11/Gebouweigenschappen!$B$3</f>
        <v>5.4025241379310351</v>
      </c>
      <c r="X11" s="60">
        <f t="shared" si="1"/>
        <v>470.01960000000003</v>
      </c>
    </row>
    <row r="12" spans="1:24" ht="43.5" x14ac:dyDescent="0.35">
      <c r="A12" s="24" t="s">
        <v>6</v>
      </c>
      <c r="B12" s="64">
        <v>21</v>
      </c>
      <c r="C12" s="65" t="s">
        <v>117</v>
      </c>
      <c r="D12" s="49" t="s">
        <v>39</v>
      </c>
      <c r="E12" s="56" t="e">
        <f>VLOOKUP(F12,Materialen!$A$2:$B$99,2,FALSE)</f>
        <v>#N/A</v>
      </c>
      <c r="F12" s="14" t="s">
        <v>8</v>
      </c>
      <c r="G12" s="75">
        <v>0.35</v>
      </c>
      <c r="H12" s="75"/>
      <c r="I12" s="75">
        <v>2.8000000000000001E-2</v>
      </c>
      <c r="J12" s="75"/>
      <c r="K12" s="15"/>
      <c r="L12" s="75">
        <f>Gebouweigenschappen!B13</f>
        <v>42.3</v>
      </c>
      <c r="M12" s="69" t="s">
        <v>151</v>
      </c>
      <c r="N12" s="75"/>
      <c r="O12" s="75">
        <f t="shared" si="2"/>
        <v>0.41453999999999991</v>
      </c>
      <c r="P12" s="64">
        <v>30</v>
      </c>
      <c r="Q12" s="22">
        <f>Gebouweigenschappen!B13*0.028*30*0.35</f>
        <v>12.436199999999998</v>
      </c>
      <c r="R12" s="60">
        <f>Q12/Gebouweigenschappen!$B$3</f>
        <v>0.14294482758620686</v>
      </c>
      <c r="S12" s="27" t="str">
        <f t="shared" si="0"/>
        <v>0223</v>
      </c>
      <c r="T12" s="81" t="s">
        <v>162</v>
      </c>
      <c r="U12" s="75">
        <v>0.32900000000000001</v>
      </c>
      <c r="V12" s="79" t="s">
        <v>144</v>
      </c>
      <c r="W12" s="60">
        <f>X12/Gebouweigenschappen!$B$3</f>
        <v>4.7028848275862067E-2</v>
      </c>
      <c r="X12" s="60">
        <f t="shared" si="1"/>
        <v>4.0915097999999999</v>
      </c>
    </row>
    <row r="13" spans="1:24" ht="29" x14ac:dyDescent="0.35">
      <c r="A13" s="59" t="s">
        <v>84</v>
      </c>
      <c r="B13" s="13">
        <v>22</v>
      </c>
      <c r="C13" s="35" t="s">
        <v>118</v>
      </c>
      <c r="D13" s="48" t="s">
        <v>87</v>
      </c>
      <c r="E13" s="56" t="e">
        <f>VLOOKUP(F13,Materialen!$A$2:$B$99,2,FALSE)</f>
        <v>#N/A</v>
      </c>
      <c r="F13" s="14" t="s">
        <v>7</v>
      </c>
      <c r="G13" s="75"/>
      <c r="H13" s="75"/>
      <c r="I13" s="75">
        <v>0.1</v>
      </c>
      <c r="J13" s="75"/>
      <c r="K13" s="15"/>
      <c r="L13" s="77">
        <f>(Gebouweigenschappen!B5+Gebouweigenschappen!B6+Gebouweigenschappen!B8+Gebouweigenschappen!B9+Gebouweigenschappen!B11+Gebouweigenschappen!B12)*Gebouweigenschappen!B19*0.05</f>
        <v>3.9166666666666665</v>
      </c>
      <c r="M13" s="69" t="s">
        <v>151</v>
      </c>
      <c r="N13" s="75"/>
      <c r="O13" s="75">
        <f t="shared" si="2"/>
        <v>0.39166666666666666</v>
      </c>
      <c r="P13" s="64">
        <v>1800</v>
      </c>
      <c r="Q13" s="22">
        <f>(Gebouweigenschappen!B5+Gebouweigenschappen!B6+Gebouweigenschappen!B8+Gebouweigenschappen!B9+Gebouweigenschappen!B11+Gebouweigenschappen!B12)*Gebouweigenschappen!B19*0.1*1800*0.05</f>
        <v>705</v>
      </c>
      <c r="R13" s="60">
        <f>Q13/Gebouweigenschappen!$B$3</f>
        <v>8.1034482758620694</v>
      </c>
      <c r="S13" s="27"/>
      <c r="T13" s="81" t="s">
        <v>169</v>
      </c>
      <c r="U13" s="75">
        <v>2.7400000000000001E-2</v>
      </c>
      <c r="V13" s="79" t="s">
        <v>144</v>
      </c>
      <c r="W13" s="60">
        <f>X13/Gebouweigenschappen!$B$3</f>
        <v>0.2220344827586207</v>
      </c>
      <c r="X13" s="60">
        <f t="shared" si="1"/>
        <v>19.317</v>
      </c>
    </row>
    <row r="14" spans="1:24" ht="29" x14ac:dyDescent="0.35">
      <c r="A14" s="59" t="s">
        <v>84</v>
      </c>
      <c r="B14" s="13">
        <v>22</v>
      </c>
      <c r="C14" s="35" t="s">
        <v>118</v>
      </c>
      <c r="D14" s="48" t="s">
        <v>87</v>
      </c>
      <c r="E14" s="56" t="e">
        <f>VLOOKUP(F14,Materialen!$A$2:$B$99,2,FALSE)</f>
        <v>#N/A</v>
      </c>
      <c r="F14" s="11" t="s">
        <v>109</v>
      </c>
      <c r="G14" s="75"/>
      <c r="H14" s="75"/>
      <c r="I14" s="75">
        <v>1.4999999999999999E-2</v>
      </c>
      <c r="J14" s="75">
        <v>2</v>
      </c>
      <c r="K14" s="15" t="s">
        <v>156</v>
      </c>
      <c r="L14" s="75">
        <f>(Gebouweigenschappen!B5+Gebouweigenschappen!B6+Gebouweigenschappen!B8+Gebouweigenschappen!B9+Gebouweigenschappen!B11+Gebouweigenschappen!B12)*Gebouweigenschappen!B19*0.5</f>
        <v>39.166666666666664</v>
      </c>
      <c r="M14" s="69" t="s">
        <v>151</v>
      </c>
      <c r="N14" s="75"/>
      <c r="O14" s="75">
        <f t="shared" si="2"/>
        <v>1.1749999999999998</v>
      </c>
      <c r="P14" s="64">
        <v>1150</v>
      </c>
      <c r="Q14" s="22">
        <f>(Gebouweigenschappen!B5+Gebouweigenschappen!B6+Gebouweigenschappen!B8+Gebouweigenschappen!B9+Gebouweigenschappen!B11+Gebouweigenschappen!B12)*Gebouweigenschappen!B19*0.03*1150*0.5</f>
        <v>1351.2499999999998</v>
      </c>
      <c r="R14" s="60">
        <f>Q14/Gebouweigenschappen!$B$3</f>
        <v>15.531609195402297</v>
      </c>
      <c r="S14" s="27" t="str">
        <f t="shared" si="0"/>
        <v>0011</v>
      </c>
      <c r="T14" s="81" t="s">
        <v>163</v>
      </c>
      <c r="U14" s="75">
        <v>1.5699999999999999E-2</v>
      </c>
      <c r="V14" s="79" t="s">
        <v>144</v>
      </c>
      <c r="W14" s="60">
        <f>X14/Gebouweigenschappen!$B$3</f>
        <v>0.24384626436781603</v>
      </c>
      <c r="X14" s="60">
        <f t="shared" si="1"/>
        <v>21.214624999999995</v>
      </c>
    </row>
    <row r="15" spans="1:24" ht="58" x14ac:dyDescent="0.35">
      <c r="A15" s="59" t="s">
        <v>84</v>
      </c>
      <c r="B15" s="13">
        <v>22</v>
      </c>
      <c r="C15" s="35" t="s">
        <v>118</v>
      </c>
      <c r="D15" s="48" t="s">
        <v>87</v>
      </c>
      <c r="E15" s="56" t="e">
        <f>VLOOKUP(F15,Materialen!$A$2:$B$99,2,FALSE)</f>
        <v>#N/A</v>
      </c>
      <c r="F15" s="11" t="s">
        <v>2</v>
      </c>
      <c r="G15" s="75">
        <v>0.5</v>
      </c>
      <c r="H15" s="75"/>
      <c r="I15" s="75">
        <v>0.03</v>
      </c>
      <c r="J15" s="75"/>
      <c r="K15" s="21"/>
      <c r="L15" s="75">
        <f>10%*L14</f>
        <v>3.9166666666666665</v>
      </c>
      <c r="M15" s="69" t="s">
        <v>151</v>
      </c>
      <c r="N15" s="75"/>
      <c r="O15" s="75">
        <f t="shared" si="2"/>
        <v>0.11749999999999998</v>
      </c>
      <c r="P15" s="64">
        <v>500</v>
      </c>
      <c r="Q15" s="22">
        <f>(Gebouweigenschappen!B5+Gebouweigenschappen!B6+Gebouweigenschappen!B8+Gebouweigenschappen!B9+Gebouweigenschappen!B11+Gebouweigenschappen!B12)*Gebouweigenschappen!B19*0.03*500*0.5*0.1</f>
        <v>58.749999999999993</v>
      </c>
      <c r="R15" s="60">
        <f>Q15/Gebouweigenschappen!$B$3</f>
        <v>0.67528735632183901</v>
      </c>
      <c r="S15" s="27" t="str">
        <f t="shared" si="0"/>
        <v>0027</v>
      </c>
      <c r="T15" s="81" t="s">
        <v>165</v>
      </c>
      <c r="U15" s="75">
        <v>3.6600000000000001E-2</v>
      </c>
      <c r="V15" s="79" t="s">
        <v>144</v>
      </c>
      <c r="W15" s="60">
        <f>X15/Gebouweigenschappen!$B$3</f>
        <v>2.4715517241379308E-2</v>
      </c>
      <c r="X15" s="60">
        <f t="shared" si="1"/>
        <v>2.1502499999999998</v>
      </c>
    </row>
    <row r="16" spans="1:24" ht="29" x14ac:dyDescent="0.35">
      <c r="A16" s="59" t="s">
        <v>84</v>
      </c>
      <c r="B16" s="13">
        <v>22</v>
      </c>
      <c r="C16" s="35" t="s">
        <v>118</v>
      </c>
      <c r="D16" s="48" t="s">
        <v>87</v>
      </c>
      <c r="E16" s="56" t="e">
        <f>VLOOKUP(F16,Materialen!$A$2:$B$99,2,FALSE)</f>
        <v>#N/A</v>
      </c>
      <c r="F16" s="11" t="s">
        <v>8</v>
      </c>
      <c r="G16" s="75"/>
      <c r="H16" s="75"/>
      <c r="I16" s="75">
        <v>0.04</v>
      </c>
      <c r="J16" s="75"/>
      <c r="K16" s="21"/>
      <c r="L16" s="64">
        <f>O16/I16</f>
        <v>39.166666666666664</v>
      </c>
      <c r="M16" s="21"/>
      <c r="N16" s="75"/>
      <c r="O16" s="75">
        <f>Q16/P16</f>
        <v>1.5666666666666667</v>
      </c>
      <c r="P16" s="64">
        <v>30</v>
      </c>
      <c r="Q16" s="22">
        <f>(Gebouweigenschappen!B5+Gebouweigenschappen!B6+Gebouweigenschappen!B8+Gebouweigenschappen!B9+Gebouweigenschappen!B11+Gebouweigenschappen!B12)*Gebouweigenschappen!B19*0.04*30*0.5</f>
        <v>47</v>
      </c>
      <c r="R16" s="60">
        <f>Q16/Gebouweigenschappen!$B$3</f>
        <v>0.54022988505747127</v>
      </c>
      <c r="S16" s="27" t="str">
        <f t="shared" si="0"/>
        <v>0007</v>
      </c>
      <c r="T16" s="81" t="s">
        <v>164</v>
      </c>
      <c r="U16" s="75">
        <v>0.66300000000000003</v>
      </c>
      <c r="V16" s="79" t="s">
        <v>144</v>
      </c>
      <c r="W16" s="60">
        <f>X16/Gebouweigenschappen!$B$3</f>
        <v>0.35817241379310344</v>
      </c>
      <c r="X16" s="60">
        <f t="shared" si="1"/>
        <v>31.161000000000001</v>
      </c>
    </row>
    <row r="17" spans="1:25" ht="29" x14ac:dyDescent="0.35">
      <c r="A17" s="59" t="s">
        <v>84</v>
      </c>
      <c r="B17" s="13">
        <v>22</v>
      </c>
      <c r="C17" s="35" t="s">
        <v>125</v>
      </c>
      <c r="D17" s="48" t="s">
        <v>87</v>
      </c>
      <c r="E17" s="56" t="e">
        <f>VLOOKUP(F17,Materialen!$A$2:$B$99,2,FALSE)</f>
        <v>#N/A</v>
      </c>
      <c r="F17" s="14" t="s">
        <v>110</v>
      </c>
      <c r="G17" s="75"/>
      <c r="H17" s="75"/>
      <c r="I17" s="75">
        <v>0.1</v>
      </c>
      <c r="J17" s="75"/>
      <c r="K17" s="15"/>
      <c r="L17" s="75">
        <f>(Gebouweigenschappen!B5+Gebouweigenschappen!B6+Gebouweigenschappen!B8+Gebouweigenschappen!B9+Gebouweigenschappen!B11+Gebouweigenschappen!B12)*Gebouweigenschappen!B19*0.45</f>
        <v>35.25</v>
      </c>
      <c r="M17" s="69" t="s">
        <v>151</v>
      </c>
      <c r="N17" s="75"/>
      <c r="O17" s="75">
        <f t="shared" si="2"/>
        <v>3.5249999999999999</v>
      </c>
      <c r="P17" s="64">
        <v>600</v>
      </c>
      <c r="Q17" s="22">
        <f>(Gebouweigenschappen!B5+Gebouweigenschappen!B6+Gebouweigenschappen!B8+Gebouweigenschappen!B9+Gebouweigenschappen!B11+Gebouweigenschappen!B12)*Gebouweigenschappen!B19*0.1*600*0.45</f>
        <v>2115</v>
      </c>
      <c r="R17" s="60">
        <f>Q17/Gebouweigenschappen!$B$3</f>
        <v>24.310344827586206</v>
      </c>
      <c r="S17" s="27" t="str">
        <f t="shared" si="0"/>
        <v>0065</v>
      </c>
      <c r="T17" s="81" t="s">
        <v>170</v>
      </c>
      <c r="U17" s="75">
        <v>5.5199999999999999E-2</v>
      </c>
      <c r="V17" s="79" t="s">
        <v>144</v>
      </c>
      <c r="W17" s="60">
        <f>X17/Gebouweigenschappen!$B$3</f>
        <v>1.3419310344827586</v>
      </c>
      <c r="X17" s="60">
        <f t="shared" si="1"/>
        <v>116.748</v>
      </c>
    </row>
    <row r="18" spans="1:25" ht="58" x14ac:dyDescent="0.35">
      <c r="A18" s="59" t="s">
        <v>0</v>
      </c>
      <c r="B18" s="13">
        <v>27</v>
      </c>
      <c r="C18" s="35" t="s">
        <v>0</v>
      </c>
      <c r="D18" s="46" t="s">
        <v>9</v>
      </c>
      <c r="E18" s="56" t="e">
        <f>VLOOKUP(F18,Materialen!$A$2:$B$99,2,FALSE)</f>
        <v>#N/A</v>
      </c>
      <c r="F18" s="14" t="s">
        <v>2</v>
      </c>
      <c r="G18" s="75">
        <v>0.25</v>
      </c>
      <c r="H18" s="75">
        <f>(7*9)+(4*3.6)</f>
        <v>77.400000000000006</v>
      </c>
      <c r="I18" s="75">
        <v>0.25</v>
      </c>
      <c r="J18" s="75">
        <f>7+4</f>
        <v>11</v>
      </c>
      <c r="K18" s="15" t="s">
        <v>156</v>
      </c>
      <c r="L18" s="64"/>
      <c r="M18" s="15"/>
      <c r="N18" s="75"/>
      <c r="O18" s="75">
        <f t="shared" si="2"/>
        <v>4.8375000000000004</v>
      </c>
      <c r="P18" s="64">
        <v>500</v>
      </c>
      <c r="Q18" s="22">
        <f>(7*Gebouweigenschappen!B5+4*3.6)*0.25*0.25*500</f>
        <v>2418.75</v>
      </c>
      <c r="R18" s="60">
        <f>Q18/Gebouweigenschappen!$B$3</f>
        <v>27.801724137931036</v>
      </c>
      <c r="S18" s="27" t="str">
        <f t="shared" si="0"/>
        <v>0027</v>
      </c>
      <c r="T18" s="81" t="s">
        <v>165</v>
      </c>
      <c r="U18" s="75">
        <v>3.6600000000000001E-2</v>
      </c>
      <c r="V18" s="79" t="s">
        <v>144</v>
      </c>
      <c r="W18" s="60">
        <f>X18/Gebouweigenschappen!$B$3</f>
        <v>1.0175431034482758</v>
      </c>
      <c r="X18" s="60">
        <f t="shared" si="1"/>
        <v>88.526250000000005</v>
      </c>
    </row>
    <row r="19" spans="1:25" ht="58" x14ac:dyDescent="0.35">
      <c r="A19" s="59" t="s">
        <v>0</v>
      </c>
      <c r="B19" s="13">
        <v>27</v>
      </c>
      <c r="C19" s="35" t="s">
        <v>0</v>
      </c>
      <c r="D19" s="46" t="s">
        <v>10</v>
      </c>
      <c r="E19" s="56" t="e">
        <f>VLOOKUP(F19,Materialen!$A$2:$B$99,2,FALSE)</f>
        <v>#N/A</v>
      </c>
      <c r="F19" s="14" t="s">
        <v>2</v>
      </c>
      <c r="G19" s="75">
        <v>0.125</v>
      </c>
      <c r="H19" s="75">
        <v>77.400000000000006</v>
      </c>
      <c r="I19" s="75">
        <v>0.25</v>
      </c>
      <c r="J19" s="75">
        <v>11</v>
      </c>
      <c r="K19" s="15" t="s">
        <v>156</v>
      </c>
      <c r="L19" s="64"/>
      <c r="M19" s="76"/>
      <c r="N19" s="75"/>
      <c r="O19" s="75">
        <f t="shared" si="2"/>
        <v>2.4187500000000002</v>
      </c>
      <c r="P19" s="64">
        <v>500</v>
      </c>
      <c r="Q19" s="22">
        <f>0.5*Q18</f>
        <v>1209.375</v>
      </c>
      <c r="R19" s="60">
        <f>Q19/Gebouweigenschappen!$B$3</f>
        <v>13.900862068965518</v>
      </c>
      <c r="S19" s="27" t="str">
        <f t="shared" si="0"/>
        <v>0027</v>
      </c>
      <c r="T19" s="81" t="s">
        <v>165</v>
      </c>
      <c r="U19" s="75">
        <v>3.6600000000000001E-2</v>
      </c>
      <c r="V19" s="79" t="s">
        <v>144</v>
      </c>
      <c r="W19" s="60">
        <f>X19/Gebouweigenschappen!$B$3</f>
        <v>0.5087715517241379</v>
      </c>
      <c r="X19" s="60">
        <f t="shared" si="1"/>
        <v>44.263125000000002</v>
      </c>
    </row>
    <row r="20" spans="1:25" ht="43.5" x14ac:dyDescent="0.35">
      <c r="A20" s="59" t="s">
        <v>0</v>
      </c>
      <c r="B20" s="13">
        <v>27</v>
      </c>
      <c r="C20" s="35" t="s">
        <v>0</v>
      </c>
      <c r="D20" s="46" t="s">
        <v>11</v>
      </c>
      <c r="E20" s="56" t="e">
        <f>VLOOKUP(F20,Materialen!$A$2:$B$99,2,FALSE)</f>
        <v>#N/A</v>
      </c>
      <c r="F20" s="14" t="s">
        <v>13</v>
      </c>
      <c r="G20" s="75"/>
      <c r="H20" s="75"/>
      <c r="I20" s="75"/>
      <c r="J20" s="75">
        <v>23</v>
      </c>
      <c r="K20" s="15" t="s">
        <v>158</v>
      </c>
      <c r="L20" s="75">
        <f>Gebouweigenschappen!B15</f>
        <v>57.3</v>
      </c>
      <c r="M20" s="15" t="s">
        <v>151</v>
      </c>
      <c r="N20" s="75"/>
      <c r="O20" s="75"/>
      <c r="P20" s="64"/>
      <c r="Q20" s="22">
        <f>Gebouweigenschappen!B15*23</f>
        <v>1317.8999999999999</v>
      </c>
      <c r="R20" s="60">
        <f>Q20/Gebouweigenschappen!$B$3</f>
        <v>15.148275862068964</v>
      </c>
      <c r="S20" s="27" t="str">
        <f t="shared" si="0"/>
        <v>0032</v>
      </c>
      <c r="T20" s="81" t="s">
        <v>174</v>
      </c>
      <c r="U20" s="75">
        <v>0.749</v>
      </c>
      <c r="V20" s="79" t="s">
        <v>144</v>
      </c>
      <c r="W20" s="60">
        <f>X20/Gebouweigenschappen!$B$3</f>
        <v>11.346058620689655</v>
      </c>
      <c r="X20" s="60">
        <f t="shared" si="1"/>
        <v>987.10709999999995</v>
      </c>
      <c r="Y20" s="85" t="s">
        <v>175</v>
      </c>
    </row>
    <row r="21" spans="1:25" ht="29" x14ac:dyDescent="0.35">
      <c r="A21" s="59" t="s">
        <v>0</v>
      </c>
      <c r="B21" s="13">
        <v>47</v>
      </c>
      <c r="C21" s="35" t="s">
        <v>119</v>
      </c>
      <c r="D21" s="45" t="s">
        <v>12</v>
      </c>
      <c r="E21" s="56" t="e">
        <f>VLOOKUP(F21,Materialen!$A$2:$B$99,2,FALSE)</f>
        <v>#N/A</v>
      </c>
      <c r="F21" s="14" t="s">
        <v>28</v>
      </c>
      <c r="G21" s="75"/>
      <c r="H21" s="75"/>
      <c r="I21" s="75"/>
      <c r="J21" s="75">
        <v>40</v>
      </c>
      <c r="K21" s="15" t="s">
        <v>158</v>
      </c>
      <c r="L21" s="78">
        <f>57.3/2</f>
        <v>28.65</v>
      </c>
      <c r="M21" s="15" t="s">
        <v>151</v>
      </c>
      <c r="N21" s="75"/>
      <c r="O21" s="75"/>
      <c r="P21" s="64"/>
      <c r="Q21" s="22">
        <f>0.5*40*Gebouweigenschappen!B15</f>
        <v>1146</v>
      </c>
      <c r="R21" s="60">
        <f>Q21/Gebouweigenschappen!$B$3</f>
        <v>13.172413793103448</v>
      </c>
      <c r="S21" s="27" t="str">
        <f t="shared" si="0"/>
        <v>0070</v>
      </c>
      <c r="T21" s="81" t="s">
        <v>171</v>
      </c>
      <c r="U21" s="75">
        <v>6.8500000000000005E-2</v>
      </c>
      <c r="V21" s="79" t="s">
        <v>144</v>
      </c>
      <c r="W21" s="60">
        <f>X21/Gebouweigenschappen!$B$3</f>
        <v>0.90231034482758621</v>
      </c>
      <c r="X21" s="60">
        <f t="shared" ref="X21:X26" si="3">Q21*U21</f>
        <v>78.501000000000005</v>
      </c>
    </row>
    <row r="22" spans="1:25" ht="29" x14ac:dyDescent="0.35">
      <c r="A22" s="59" t="s">
        <v>0</v>
      </c>
      <c r="B22" s="13">
        <v>47</v>
      </c>
      <c r="C22" s="35" t="s">
        <v>119</v>
      </c>
      <c r="D22" s="45" t="s">
        <v>12</v>
      </c>
      <c r="E22" s="56" t="e">
        <f>VLOOKUP(F22,Materialen!$A$2:$B$99,2,FALSE)</f>
        <v>#N/A</v>
      </c>
      <c r="F22" s="14" t="s">
        <v>26</v>
      </c>
      <c r="G22" s="75"/>
      <c r="H22" s="75"/>
      <c r="I22" s="75"/>
      <c r="J22" s="75">
        <v>40</v>
      </c>
      <c r="K22" s="15" t="s">
        <v>158</v>
      </c>
      <c r="L22" s="78">
        <f>57.3/2</f>
        <v>28.65</v>
      </c>
      <c r="M22" s="15" t="s">
        <v>151</v>
      </c>
      <c r="N22" s="75"/>
      <c r="O22" s="75"/>
      <c r="P22" s="64"/>
      <c r="Q22" s="22">
        <f>0.5*40*Gebouweigenschappen!B15</f>
        <v>1146</v>
      </c>
      <c r="R22" s="60">
        <f>Q22/Gebouweigenschappen!$B$3</f>
        <v>13.172413793103448</v>
      </c>
      <c r="S22" s="27" t="str">
        <f t="shared" si="0"/>
        <v>0078</v>
      </c>
      <c r="T22" s="81" t="s">
        <v>172</v>
      </c>
      <c r="U22" s="75">
        <v>3.8899999999999997E-2</v>
      </c>
      <c r="V22" s="79" t="s">
        <v>144</v>
      </c>
      <c r="W22" s="60">
        <f>X22/Gebouweigenschappen!$B$3</f>
        <v>0.51240689655172411</v>
      </c>
      <c r="X22" s="60">
        <f t="shared" si="3"/>
        <v>44.5794</v>
      </c>
    </row>
    <row r="23" spans="1:25" ht="29" x14ac:dyDescent="0.35">
      <c r="A23" s="24" t="s">
        <v>38</v>
      </c>
      <c r="B23" s="13">
        <v>27</v>
      </c>
      <c r="C23" s="35" t="s">
        <v>0</v>
      </c>
      <c r="D23" s="53">
        <v>0.16</v>
      </c>
      <c r="E23" s="56" t="e">
        <f>VLOOKUP(F23,Materialen!$A$2:$B$99,2,FALSE)</f>
        <v>#N/A</v>
      </c>
      <c r="F23" s="14" t="s">
        <v>40</v>
      </c>
      <c r="G23" s="75"/>
      <c r="H23" s="75"/>
      <c r="I23" s="75">
        <v>0.2</v>
      </c>
      <c r="J23" s="75"/>
      <c r="K23" s="15"/>
      <c r="L23" s="75">
        <f>Gebouweigenschappen!B15*16%</f>
        <v>9.1679999999999993</v>
      </c>
      <c r="M23" s="15" t="s">
        <v>151</v>
      </c>
      <c r="N23" s="75"/>
      <c r="O23" s="75"/>
      <c r="P23" s="64">
        <v>35</v>
      </c>
      <c r="Q23" s="22">
        <f>Gebouweigenschappen!B15*0.2*35*D23</f>
        <v>64.176000000000002</v>
      </c>
      <c r="R23" s="60">
        <f>Q23/Gebouweigenschappen!$B$3</f>
        <v>0.73765517241379308</v>
      </c>
      <c r="S23" s="27" t="str">
        <f t="shared" si="0"/>
        <v>0017</v>
      </c>
      <c r="T23" s="81" t="s">
        <v>173</v>
      </c>
      <c r="U23" s="75">
        <v>0.71399999999999997</v>
      </c>
      <c r="V23" s="79" t="s">
        <v>144</v>
      </c>
      <c r="W23" s="60">
        <f>X23/Gebouweigenschappen!$B$3</f>
        <v>0.52668579310344821</v>
      </c>
      <c r="X23" s="60">
        <f t="shared" si="3"/>
        <v>45.821663999999998</v>
      </c>
    </row>
    <row r="24" spans="1:25" ht="29" x14ac:dyDescent="0.35">
      <c r="A24" s="59" t="s">
        <v>17</v>
      </c>
      <c r="B24" s="13">
        <v>31</v>
      </c>
      <c r="C24" s="35" t="s">
        <v>120</v>
      </c>
      <c r="D24" s="50" t="s">
        <v>159</v>
      </c>
      <c r="E24" s="56" t="e">
        <f>VLOOKUP(F24,Materialen!$A$2:$B$99,2,FALSE)</f>
        <v>#N/A</v>
      </c>
      <c r="F24" s="14" t="s">
        <v>14</v>
      </c>
      <c r="G24" s="75"/>
      <c r="H24" s="75"/>
      <c r="I24" s="75">
        <v>4.0000000000000001E-3</v>
      </c>
      <c r="J24" s="75">
        <f>2.5*I24*1000</f>
        <v>10</v>
      </c>
      <c r="K24" s="15" t="s">
        <v>158</v>
      </c>
      <c r="L24" s="75">
        <f>SUM(Gebouweigenschappen!C16:C18)*Gebouweigenschappen!B16</f>
        <v>6.4960000000000004</v>
      </c>
      <c r="M24" s="15" t="s">
        <v>151</v>
      </c>
      <c r="N24" s="75"/>
      <c r="O24" s="75"/>
      <c r="P24" s="64"/>
      <c r="Q24" s="22">
        <f>(Gebouweigenschappen!C16+Gebouweigenschappen!C17+Gebouweigenschappen!C18)*Gebouweigenschappen!B16*10</f>
        <v>64.960000000000008</v>
      </c>
      <c r="R24" s="60">
        <f>Q24/Gebouweigenschappen!$B$3</f>
        <v>0.74666666666666681</v>
      </c>
      <c r="S24" s="27" t="str">
        <f t="shared" si="0"/>
        <v>0019</v>
      </c>
      <c r="T24" s="81" t="s">
        <v>176</v>
      </c>
      <c r="U24" s="75">
        <v>0.219</v>
      </c>
      <c r="V24" s="79" t="s">
        <v>144</v>
      </c>
      <c r="W24" s="60">
        <f>X24/Gebouweigenschappen!$B$3</f>
        <v>0.16352000000000003</v>
      </c>
      <c r="X24" s="60">
        <f t="shared" si="3"/>
        <v>14.226240000000002</v>
      </c>
    </row>
    <row r="25" spans="1:25" ht="29" x14ac:dyDescent="0.35">
      <c r="A25" s="59" t="s">
        <v>17</v>
      </c>
      <c r="B25" s="13">
        <v>31</v>
      </c>
      <c r="C25" s="35" t="s">
        <v>120</v>
      </c>
      <c r="D25" s="50" t="s">
        <v>160</v>
      </c>
      <c r="E25" s="56" t="e">
        <f>VLOOKUP(F25,Materialen!$A$2:$B$99,2,FALSE)</f>
        <v>#N/A</v>
      </c>
      <c r="F25" s="14" t="s">
        <v>15</v>
      </c>
      <c r="G25" s="75"/>
      <c r="H25" s="75"/>
      <c r="I25" s="75">
        <v>8.9999999999999993E-3</v>
      </c>
      <c r="J25" s="75">
        <f>2.5*I25*1000</f>
        <v>22.5</v>
      </c>
      <c r="K25" s="15" t="s">
        <v>158</v>
      </c>
      <c r="L25" s="75">
        <f>SUM(Gebouweigenschappen!C16:C18)*Gebouweigenschappen!B17</f>
        <v>13.92</v>
      </c>
      <c r="M25" s="15" t="s">
        <v>151</v>
      </c>
      <c r="N25" s="75"/>
      <c r="O25" s="75"/>
      <c r="P25" s="64"/>
      <c r="Q25" s="22">
        <f>(Gebouweigenschappen!C16+Gebouweigenschappen!C17+Gebouweigenschappen!C18)*Gebouweigenschappen!B17*22.5</f>
        <v>313.2</v>
      </c>
      <c r="R25" s="60">
        <f>Q25/Gebouweigenschappen!$B$3</f>
        <v>3.6</v>
      </c>
      <c r="S25" s="27" t="str">
        <f t="shared" si="0"/>
        <v>0019</v>
      </c>
      <c r="T25" s="81" t="s">
        <v>176</v>
      </c>
      <c r="U25" s="75">
        <v>0.219</v>
      </c>
      <c r="V25" s="79" t="s">
        <v>144</v>
      </c>
      <c r="W25" s="60">
        <f>X25/Gebouweigenschappen!$B$3</f>
        <v>0.78839999999999999</v>
      </c>
      <c r="X25" s="60">
        <f t="shared" si="3"/>
        <v>68.590800000000002</v>
      </c>
    </row>
    <row r="26" spans="1:25" ht="29" x14ac:dyDescent="0.35">
      <c r="A26" s="59" t="s">
        <v>17</v>
      </c>
      <c r="B26" s="13">
        <v>31</v>
      </c>
      <c r="C26" s="35" t="s">
        <v>120</v>
      </c>
      <c r="D26" s="50" t="s">
        <v>98</v>
      </c>
      <c r="E26" s="56" t="e">
        <f>VLOOKUP(F26,Materialen!$A$2:$B$99,2,FALSE)</f>
        <v>#N/A</v>
      </c>
      <c r="F26" s="14" t="s">
        <v>16</v>
      </c>
      <c r="G26" s="75"/>
      <c r="H26" s="75"/>
      <c r="I26" s="75"/>
      <c r="J26" s="75">
        <v>32.5</v>
      </c>
      <c r="K26" s="15" t="s">
        <v>158</v>
      </c>
      <c r="L26" s="75">
        <f>SUM(Gebouweigenschappen!C16:C18)*Gebouweigenschappen!B18</f>
        <v>2.7839999999999998</v>
      </c>
      <c r="M26" s="15" t="s">
        <v>151</v>
      </c>
      <c r="N26" s="75"/>
      <c r="O26" s="75"/>
      <c r="P26" s="64"/>
      <c r="Q26" s="22">
        <f>(Gebouweigenschappen!C16+Gebouweigenschappen!C17+Gebouweigenschappen!C18)*Gebouweigenschappen!B18*32.5</f>
        <v>90.47999999999999</v>
      </c>
      <c r="R26" s="60">
        <f>Q26/Gebouweigenschappen!$B$3</f>
        <v>1.0399999999999998</v>
      </c>
      <c r="S26" s="27" t="str">
        <f t="shared" si="0"/>
        <v>0019</v>
      </c>
      <c r="T26" s="81" t="s">
        <v>176</v>
      </c>
      <c r="U26" s="75">
        <v>0.219</v>
      </c>
      <c r="V26" s="79" t="s">
        <v>144</v>
      </c>
      <c r="W26" s="60">
        <f>X26/Gebouweigenschappen!$B$3</f>
        <v>0.22775999999999996</v>
      </c>
      <c r="X26" s="60">
        <f t="shared" si="3"/>
        <v>19.815119999999997</v>
      </c>
    </row>
    <row r="27" spans="1:25" ht="58" x14ac:dyDescent="0.35">
      <c r="A27" s="59" t="s">
        <v>18</v>
      </c>
      <c r="B27" s="13">
        <v>31</v>
      </c>
      <c r="C27" s="35" t="s">
        <v>120</v>
      </c>
      <c r="D27" s="48" t="s">
        <v>21</v>
      </c>
      <c r="E27" s="56" t="e">
        <f>VLOOKUP(F27,Materialen!$A$2:$B$99,2,FALSE)</f>
        <v>#N/A</v>
      </c>
      <c r="F27" s="14" t="s">
        <v>2</v>
      </c>
      <c r="G27" s="75">
        <v>0.03</v>
      </c>
      <c r="H27" s="75">
        <f>3*L27</f>
        <v>69.599999999999994</v>
      </c>
      <c r="I27" s="75">
        <v>0.01</v>
      </c>
      <c r="J27" s="75"/>
      <c r="K27" s="15"/>
      <c r="L27" s="75">
        <f>SUM(Gebouweigenschappen!C16:C18)</f>
        <v>23.2</v>
      </c>
      <c r="M27" s="15" t="s">
        <v>151</v>
      </c>
      <c r="N27" s="75"/>
      <c r="O27" s="75">
        <f>H27*I27*G27*0.5</f>
        <v>1.044E-2</v>
      </c>
      <c r="P27" s="64">
        <v>500</v>
      </c>
      <c r="Q27" s="22">
        <f>((Gebouweigenschappen!C16+Gebouweigenschappen!C17+Gebouweigenschappen!C18)*3*0.03*0.01*500)*0.5</f>
        <v>5.2199999999999989</v>
      </c>
      <c r="R27" s="60">
        <f>Q27/Gebouweigenschappen!$B$3</f>
        <v>5.9999999999999984E-2</v>
      </c>
      <c r="S27" s="27" t="str">
        <f t="shared" si="0"/>
        <v>0027</v>
      </c>
      <c r="T27" s="81" t="s">
        <v>165</v>
      </c>
      <c r="U27" s="75">
        <v>3.6600000000000001E-2</v>
      </c>
      <c r="V27" s="79" t="s">
        <v>144</v>
      </c>
      <c r="W27" s="60">
        <f>X27/Gebouweigenschappen!$B$3</f>
        <v>2.1959999999999996E-3</v>
      </c>
      <c r="X27" s="60">
        <f t="shared" ref="X27:X38" si="4">U27*Q27</f>
        <v>0.19105199999999997</v>
      </c>
    </row>
    <row r="28" spans="1:25" ht="43.5" x14ac:dyDescent="0.35">
      <c r="A28" s="59" t="s">
        <v>18</v>
      </c>
      <c r="B28" s="13">
        <v>31</v>
      </c>
      <c r="C28" s="35" t="s">
        <v>120</v>
      </c>
      <c r="D28" s="48" t="s">
        <v>21</v>
      </c>
      <c r="E28" s="56" t="e">
        <f>VLOOKUP(F28,Materialen!$A$2:$B$99,2,FALSE)</f>
        <v>#N/A</v>
      </c>
      <c r="F28" s="14" t="s">
        <v>20</v>
      </c>
      <c r="G28" s="75">
        <v>0.03</v>
      </c>
      <c r="H28" s="75">
        <f>3*L27</f>
        <v>69.599999999999994</v>
      </c>
      <c r="I28" s="75">
        <v>5.0000000000000001E-3</v>
      </c>
      <c r="J28" s="75"/>
      <c r="K28" s="15"/>
      <c r="L28" s="75">
        <f>SUM(Gebouweigenschappen!C16:C18)</f>
        <v>23.2</v>
      </c>
      <c r="M28" s="15" t="s">
        <v>151</v>
      </c>
      <c r="N28" s="75"/>
      <c r="O28" s="75">
        <f>H28*I28*G28*0.5</f>
        <v>5.2199999999999998E-3</v>
      </c>
      <c r="P28" s="64">
        <v>7800</v>
      </c>
      <c r="Q28" s="22">
        <f>((Gebouweigenschappen!C16+Gebouweigenschappen!C17+Gebouweigenschappen!C18)*3*0.03*0.005*7800)*0.5</f>
        <v>40.715999999999994</v>
      </c>
      <c r="R28" s="60">
        <f>Q28/Gebouweigenschappen!$B$3</f>
        <v>0.46799999999999992</v>
      </c>
      <c r="S28" s="27" t="str">
        <f t="shared" si="0"/>
        <v>0202</v>
      </c>
      <c r="T28" s="81" t="s">
        <v>177</v>
      </c>
      <c r="U28" s="75">
        <v>9.08</v>
      </c>
      <c r="V28" s="79" t="s">
        <v>144</v>
      </c>
      <c r="W28" s="60">
        <f>X28/Gebouweigenschappen!$B$3</f>
        <v>4.249439999999999</v>
      </c>
      <c r="X28" s="60">
        <f t="shared" si="4"/>
        <v>369.70127999999994</v>
      </c>
    </row>
    <row r="29" spans="1:25" ht="58" x14ac:dyDescent="0.35">
      <c r="A29" s="24" t="s">
        <v>19</v>
      </c>
      <c r="B29" s="62">
        <v>32</v>
      </c>
      <c r="C29" s="63" t="s">
        <v>128</v>
      </c>
      <c r="D29" s="46" t="s">
        <v>92</v>
      </c>
      <c r="E29" s="56" t="e">
        <f>VLOOKUP(F29,Materialen!$A$2:$B$99,2,FALSE)</f>
        <v>#N/A</v>
      </c>
      <c r="F29" s="14" t="s">
        <v>2</v>
      </c>
      <c r="G29" s="75">
        <v>1</v>
      </c>
      <c r="H29" s="75">
        <v>2</v>
      </c>
      <c r="I29" s="75">
        <f>O29/(G29*H29*J29)</f>
        <v>1.7000000000000001E-2</v>
      </c>
      <c r="J29" s="75">
        <v>10</v>
      </c>
      <c r="K29" s="15" t="s">
        <v>146</v>
      </c>
      <c r="L29" s="75">
        <f>2*10</f>
        <v>20</v>
      </c>
      <c r="M29" s="15" t="s">
        <v>151</v>
      </c>
      <c r="N29" s="75"/>
      <c r="O29" s="75">
        <f>Q29/P29</f>
        <v>0.34</v>
      </c>
      <c r="P29" s="64">
        <v>500</v>
      </c>
      <c r="Q29" s="22">
        <f>10*17</f>
        <v>170</v>
      </c>
      <c r="R29" s="60">
        <f>Q29/Gebouweigenschappen!$B$3</f>
        <v>1.9540229885057472</v>
      </c>
      <c r="S29" s="27" t="str">
        <f t="shared" si="0"/>
        <v>0027</v>
      </c>
      <c r="T29" s="81" t="s">
        <v>165</v>
      </c>
      <c r="U29" s="75">
        <v>3.6600000000000001E-2</v>
      </c>
      <c r="V29" s="79" t="s">
        <v>144</v>
      </c>
      <c r="W29" s="60">
        <f>X29/Gebouweigenschappen!$B$3</f>
        <v>7.1517241379310356E-2</v>
      </c>
      <c r="X29" s="60">
        <f t="shared" si="4"/>
        <v>6.2220000000000004</v>
      </c>
    </row>
    <row r="30" spans="1:25" ht="29" x14ac:dyDescent="0.35">
      <c r="A30" s="59" t="s">
        <v>91</v>
      </c>
      <c r="B30" s="13">
        <v>52</v>
      </c>
      <c r="C30" s="35" t="s">
        <v>121</v>
      </c>
      <c r="D30" s="46" t="s">
        <v>42</v>
      </c>
      <c r="E30" s="56" t="e">
        <f>VLOOKUP(F30,Materialen!$A$2:$B$99,2,FALSE)</f>
        <v>#N/A</v>
      </c>
      <c r="F30" s="14" t="s">
        <v>43</v>
      </c>
      <c r="G30" s="75">
        <v>0.5</v>
      </c>
      <c r="H30" s="75">
        <f>2*Gebouweigenschappen!B5</f>
        <v>18</v>
      </c>
      <c r="I30" s="75">
        <v>8.0000000000000004E-4</v>
      </c>
      <c r="K30" s="15"/>
      <c r="L30" s="64"/>
      <c r="M30" s="15"/>
      <c r="N30" s="75"/>
      <c r="O30" s="75">
        <f>G30*H30*I30</f>
        <v>7.2000000000000007E-3</v>
      </c>
      <c r="P30" s="64">
        <v>7150</v>
      </c>
      <c r="Q30" s="22">
        <f>0.0008*0.5*(Gebouweigenschappen!B5*2)*7150</f>
        <v>51.480000000000004</v>
      </c>
      <c r="R30" s="60">
        <f>Q30/Gebouweigenschappen!$B$3</f>
        <v>0.59172413793103451</v>
      </c>
      <c r="S30" s="27" t="str">
        <f t="shared" si="0"/>
        <v>0028</v>
      </c>
      <c r="T30" s="81" t="s">
        <v>179</v>
      </c>
      <c r="U30" s="75">
        <v>2.4500000000000002</v>
      </c>
      <c r="V30" s="79" t="s">
        <v>144</v>
      </c>
      <c r="W30" s="60">
        <f>X30/Gebouweigenschappen!$B$3</f>
        <v>1.4497241379310346</v>
      </c>
      <c r="X30" s="60">
        <f t="shared" si="4"/>
        <v>126.12600000000002</v>
      </c>
    </row>
    <row r="31" spans="1:25" ht="43.5" x14ac:dyDescent="0.35">
      <c r="A31" s="59" t="s">
        <v>91</v>
      </c>
      <c r="B31" s="13">
        <v>52</v>
      </c>
      <c r="C31" s="35" t="s">
        <v>121</v>
      </c>
      <c r="D31" s="45" t="s">
        <v>44</v>
      </c>
      <c r="E31" s="56" t="e">
        <f>VLOOKUP(F31,Materialen!$A$2:$B$99,2,FALSE)</f>
        <v>#N/A</v>
      </c>
      <c r="F31" s="14" t="s">
        <v>111</v>
      </c>
      <c r="G31" s="75">
        <f>2*PI()*(0.05)</f>
        <v>0.31415926535897931</v>
      </c>
      <c r="H31" s="75">
        <f>Gebouweigenschappen!B2*Gebouweigenschappen!B20</f>
        <v>9</v>
      </c>
      <c r="I31" s="75">
        <v>8.0000000000000004E-4</v>
      </c>
      <c r="J31" s="75"/>
      <c r="K31" s="15"/>
      <c r="L31" s="64"/>
      <c r="M31" s="15"/>
      <c r="N31" s="75"/>
      <c r="O31" s="75">
        <f>I31*H31*G31*0.5</f>
        <v>1.1309733552923257E-3</v>
      </c>
      <c r="P31" s="64">
        <v>1400</v>
      </c>
      <c r="Q31" s="22">
        <f>(((2*PI()*(0.05))*0.0008*(Gebouweigenschappen!B2*Gebouweigenschappen!B20)*Dichtheden!B5)*0.5)</f>
        <v>1.5833626974092561</v>
      </c>
      <c r="R31" s="60">
        <f>Q31/Gebouweigenschappen!$B$3</f>
        <v>1.8199571234589151E-2</v>
      </c>
      <c r="S31" s="27" t="str">
        <f t="shared" si="0"/>
        <v>0199</v>
      </c>
      <c r="T31" s="81" t="s">
        <v>178</v>
      </c>
      <c r="U31" s="75">
        <v>0.42</v>
      </c>
      <c r="V31" s="79" t="s">
        <v>144</v>
      </c>
      <c r="W31" s="60">
        <f>X31/Gebouweigenschappen!$B$3</f>
        <v>7.643819918527443E-3</v>
      </c>
      <c r="X31" s="60">
        <f t="shared" si="4"/>
        <v>0.66501233291188755</v>
      </c>
    </row>
    <row r="32" spans="1:25" ht="29" x14ac:dyDescent="0.35">
      <c r="A32" s="59" t="s">
        <v>91</v>
      </c>
      <c r="B32" s="13">
        <v>52</v>
      </c>
      <c r="C32" s="35" t="s">
        <v>121</v>
      </c>
      <c r="D32" s="45" t="s">
        <v>44</v>
      </c>
      <c r="E32" s="56" t="e">
        <f>VLOOKUP(F32,Materialen!$A$2:$B$99,2,FALSE)</f>
        <v>#N/A</v>
      </c>
      <c r="F32" s="14" t="s">
        <v>43</v>
      </c>
      <c r="G32" s="75">
        <f>2*PI()*(0.05)</f>
        <v>0.31415926535897931</v>
      </c>
      <c r="H32" s="75">
        <f>Gebouweigenschappen!B2*Gebouweigenschappen!B20</f>
        <v>9</v>
      </c>
      <c r="I32" s="75">
        <v>8.0000000000000004E-4</v>
      </c>
      <c r="J32" s="75"/>
      <c r="K32" s="15"/>
      <c r="L32" s="64"/>
      <c r="M32" s="15"/>
      <c r="N32" s="75"/>
      <c r="O32" s="75">
        <f>I32*H32*G32*0.5</f>
        <v>1.1309733552923257E-3</v>
      </c>
      <c r="P32" s="64">
        <v>7150</v>
      </c>
      <c r="Q32" s="22">
        <f>(((2*PI()*(0.05))*0.0008*(Gebouweigenschappen!B2*Gebouweigenschappen!B20)*Dichtheden!B6)*0.5)</f>
        <v>8.086459490340129</v>
      </c>
      <c r="R32" s="60">
        <f>Q32/Gebouweigenschappen!$B$3</f>
        <v>9.2947810233794587E-2</v>
      </c>
      <c r="S32" s="27" t="str">
        <f t="shared" si="0"/>
        <v>0028</v>
      </c>
      <c r="T32" s="81" t="s">
        <v>179</v>
      </c>
      <c r="U32" s="75">
        <v>2.4500000000000002</v>
      </c>
      <c r="V32" s="79" t="s">
        <v>144</v>
      </c>
      <c r="W32" s="60">
        <f>X32/Gebouweigenschappen!$B$3</f>
        <v>0.22772213507279673</v>
      </c>
      <c r="X32" s="60">
        <f t="shared" si="4"/>
        <v>19.811825751333316</v>
      </c>
    </row>
    <row r="33" spans="1:24" ht="29" x14ac:dyDescent="0.35">
      <c r="A33" s="59" t="s">
        <v>45</v>
      </c>
      <c r="B33" s="13">
        <v>56</v>
      </c>
      <c r="C33" s="35" t="s">
        <v>129</v>
      </c>
      <c r="D33" s="46" t="s">
        <v>54</v>
      </c>
      <c r="E33" s="56" t="e">
        <f>VLOOKUP(F33,Materialen!$A$2:$B$99,2,FALSE)</f>
        <v>#N/A</v>
      </c>
      <c r="F33" s="14" t="s">
        <v>50</v>
      </c>
      <c r="G33" s="75">
        <f>2*PI()*Gebouweigenschappen!I2</f>
        <v>6.2831853071795868E-2</v>
      </c>
      <c r="H33" s="75">
        <f>2*Gebouweigenschappen!B2*Gebouweigenschappen!B20</f>
        <v>18</v>
      </c>
      <c r="I33" s="75">
        <v>1.1999999999999999E-3</v>
      </c>
      <c r="J33" s="75"/>
      <c r="K33" s="15"/>
      <c r="L33" s="64"/>
      <c r="M33" s="15"/>
      <c r="N33" s="75">
        <f>I33*G33</f>
        <v>7.5398223686155033E-5</v>
      </c>
      <c r="O33" s="75">
        <f t="shared" ref="O33:O38" si="5">G33*H33*I33</f>
        <v>1.3571680263507906E-3</v>
      </c>
      <c r="P33" s="64">
        <v>7800</v>
      </c>
      <c r="Q33" s="22">
        <f>2*Gebouweigenschappen!B2*Gebouweigenschappen!B20*Gebouweigenschappen!L2</f>
        <v>10.585910605536167</v>
      </c>
      <c r="R33" s="60">
        <f>Q33/Gebouweigenschappen!$B$3</f>
        <v>0.12167713339696744</v>
      </c>
      <c r="S33" s="27" t="str">
        <f t="shared" si="0"/>
        <v>0059</v>
      </c>
      <c r="T33" s="81" t="s">
        <v>180</v>
      </c>
      <c r="U33" s="75">
        <v>37.799999999999997</v>
      </c>
      <c r="V33" s="79" t="s">
        <v>144</v>
      </c>
      <c r="W33" s="60">
        <f>X33/Gebouweigenschappen!$B$3</f>
        <v>4.5993956424053692</v>
      </c>
      <c r="X33" s="60">
        <f t="shared" si="4"/>
        <v>400.1474208892671</v>
      </c>
    </row>
    <row r="34" spans="1:24" ht="43.5" x14ac:dyDescent="0.35">
      <c r="A34" s="59" t="s">
        <v>45</v>
      </c>
      <c r="B34" s="13">
        <v>56</v>
      </c>
      <c r="C34" s="35" t="s">
        <v>129</v>
      </c>
      <c r="D34" s="46" t="s">
        <v>55</v>
      </c>
      <c r="E34" s="56" t="e">
        <f>VLOOKUP(F34,Materialen!$A$2:$B$99,2,FALSE)</f>
        <v>#N/A</v>
      </c>
      <c r="F34" s="14" t="s">
        <v>53</v>
      </c>
      <c r="G34" s="75">
        <f>2*PI()*Gebouweigenschappen!I2</f>
        <v>6.2831853071795868E-2</v>
      </c>
      <c r="H34" s="75">
        <f>((Gebouweigenschappen!B5+Gebouweigenschappen!B6)+(Gebouweigenschappen!B8+Gebouweigenschappen!B9))*4*2</f>
        <v>200</v>
      </c>
      <c r="I34" s="75">
        <v>1.1999999999999999E-3</v>
      </c>
      <c r="J34" s="75"/>
      <c r="K34" s="15"/>
      <c r="L34" s="64"/>
      <c r="M34" s="15"/>
      <c r="N34" s="75">
        <f>I34*G34</f>
        <v>7.5398223686155033E-5</v>
      </c>
      <c r="O34" s="75">
        <f t="shared" si="5"/>
        <v>1.5079644737231009E-2</v>
      </c>
      <c r="P34" s="64">
        <v>1400</v>
      </c>
      <c r="Q34" s="22">
        <f>((Gebouweigenschappen!B5+Gebouweigenschappen!B6)+(Gebouweigenschappen!B8+Gebouweigenschappen!B9))*4*Gebouweigenschappen!M2*2</f>
        <v>21.111502632123411</v>
      </c>
      <c r="R34" s="60">
        <f>Q34/Gebouweigenschappen!$B$3</f>
        <v>0.24266094979452196</v>
      </c>
      <c r="S34" s="27" t="str">
        <f t="shared" si="0"/>
        <v>0199</v>
      </c>
      <c r="T34" s="81" t="s">
        <v>178</v>
      </c>
      <c r="U34" s="75">
        <v>0.42</v>
      </c>
      <c r="V34" s="79" t="s">
        <v>144</v>
      </c>
      <c r="W34" s="60">
        <f>X34/Gebouweigenschappen!$B$3</f>
        <v>0.10191759891369921</v>
      </c>
      <c r="X34" s="60">
        <f t="shared" si="4"/>
        <v>8.8668311054918316</v>
      </c>
    </row>
    <row r="35" spans="1:24" ht="43.5" x14ac:dyDescent="0.35">
      <c r="A35" s="59" t="s">
        <v>45</v>
      </c>
      <c r="B35" s="13">
        <v>53</v>
      </c>
      <c r="C35" s="35" t="s">
        <v>122</v>
      </c>
      <c r="D35" s="46" t="s">
        <v>47</v>
      </c>
      <c r="E35" s="56" t="e">
        <f>VLOOKUP(F35,Materialen!$A$2:$B$99,2,FALSE)</f>
        <v>#N/A</v>
      </c>
      <c r="F35" s="14" t="s">
        <v>53</v>
      </c>
      <c r="G35" s="75">
        <f>2*PI()*Gebouweigenschappen!I3</f>
        <v>4.7123889803846894E-2</v>
      </c>
      <c r="H35" s="75">
        <f>((Gebouweigenschappen!B5+Gebouweigenschappen!B6)+(Gebouweigenschappen!B8+Gebouweigenschappen!B9)+(2*Gebouweigenschappen!B20))</f>
        <v>31</v>
      </c>
      <c r="I35" s="75">
        <v>1.1999999999999999E-3</v>
      </c>
      <c r="J35" s="75"/>
      <c r="K35" s="15"/>
      <c r="L35" s="64"/>
      <c r="M35" s="15"/>
      <c r="N35" s="75">
        <f>G35*I35</f>
        <v>5.6548667764616268E-5</v>
      </c>
      <c r="O35" s="75">
        <f t="shared" si="5"/>
        <v>1.7530087007031044E-3</v>
      </c>
      <c r="P35" s="64">
        <v>1400</v>
      </c>
      <c r="Q35" s="22">
        <f>((Gebouweigenschappen!B5+Gebouweigenschappen!B6)+(Gebouweigenschappen!B8+Gebouweigenschappen!B9)+(2*Gebouweigenschappen!B20))*Gebouweigenschappen!M3</f>
        <v>2.4542121809843458</v>
      </c>
      <c r="R35" s="60">
        <f>Q35/Gebouweigenschappen!$B$3</f>
        <v>2.820933541361317E-2</v>
      </c>
      <c r="S35" s="27" t="str">
        <f t="shared" si="0"/>
        <v>0199</v>
      </c>
      <c r="T35" s="81" t="s">
        <v>178</v>
      </c>
      <c r="U35" s="75">
        <v>0.42</v>
      </c>
      <c r="V35" s="79" t="s">
        <v>144</v>
      </c>
      <c r="W35" s="60">
        <f>X35/Gebouweigenschappen!$B$3</f>
        <v>1.184792087371753E-2</v>
      </c>
      <c r="X35" s="60">
        <f t="shared" si="4"/>
        <v>1.0307691160134251</v>
      </c>
    </row>
    <row r="36" spans="1:24" ht="43.5" x14ac:dyDescent="0.35">
      <c r="A36" s="59" t="s">
        <v>45</v>
      </c>
      <c r="B36" s="13">
        <v>52</v>
      </c>
      <c r="C36" s="35" t="s">
        <v>121</v>
      </c>
      <c r="D36" s="46" t="s">
        <v>27</v>
      </c>
      <c r="E36" s="56" t="e">
        <f>VLOOKUP(F36,Materialen!$A$2:$B$99,2,FALSE)</f>
        <v>#N/A</v>
      </c>
      <c r="F36" s="14" t="s">
        <v>53</v>
      </c>
      <c r="G36" s="75">
        <f>2*PI()*Gebouweigenschappen!I4</f>
        <v>0.15707963267948966</v>
      </c>
      <c r="H36" s="75">
        <f>((Gebouweigenschappen!B5+Gebouweigenschappen!B6)+(Gebouweigenschappen!B8+Gebouweigenschappen!B9)+(2*Gebouweigenschappen!B20))</f>
        <v>31</v>
      </c>
      <c r="I36" s="75">
        <v>3.2000000000000002E-3</v>
      </c>
      <c r="J36" s="75"/>
      <c r="K36" s="15"/>
      <c r="L36" s="64"/>
      <c r="M36" s="15"/>
      <c r="N36" s="75">
        <f>G36*I36</f>
        <v>5.0265482457436696E-4</v>
      </c>
      <c r="O36" s="75">
        <f t="shared" si="5"/>
        <v>1.5582299561805374E-2</v>
      </c>
      <c r="P36" s="64">
        <v>1400</v>
      </c>
      <c r="Q36" s="22">
        <f>((Gebouweigenschappen!B5+Gebouweigenschappen!B6)+(Gebouweigenschappen!B8+Gebouweigenschappen!B9)+(2*Gebouweigenschappen!B20))*Gebouweigenschappen!M4</f>
        <v>21.815219386527527</v>
      </c>
      <c r="R36" s="60">
        <f>Q36/Gebouweigenschappen!$B$3</f>
        <v>0.25074964812100609</v>
      </c>
      <c r="S36" s="27" t="str">
        <f t="shared" si="0"/>
        <v>0199</v>
      </c>
      <c r="T36" s="81" t="s">
        <v>178</v>
      </c>
      <c r="U36" s="75">
        <v>0.42</v>
      </c>
      <c r="V36" s="79" t="s">
        <v>144</v>
      </c>
      <c r="W36" s="60">
        <f>X36/Gebouweigenschappen!$B$3</f>
        <v>0.10531485221082254</v>
      </c>
      <c r="X36" s="60">
        <f t="shared" si="4"/>
        <v>9.1623921423415613</v>
      </c>
    </row>
    <row r="37" spans="1:24" ht="29" x14ac:dyDescent="0.35">
      <c r="A37" s="59" t="s">
        <v>45</v>
      </c>
      <c r="B37" s="13">
        <v>54</v>
      </c>
      <c r="C37" s="35" t="s">
        <v>123</v>
      </c>
      <c r="D37" s="46" t="s">
        <v>48</v>
      </c>
      <c r="E37" s="56" t="e">
        <f>VLOOKUP(F37,Materialen!$A$2:$B$99,2,FALSE)</f>
        <v>#N/A</v>
      </c>
      <c r="F37" s="14" t="s">
        <v>50</v>
      </c>
      <c r="G37" s="75">
        <f>2*PI()*Gebouweigenschappen!I5</f>
        <v>4.7123889803846894E-2</v>
      </c>
      <c r="H37" s="75">
        <f>((Gebouweigenschappen!B2*Gebouweigenschappen!B20)+(Gebouweigenschappen!B5+Gebouweigenschappen!B6))</f>
        <v>23</v>
      </c>
      <c r="I37" s="75">
        <v>1.1999999999999999E-3</v>
      </c>
      <c r="J37" s="75"/>
      <c r="K37" s="15"/>
      <c r="L37" s="64"/>
      <c r="M37" s="15"/>
      <c r="N37" s="75">
        <f>G37*I37</f>
        <v>5.6548667764616268E-5</v>
      </c>
      <c r="O37" s="75">
        <f t="shared" si="5"/>
        <v>1.300619358586174E-3</v>
      </c>
      <c r="P37" s="64">
        <v>7800</v>
      </c>
      <c r="Q37" s="22">
        <f>((Gebouweigenschappen!B2*Gebouweigenschappen!B20)+(Gebouweigenschappen!B5+Gebouweigenschappen!B6))*Gebouweigenschappen!L5</f>
        <v>10.144830996972159</v>
      </c>
      <c r="R37" s="60">
        <f>Q37/Gebouweigenschappen!$B$3</f>
        <v>0.11660725283876044</v>
      </c>
      <c r="S37" s="27" t="str">
        <f t="shared" si="0"/>
        <v>0059</v>
      </c>
      <c r="T37" s="81" t="s">
        <v>180</v>
      </c>
      <c r="U37" s="75">
        <v>37.799999999999997</v>
      </c>
      <c r="V37" s="79" t="s">
        <v>144</v>
      </c>
      <c r="W37" s="60">
        <f>X37/Gebouweigenschappen!$B$3</f>
        <v>4.4077541573051446</v>
      </c>
      <c r="X37" s="60">
        <f t="shared" si="4"/>
        <v>383.47461168554759</v>
      </c>
    </row>
    <row r="38" spans="1:24" ht="29" x14ac:dyDescent="0.35">
      <c r="A38" s="59" t="s">
        <v>45</v>
      </c>
      <c r="B38" s="13">
        <v>61</v>
      </c>
      <c r="C38" s="35" t="s">
        <v>124</v>
      </c>
      <c r="D38" s="46" t="s">
        <v>49</v>
      </c>
      <c r="E38" s="56" t="e">
        <f>VLOOKUP(F38,Materialen!$A$2:$B$99,2,FALSE)</f>
        <v>#N/A</v>
      </c>
      <c r="F38" s="14" t="s">
        <v>50</v>
      </c>
      <c r="G38" s="75">
        <f>2*PI()*Gebouweigenschappen!I6</f>
        <v>0.1413716694115407</v>
      </c>
      <c r="H38" s="75">
        <f>((Gebouweigenschappen!B5+Gebouweigenschappen!B6)+(Gebouweigenschappen!B8+Gebouweigenschappen!B9)+(Gebouweigenschappen!B11+Gebouweigenschappen!B12)+(Gebouweigenschappen!B2*Gebouweigenschappen!B20))</f>
        <v>40.333333333333336</v>
      </c>
      <c r="I38" s="75">
        <v>1E-3</v>
      </c>
      <c r="J38" s="75"/>
      <c r="K38" s="15"/>
      <c r="L38" s="64"/>
      <c r="M38" s="15"/>
      <c r="N38" s="75">
        <f>G38*I38</f>
        <v>1.4137166941154071E-4</v>
      </c>
      <c r="O38" s="75">
        <f t="shared" si="5"/>
        <v>5.7019906662654756E-3</v>
      </c>
      <c r="P38" s="64">
        <v>7800</v>
      </c>
      <c r="Q38" s="22">
        <f>((Gebouweigenschappen!B5+Gebouweigenschappen!B6)+(Gebouweigenschappen!B8+Gebouweigenschappen!B9)+(Gebouweigenschappen!B11+Gebouweigenschappen!B12)+(Gebouweigenschappen!B2*Gebouweigenschappen!B20))*Gebouweigenschappen!L6</f>
        <v>44.475527196870715</v>
      </c>
      <c r="R38" s="60">
        <f>Q38/Gebouweigenschappen!$B$3</f>
        <v>0.51121295628587027</v>
      </c>
      <c r="S38" s="27" t="str">
        <f t="shared" si="0"/>
        <v>0059</v>
      </c>
      <c r="T38" s="81" t="s">
        <v>180</v>
      </c>
      <c r="U38" s="75">
        <v>37.799999999999997</v>
      </c>
      <c r="V38" s="79" t="s">
        <v>144</v>
      </c>
      <c r="W38" s="60">
        <f>X38/Gebouweigenschappen!$B$3</f>
        <v>19.323849747605895</v>
      </c>
      <c r="X38" s="60">
        <f t="shared" si="4"/>
        <v>1681.174928041713</v>
      </c>
    </row>
    <row r="39" spans="1:24" x14ac:dyDescent="0.35">
      <c r="A39" s="18"/>
      <c r="B39" s="18"/>
      <c r="C39" s="18"/>
      <c r="D39" s="18"/>
      <c r="E39" s="47"/>
      <c r="F39" s="2"/>
      <c r="G39" s="2"/>
      <c r="H39" s="2"/>
      <c r="I39" s="70"/>
      <c r="J39" s="2"/>
      <c r="K39" s="2"/>
      <c r="L39" s="70"/>
      <c r="M39" s="2"/>
      <c r="N39" s="2"/>
      <c r="O39" s="2"/>
      <c r="P39" s="70"/>
      <c r="Q39" s="8"/>
      <c r="R39" s="8"/>
      <c r="S39" s="8"/>
      <c r="T39" s="82"/>
    </row>
    <row r="40" spans="1:24" x14ac:dyDescent="0.35">
      <c r="A40" s="18"/>
      <c r="B40" s="18"/>
      <c r="C40" s="18"/>
      <c r="D40" s="18"/>
      <c r="E40" s="47"/>
      <c r="F40" s="2"/>
      <c r="G40" s="2"/>
      <c r="H40" s="2"/>
      <c r="I40" s="70"/>
      <c r="J40" s="2"/>
      <c r="K40" s="2"/>
      <c r="L40" s="70"/>
      <c r="M40" s="2"/>
      <c r="N40" s="2"/>
      <c r="O40" s="2"/>
      <c r="P40" s="70"/>
      <c r="Q40" s="8"/>
      <c r="R40" s="8"/>
      <c r="S40" s="8"/>
      <c r="T40" s="82"/>
    </row>
    <row r="41" spans="1:24" x14ac:dyDescent="0.35">
      <c r="A41" s="18"/>
      <c r="B41" s="18"/>
      <c r="C41" s="18"/>
      <c r="D41" s="18"/>
      <c r="E41" s="3"/>
      <c r="F41" s="2"/>
      <c r="G41" s="2"/>
      <c r="H41" s="2"/>
      <c r="I41" s="70"/>
      <c r="J41" s="2"/>
      <c r="K41" s="2"/>
      <c r="L41" s="70"/>
      <c r="M41" s="2"/>
      <c r="N41" s="2"/>
      <c r="O41" s="2"/>
      <c r="P41" s="70"/>
      <c r="Q41" s="8"/>
      <c r="R41" s="8"/>
      <c r="S41" s="8"/>
      <c r="T41" s="82"/>
    </row>
    <row r="42" spans="1:24" x14ac:dyDescent="0.35">
      <c r="A42" s="19"/>
      <c r="B42" s="19"/>
      <c r="C42" s="19"/>
      <c r="D42" s="18"/>
      <c r="F42" s="1"/>
      <c r="G42" s="1"/>
      <c r="H42" s="1"/>
      <c r="I42" s="72"/>
      <c r="J42" s="1"/>
      <c r="K42" s="1"/>
      <c r="L42" s="72"/>
      <c r="M42" s="1"/>
      <c r="N42" s="1"/>
      <c r="O42" s="1"/>
      <c r="P42" s="72"/>
    </row>
    <row r="43" spans="1:24" x14ac:dyDescent="0.35">
      <c r="A43" s="20"/>
      <c r="B43" s="20"/>
      <c r="C43" s="20"/>
      <c r="D43" s="18"/>
      <c r="E43" s="6"/>
      <c r="F43" s="5"/>
      <c r="G43" s="5"/>
      <c r="H43" s="5"/>
      <c r="I43" s="73"/>
      <c r="J43" s="5"/>
      <c r="K43" s="5"/>
      <c r="L43" s="73"/>
      <c r="M43" s="5"/>
      <c r="N43" s="5"/>
      <c r="O43" s="5"/>
      <c r="P43" s="73"/>
      <c r="Q43" s="10"/>
      <c r="R43" s="10"/>
      <c r="S43" s="10"/>
      <c r="T43" s="8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7C6E-9944-49AE-8784-3861F341919F}">
  <dimension ref="A1:M51"/>
  <sheetViews>
    <sheetView workbookViewId="0">
      <selection activeCell="B9" sqref="B9"/>
    </sheetView>
  </sheetViews>
  <sheetFormatPr defaultRowHeight="14.5" x14ac:dyDescent="0.35"/>
  <cols>
    <col min="1" max="1" width="29.7265625" bestFit="1" customWidth="1"/>
    <col min="2" max="2" width="28.81640625" bestFit="1" customWidth="1"/>
    <col min="3" max="3" width="33.1796875" bestFit="1" customWidth="1"/>
    <col min="4" max="4" width="24.7265625" bestFit="1" customWidth="1"/>
    <col min="5" max="5" width="20.26953125" bestFit="1" customWidth="1"/>
    <col min="6" max="6" width="11.54296875" customWidth="1"/>
    <col min="7" max="7" width="21.453125" customWidth="1"/>
    <col min="8" max="8" width="11.54296875" customWidth="1"/>
    <col min="10" max="10" width="15.26953125" bestFit="1" customWidth="1"/>
    <col min="11" max="11" width="14" customWidth="1"/>
    <col min="12" max="12" width="12.1796875" bestFit="1" customWidth="1"/>
    <col min="13" max="13" width="11.453125" bestFit="1" customWidth="1"/>
  </cols>
  <sheetData>
    <row r="1" spans="1:13" ht="43.5" x14ac:dyDescent="0.35">
      <c r="A1" s="32" t="s">
        <v>70</v>
      </c>
      <c r="B1" s="33" t="s">
        <v>71</v>
      </c>
      <c r="C1" s="33" t="s">
        <v>72</v>
      </c>
      <c r="D1" s="41" t="s">
        <v>73</v>
      </c>
      <c r="E1" s="26"/>
      <c r="F1" s="9"/>
      <c r="G1" s="34" t="s">
        <v>74</v>
      </c>
      <c r="H1" s="34" t="s">
        <v>75</v>
      </c>
      <c r="I1" s="34" t="s">
        <v>77</v>
      </c>
      <c r="J1" s="34" t="s">
        <v>76</v>
      </c>
      <c r="K1" s="34" t="s">
        <v>78</v>
      </c>
      <c r="L1" s="36" t="s">
        <v>81</v>
      </c>
      <c r="M1" s="36" t="s">
        <v>80</v>
      </c>
    </row>
    <row r="2" spans="1:13" ht="29" x14ac:dyDescent="0.35">
      <c r="A2" s="25" t="s">
        <v>41</v>
      </c>
      <c r="B2" s="26">
        <v>3</v>
      </c>
      <c r="C2" s="35" t="s">
        <v>56</v>
      </c>
      <c r="D2" s="42" t="s">
        <v>59</v>
      </c>
      <c r="E2" s="26"/>
      <c r="F2" s="9"/>
      <c r="G2" s="35" t="s">
        <v>46</v>
      </c>
      <c r="H2" s="35">
        <v>0.02</v>
      </c>
      <c r="I2" s="35">
        <f>H2/2</f>
        <v>0.01</v>
      </c>
      <c r="J2" s="35">
        <v>1.1999999999999999E-3</v>
      </c>
      <c r="K2" s="37">
        <f>2*PI()*I2*J2</f>
        <v>7.5398223686155033E-5</v>
      </c>
      <c r="L2" s="37">
        <f>K2*Dichtheden!$B$4</f>
        <v>0.58810614475200929</v>
      </c>
      <c r="M2" s="37">
        <f>K2*Dichtheden!$B$5</f>
        <v>0.10555751316061705</v>
      </c>
    </row>
    <row r="3" spans="1:13" ht="29" x14ac:dyDescent="0.35">
      <c r="A3" s="25" t="s">
        <v>29</v>
      </c>
      <c r="B3" s="26">
        <v>87</v>
      </c>
      <c r="C3" s="35" t="s">
        <v>57</v>
      </c>
      <c r="D3" s="42" t="s">
        <v>59</v>
      </c>
      <c r="E3" s="26"/>
      <c r="F3" s="9"/>
      <c r="G3" s="35" t="s">
        <v>51</v>
      </c>
      <c r="H3" s="35">
        <v>1.4999999999999999E-2</v>
      </c>
      <c r="I3" s="35">
        <f>H3/2</f>
        <v>7.4999999999999997E-3</v>
      </c>
      <c r="J3" s="35">
        <v>1.1999999999999999E-3</v>
      </c>
      <c r="K3" s="37">
        <f>2*PI()*I3*J3</f>
        <v>5.6548667764616268E-5</v>
      </c>
      <c r="L3" s="37">
        <f>K3*Dichtheden!$B$4</f>
        <v>0.44107960856400691</v>
      </c>
      <c r="M3" s="37">
        <f>K3*Dichtheden!$B$5</f>
        <v>7.9168134870462772E-2</v>
      </c>
    </row>
    <row r="4" spans="1:13" ht="29" x14ac:dyDescent="0.35">
      <c r="A4" s="25" t="s">
        <v>34</v>
      </c>
      <c r="B4" s="26">
        <v>47</v>
      </c>
      <c r="C4" s="35" t="s">
        <v>57</v>
      </c>
      <c r="D4" s="42" t="s">
        <v>59</v>
      </c>
      <c r="E4" s="26"/>
      <c r="F4" s="9"/>
      <c r="G4" s="35" t="s">
        <v>52</v>
      </c>
      <c r="H4" s="35">
        <v>0.05</v>
      </c>
      <c r="I4" s="35">
        <f>H4/2</f>
        <v>2.5000000000000001E-2</v>
      </c>
      <c r="J4" s="35">
        <v>3.2000000000000002E-3</v>
      </c>
      <c r="K4" s="37">
        <f>2*PI()*I4*J4</f>
        <v>5.0265482457436696E-4</v>
      </c>
      <c r="L4" s="37">
        <f>K4*Dichtheden!$B$4</f>
        <v>3.9207076316800622</v>
      </c>
      <c r="M4" s="37">
        <f>K4*Dichtheden!$B$5</f>
        <v>0.70371675440411374</v>
      </c>
    </row>
    <row r="5" spans="1:13" x14ac:dyDescent="0.35">
      <c r="A5" s="25" t="s">
        <v>62</v>
      </c>
      <c r="B5" s="26">
        <v>9</v>
      </c>
      <c r="C5" s="35" t="s">
        <v>58</v>
      </c>
      <c r="D5" s="43" t="s">
        <v>61</v>
      </c>
      <c r="E5" s="26"/>
      <c r="F5" s="9"/>
      <c r="G5" s="35" t="s">
        <v>48</v>
      </c>
      <c r="H5" s="35">
        <v>1.4999999999999999E-2</v>
      </c>
      <c r="I5" s="35">
        <f>H5/2</f>
        <v>7.4999999999999997E-3</v>
      </c>
      <c r="J5" s="35">
        <v>1.1999999999999999E-3</v>
      </c>
      <c r="K5" s="37">
        <f>2*PI()*I5*J5</f>
        <v>5.6548667764616268E-5</v>
      </c>
      <c r="L5" s="37">
        <f>K5*Dichtheden!$B$4</f>
        <v>0.44107960856400691</v>
      </c>
      <c r="M5" s="37">
        <f>K5*Dichtheden!$B$5</f>
        <v>7.9168134870462772E-2</v>
      </c>
    </row>
    <row r="6" spans="1:13" x14ac:dyDescent="0.35">
      <c r="A6" s="25" t="s">
        <v>63</v>
      </c>
      <c r="B6" s="26">
        <v>5</v>
      </c>
      <c r="C6" s="35" t="s">
        <v>58</v>
      </c>
      <c r="D6" s="43" t="s">
        <v>61</v>
      </c>
      <c r="E6" s="26"/>
      <c r="F6" s="9"/>
      <c r="G6" s="35" t="s">
        <v>49</v>
      </c>
      <c r="H6" s="35">
        <f>3*0.015</f>
        <v>4.4999999999999998E-2</v>
      </c>
      <c r="I6" s="35">
        <f>H6/2</f>
        <v>2.2499999999999999E-2</v>
      </c>
      <c r="J6" s="35">
        <v>1E-3</v>
      </c>
      <c r="K6" s="37">
        <f>2*PI()*I6*J6</f>
        <v>1.4137166941154071E-4</v>
      </c>
      <c r="L6" s="37">
        <f>K6*Dichtheden!$B$4</f>
        <v>1.1026990214100176</v>
      </c>
      <c r="M6" s="37">
        <f>K6*Dichtheden!$B$5</f>
        <v>0.19792033717615701</v>
      </c>
    </row>
    <row r="7" spans="1:13" x14ac:dyDescent="0.35">
      <c r="A7" s="25" t="s">
        <v>64</v>
      </c>
      <c r="B7" s="26">
        <f>0.75*(B3-B4)</f>
        <v>30</v>
      </c>
      <c r="C7" s="35" t="s">
        <v>57</v>
      </c>
      <c r="D7" s="43" t="s">
        <v>33</v>
      </c>
      <c r="E7" s="26"/>
      <c r="F7" s="9"/>
      <c r="G7" s="23"/>
      <c r="H7" s="23"/>
      <c r="I7" s="23"/>
      <c r="J7" s="23"/>
      <c r="K7" s="23"/>
      <c r="L7" s="23"/>
      <c r="M7" s="23"/>
    </row>
    <row r="8" spans="1:13" x14ac:dyDescent="0.35">
      <c r="A8" s="25" t="s">
        <v>66</v>
      </c>
      <c r="B8" s="26">
        <f>B7/B9</f>
        <v>6</v>
      </c>
      <c r="C8" s="35" t="s">
        <v>58</v>
      </c>
      <c r="D8" s="43" t="s">
        <v>61</v>
      </c>
      <c r="E8" s="26"/>
      <c r="F8" s="9"/>
      <c r="G8" s="23"/>
      <c r="H8" s="23"/>
      <c r="I8" s="23"/>
      <c r="J8" s="23"/>
      <c r="K8" s="23"/>
      <c r="L8" s="23"/>
      <c r="M8" s="23"/>
    </row>
    <row r="9" spans="1:13" x14ac:dyDescent="0.35">
      <c r="A9" s="25" t="s">
        <v>67</v>
      </c>
      <c r="B9" s="26">
        <f>B6</f>
        <v>5</v>
      </c>
      <c r="C9" s="35" t="s">
        <v>58</v>
      </c>
      <c r="D9" s="43" t="s">
        <v>61</v>
      </c>
      <c r="E9" s="26"/>
      <c r="F9" s="9"/>
      <c r="G9" s="23"/>
      <c r="H9" s="23"/>
      <c r="I9" s="23"/>
      <c r="J9" s="23"/>
      <c r="K9" s="23"/>
      <c r="L9" s="23"/>
      <c r="M9" s="23"/>
    </row>
    <row r="10" spans="1:13" x14ac:dyDescent="0.35">
      <c r="A10" s="25" t="s">
        <v>65</v>
      </c>
      <c r="B10" s="26">
        <f>B3-B4-B7</f>
        <v>10</v>
      </c>
      <c r="C10" s="35" t="s">
        <v>57</v>
      </c>
      <c r="D10" s="43" t="s">
        <v>33</v>
      </c>
      <c r="E10" s="26"/>
      <c r="F10" s="9"/>
      <c r="G10" s="23"/>
      <c r="H10" s="23"/>
      <c r="I10" s="23"/>
      <c r="J10" s="23"/>
      <c r="K10" s="23"/>
      <c r="L10" s="23"/>
      <c r="M10" s="23"/>
    </row>
    <row r="11" spans="1:13" x14ac:dyDescent="0.35">
      <c r="A11" s="25" t="s">
        <v>68</v>
      </c>
      <c r="B11" s="27">
        <f>B10/B12</f>
        <v>3.3333333333333335</v>
      </c>
      <c r="C11" s="35" t="s">
        <v>58</v>
      </c>
      <c r="D11" s="43" t="s">
        <v>61</v>
      </c>
      <c r="E11" s="26"/>
      <c r="F11" s="9"/>
      <c r="G11" s="23"/>
      <c r="H11" s="23"/>
      <c r="I11" s="23"/>
      <c r="J11" s="23"/>
      <c r="K11" s="23"/>
      <c r="L11" s="23"/>
      <c r="M11" s="23"/>
    </row>
    <row r="12" spans="1:13" x14ac:dyDescent="0.35">
      <c r="A12" s="25" t="s">
        <v>69</v>
      </c>
      <c r="B12" s="26">
        <v>3</v>
      </c>
      <c r="C12" s="35" t="s">
        <v>58</v>
      </c>
      <c r="D12" s="43" t="s">
        <v>61</v>
      </c>
      <c r="E12" s="26"/>
      <c r="F12" s="9"/>
      <c r="G12" s="23"/>
      <c r="H12" s="23"/>
      <c r="I12" s="23"/>
      <c r="J12" s="23"/>
      <c r="K12" s="23"/>
      <c r="L12" s="23"/>
      <c r="M12" s="23"/>
    </row>
    <row r="13" spans="1:13" ht="29" x14ac:dyDescent="0.35">
      <c r="A13" s="25" t="s">
        <v>35</v>
      </c>
      <c r="B13" s="27">
        <v>42.3</v>
      </c>
      <c r="C13" s="35" t="s">
        <v>57</v>
      </c>
      <c r="D13" s="42" t="s">
        <v>59</v>
      </c>
      <c r="E13" s="26"/>
      <c r="F13" s="9"/>
      <c r="G13" s="23"/>
      <c r="H13" s="23"/>
      <c r="I13" s="23"/>
      <c r="J13" s="23"/>
      <c r="K13" s="23"/>
      <c r="L13" s="23"/>
      <c r="M13" s="23"/>
    </row>
    <row r="14" spans="1:13" ht="29" x14ac:dyDescent="0.35">
      <c r="A14" s="25" t="s">
        <v>86</v>
      </c>
      <c r="B14" s="27">
        <v>53</v>
      </c>
      <c r="C14" s="35" t="s">
        <v>57</v>
      </c>
      <c r="D14" s="42" t="s">
        <v>59</v>
      </c>
      <c r="E14" s="26"/>
      <c r="F14" s="9"/>
      <c r="G14" s="23"/>
      <c r="H14" s="23"/>
      <c r="I14" s="23"/>
      <c r="J14" s="23"/>
      <c r="K14" s="23"/>
      <c r="L14" s="23"/>
      <c r="M14" s="23"/>
    </row>
    <row r="15" spans="1:13" ht="29" x14ac:dyDescent="0.35">
      <c r="A15" s="25" t="s">
        <v>36</v>
      </c>
      <c r="B15" s="27">
        <v>57.3</v>
      </c>
      <c r="C15" s="35" t="s">
        <v>57</v>
      </c>
      <c r="D15" s="42" t="s">
        <v>59</v>
      </c>
      <c r="E15" s="26"/>
      <c r="F15" s="9"/>
      <c r="G15" s="23"/>
      <c r="H15" s="23"/>
      <c r="I15" s="23"/>
      <c r="J15" s="23"/>
      <c r="K15" s="23"/>
      <c r="L15" s="23"/>
      <c r="M15" s="23"/>
    </row>
    <row r="16" spans="1:13" ht="29" x14ac:dyDescent="0.35">
      <c r="A16" s="25" t="s">
        <v>30</v>
      </c>
      <c r="B16" s="28">
        <f>1-B17-B18</f>
        <v>0.28000000000000003</v>
      </c>
      <c r="C16" s="38">
        <v>6.5</v>
      </c>
      <c r="D16" s="43" t="s">
        <v>57</v>
      </c>
      <c r="E16" s="16" t="s">
        <v>59</v>
      </c>
      <c r="F16" s="7"/>
      <c r="G16" s="23"/>
      <c r="H16" s="23"/>
      <c r="I16" s="23"/>
      <c r="J16" s="23"/>
      <c r="K16" s="23"/>
      <c r="L16" s="23"/>
      <c r="M16" s="23"/>
    </row>
    <row r="17" spans="1:13" ht="29" x14ac:dyDescent="0.35">
      <c r="A17" s="21" t="s">
        <v>31</v>
      </c>
      <c r="B17" s="29">
        <v>0.6</v>
      </c>
      <c r="C17" s="38">
        <f>14.9+1.8</f>
        <v>16.7</v>
      </c>
      <c r="D17" s="43" t="s">
        <v>57</v>
      </c>
      <c r="E17" s="16" t="s">
        <v>59</v>
      </c>
      <c r="F17" s="7"/>
      <c r="G17" s="23"/>
      <c r="H17" s="23"/>
      <c r="I17" s="23"/>
      <c r="J17" s="23"/>
      <c r="K17" s="23"/>
      <c r="L17" s="23"/>
      <c r="M17" s="23"/>
    </row>
    <row r="18" spans="1:13" ht="29" x14ac:dyDescent="0.35">
      <c r="A18" s="21" t="s">
        <v>32</v>
      </c>
      <c r="B18" s="29">
        <v>0.12</v>
      </c>
      <c r="C18" s="39">
        <v>0</v>
      </c>
      <c r="D18" s="43" t="s">
        <v>57</v>
      </c>
      <c r="E18" s="16" t="s">
        <v>59</v>
      </c>
      <c r="F18" s="7"/>
      <c r="G18" s="23"/>
      <c r="H18" s="23"/>
      <c r="I18" s="23"/>
      <c r="J18" s="23"/>
      <c r="K18" s="23"/>
      <c r="L18" s="23"/>
      <c r="M18" s="23"/>
    </row>
    <row r="19" spans="1:13" x14ac:dyDescent="0.35">
      <c r="A19" s="30" t="s">
        <v>82</v>
      </c>
      <c r="B19" s="31">
        <v>2.5</v>
      </c>
      <c r="C19" s="35" t="s">
        <v>58</v>
      </c>
      <c r="D19" s="43" t="s">
        <v>60</v>
      </c>
      <c r="E19" s="26"/>
      <c r="F19" s="9"/>
      <c r="G19" s="23"/>
      <c r="H19" s="23"/>
      <c r="I19" s="23"/>
      <c r="J19" s="23"/>
      <c r="K19" s="23"/>
      <c r="L19" s="23"/>
      <c r="M19" s="23"/>
    </row>
    <row r="20" spans="1:13" x14ac:dyDescent="0.35">
      <c r="A20" s="21" t="s">
        <v>83</v>
      </c>
      <c r="B20" s="13">
        <v>3</v>
      </c>
      <c r="C20" s="35" t="s">
        <v>58</v>
      </c>
      <c r="D20" s="43" t="s">
        <v>60</v>
      </c>
      <c r="E20" s="26"/>
      <c r="F20" s="9"/>
      <c r="G20" s="23"/>
      <c r="H20" s="23"/>
      <c r="I20" s="23"/>
      <c r="J20" s="23"/>
      <c r="K20" s="23"/>
      <c r="L20" s="23"/>
      <c r="M20" s="23"/>
    </row>
    <row r="21" spans="1:13" x14ac:dyDescent="0.35">
      <c r="A21" s="21" t="s">
        <v>131</v>
      </c>
      <c r="B21" s="64">
        <v>75</v>
      </c>
      <c r="C21" s="65" t="s">
        <v>132</v>
      </c>
      <c r="D21" s="43"/>
      <c r="E21" s="26"/>
    </row>
    <row r="22" spans="1:13" x14ac:dyDescent="0.35">
      <c r="A22" s="86" t="s">
        <v>181</v>
      </c>
      <c r="B22" s="87">
        <f>SUM('BOM rijtjeswoning'!W2:W38)/B21</f>
        <v>1.2063402113355741</v>
      </c>
      <c r="C22" s="88" t="s">
        <v>182</v>
      </c>
    </row>
    <row r="23" spans="1:13" x14ac:dyDescent="0.35">
      <c r="A23" s="23"/>
      <c r="B23" s="23"/>
      <c r="C23" s="23"/>
      <c r="D23" s="23"/>
      <c r="E23" s="23"/>
      <c r="F23" s="23"/>
      <c r="G23" s="23"/>
      <c r="H23" s="23"/>
    </row>
    <row r="24" spans="1:13" x14ac:dyDescent="0.35">
      <c r="A24" s="23"/>
      <c r="B24" s="35" t="s">
        <v>89</v>
      </c>
      <c r="C24" s="35" t="s">
        <v>88</v>
      </c>
      <c r="D24" s="35" t="s">
        <v>90</v>
      </c>
      <c r="E24" s="23"/>
      <c r="F24" s="23"/>
      <c r="G24" s="23"/>
      <c r="H24" s="23"/>
    </row>
    <row r="25" spans="1:13" x14ac:dyDescent="0.35">
      <c r="A25" s="23"/>
      <c r="B25" s="68">
        <f>(0.48*0.08+0.24*0.08+0.115*0.08)</f>
        <v>6.6799999999999998E-2</v>
      </c>
      <c r="C25" s="40">
        <f>(3*B5+3*B6)*B25</f>
        <v>2.8056000000000001</v>
      </c>
      <c r="D25" s="40">
        <f>(3*Gebouweigenschappen!B5+3*Gebouweigenschappen!B6)*0.15*0.7</f>
        <v>4.4099999999999993</v>
      </c>
      <c r="E25" s="23"/>
      <c r="F25" s="23"/>
      <c r="G25" s="23"/>
      <c r="H25" s="23"/>
    </row>
    <row r="26" spans="1:13" x14ac:dyDescent="0.35">
      <c r="A26" s="23"/>
      <c r="B26" s="23"/>
      <c r="C26" s="23"/>
      <c r="D26" s="23"/>
      <c r="E26" s="23"/>
      <c r="F26" s="23"/>
      <c r="G26" s="23"/>
      <c r="H26" s="23"/>
    </row>
    <row r="27" spans="1:13" x14ac:dyDescent="0.35">
      <c r="D27" s="23"/>
      <c r="E27" s="23"/>
      <c r="F27" s="23"/>
      <c r="G27" s="23"/>
      <c r="H27" s="23" t="s">
        <v>133</v>
      </c>
    </row>
    <row r="28" spans="1:13" x14ac:dyDescent="0.35">
      <c r="A28" s="23"/>
      <c r="B28" s="23"/>
      <c r="C28" s="23"/>
      <c r="D28" s="23"/>
      <c r="F28" s="23"/>
      <c r="G28" s="23"/>
      <c r="H28" t="s">
        <v>134</v>
      </c>
      <c r="I28">
        <v>0.115</v>
      </c>
      <c r="J28" t="s">
        <v>58</v>
      </c>
    </row>
    <row r="29" spans="1:13" x14ac:dyDescent="0.35">
      <c r="A29" s="23"/>
      <c r="B29" s="23"/>
      <c r="C29" s="23"/>
      <c r="D29" s="23"/>
      <c r="F29" s="23"/>
      <c r="G29" s="23"/>
      <c r="H29" t="s">
        <v>137</v>
      </c>
      <c r="I29">
        <v>0.24</v>
      </c>
      <c r="J29" t="s">
        <v>58</v>
      </c>
    </row>
    <row r="30" spans="1:13" x14ac:dyDescent="0.35">
      <c r="A30" s="23"/>
      <c r="B30" s="23"/>
      <c r="C30" s="23"/>
      <c r="D30" s="23"/>
      <c r="F30" s="23"/>
      <c r="G30" s="23"/>
      <c r="H30" t="s">
        <v>135</v>
      </c>
      <c r="I30">
        <v>0.04</v>
      </c>
      <c r="J30" t="s">
        <v>58</v>
      </c>
    </row>
    <row r="31" spans="1:13" x14ac:dyDescent="0.35">
      <c r="A31" s="23"/>
      <c r="B31" s="23"/>
      <c r="C31" s="23"/>
      <c r="D31" s="23"/>
      <c r="G31" s="23"/>
      <c r="H31" t="s">
        <v>138</v>
      </c>
      <c r="I31">
        <f>I30*I29*I28</f>
        <v>1.1039999999999999E-3</v>
      </c>
      <c r="J31" t="s">
        <v>136</v>
      </c>
    </row>
    <row r="32" spans="1:13" x14ac:dyDescent="0.35">
      <c r="E32" s="23"/>
      <c r="F32" s="23"/>
      <c r="G32" s="23"/>
    </row>
    <row r="33" spans="1:11" x14ac:dyDescent="0.35">
      <c r="A33" s="23"/>
      <c r="D33" s="23"/>
      <c r="H33" t="s">
        <v>143</v>
      </c>
      <c r="I33">
        <f>C25/I31</f>
        <v>2541.304347826087</v>
      </c>
    </row>
    <row r="39" spans="1:11" x14ac:dyDescent="0.35">
      <c r="I39" s="67"/>
      <c r="K39" s="67"/>
    </row>
    <row r="43" spans="1:11" x14ac:dyDescent="0.35">
      <c r="I43" s="67"/>
    </row>
    <row r="47" spans="1:11" x14ac:dyDescent="0.35">
      <c r="I47" s="67"/>
    </row>
    <row r="50" spans="9:9" x14ac:dyDescent="0.35">
      <c r="I50" s="67"/>
    </row>
    <row r="51" spans="9:9" x14ac:dyDescent="0.35">
      <c r="I51" s="66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2"/>
  <sheetViews>
    <sheetView workbookViewId="0">
      <selection activeCell="C28" sqref="C28"/>
    </sheetView>
  </sheetViews>
  <sheetFormatPr defaultRowHeight="14.5" x14ac:dyDescent="0.35"/>
  <cols>
    <col min="3" max="3" width="56.7265625" bestFit="1" customWidth="1"/>
  </cols>
  <sheetData>
    <row r="1" spans="1:3" x14ac:dyDescent="0.35">
      <c r="A1" s="51" t="s">
        <v>101</v>
      </c>
      <c r="B1" s="51" t="s">
        <v>79</v>
      </c>
      <c r="C1" s="51" t="s">
        <v>102</v>
      </c>
    </row>
    <row r="2" spans="1:3" x14ac:dyDescent="0.35">
      <c r="A2" s="52" t="s">
        <v>103</v>
      </c>
      <c r="B2" s="52">
        <v>1150</v>
      </c>
      <c r="C2" s="52"/>
    </row>
    <row r="3" spans="1:3" x14ac:dyDescent="0.35">
      <c r="A3" s="52" t="s">
        <v>104</v>
      </c>
      <c r="B3" s="52">
        <v>1500</v>
      </c>
      <c r="C3" s="52" t="s">
        <v>105</v>
      </c>
    </row>
    <row r="4" spans="1:3" x14ac:dyDescent="0.35">
      <c r="A4" s="21" t="s">
        <v>106</v>
      </c>
      <c r="B4" s="13">
        <v>7800</v>
      </c>
      <c r="C4" s="52"/>
    </row>
    <row r="5" spans="1:3" x14ac:dyDescent="0.35">
      <c r="A5" s="21" t="s">
        <v>107</v>
      </c>
      <c r="B5" s="13">
        <v>1400</v>
      </c>
      <c r="C5" s="52"/>
    </row>
    <row r="6" spans="1:3" x14ac:dyDescent="0.35">
      <c r="A6" s="52" t="s">
        <v>112</v>
      </c>
      <c r="B6" s="52">
        <v>7150</v>
      </c>
      <c r="C6" s="52"/>
    </row>
    <row r="7" spans="1:3" x14ac:dyDescent="0.35">
      <c r="A7" s="52" t="s">
        <v>2</v>
      </c>
      <c r="B7" s="52">
        <v>500</v>
      </c>
      <c r="C7" s="52"/>
    </row>
    <row r="8" spans="1:3" x14ac:dyDescent="0.35">
      <c r="A8" s="52"/>
      <c r="B8" s="52"/>
      <c r="C8" s="52"/>
    </row>
    <row r="9" spans="1:3" x14ac:dyDescent="0.35">
      <c r="A9" s="52"/>
      <c r="B9" s="52"/>
      <c r="C9" s="52"/>
    </row>
    <row r="10" spans="1:3" x14ac:dyDescent="0.35">
      <c r="A10" s="52"/>
      <c r="B10" s="52"/>
      <c r="C10" s="52"/>
    </row>
    <row r="11" spans="1:3" x14ac:dyDescent="0.35">
      <c r="A11" s="52"/>
      <c r="B11" s="52"/>
      <c r="C11" s="52"/>
    </row>
    <row r="12" spans="1:3" x14ac:dyDescent="0.35">
      <c r="A12" s="52"/>
      <c r="B12" s="52"/>
      <c r="C12" s="52"/>
    </row>
    <row r="13" spans="1:3" x14ac:dyDescent="0.35">
      <c r="A13" s="52"/>
      <c r="B13" s="52"/>
      <c r="C13" s="52"/>
    </row>
    <row r="14" spans="1:3" x14ac:dyDescent="0.35">
      <c r="A14" s="52"/>
      <c r="B14" s="52"/>
      <c r="C14" s="52"/>
    </row>
    <row r="15" spans="1:3" x14ac:dyDescent="0.35">
      <c r="A15" s="52"/>
      <c r="B15" s="52"/>
      <c r="C15" s="52"/>
    </row>
    <row r="16" spans="1:3" x14ac:dyDescent="0.35">
      <c r="A16" s="52"/>
      <c r="B16" s="52"/>
      <c r="C16" s="52"/>
    </row>
    <row r="17" spans="1:3" x14ac:dyDescent="0.35">
      <c r="A17" s="52"/>
      <c r="B17" s="52"/>
      <c r="C17" s="52"/>
    </row>
    <row r="18" spans="1:3" x14ac:dyDescent="0.35">
      <c r="A18" s="52"/>
      <c r="B18" s="52"/>
      <c r="C18" s="52"/>
    </row>
    <row r="19" spans="1:3" x14ac:dyDescent="0.35">
      <c r="A19" s="52"/>
      <c r="B19" s="52"/>
      <c r="C19" s="52"/>
    </row>
    <row r="20" spans="1:3" x14ac:dyDescent="0.35">
      <c r="A20" s="52"/>
      <c r="B20" s="52"/>
      <c r="C20" s="52"/>
    </row>
    <row r="21" spans="1:3" x14ac:dyDescent="0.35">
      <c r="A21" s="52"/>
      <c r="B21" s="52"/>
      <c r="C21" s="52"/>
    </row>
    <row r="22" spans="1:3" x14ac:dyDescent="0.35">
      <c r="A22" s="52"/>
      <c r="B22" s="52"/>
      <c r="C22" s="52"/>
    </row>
    <row r="23" spans="1:3" x14ac:dyDescent="0.35">
      <c r="A23" s="52"/>
      <c r="B23" s="52"/>
      <c r="C23" s="52"/>
    </row>
    <row r="24" spans="1:3" x14ac:dyDescent="0.35">
      <c r="A24" s="52"/>
      <c r="B24" s="52"/>
      <c r="C24" s="52"/>
    </row>
    <row r="25" spans="1:3" x14ac:dyDescent="0.35">
      <c r="A25" s="52"/>
      <c r="B25" s="52"/>
      <c r="C25" s="52"/>
    </row>
    <row r="26" spans="1:3" x14ac:dyDescent="0.35">
      <c r="A26" s="52"/>
      <c r="B26" s="52"/>
      <c r="C26" s="52"/>
    </row>
    <row r="27" spans="1:3" x14ac:dyDescent="0.35">
      <c r="A27" s="52"/>
      <c r="B27" s="52"/>
      <c r="C27" s="52"/>
    </row>
    <row r="28" spans="1:3" x14ac:dyDescent="0.35">
      <c r="A28" s="52"/>
      <c r="B28" s="52"/>
      <c r="C28" s="52"/>
    </row>
    <row r="29" spans="1:3" x14ac:dyDescent="0.35">
      <c r="A29" s="52"/>
      <c r="B29" s="52"/>
      <c r="C29" s="52"/>
    </row>
    <row r="30" spans="1:3" x14ac:dyDescent="0.35">
      <c r="A30" s="52"/>
      <c r="B30" s="52"/>
      <c r="C30" s="52"/>
    </row>
    <row r="31" spans="1:3" x14ac:dyDescent="0.35">
      <c r="A31" s="52"/>
      <c r="B31" s="52"/>
      <c r="C31" s="52"/>
    </row>
    <row r="32" spans="1:3" x14ac:dyDescent="0.35">
      <c r="A32" s="52"/>
      <c r="B32" s="52"/>
      <c r="C32" s="52"/>
    </row>
    <row r="33" spans="1:3" x14ac:dyDescent="0.35">
      <c r="A33" s="52"/>
      <c r="B33" s="52"/>
      <c r="C33" s="52"/>
    </row>
    <row r="34" spans="1:3" x14ac:dyDescent="0.35">
      <c r="A34" s="52"/>
      <c r="B34" s="52"/>
      <c r="C34" s="52"/>
    </row>
    <row r="35" spans="1:3" x14ac:dyDescent="0.35">
      <c r="A35" s="52"/>
      <c r="B35" s="52"/>
      <c r="C35" s="52"/>
    </row>
    <row r="36" spans="1:3" x14ac:dyDescent="0.35">
      <c r="A36" s="52"/>
      <c r="B36" s="52"/>
      <c r="C36" s="52"/>
    </row>
    <row r="37" spans="1:3" x14ac:dyDescent="0.35">
      <c r="A37" s="52"/>
      <c r="B37" s="52"/>
      <c r="C37" s="52"/>
    </row>
    <row r="38" spans="1:3" x14ac:dyDescent="0.35">
      <c r="A38" s="52"/>
      <c r="B38" s="52"/>
      <c r="C38" s="52"/>
    </row>
    <row r="39" spans="1:3" x14ac:dyDescent="0.35">
      <c r="A39" s="52"/>
      <c r="B39" s="52"/>
      <c r="C39" s="52"/>
    </row>
    <row r="40" spans="1:3" x14ac:dyDescent="0.35">
      <c r="A40" s="52"/>
      <c r="B40" s="52"/>
      <c r="C40" s="52"/>
    </row>
    <row r="41" spans="1:3" x14ac:dyDescent="0.35">
      <c r="A41" s="52"/>
      <c r="B41" s="52"/>
      <c r="C41" s="52"/>
    </row>
    <row r="42" spans="1:3" x14ac:dyDescent="0.35">
      <c r="A42" s="52"/>
      <c r="B42" s="52"/>
      <c r="C42" s="5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99"/>
  <sheetViews>
    <sheetView workbookViewId="0">
      <selection activeCell="E27" sqref="E27"/>
    </sheetView>
  </sheetViews>
  <sheetFormatPr defaultRowHeight="14.5" x14ac:dyDescent="0.35"/>
  <cols>
    <col min="1" max="1" width="35.81640625" bestFit="1" customWidth="1"/>
    <col min="2" max="2" width="18.453125" style="57" bestFit="1" customWidth="1"/>
  </cols>
  <sheetData>
    <row r="1" spans="1:2" x14ac:dyDescent="0.35">
      <c r="A1" t="e">
        <f>[1]!Bouwmaterialen[[#Headers],[Bouwmateriaal]]</f>
        <v>#REF!</v>
      </c>
      <c r="B1" s="57" t="e">
        <f>[1]!Bouwmaterialen[[#Headers],[Key bouwmateriaal]]</f>
        <v>#REF!</v>
      </c>
    </row>
    <row r="2" spans="1:2" x14ac:dyDescent="0.35">
      <c r="A2" t="e">
        <f>[1]!Bouwmaterialen[[#This Row],[Bouwmateriaal]]</f>
        <v>#REF!</v>
      </c>
      <c r="B2" s="57" t="e">
        <f>[1]!Bouwmaterialen[[#This Row],[Key bouwmateriaal]]</f>
        <v>#REF!</v>
      </c>
    </row>
    <row r="3" spans="1:2" x14ac:dyDescent="0.35">
      <c r="A3" t="e">
        <f>[1]!Bouwmaterialen[[#This Row],[Bouwmateriaal]]</f>
        <v>#REF!</v>
      </c>
      <c r="B3" s="57" t="e">
        <f>[1]!Bouwmaterialen[[#This Row],[Key bouwmateriaal]]</f>
        <v>#REF!</v>
      </c>
    </row>
    <row r="4" spans="1:2" x14ac:dyDescent="0.35">
      <c r="A4" t="e">
        <f>[1]!Bouwmaterialen[[#This Row],[Bouwmateriaal]]</f>
        <v>#REF!</v>
      </c>
      <c r="B4" s="57" t="e">
        <f>[1]!Bouwmaterialen[[#This Row],[Key bouwmateriaal]]</f>
        <v>#REF!</v>
      </c>
    </row>
    <row r="5" spans="1:2" x14ac:dyDescent="0.35">
      <c r="A5" t="e">
        <f>[1]!Bouwmaterialen[[#This Row],[Bouwmateriaal]]</f>
        <v>#REF!</v>
      </c>
      <c r="B5" s="57" t="e">
        <f>[1]!Bouwmaterialen[[#This Row],[Key bouwmateriaal]]</f>
        <v>#REF!</v>
      </c>
    </row>
    <row r="6" spans="1:2" x14ac:dyDescent="0.35">
      <c r="A6" t="e">
        <f>[1]!Bouwmaterialen[[#This Row],[Bouwmateriaal]]</f>
        <v>#REF!</v>
      </c>
      <c r="B6" s="57" t="e">
        <f>[1]!Bouwmaterialen[[#This Row],[Key bouwmateriaal]]</f>
        <v>#REF!</v>
      </c>
    </row>
    <row r="7" spans="1:2" x14ac:dyDescent="0.35">
      <c r="A7" t="e">
        <f>[1]!Bouwmaterialen[[#This Row],[Bouwmateriaal]]</f>
        <v>#REF!</v>
      </c>
      <c r="B7" s="57" t="e">
        <f>[1]!Bouwmaterialen[[#This Row],[Key bouwmateriaal]]</f>
        <v>#REF!</v>
      </c>
    </row>
    <row r="8" spans="1:2" x14ac:dyDescent="0.35">
      <c r="A8" t="e">
        <f>[1]!Bouwmaterialen[[#This Row],[Bouwmateriaal]]</f>
        <v>#REF!</v>
      </c>
      <c r="B8" s="57" t="e">
        <f>[1]!Bouwmaterialen[[#This Row],[Key bouwmateriaal]]</f>
        <v>#REF!</v>
      </c>
    </row>
    <row r="9" spans="1:2" x14ac:dyDescent="0.35">
      <c r="A9" t="e">
        <f>[1]!Bouwmaterialen[[#This Row],[Bouwmateriaal]]</f>
        <v>#REF!</v>
      </c>
      <c r="B9" s="57" t="e">
        <f>[1]!Bouwmaterialen[[#This Row],[Key bouwmateriaal]]</f>
        <v>#REF!</v>
      </c>
    </row>
    <row r="10" spans="1:2" x14ac:dyDescent="0.35">
      <c r="A10" t="e">
        <f>[1]!Bouwmaterialen[[#This Row],[Bouwmateriaal]]</f>
        <v>#REF!</v>
      </c>
      <c r="B10" s="57" t="e">
        <f>[1]!Bouwmaterialen[[#This Row],[Key bouwmateriaal]]</f>
        <v>#REF!</v>
      </c>
    </row>
    <row r="11" spans="1:2" x14ac:dyDescent="0.35">
      <c r="A11" t="e">
        <f>[1]!Bouwmaterialen[[#This Row],[Bouwmateriaal]]</f>
        <v>#REF!</v>
      </c>
      <c r="B11" s="57" t="e">
        <f>[1]!Bouwmaterialen[[#This Row],[Key bouwmateriaal]]</f>
        <v>#REF!</v>
      </c>
    </row>
    <row r="12" spans="1:2" x14ac:dyDescent="0.35">
      <c r="A12" t="e">
        <f>[1]!Bouwmaterialen[[#This Row],[Bouwmateriaal]]</f>
        <v>#REF!</v>
      </c>
      <c r="B12" s="57" t="e">
        <f>[1]!Bouwmaterialen[[#This Row],[Key bouwmateriaal]]</f>
        <v>#REF!</v>
      </c>
    </row>
    <row r="13" spans="1:2" x14ac:dyDescent="0.35">
      <c r="A13" t="e">
        <f>[1]!Bouwmaterialen[[#This Row],[Bouwmateriaal]]</f>
        <v>#REF!</v>
      </c>
      <c r="B13" s="57" t="e">
        <f>[1]!Bouwmaterialen[[#This Row],[Key bouwmateriaal]]</f>
        <v>#REF!</v>
      </c>
    </row>
    <row r="14" spans="1:2" x14ac:dyDescent="0.35">
      <c r="A14" t="e">
        <f>[1]!Bouwmaterialen[[#This Row],[Bouwmateriaal]]</f>
        <v>#REF!</v>
      </c>
      <c r="B14" s="57" t="e">
        <f>[1]!Bouwmaterialen[[#This Row],[Key bouwmateriaal]]</f>
        <v>#REF!</v>
      </c>
    </row>
    <row r="15" spans="1:2" x14ac:dyDescent="0.35">
      <c r="A15" t="e">
        <f>[1]!Bouwmaterialen[[#This Row],[Bouwmateriaal]]</f>
        <v>#REF!</v>
      </c>
      <c r="B15" s="57" t="e">
        <f>[1]!Bouwmaterialen[[#This Row],[Key bouwmateriaal]]</f>
        <v>#REF!</v>
      </c>
    </row>
    <row r="16" spans="1:2" x14ac:dyDescent="0.35">
      <c r="A16" t="e">
        <f>[1]!Bouwmaterialen[[#This Row],[Bouwmateriaal]]</f>
        <v>#REF!</v>
      </c>
      <c r="B16" s="57" t="e">
        <f>[1]!Bouwmaterialen[[#This Row],[Key bouwmateriaal]]</f>
        <v>#REF!</v>
      </c>
    </row>
    <row r="17" spans="1:2" x14ac:dyDescent="0.35">
      <c r="A17" t="e">
        <f>[1]!Bouwmaterialen[[#This Row],[Bouwmateriaal]]</f>
        <v>#REF!</v>
      </c>
      <c r="B17" s="57" t="e">
        <f>[1]!Bouwmaterialen[[#This Row],[Key bouwmateriaal]]</f>
        <v>#REF!</v>
      </c>
    </row>
    <row r="18" spans="1:2" x14ac:dyDescent="0.35">
      <c r="A18" t="e">
        <f>[1]!Bouwmaterialen[[#This Row],[Bouwmateriaal]]</f>
        <v>#REF!</v>
      </c>
      <c r="B18" s="57" t="e">
        <f>[1]!Bouwmaterialen[[#This Row],[Key bouwmateriaal]]</f>
        <v>#REF!</v>
      </c>
    </row>
    <row r="19" spans="1:2" x14ac:dyDescent="0.35">
      <c r="A19" t="e">
        <f>[1]!Bouwmaterialen[[#This Row],[Bouwmateriaal]]</f>
        <v>#REF!</v>
      </c>
      <c r="B19" s="57" t="e">
        <f>[1]!Bouwmaterialen[[#This Row],[Key bouwmateriaal]]</f>
        <v>#REF!</v>
      </c>
    </row>
    <row r="20" spans="1:2" x14ac:dyDescent="0.35">
      <c r="A20" t="e">
        <f>[1]!Bouwmaterialen[[#This Row],[Bouwmateriaal]]</f>
        <v>#REF!</v>
      </c>
      <c r="B20" s="57" t="e">
        <f>[1]!Bouwmaterialen[[#This Row],[Key bouwmateriaal]]</f>
        <v>#REF!</v>
      </c>
    </row>
    <row r="21" spans="1:2" x14ac:dyDescent="0.35">
      <c r="A21" t="e">
        <f>[1]!Bouwmaterialen[[#This Row],[Bouwmateriaal]]</f>
        <v>#REF!</v>
      </c>
      <c r="B21" s="57" t="e">
        <f>[1]!Bouwmaterialen[[#This Row],[Key bouwmateriaal]]</f>
        <v>#REF!</v>
      </c>
    </row>
    <row r="22" spans="1:2" x14ac:dyDescent="0.35">
      <c r="A22" t="e">
        <f>[1]!Bouwmaterialen[[#This Row],[Bouwmateriaal]]</f>
        <v>#REF!</v>
      </c>
      <c r="B22" s="57" t="e">
        <f>[1]!Bouwmaterialen[[#This Row],[Key bouwmateriaal]]</f>
        <v>#REF!</v>
      </c>
    </row>
    <row r="23" spans="1:2" x14ac:dyDescent="0.35">
      <c r="A23" t="e">
        <f>[1]!Bouwmaterialen[[#This Row],[Bouwmateriaal]]</f>
        <v>#REF!</v>
      </c>
      <c r="B23" s="57" t="e">
        <f>[1]!Bouwmaterialen[[#This Row],[Key bouwmateriaal]]</f>
        <v>#REF!</v>
      </c>
    </row>
    <row r="24" spans="1:2" x14ac:dyDescent="0.35">
      <c r="A24" t="e">
        <f>[1]!Bouwmaterialen[[#This Row],[Bouwmateriaal]]</f>
        <v>#REF!</v>
      </c>
      <c r="B24" s="57" t="e">
        <f>[1]!Bouwmaterialen[[#This Row],[Key bouwmateriaal]]</f>
        <v>#REF!</v>
      </c>
    </row>
    <row r="25" spans="1:2" x14ac:dyDescent="0.35">
      <c r="A25" t="e">
        <f>[1]!Bouwmaterialen[[#This Row],[Bouwmateriaal]]</f>
        <v>#REF!</v>
      </c>
      <c r="B25" s="57" t="e">
        <f>[1]!Bouwmaterialen[[#This Row],[Key bouwmateriaal]]</f>
        <v>#REF!</v>
      </c>
    </row>
    <row r="26" spans="1:2" x14ac:dyDescent="0.35">
      <c r="A26" t="e">
        <f>[1]!Bouwmaterialen[[#This Row],[Bouwmateriaal]]</f>
        <v>#REF!</v>
      </c>
      <c r="B26" s="57" t="e">
        <f>[1]!Bouwmaterialen[[#This Row],[Key bouwmateriaal]]</f>
        <v>#REF!</v>
      </c>
    </row>
    <row r="27" spans="1:2" x14ac:dyDescent="0.35">
      <c r="A27" t="e">
        <f>[1]!Bouwmaterialen[[#This Row],[Bouwmateriaal]]</f>
        <v>#REF!</v>
      </c>
      <c r="B27" s="57" t="e">
        <f>[1]!Bouwmaterialen[[#This Row],[Key bouwmateriaal]]</f>
        <v>#REF!</v>
      </c>
    </row>
    <row r="28" spans="1:2" x14ac:dyDescent="0.35">
      <c r="A28" t="e">
        <f>[1]!Bouwmaterialen[[#This Row],[Bouwmateriaal]]</f>
        <v>#REF!</v>
      </c>
      <c r="B28" s="57" t="e">
        <f>[1]!Bouwmaterialen[[#This Row],[Key bouwmateriaal]]</f>
        <v>#REF!</v>
      </c>
    </row>
    <row r="29" spans="1:2" x14ac:dyDescent="0.35">
      <c r="A29" t="e">
        <f>[1]!Bouwmaterialen[[#This Row],[Bouwmateriaal]]</f>
        <v>#REF!</v>
      </c>
      <c r="B29" s="57" t="e">
        <f>[1]!Bouwmaterialen[[#This Row],[Key bouwmateriaal]]</f>
        <v>#REF!</v>
      </c>
    </row>
    <row r="30" spans="1:2" x14ac:dyDescent="0.35">
      <c r="A30" t="e">
        <f>[1]!Bouwmaterialen[[#This Row],[Bouwmateriaal]]</f>
        <v>#REF!</v>
      </c>
      <c r="B30" s="57" t="e">
        <f>[1]!Bouwmaterialen[[#This Row],[Key bouwmateriaal]]</f>
        <v>#REF!</v>
      </c>
    </row>
    <row r="31" spans="1:2" x14ac:dyDescent="0.35">
      <c r="A31" t="e">
        <f>[1]!Bouwmaterialen[[#This Row],[Bouwmateriaal]]</f>
        <v>#REF!</v>
      </c>
      <c r="B31" s="57" t="e">
        <f>[1]!Bouwmaterialen[[#This Row],[Key bouwmateriaal]]</f>
        <v>#REF!</v>
      </c>
    </row>
    <row r="32" spans="1:2" x14ac:dyDescent="0.35">
      <c r="A32" t="e">
        <f>[1]!Bouwmaterialen[[#This Row],[Bouwmateriaal]]</f>
        <v>#REF!</v>
      </c>
      <c r="B32" s="57" t="e">
        <f>[1]!Bouwmaterialen[[#This Row],[Key bouwmateriaal]]</f>
        <v>#REF!</v>
      </c>
    </row>
    <row r="33" spans="1:2" x14ac:dyDescent="0.35">
      <c r="A33" t="e">
        <f>[1]!Bouwmaterialen[[#This Row],[Bouwmateriaal]]</f>
        <v>#REF!</v>
      </c>
      <c r="B33" s="57" t="e">
        <f>[1]!Bouwmaterialen[[#This Row],[Key bouwmateriaal]]</f>
        <v>#REF!</v>
      </c>
    </row>
    <row r="34" spans="1:2" x14ac:dyDescent="0.35">
      <c r="A34" t="e">
        <f>[1]!Bouwmaterialen[[#This Row],[Bouwmateriaal]]</f>
        <v>#REF!</v>
      </c>
      <c r="B34" s="57" t="e">
        <f>[1]!Bouwmaterialen[[#This Row],[Key bouwmateriaal]]</f>
        <v>#REF!</v>
      </c>
    </row>
    <row r="35" spans="1:2" x14ac:dyDescent="0.35">
      <c r="A35" t="e">
        <f>[1]!Bouwmaterialen[[#This Row],[Bouwmateriaal]]</f>
        <v>#REF!</v>
      </c>
      <c r="B35" s="57" t="e">
        <f>[1]!Bouwmaterialen[[#This Row],[Key bouwmateriaal]]</f>
        <v>#REF!</v>
      </c>
    </row>
    <row r="36" spans="1:2" x14ac:dyDescent="0.35">
      <c r="A36" t="e">
        <f>[1]!Bouwmaterialen[[#This Row],[Bouwmateriaal]]</f>
        <v>#REF!</v>
      </c>
      <c r="B36" s="57" t="e">
        <f>[1]!Bouwmaterialen[[#This Row],[Key bouwmateriaal]]</f>
        <v>#REF!</v>
      </c>
    </row>
    <row r="37" spans="1:2" x14ac:dyDescent="0.35">
      <c r="A37" t="e">
        <f>[1]!Bouwmaterialen[[#This Row],[Bouwmateriaal]]</f>
        <v>#REF!</v>
      </c>
      <c r="B37" s="57" t="e">
        <f>[1]!Bouwmaterialen[[#This Row],[Key bouwmateriaal]]</f>
        <v>#REF!</v>
      </c>
    </row>
    <row r="38" spans="1:2" x14ac:dyDescent="0.35">
      <c r="A38" t="e">
        <f>[1]!Bouwmaterialen[[#This Row],[Bouwmateriaal]]</f>
        <v>#REF!</v>
      </c>
      <c r="B38" s="57" t="e">
        <f>[1]!Bouwmaterialen[[#This Row],[Key bouwmateriaal]]</f>
        <v>#REF!</v>
      </c>
    </row>
    <row r="39" spans="1:2" x14ac:dyDescent="0.35">
      <c r="A39" t="e">
        <f>[1]!Bouwmaterialen[[#This Row],[Bouwmateriaal]]</f>
        <v>#REF!</v>
      </c>
      <c r="B39" s="57" t="e">
        <f>[1]!Bouwmaterialen[[#This Row],[Key bouwmateriaal]]</f>
        <v>#REF!</v>
      </c>
    </row>
    <row r="40" spans="1:2" x14ac:dyDescent="0.35">
      <c r="A40" t="e">
        <f>[1]!Bouwmaterialen[[#This Row],[Bouwmateriaal]]</f>
        <v>#REF!</v>
      </c>
      <c r="B40" s="57" t="e">
        <f>[1]!Bouwmaterialen[[#This Row],[Key bouwmateriaal]]</f>
        <v>#REF!</v>
      </c>
    </row>
    <row r="41" spans="1:2" x14ac:dyDescent="0.35">
      <c r="A41" t="e">
        <f>[1]!Bouwmaterialen[[#This Row],[Bouwmateriaal]]</f>
        <v>#REF!</v>
      </c>
      <c r="B41" s="57" t="e">
        <f>[1]!Bouwmaterialen[[#This Row],[Key bouwmateriaal]]</f>
        <v>#REF!</v>
      </c>
    </row>
    <row r="42" spans="1:2" x14ac:dyDescent="0.35">
      <c r="A42" t="e">
        <f>[1]!Bouwmaterialen[[#This Row],[Bouwmateriaal]]</f>
        <v>#REF!</v>
      </c>
      <c r="B42" s="57" t="e">
        <f>[1]!Bouwmaterialen[[#This Row],[Key bouwmateriaal]]</f>
        <v>#REF!</v>
      </c>
    </row>
    <row r="43" spans="1:2" x14ac:dyDescent="0.35">
      <c r="A43" t="e">
        <f>[1]!Bouwmaterialen[[#This Row],[Bouwmateriaal]]</f>
        <v>#REF!</v>
      </c>
      <c r="B43" s="57" t="e">
        <f>[1]!Bouwmaterialen[[#This Row],[Key bouwmateriaal]]</f>
        <v>#REF!</v>
      </c>
    </row>
    <row r="44" spans="1:2" x14ac:dyDescent="0.35">
      <c r="A44" t="e">
        <f>[1]!Bouwmaterialen[[#This Row],[Bouwmateriaal]]</f>
        <v>#REF!</v>
      </c>
      <c r="B44" s="57" t="e">
        <f>[1]!Bouwmaterialen[[#This Row],[Key bouwmateriaal]]</f>
        <v>#REF!</v>
      </c>
    </row>
    <row r="45" spans="1:2" x14ac:dyDescent="0.35">
      <c r="A45" t="e">
        <f>[1]!Bouwmaterialen[[#This Row],[Bouwmateriaal]]</f>
        <v>#REF!</v>
      </c>
      <c r="B45" s="57" t="e">
        <f>[1]!Bouwmaterialen[[#This Row],[Key bouwmateriaal]]</f>
        <v>#REF!</v>
      </c>
    </row>
    <row r="46" spans="1:2" x14ac:dyDescent="0.35">
      <c r="A46" t="e">
        <f>[1]!Bouwmaterialen[[#This Row],[Bouwmateriaal]]</f>
        <v>#REF!</v>
      </c>
      <c r="B46" s="57" t="e">
        <f>[1]!Bouwmaterialen[[#This Row],[Key bouwmateriaal]]</f>
        <v>#REF!</v>
      </c>
    </row>
    <row r="47" spans="1:2" x14ac:dyDescent="0.35">
      <c r="A47" t="e">
        <f>[1]!Bouwmaterialen[[#This Row],[Bouwmateriaal]]</f>
        <v>#REF!</v>
      </c>
      <c r="B47" s="57" t="e">
        <f>[1]!Bouwmaterialen[[#This Row],[Key bouwmateriaal]]</f>
        <v>#REF!</v>
      </c>
    </row>
    <row r="48" spans="1:2" x14ac:dyDescent="0.35">
      <c r="A48" t="e">
        <f>[1]!Bouwmaterialen[[#This Row],[Bouwmateriaal]]</f>
        <v>#REF!</v>
      </c>
      <c r="B48" s="57" t="e">
        <f>[1]!Bouwmaterialen[[#This Row],[Key bouwmateriaal]]</f>
        <v>#REF!</v>
      </c>
    </row>
    <row r="49" spans="1:2" x14ac:dyDescent="0.35">
      <c r="A49" t="e">
        <f>[1]!Bouwmaterialen[[#This Row],[Bouwmateriaal]]</f>
        <v>#REF!</v>
      </c>
      <c r="B49" s="57" t="e">
        <f>[1]!Bouwmaterialen[[#This Row],[Key bouwmateriaal]]</f>
        <v>#REF!</v>
      </c>
    </row>
    <row r="50" spans="1:2" x14ac:dyDescent="0.35">
      <c r="A50" t="e">
        <f>[1]!Bouwmaterialen[[#This Row],[Bouwmateriaal]]</f>
        <v>#REF!</v>
      </c>
      <c r="B50" s="57" t="e">
        <f>[1]!Bouwmaterialen[[#This Row],[Key bouwmateriaal]]</f>
        <v>#REF!</v>
      </c>
    </row>
    <row r="51" spans="1:2" x14ac:dyDescent="0.35">
      <c r="A51" t="e">
        <f>[1]!Bouwmaterialen[[#This Row],[Bouwmateriaal]]</f>
        <v>#REF!</v>
      </c>
      <c r="B51" s="57" t="e">
        <f>[1]!Bouwmaterialen[[#This Row],[Key bouwmateriaal]]</f>
        <v>#REF!</v>
      </c>
    </row>
    <row r="52" spans="1:2" x14ac:dyDescent="0.35">
      <c r="A52" t="e">
        <f>[1]!Bouwmaterialen[[#This Row],[Bouwmateriaal]]</f>
        <v>#REF!</v>
      </c>
      <c r="B52" s="57" t="e">
        <f>[1]!Bouwmaterialen[[#This Row],[Key bouwmateriaal]]</f>
        <v>#REF!</v>
      </c>
    </row>
    <row r="53" spans="1:2" x14ac:dyDescent="0.35">
      <c r="A53" t="e">
        <f>[1]!Bouwmaterialen[[#This Row],[Bouwmateriaal]]</f>
        <v>#REF!</v>
      </c>
      <c r="B53" s="57" t="e">
        <f>[1]!Bouwmaterialen[[#This Row],[Key bouwmateriaal]]</f>
        <v>#REF!</v>
      </c>
    </row>
    <row r="54" spans="1:2" x14ac:dyDescent="0.35">
      <c r="A54" t="e">
        <f>[1]!Bouwmaterialen[[#This Row],[Bouwmateriaal]]</f>
        <v>#REF!</v>
      </c>
      <c r="B54" s="57" t="e">
        <f>[1]!Bouwmaterialen[[#This Row],[Key bouwmateriaal]]</f>
        <v>#REF!</v>
      </c>
    </row>
    <row r="55" spans="1:2" x14ac:dyDescent="0.35">
      <c r="A55" t="e">
        <f>[1]!Bouwmaterialen[[#This Row],[Bouwmateriaal]]</f>
        <v>#REF!</v>
      </c>
      <c r="B55" s="57" t="e">
        <f>[1]!Bouwmaterialen[[#This Row],[Key bouwmateriaal]]</f>
        <v>#REF!</v>
      </c>
    </row>
    <row r="56" spans="1:2" x14ac:dyDescent="0.35">
      <c r="A56" t="e">
        <f>[1]!Bouwmaterialen[[#This Row],[Bouwmateriaal]]</f>
        <v>#REF!</v>
      </c>
      <c r="B56" s="57" t="e">
        <f>[1]!Bouwmaterialen[[#This Row],[Key bouwmateriaal]]</f>
        <v>#REF!</v>
      </c>
    </row>
    <row r="57" spans="1:2" x14ac:dyDescent="0.35">
      <c r="A57" t="e">
        <f>[1]!Bouwmaterialen[[#This Row],[Bouwmateriaal]]</f>
        <v>#REF!</v>
      </c>
      <c r="B57" s="57" t="e">
        <f>[1]!Bouwmaterialen[[#This Row],[Key bouwmateriaal]]</f>
        <v>#REF!</v>
      </c>
    </row>
    <row r="58" spans="1:2" x14ac:dyDescent="0.35">
      <c r="A58" t="e">
        <f>[1]!Bouwmaterialen[[#This Row],[Bouwmateriaal]]</f>
        <v>#REF!</v>
      </c>
      <c r="B58" s="57" t="e">
        <f>[1]!Bouwmaterialen[[#This Row],[Key bouwmateriaal]]</f>
        <v>#REF!</v>
      </c>
    </row>
    <row r="59" spans="1:2" x14ac:dyDescent="0.35">
      <c r="A59" t="e">
        <f>[1]!Bouwmaterialen[[#This Row],[Bouwmateriaal]]</f>
        <v>#REF!</v>
      </c>
      <c r="B59" s="57" t="e">
        <f>[1]!Bouwmaterialen[[#This Row],[Key bouwmateriaal]]</f>
        <v>#REF!</v>
      </c>
    </row>
    <row r="60" spans="1:2" x14ac:dyDescent="0.35">
      <c r="A60" t="e">
        <f>[1]!Bouwmaterialen[[#This Row],[Bouwmateriaal]]</f>
        <v>#REF!</v>
      </c>
      <c r="B60" s="57" t="e">
        <f>[1]!Bouwmaterialen[[#This Row],[Key bouwmateriaal]]</f>
        <v>#REF!</v>
      </c>
    </row>
    <row r="61" spans="1:2" x14ac:dyDescent="0.35">
      <c r="A61" t="e">
        <f>[1]!Bouwmaterialen[[#This Row],[Bouwmateriaal]]</f>
        <v>#REF!</v>
      </c>
      <c r="B61" s="57" t="e">
        <f>[1]!Bouwmaterialen[[#This Row],[Key bouwmateriaal]]</f>
        <v>#REF!</v>
      </c>
    </row>
    <row r="62" spans="1:2" x14ac:dyDescent="0.35">
      <c r="A62" t="e">
        <f>[1]!Bouwmaterialen[[#This Row],[Bouwmateriaal]]</f>
        <v>#REF!</v>
      </c>
      <c r="B62" s="57" t="e">
        <f>[1]!Bouwmaterialen[[#This Row],[Key bouwmateriaal]]</f>
        <v>#REF!</v>
      </c>
    </row>
    <row r="63" spans="1:2" x14ac:dyDescent="0.35">
      <c r="A63" t="e">
        <f>[1]!Bouwmaterialen[[#This Row],[Bouwmateriaal]]</f>
        <v>#REF!</v>
      </c>
      <c r="B63" s="57" t="e">
        <f>[1]!Bouwmaterialen[[#This Row],[Key bouwmateriaal]]</f>
        <v>#REF!</v>
      </c>
    </row>
    <row r="64" spans="1:2" x14ac:dyDescent="0.35">
      <c r="A64" t="e">
        <f>[1]!Bouwmaterialen[[#This Row],[Bouwmateriaal]]</f>
        <v>#REF!</v>
      </c>
      <c r="B64" s="57" t="e">
        <f>[1]!Bouwmaterialen[[#This Row],[Key bouwmateriaal]]</f>
        <v>#REF!</v>
      </c>
    </row>
    <row r="65" spans="1:2" x14ac:dyDescent="0.35">
      <c r="A65" t="e">
        <f>[1]!Bouwmaterialen[[#This Row],[Bouwmateriaal]]</f>
        <v>#REF!</v>
      </c>
      <c r="B65" s="57" t="e">
        <f>[1]!Bouwmaterialen[[#This Row],[Key bouwmateriaal]]</f>
        <v>#REF!</v>
      </c>
    </row>
    <row r="66" spans="1:2" x14ac:dyDescent="0.35">
      <c r="A66" t="e">
        <f>[1]!Bouwmaterialen[[#This Row],[Bouwmateriaal]]</f>
        <v>#REF!</v>
      </c>
      <c r="B66" s="57" t="e">
        <f>[1]!Bouwmaterialen[[#This Row],[Key bouwmateriaal]]</f>
        <v>#REF!</v>
      </c>
    </row>
    <row r="67" spans="1:2" x14ac:dyDescent="0.35">
      <c r="A67" t="e">
        <f>[1]!Bouwmaterialen[[#This Row],[Bouwmateriaal]]</f>
        <v>#REF!</v>
      </c>
      <c r="B67" s="57" t="e">
        <f>[1]!Bouwmaterialen[[#This Row],[Key bouwmateriaal]]</f>
        <v>#REF!</v>
      </c>
    </row>
    <row r="68" spans="1:2" x14ac:dyDescent="0.35">
      <c r="A68" t="e">
        <f>[1]!Bouwmaterialen[[#This Row],[Bouwmateriaal]]</f>
        <v>#REF!</v>
      </c>
      <c r="B68" s="57" t="e">
        <f>[1]!Bouwmaterialen[[#This Row],[Key bouwmateriaal]]</f>
        <v>#REF!</v>
      </c>
    </row>
    <row r="69" spans="1:2" x14ac:dyDescent="0.35">
      <c r="A69" t="e">
        <f>[1]!Bouwmaterialen[[#This Row],[Bouwmateriaal]]</f>
        <v>#REF!</v>
      </c>
      <c r="B69" s="57" t="e">
        <f>[1]!Bouwmaterialen[[#This Row],[Key bouwmateriaal]]</f>
        <v>#REF!</v>
      </c>
    </row>
    <row r="70" spans="1:2" x14ac:dyDescent="0.35">
      <c r="A70" t="e">
        <f>[1]!Bouwmaterialen[[#This Row],[Bouwmateriaal]]</f>
        <v>#REF!</v>
      </c>
      <c r="B70" s="57" t="e">
        <f>[1]!Bouwmaterialen[[#This Row],[Key bouwmateriaal]]</f>
        <v>#REF!</v>
      </c>
    </row>
    <row r="71" spans="1:2" x14ac:dyDescent="0.35">
      <c r="A71" t="e">
        <f>[1]!Bouwmaterialen[[#This Row],[Bouwmateriaal]]</f>
        <v>#REF!</v>
      </c>
      <c r="B71" s="57" t="e">
        <f>[1]!Bouwmaterialen[[#This Row],[Key bouwmateriaal]]</f>
        <v>#REF!</v>
      </c>
    </row>
    <row r="72" spans="1:2" x14ac:dyDescent="0.35">
      <c r="A72" t="e">
        <f>[1]!Bouwmaterialen[[#This Row],[Bouwmateriaal]]</f>
        <v>#REF!</v>
      </c>
      <c r="B72" s="57" t="e">
        <f>[1]!Bouwmaterialen[[#This Row],[Key bouwmateriaal]]</f>
        <v>#REF!</v>
      </c>
    </row>
    <row r="73" spans="1:2" x14ac:dyDescent="0.35">
      <c r="A73" t="e">
        <f>[1]!Bouwmaterialen[[#This Row],[Bouwmateriaal]]</f>
        <v>#REF!</v>
      </c>
      <c r="B73" s="57" t="e">
        <f>[1]!Bouwmaterialen[[#This Row],[Key bouwmateriaal]]</f>
        <v>#REF!</v>
      </c>
    </row>
    <row r="74" spans="1:2" x14ac:dyDescent="0.35">
      <c r="A74" t="e">
        <f>[1]!Bouwmaterialen[[#This Row],[Bouwmateriaal]]</f>
        <v>#REF!</v>
      </c>
      <c r="B74" s="57" t="e">
        <f>[1]!Bouwmaterialen[[#This Row],[Key bouwmateriaal]]</f>
        <v>#REF!</v>
      </c>
    </row>
    <row r="75" spans="1:2" x14ac:dyDescent="0.35">
      <c r="A75" t="e">
        <f>[1]!Bouwmaterialen[[#This Row],[Bouwmateriaal]]</f>
        <v>#REF!</v>
      </c>
      <c r="B75" s="57" t="e">
        <f>[1]!Bouwmaterialen[[#This Row],[Key bouwmateriaal]]</f>
        <v>#REF!</v>
      </c>
    </row>
    <row r="76" spans="1:2" x14ac:dyDescent="0.35">
      <c r="A76" t="e">
        <f>[1]!Bouwmaterialen[[#This Row],[Bouwmateriaal]]</f>
        <v>#REF!</v>
      </c>
      <c r="B76" s="57" t="e">
        <f>[1]!Bouwmaterialen[[#This Row],[Key bouwmateriaal]]</f>
        <v>#REF!</v>
      </c>
    </row>
    <row r="77" spans="1:2" x14ac:dyDescent="0.35">
      <c r="A77" t="e">
        <f>[1]!Bouwmaterialen[[#This Row],[Bouwmateriaal]]</f>
        <v>#REF!</v>
      </c>
      <c r="B77" s="57" t="e">
        <f>[1]!Bouwmaterialen[[#This Row],[Key bouwmateriaal]]</f>
        <v>#REF!</v>
      </c>
    </row>
    <row r="78" spans="1:2" x14ac:dyDescent="0.35">
      <c r="A78" t="e">
        <f>[1]!Bouwmaterialen[[#This Row],[Bouwmateriaal]]</f>
        <v>#REF!</v>
      </c>
      <c r="B78" s="57" t="e">
        <f>[1]!Bouwmaterialen[[#This Row],[Key bouwmateriaal]]</f>
        <v>#REF!</v>
      </c>
    </row>
    <row r="79" spans="1:2" x14ac:dyDescent="0.35">
      <c r="A79" t="e">
        <f>[1]!Bouwmaterialen[[#This Row],[Bouwmateriaal]]</f>
        <v>#REF!</v>
      </c>
      <c r="B79" s="57" t="e">
        <f>[1]!Bouwmaterialen[[#This Row],[Key bouwmateriaal]]</f>
        <v>#REF!</v>
      </c>
    </row>
    <row r="80" spans="1:2" x14ac:dyDescent="0.35">
      <c r="A80" t="e">
        <f>[1]!Bouwmaterialen[[#This Row],[Bouwmateriaal]]</f>
        <v>#REF!</v>
      </c>
      <c r="B80" s="57" t="e">
        <f>[1]!Bouwmaterialen[[#This Row],[Key bouwmateriaal]]</f>
        <v>#REF!</v>
      </c>
    </row>
    <row r="81" spans="1:2" x14ac:dyDescent="0.35">
      <c r="A81" t="e">
        <f>[1]!Bouwmaterialen[[#This Row],[Bouwmateriaal]]</f>
        <v>#REF!</v>
      </c>
      <c r="B81" s="57" t="e">
        <f>[1]!Bouwmaterialen[[#This Row],[Key bouwmateriaal]]</f>
        <v>#REF!</v>
      </c>
    </row>
    <row r="82" spans="1:2" x14ac:dyDescent="0.35">
      <c r="A82" t="e">
        <f>[1]!Bouwmaterialen[[#This Row],[Bouwmateriaal]]</f>
        <v>#REF!</v>
      </c>
      <c r="B82" s="57" t="e">
        <f>[1]!Bouwmaterialen[[#This Row],[Key bouwmateriaal]]</f>
        <v>#REF!</v>
      </c>
    </row>
    <row r="83" spans="1:2" x14ac:dyDescent="0.35">
      <c r="A83" t="e">
        <f>[1]!Bouwmaterialen[[#This Row],[Bouwmateriaal]]</f>
        <v>#REF!</v>
      </c>
      <c r="B83" s="57" t="e">
        <f>[1]!Bouwmaterialen[[#This Row],[Key bouwmateriaal]]</f>
        <v>#REF!</v>
      </c>
    </row>
    <row r="84" spans="1:2" x14ac:dyDescent="0.35">
      <c r="A84" t="e">
        <f>[1]!Bouwmaterialen[[#This Row],[Bouwmateriaal]]</f>
        <v>#REF!</v>
      </c>
      <c r="B84" s="57" t="e">
        <f>[1]!Bouwmaterialen[[#This Row],[Key bouwmateriaal]]</f>
        <v>#REF!</v>
      </c>
    </row>
    <row r="85" spans="1:2" x14ac:dyDescent="0.35">
      <c r="A85" t="e">
        <f>[1]!Bouwmaterialen[[#This Row],[Bouwmateriaal]]</f>
        <v>#REF!</v>
      </c>
      <c r="B85" s="57" t="e">
        <f>[1]!Bouwmaterialen[[#This Row],[Key bouwmateriaal]]</f>
        <v>#REF!</v>
      </c>
    </row>
    <row r="86" spans="1:2" x14ac:dyDescent="0.35">
      <c r="A86" t="e">
        <f>[1]!Bouwmaterialen[[#This Row],[Bouwmateriaal]]</f>
        <v>#REF!</v>
      </c>
      <c r="B86" s="57" t="e">
        <f>[1]!Bouwmaterialen[[#This Row],[Key bouwmateriaal]]</f>
        <v>#REF!</v>
      </c>
    </row>
    <row r="87" spans="1:2" x14ac:dyDescent="0.35">
      <c r="A87" t="e">
        <f>[1]!Bouwmaterialen[[#This Row],[Bouwmateriaal]]</f>
        <v>#REF!</v>
      </c>
      <c r="B87" s="57" t="e">
        <f>[1]!Bouwmaterialen[[#This Row],[Key bouwmateriaal]]</f>
        <v>#REF!</v>
      </c>
    </row>
    <row r="88" spans="1:2" x14ac:dyDescent="0.35">
      <c r="A88" t="e">
        <f>[1]!Bouwmaterialen[[#This Row],[Bouwmateriaal]]</f>
        <v>#REF!</v>
      </c>
      <c r="B88" s="57" t="e">
        <f>[1]!Bouwmaterialen[[#This Row],[Key bouwmateriaal]]</f>
        <v>#REF!</v>
      </c>
    </row>
    <row r="89" spans="1:2" x14ac:dyDescent="0.35">
      <c r="A89" t="e">
        <f>[1]!Bouwmaterialen[[#This Row],[Bouwmateriaal]]</f>
        <v>#REF!</v>
      </c>
      <c r="B89" s="57" t="e">
        <f>[1]!Bouwmaterialen[[#This Row],[Key bouwmateriaal]]</f>
        <v>#REF!</v>
      </c>
    </row>
    <row r="90" spans="1:2" x14ac:dyDescent="0.35">
      <c r="A90" t="e">
        <f>[1]!Bouwmaterialen[[#This Row],[Bouwmateriaal]]</f>
        <v>#REF!</v>
      </c>
      <c r="B90" s="57" t="e">
        <f>[1]!Bouwmaterialen[[#This Row],[Key bouwmateriaal]]</f>
        <v>#REF!</v>
      </c>
    </row>
    <row r="91" spans="1:2" x14ac:dyDescent="0.35">
      <c r="A91" t="e">
        <f>[1]!Bouwmaterialen[[#This Row],[Bouwmateriaal]]</f>
        <v>#REF!</v>
      </c>
      <c r="B91" s="57" t="e">
        <f>[1]!Bouwmaterialen[[#This Row],[Key bouwmateriaal]]</f>
        <v>#REF!</v>
      </c>
    </row>
    <row r="92" spans="1:2" x14ac:dyDescent="0.35">
      <c r="A92" t="e">
        <f>[1]!Bouwmaterialen[[#This Row],[Bouwmateriaal]]</f>
        <v>#REF!</v>
      </c>
      <c r="B92" s="57" t="e">
        <f>[1]!Bouwmaterialen[[#This Row],[Key bouwmateriaal]]</f>
        <v>#REF!</v>
      </c>
    </row>
    <row r="93" spans="1:2" x14ac:dyDescent="0.35">
      <c r="A93" t="e">
        <f>[1]!Bouwmaterialen[[#This Row],[Bouwmateriaal]]</f>
        <v>#REF!</v>
      </c>
      <c r="B93" s="57" t="e">
        <f>[1]!Bouwmaterialen[[#This Row],[Key bouwmateriaal]]</f>
        <v>#REF!</v>
      </c>
    </row>
    <row r="94" spans="1:2" x14ac:dyDescent="0.35">
      <c r="A94" t="e">
        <f>[1]!Bouwmaterialen[[#This Row],[Bouwmateriaal]]</f>
        <v>#REF!</v>
      </c>
      <c r="B94" s="57" t="e">
        <f>[1]!Bouwmaterialen[[#This Row],[Key bouwmateriaal]]</f>
        <v>#REF!</v>
      </c>
    </row>
    <row r="95" spans="1:2" x14ac:dyDescent="0.35">
      <c r="A95" t="e">
        <f>[1]!Bouwmaterialen[[#This Row],[Bouwmateriaal]]</f>
        <v>#REF!</v>
      </c>
      <c r="B95" s="57" t="e">
        <f>[1]!Bouwmaterialen[[#This Row],[Key bouwmateriaal]]</f>
        <v>#REF!</v>
      </c>
    </row>
    <row r="96" spans="1:2" x14ac:dyDescent="0.35">
      <c r="A96" t="e">
        <f>[1]!Bouwmaterialen[[#This Row],[Bouwmateriaal]]</f>
        <v>#REF!</v>
      </c>
      <c r="B96" s="57" t="e">
        <f>[1]!Bouwmaterialen[[#This Row],[Key bouwmateriaal]]</f>
        <v>#REF!</v>
      </c>
    </row>
    <row r="97" spans="1:2" x14ac:dyDescent="0.35">
      <c r="A97" t="e">
        <f>[1]!Bouwmaterialen[[#This Row],[Bouwmateriaal]]</f>
        <v>#REF!</v>
      </c>
      <c r="B97" s="57" t="e">
        <f>[1]!Bouwmaterialen[[#This Row],[Key bouwmateriaal]]</f>
        <v>#REF!</v>
      </c>
    </row>
    <row r="98" spans="1:2" x14ac:dyDescent="0.35">
      <c r="A98" t="e">
        <f>[1]!Bouwmaterialen[[#This Row],[Bouwmateriaal]]</f>
        <v>#REF!</v>
      </c>
      <c r="B98" s="57" t="e">
        <f>[1]!Bouwmaterialen[[#This Row],[Key bouwmateriaal]]</f>
        <v>#REF!</v>
      </c>
    </row>
    <row r="99" spans="1:2" x14ac:dyDescent="0.35">
      <c r="A99" t="e">
        <f>[1]!Bouwmaterialen[[#This Row],[Bouwmateriaal]]</f>
        <v>#REF!</v>
      </c>
      <c r="B99" s="57" t="e">
        <f>[1]!Bouwmaterialen[[#This Row],[Key bouwmateriaal]]</f>
        <v>#REF!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4BEAEE4B1CA04CBF3B3E77AAD1867B" ma:contentTypeVersion="7" ma:contentTypeDescription="Create a new document." ma:contentTypeScope="" ma:versionID="fe5e8bff33f492ae91bd2ecdf8a74c45">
  <xsd:schema xmlns:xsd="http://www.w3.org/2001/XMLSchema" xmlns:xs="http://www.w3.org/2001/XMLSchema" xmlns:p="http://schemas.microsoft.com/office/2006/metadata/properties" xmlns:ns3="815ba399-014b-4508-8f04-2125e654312d" targetNamespace="http://schemas.microsoft.com/office/2006/metadata/properties" ma:root="true" ma:fieldsID="b92c3777d5d0f0d563bb22ddfaee4d91" ns3:_="">
    <xsd:import namespace="815ba399-014b-4508-8f04-2125e654312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5ba399-014b-4508-8f04-2125e6543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066166-6AE1-43C4-B122-965363BDD2A0}">
  <ds:schemaRefs>
    <ds:schemaRef ds:uri="http://purl.org/dc/terms/"/>
    <ds:schemaRef ds:uri="815ba399-014b-4508-8f04-2125e654312d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5B69CDE-BD68-47ED-B0B5-54B1C1ADAA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5ba399-014b-4508-8f04-2125e65431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1318B2-9C1F-4072-98B1-5D72029F1F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 rijtjeswoning</vt:lpstr>
      <vt:lpstr>Gebouweigenschappen</vt:lpstr>
      <vt:lpstr>Dichtheden</vt:lpstr>
      <vt:lpstr>Materialen</vt:lpstr>
    </vt:vector>
  </TitlesOfParts>
  <Company>TNO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Keijzer</dc:creator>
  <cp:lastModifiedBy>Jasper Vijverberg</cp:lastModifiedBy>
  <dcterms:created xsi:type="dcterms:W3CDTF">2015-12-07T09:15:37Z</dcterms:created>
  <dcterms:modified xsi:type="dcterms:W3CDTF">2019-09-25T12:22:24Z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NOC_DocumentClassification">
    <vt:lpwstr>5;#TNO Internal|1a23c89f-ef54-4907-86fd-8242403ff722</vt:lpwstr>
  </property>
  <property fmtid="{D5CDD505-2E9C-101B-9397-08002B2CF9AE}" pid="3" name="ContentTypeId">
    <vt:lpwstr>0x010100064BEAEE4B1CA04CBF3B3E77AAD1867B</vt:lpwstr>
  </property>
  <property fmtid="{D5CDD505-2E9C-101B-9397-08002B2CF9AE}" pid="4" name="TNOC_DocumentType">
    <vt:lpwstr/>
  </property>
  <property fmtid="{D5CDD505-2E9C-101B-9397-08002B2CF9AE}" pid="5" name="TNOC_DocumentCategory">
    <vt:lpwstr/>
  </property>
  <property fmtid="{D5CDD505-2E9C-101B-9397-08002B2CF9AE}" pid="6" name="TNOC_ClusterType">
    <vt:lpwstr>3;#Team|c614ed86-6527-4042-aa9d-da80e2b69463</vt:lpwstr>
  </property>
  <property fmtid="{D5CDD505-2E9C-101B-9397-08002B2CF9AE}" pid="7" name="_dlc_DocIdItemGuid">
    <vt:lpwstr>cfe0bbfe-c2e5-434f-996d-3d8e2daafbd2</vt:lpwstr>
  </property>
  <property fmtid="{D5CDD505-2E9C-101B-9397-08002B2CF9AE}" pid="8" name="TNOC_DocumentSetType">
    <vt:lpwstr/>
  </property>
</Properties>
</file>