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jj\Java\bim_workspace\BouwBesluitMaterials\test\ReferenceExcelFiles\"/>
    </mc:Choice>
  </mc:AlternateContent>
  <xr:revisionPtr revIDLastSave="0" documentId="8_{1B987F71-D47D-4BBB-AB0D-A3A4E0E39353}" xr6:coauthVersionLast="41" xr6:coauthVersionMax="41" xr10:uidLastSave="{00000000-0000-0000-0000-000000000000}"/>
  <bookViews>
    <workbookView xWindow="-120" yWindow="-120" windowWidth="29040" windowHeight="15840" tabRatio="845" activeTab="2" xr2:uid="{00000000-000D-0000-FFFF-FFFF00000000}"/>
  </bookViews>
  <sheets>
    <sheet name="BOM rijtjeswoning" sheetId="3" r:id="rId1"/>
    <sheet name="Gebouweigenschappen" sheetId="15" r:id="rId2"/>
    <sheet name="MPG_CALC_BoM" sheetId="19" r:id="rId3"/>
    <sheet name="Dichtheden" sheetId="12" r:id="rId4"/>
  </sheets>
  <definedNames>
    <definedName name="_xlnm._FilterDatabase" localSheetId="2" hidden="1">MPG_CALC_BoM!$A$2:$O$2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9" l="1"/>
  <c r="B23" i="15"/>
  <c r="D31" i="19"/>
  <c r="M23" i="19"/>
  <c r="N23" i="19" s="1"/>
  <c r="M21" i="19"/>
  <c r="N21" i="19" s="1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2" i="19"/>
  <c r="N24" i="19"/>
  <c r="N25" i="19"/>
  <c r="N26" i="19"/>
  <c r="N27" i="19"/>
  <c r="N28" i="19"/>
  <c r="N29" i="19"/>
  <c r="N3" i="19"/>
  <c r="M29" i="19"/>
  <c r="M28" i="19"/>
  <c r="M27" i="19"/>
  <c r="M26" i="19"/>
  <c r="M25" i="19"/>
  <c r="M24" i="19"/>
  <c r="M22" i="19"/>
  <c r="M20" i="19"/>
  <c r="M19" i="19"/>
  <c r="M18" i="19"/>
  <c r="M17" i="19"/>
  <c r="M15" i="19"/>
  <c r="M14" i="19"/>
  <c r="M13" i="19"/>
  <c r="M12" i="19"/>
  <c r="M11" i="19"/>
  <c r="M10" i="19"/>
  <c r="M9" i="19"/>
  <c r="M8" i="19"/>
  <c r="M6" i="19"/>
  <c r="M5" i="19"/>
  <c r="M3" i="19"/>
  <c r="M16" i="19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" i="3"/>
  <c r="K31" i="19"/>
  <c r="L31" i="19"/>
  <c r="P22" i="3"/>
  <c r="H6" i="15"/>
  <c r="K5" i="15"/>
  <c r="K9" i="3"/>
  <c r="K13" i="3" l="1"/>
  <c r="R3" i="3" l="1"/>
  <c r="R4" i="3"/>
  <c r="R5" i="3"/>
  <c r="R6" i="3"/>
  <c r="R7" i="3"/>
  <c r="R8" i="3"/>
  <c r="R9" i="3"/>
  <c r="R10" i="3"/>
  <c r="R12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2" i="3"/>
  <c r="G37" i="3"/>
  <c r="G33" i="3"/>
  <c r="F32" i="3"/>
  <c r="F31" i="3"/>
  <c r="G32" i="3"/>
  <c r="G31" i="3"/>
  <c r="G30" i="3"/>
  <c r="N30" i="3" s="1"/>
  <c r="K29" i="3"/>
  <c r="K23" i="3"/>
  <c r="K22" i="3"/>
  <c r="K21" i="3"/>
  <c r="K20" i="3"/>
  <c r="P18" i="3"/>
  <c r="N18" i="3" s="1"/>
  <c r="G18" i="3"/>
  <c r="K12" i="3"/>
  <c r="K11" i="3"/>
  <c r="K10" i="3"/>
  <c r="P10" i="3"/>
  <c r="N10" i="3" s="1"/>
  <c r="K8" i="3"/>
  <c r="N8" i="3" s="1"/>
  <c r="G4" i="3"/>
  <c r="K4" i="3" s="1"/>
  <c r="G3" i="3"/>
  <c r="N3" i="3" s="1"/>
  <c r="M3" i="3" s="1"/>
  <c r="N32" i="3" l="1"/>
  <c r="W10" i="3"/>
  <c r="N31" i="3"/>
  <c r="W18" i="3"/>
  <c r="V18" i="3" s="1"/>
  <c r="N4" i="3"/>
  <c r="M4" i="3" s="1"/>
  <c r="K3" i="3"/>
  <c r="K2" i="3"/>
  <c r="V10" i="3" l="1"/>
  <c r="I31" i="15"/>
  <c r="B25" i="15" l="1"/>
  <c r="C25" i="15" s="1"/>
  <c r="D25" i="15"/>
  <c r="P3" i="3" s="1"/>
  <c r="W3" i="3" s="1"/>
  <c r="I2" i="15"/>
  <c r="I3" i="15"/>
  <c r="I4" i="15"/>
  <c r="I5" i="15"/>
  <c r="I6" i="15"/>
  <c r="B7" i="15"/>
  <c r="B10" i="15" s="1"/>
  <c r="B11" i="15" s="1"/>
  <c r="B9" i="15"/>
  <c r="B16" i="15"/>
  <c r="C17" i="15"/>
  <c r="V3" i="3" l="1"/>
  <c r="K3" i="15"/>
  <c r="F35" i="3"/>
  <c r="K26" i="3"/>
  <c r="K25" i="3"/>
  <c r="K27" i="3"/>
  <c r="K28" i="3"/>
  <c r="K6" i="15"/>
  <c r="L6" i="15" s="1"/>
  <c r="F38" i="3"/>
  <c r="K2" i="15"/>
  <c r="F33" i="3"/>
  <c r="F34" i="3"/>
  <c r="K24" i="3"/>
  <c r="F37" i="3"/>
  <c r="K4" i="15"/>
  <c r="L4" i="15" s="1"/>
  <c r="F36" i="3"/>
  <c r="I33" i="15"/>
  <c r="L2" i="15"/>
  <c r="M2" i="15"/>
  <c r="B8" i="15"/>
  <c r="M6" i="15"/>
  <c r="L3" i="15"/>
  <c r="M3" i="15"/>
  <c r="L5" i="15"/>
  <c r="M5" i="15"/>
  <c r="M36" i="3" l="1"/>
  <c r="M38" i="3"/>
  <c r="M34" i="3"/>
  <c r="G38" i="3"/>
  <c r="N38" i="3" s="1"/>
  <c r="G36" i="3"/>
  <c r="N36" i="3" s="1"/>
  <c r="G35" i="3"/>
  <c r="N35" i="3" s="1"/>
  <c r="K17" i="3"/>
  <c r="G34" i="3"/>
  <c r="N34" i="3" s="1"/>
  <c r="K14" i="3"/>
  <c r="K15" i="3" s="1"/>
  <c r="M37" i="3"/>
  <c r="N37" i="3"/>
  <c r="M33" i="3"/>
  <c r="N33" i="3"/>
  <c r="M35" i="3"/>
  <c r="M4" i="15"/>
  <c r="G28" i="3"/>
  <c r="N28" i="3" s="1"/>
  <c r="G27" i="3"/>
  <c r="N27" i="3" s="1"/>
  <c r="P9" i="3" l="1"/>
  <c r="W9" i="3" s="1"/>
  <c r="P8" i="3"/>
  <c r="W8" i="3" s="1"/>
  <c r="V9" i="3" l="1"/>
  <c r="V8" i="3"/>
  <c r="Q9" i="3"/>
  <c r="N9" i="3"/>
  <c r="P32" i="3" l="1"/>
  <c r="P31" i="3"/>
  <c r="Q31" i="3" l="1"/>
  <c r="W31" i="3"/>
  <c r="Q32" i="3"/>
  <c r="W32" i="3"/>
  <c r="V32" i="3" s="1"/>
  <c r="P23" i="3"/>
  <c r="V31" i="3" l="1"/>
  <c r="Q23" i="3"/>
  <c r="W23" i="3"/>
  <c r="P4" i="3"/>
  <c r="V23" i="3" l="1"/>
  <c r="Q4" i="3"/>
  <c r="W4" i="3"/>
  <c r="Q3" i="3"/>
  <c r="P2" i="3"/>
  <c r="V4" i="3" l="1"/>
  <c r="Q2" i="3"/>
  <c r="W2" i="3"/>
  <c r="Q8" i="3"/>
  <c r="V2" i="3" l="1"/>
  <c r="P11" i="3"/>
  <c r="W11" i="3" s="1"/>
  <c r="Q10" i="3"/>
  <c r="V11" i="3" l="1"/>
  <c r="Q11" i="3"/>
  <c r="N11" i="3"/>
  <c r="P37" i="3"/>
  <c r="Q37" i="3" l="1"/>
  <c r="W37" i="3"/>
  <c r="V37" i="3" s="1"/>
  <c r="P15" i="3"/>
  <c r="W15" i="3" s="1"/>
  <c r="P16" i="3"/>
  <c r="P17" i="3"/>
  <c r="W17" i="3" s="1"/>
  <c r="P14" i="3"/>
  <c r="W14" i="3" s="1"/>
  <c r="P13" i="3"/>
  <c r="W13" i="3" s="1"/>
  <c r="P36" i="3"/>
  <c r="P35" i="3"/>
  <c r="P38" i="3"/>
  <c r="W38" i="3" s="1"/>
  <c r="P34" i="3"/>
  <c r="P33" i="3"/>
  <c r="V14" i="3" l="1"/>
  <c r="V17" i="3"/>
  <c r="V13" i="3"/>
  <c r="V15" i="3"/>
  <c r="W16" i="3"/>
  <c r="V16" i="3" s="1"/>
  <c r="N16" i="3"/>
  <c r="K16" i="3" s="1"/>
  <c r="Q33" i="3"/>
  <c r="W33" i="3"/>
  <c r="M4" i="19" s="1"/>
  <c r="Q34" i="3"/>
  <c r="W34" i="3"/>
  <c r="Q38" i="3"/>
  <c r="V38" i="3"/>
  <c r="Q36" i="3"/>
  <c r="W36" i="3"/>
  <c r="V36" i="3" s="1"/>
  <c r="Q35" i="3"/>
  <c r="W35" i="3"/>
  <c r="V35" i="3" s="1"/>
  <c r="Q15" i="3"/>
  <c r="N15" i="3"/>
  <c r="Q17" i="3"/>
  <c r="N17" i="3"/>
  <c r="Q13" i="3"/>
  <c r="N13" i="3"/>
  <c r="Q14" i="3"/>
  <c r="N14" i="3"/>
  <c r="Q16" i="3"/>
  <c r="P7" i="3"/>
  <c r="W7" i="3" s="1"/>
  <c r="P29" i="3"/>
  <c r="M7" i="19" l="1"/>
  <c r="V7" i="3"/>
  <c r="V34" i="3"/>
  <c r="V33" i="3"/>
  <c r="W29" i="3"/>
  <c r="Q29" i="3"/>
  <c r="N29" i="3"/>
  <c r="H29" i="3" s="1"/>
  <c r="Q7" i="3"/>
  <c r="N7" i="3"/>
  <c r="P30" i="3"/>
  <c r="V29" i="3" l="1"/>
  <c r="Q30" i="3"/>
  <c r="W30" i="3"/>
  <c r="P6" i="3"/>
  <c r="P12" i="3"/>
  <c r="W12" i="3" s="1"/>
  <c r="V30" i="3" l="1"/>
  <c r="V12" i="3"/>
  <c r="N6" i="3"/>
  <c r="W6" i="3"/>
  <c r="Q12" i="3"/>
  <c r="N12" i="3"/>
  <c r="P5" i="3"/>
  <c r="W5" i="3" s="1"/>
  <c r="Q6" i="3"/>
  <c r="P28" i="3"/>
  <c r="P27" i="3"/>
  <c r="V6" i="3" l="1"/>
  <c r="V5" i="3"/>
  <c r="Q27" i="3"/>
  <c r="W27" i="3"/>
  <c r="Q28" i="3"/>
  <c r="W28" i="3"/>
  <c r="Q5" i="3"/>
  <c r="N5" i="3"/>
  <c r="H5" i="3" s="1"/>
  <c r="P21" i="3"/>
  <c r="P20" i="3"/>
  <c r="V28" i="3" l="1"/>
  <c r="M30" i="19"/>
  <c r="N30" i="19" s="1"/>
  <c r="V27" i="3"/>
  <c r="Q20" i="3"/>
  <c r="W20" i="3"/>
  <c r="Q22" i="3"/>
  <c r="W22" i="3"/>
  <c r="Q21" i="3"/>
  <c r="W21" i="3"/>
  <c r="P19" i="3"/>
  <c r="W19" i="3" s="1"/>
  <c r="Q18" i="3"/>
  <c r="P24" i="3"/>
  <c r="P25" i="3"/>
  <c r="P26" i="3"/>
  <c r="V22" i="3" l="1"/>
  <c r="V19" i="3"/>
  <c r="V21" i="3"/>
  <c r="V20" i="3"/>
  <c r="Q26" i="3"/>
  <c r="W26" i="3"/>
  <c r="Q25" i="3"/>
  <c r="W25" i="3"/>
  <c r="Q24" i="3"/>
  <c r="W24" i="3"/>
  <c r="Q19" i="3"/>
  <c r="N19" i="3"/>
  <c r="M31" i="19" l="1"/>
  <c r="N31" i="19" s="1"/>
  <c r="V24" i="3"/>
  <c r="B22" i="15" s="1"/>
  <c r="V26" i="3"/>
  <c r="V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tc={8F48EE52-D901-4B2A-94BF-3525C13A7153}</author>
    <author>tc={F1760268-A4A8-4B75-BA15-366C3CF65EA2}</author>
  </authors>
  <commentList>
    <comment ref="I18" authorId="0" shapeId="0" xr:uid="{8F48EE52-D901-4B2A-94BF-3525C13A7153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edited as it evaluated 11 time 77 m. while the 11 elements where in total 77 m</t>
      </text>
    </comment>
    <comment ref="I19" authorId="1" shapeId="0" xr:uid="{F1760268-A4A8-4B75-BA15-366C3CF65EA2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edited as it evaluated 11 time 77 m. while the 11 elements where in total 77 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tc={51273EF2-94F8-423D-A04B-F335D7D7E486}</author>
  </authors>
  <commentList>
    <comment ref="H6" authorId="0" shapeId="0" xr:uid="{51273EF2-94F8-423D-A04B-F335D7D7E4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Reduced diameter as Electricity tubes aren't usually at 4.5cm diameter.</t>
      </text>
    </comment>
  </commentList>
</comments>
</file>

<file path=xl/sharedStrings.xml><?xml version="1.0" encoding="utf-8"?>
<sst xmlns="http://schemas.openxmlformats.org/spreadsheetml/2006/main" count="540" uniqueCount="237">
  <si>
    <t>Daken</t>
  </si>
  <si>
    <t>kg/woning</t>
  </si>
  <si>
    <t>hout</t>
  </si>
  <si>
    <t>baksteen</t>
  </si>
  <si>
    <t>Begane grond vloeren</t>
  </si>
  <si>
    <t>Verdiepingsvloeren</t>
  </si>
  <si>
    <t>Muurisolatie</t>
  </si>
  <si>
    <t>kalkzandsteen</t>
  </si>
  <si>
    <t>polystyreen</t>
  </si>
  <si>
    <t>balkensysteem</t>
  </si>
  <si>
    <t>latjes</t>
  </si>
  <si>
    <t>dakelementen</t>
  </si>
  <si>
    <t>pannen</t>
  </si>
  <si>
    <t>OSB + PUR</t>
  </si>
  <si>
    <t>enkelglas</t>
  </si>
  <si>
    <t>dubbelglas</t>
  </si>
  <si>
    <t>HR-glas</t>
  </si>
  <si>
    <t>Ramen</t>
  </si>
  <si>
    <t>Kozijnen</t>
  </si>
  <si>
    <t>Deuren</t>
  </si>
  <si>
    <t>staal</t>
  </si>
  <si>
    <t>hout/staal --&gt; aanname 50-50?</t>
  </si>
  <si>
    <t>Bouwdeel</t>
  </si>
  <si>
    <t>Toelichting</t>
  </si>
  <si>
    <t>Materiaal</t>
  </si>
  <si>
    <t>Fundering</t>
  </si>
  <si>
    <t>beton</t>
  </si>
  <si>
    <t>Waterafvoer</t>
  </si>
  <si>
    <t>keramisch</t>
  </si>
  <si>
    <t>oppervlak</t>
  </si>
  <si>
    <t>Enkel glas</t>
  </si>
  <si>
    <t>Dubbel glas</t>
  </si>
  <si>
    <t>HR glas</t>
  </si>
  <si>
    <t>aanname</t>
  </si>
  <si>
    <t>grondgebonden oppervlak</t>
  </si>
  <si>
    <t>gesloten geveldelen</t>
  </si>
  <si>
    <t>hellend dak</t>
  </si>
  <si>
    <t>steen/beton</t>
  </si>
  <si>
    <t>Dakisolatie</t>
  </si>
  <si>
    <t>25 tot 30 mm polystyreen (35%)</t>
  </si>
  <si>
    <t>glaswol</t>
  </si>
  <si>
    <t>verdiepingen incl begane grond</t>
  </si>
  <si>
    <t>Dakgoot</t>
  </si>
  <si>
    <t>Zink</t>
  </si>
  <si>
    <t>Regenpijp</t>
  </si>
  <si>
    <t>Leidingen</t>
  </si>
  <si>
    <t>CV</t>
  </si>
  <si>
    <t>Wateraanvoer</t>
  </si>
  <si>
    <t>Gas</t>
  </si>
  <si>
    <t>Elektra</t>
  </si>
  <si>
    <t>Koper</t>
  </si>
  <si>
    <t>Water aan</t>
  </si>
  <si>
    <t>Water af</t>
  </si>
  <si>
    <t>Kunststof</t>
  </si>
  <si>
    <t>CV - schacht</t>
  </si>
  <si>
    <t>CV - verdeler e.v.</t>
  </si>
  <si>
    <t>#</t>
  </si>
  <si>
    <t>m2</t>
  </si>
  <si>
    <t>m</t>
  </si>
  <si>
    <t>AgentschapNL (2011). Voorbeeldwoningen</t>
  </si>
  <si>
    <t>(aanname)</t>
  </si>
  <si>
    <t>afgeleid</t>
  </si>
  <si>
    <t>diepte begane grond</t>
  </si>
  <si>
    <t>breedte begane grond</t>
  </si>
  <si>
    <t>oppervlak verdieping 1</t>
  </si>
  <si>
    <t>oppervlak verdieping 2</t>
  </si>
  <si>
    <t>diepte 1e verdieping</t>
  </si>
  <si>
    <t>breedte 1e verdieping</t>
  </si>
  <si>
    <t>diepte 2e verdieping</t>
  </si>
  <si>
    <t>breedte 2e verdieping</t>
  </si>
  <si>
    <t>Parameter</t>
  </si>
  <si>
    <t>Hoeveelheid</t>
  </si>
  <si>
    <t>Eenheid</t>
  </si>
  <si>
    <t>Bron</t>
  </si>
  <si>
    <t>Berekende parameters:</t>
  </si>
  <si>
    <t>doorsnede (m)</t>
  </si>
  <si>
    <t>dikte (m)</t>
  </si>
  <si>
    <t>straal (m)</t>
  </si>
  <si>
    <t>volume (m3) per m</t>
  </si>
  <si>
    <t>kg/m3</t>
  </si>
  <si>
    <t>gewicht indien PVC (kg/m)</t>
  </si>
  <si>
    <t>gewicht indien koper (kg/m)</t>
  </si>
  <si>
    <t>hoogte muren binnenmaat</t>
  </si>
  <si>
    <t>hoogte muren buitenmaat</t>
  </si>
  <si>
    <t>Binnenmuren</t>
  </si>
  <si>
    <t>Buiten- en zijmuren</t>
  </si>
  <si>
    <t>zijgevel</t>
  </si>
  <si>
    <t>Rogier: 50% gips, 45% gasbeton, 5% kalkzandsteen</t>
  </si>
  <si>
    <t>volume alle bakstenen in fundering</t>
  </si>
  <si>
    <t>volume 1 meter baksteenmuur</t>
  </si>
  <si>
    <t>volume voor beton &amp; staal</t>
  </si>
  <si>
    <t>Dakwaterafvoer</t>
  </si>
  <si>
    <t>Meeste deuren van hout?</t>
  </si>
  <si>
    <t>stalen frame</t>
  </si>
  <si>
    <t>deklaag</t>
  </si>
  <si>
    <t>stalen versterking</t>
  </si>
  <si>
    <t>Gemetseld, 1½ Steens. Dragende gevel, wel spouw. Buitenblad baksteen</t>
  </si>
  <si>
    <t>Gemetseld, 1½ Steens. Dragende gevel, wel spouw. Binnenblad kalkzandsteen</t>
  </si>
  <si>
    <t>Ondertussen door na-isolatie: 10% HR-glas</t>
  </si>
  <si>
    <t xml:space="preserve">baksteengedeelte. </t>
  </si>
  <si>
    <t>gegoten beton</t>
  </si>
  <si>
    <t>materiaal</t>
  </si>
  <si>
    <t>bron</t>
  </si>
  <si>
    <t>gips</t>
  </si>
  <si>
    <t>grind</t>
  </si>
  <si>
    <t>http://gwwmaterialen.blogspot.nl/p/soortelijk-gewicht.html</t>
  </si>
  <si>
    <t>koper</t>
  </si>
  <si>
    <t>pvc</t>
  </si>
  <si>
    <t>gipsplaat</t>
  </si>
  <si>
    <t>gasbeton</t>
  </si>
  <si>
    <t>PVC</t>
  </si>
  <si>
    <t>zink</t>
  </si>
  <si>
    <t>zandcement</t>
  </si>
  <si>
    <t>kg/m2</t>
  </si>
  <si>
    <t>Funderingsconstructie</t>
  </si>
  <si>
    <t>Vloeren</t>
  </si>
  <si>
    <t>Buitenwanden</t>
  </si>
  <si>
    <t>Binnenwanden</t>
  </si>
  <si>
    <t>Dakafwerking</t>
  </si>
  <si>
    <t>Buitenwandopeningen</t>
  </si>
  <si>
    <t>Afvoeren</t>
  </si>
  <si>
    <t>Water</t>
  </si>
  <si>
    <t>Gassen</t>
  </si>
  <si>
    <t>Centrale Elektrotechnische voorzieningen</t>
  </si>
  <si>
    <t>binnenwanden</t>
  </si>
  <si>
    <t>SfB element</t>
  </si>
  <si>
    <t>key SfB element</t>
  </si>
  <si>
    <t>Binnenwandopeningen</t>
  </si>
  <si>
    <t>Warmtedistributie</t>
  </si>
  <si>
    <t>planken</t>
  </si>
  <si>
    <t>Levensduur</t>
  </si>
  <si>
    <t>jaar</t>
  </si>
  <si>
    <t>Baksteen eigenschappen</t>
  </si>
  <si>
    <t>b</t>
  </si>
  <si>
    <t>d</t>
  </si>
  <si>
    <t>m³</t>
  </si>
  <si>
    <t>l</t>
  </si>
  <si>
    <t>volume baksteen</t>
  </si>
  <si>
    <t>breedte (m)</t>
  </si>
  <si>
    <t>lengte (m)</t>
  </si>
  <si>
    <t>dichtheid (kg/m³)</t>
  </si>
  <si>
    <t>hoeveelheid bakstenen per fundering</t>
  </si>
  <si>
    <t>MKI/kg</t>
  </si>
  <si>
    <t>volume/woning (m³)</t>
  </si>
  <si>
    <t>units</t>
  </si>
  <si>
    <t>volume m³/m (muur)</t>
  </si>
  <si>
    <t>opmerkingen</t>
  </si>
  <si>
    <t>meter muur met fundering</t>
  </si>
  <si>
    <t>eenheid</t>
  </si>
  <si>
    <t>m²</t>
  </si>
  <si>
    <t>MKI/woning</t>
  </si>
  <si>
    <t>MKI/m²</t>
  </si>
  <si>
    <t>NMD productkaart</t>
  </si>
  <si>
    <t>oppervlak per woning</t>
  </si>
  <si>
    <t>units/woning</t>
  </si>
  <si>
    <t>kg/m²</t>
  </si>
  <si>
    <t>Enkelglas; 4mm</t>
  </si>
  <si>
    <t>ondertussen door na-isolatie: 52% dubbelglas 9mm</t>
  </si>
  <si>
    <t>0047-fab&amp;Zandcement (o.b.v. Cement cast plaster floor {GLO}| market for | Cut-off, U)</t>
  </si>
  <si>
    <t>0223-fab&amp;Polypropeen, PP, vezels, toepassing in beton (o.b.v. Polypropylene, granulate {GLO}| market for | Cut-off, U + Extrusion, plastic film {GLO}| market for | Cut-off, U)</t>
  </si>
  <si>
    <t>0011-fab&amp;Gips, stuc, voor pleisterwerk en gipsplaat (o.b.v. Stucco {GLO}| market for | Cut-off, U)</t>
  </si>
  <si>
    <t>0007-fab&amp;Polystyreen, EPS (o.b.v. Polystyrene foam slab {GLO}| market for | Cut-off, U)</t>
  </si>
  <si>
    <t>0027-fab&amp;Hout, Europees hardhout, eiken, kastanje, robinia, western red cedar, gezaagd (o.b.v. Sawnwood, hardwood, raw, dried (u=20%) {RER}| market for | Cut-off, U en 650 kg/m3) ==&gt;VOEG TRANSPORT TOE VOOR ANDERE HERKOMST</t>
  </si>
  <si>
    <t>0008-fab&amp;Baksteen, metselbaksteen, straatbaksteen, klinker (o.b.v. Clay brick {GLO}| market for | Cut-off, U)</t>
  </si>
  <si>
    <t>0004-fab&amp;Betonmortel C20/25 (o.b.v. 75% CEM III en 25% CEM I), 2407 kg/m3</t>
  </si>
  <si>
    <t>0167-fab&amp;Staal, wapening (betonstaal, wapeningsnet, vezels, voorspanstaal) (o.b.v. Reinforcing steel {GLO}| market for | Cut-off, U; 84% primair, 16% secundair)</t>
  </si>
  <si>
    <t>XXXX Kalkzandsteen, stenen en blokken (o.b.v. Sand-lime brick {GLO}| market for | Cut-off, U)</t>
  </si>
  <si>
    <t>0065-fab&amp;Cellenbeton, blokken (o.b.v. Autoclaved aerated concrete block {GLO}| market for | Cut-off, U)</t>
  </si>
  <si>
    <t>0070-fab&amp;Dakpan, keramisch (o.b.v. Roof tile {GLO}| market for | Cut-off, U)</t>
  </si>
  <si>
    <t>0078-fab&amp;Dakpan, beton (o.b.v. Concrete roof tile {GLO}| market for | Cut-off, U)</t>
  </si>
  <si>
    <t>0017-fab&amp;Glaswol (o.b.v. Glass wool mat {GLO}| market for | Cut-off, U; 80% secundair / glasscherven)</t>
  </si>
  <si>
    <t>0032-fab&amp;PUR (o.b.v. Polyurethane, rigid foam {GLO}| market for | Cut-off, U)</t>
  </si>
  <si>
    <t>0019-fab&amp;Glas, vlakglas (o.b.v. Flat glass, coated {GLO}| market for | Cut-off, U)</t>
  </si>
  <si>
    <t>0202-fab&amp;Staal, hooggelegeerd, RVS (o.b.v. Steel, chromium steel 18/8, hot rolled {RER}| production | Cut-off, U; 72% primair, 28% secundair)</t>
  </si>
  <si>
    <t>0199-fab&amp;PVC, geëxtrudeerd (o.b.v. Polyvinylchloride, suspension polymerised {GLO}| market for | Cut-off, U + Extrusion, plastic pipes {GLO}| market for | Cut-off, U)</t>
  </si>
  <si>
    <t>0028-fab&amp;Zink (o.b.v. Zinc {GLO}| market for | Cut-off, U; 100% primair, 0% secundair)</t>
  </si>
  <si>
    <t>0059-fab&amp;Koper (o.b.v. Copper {GLO}| market for | Cut-off, U; 71% primair, 29% secundair)</t>
  </si>
  <si>
    <t>MPG</t>
  </si>
  <si>
    <t>MKI/m²/jaar</t>
  </si>
  <si>
    <t>ID NMD</t>
  </si>
  <si>
    <t>IFC materials</t>
  </si>
  <si>
    <t>area</t>
  </si>
  <si>
    <t>Ifc object name</t>
  </si>
  <si>
    <t>mki contribution</t>
  </si>
  <si>
    <t>units of product required</t>
  </si>
  <si>
    <t>Ifc type</t>
  </si>
  <si>
    <t>volume</t>
  </si>
  <si>
    <t>nmd card</t>
  </si>
  <si>
    <t>IfcFlowSegment</t>
  </si>
  <si>
    <t>m1</t>
  </si>
  <si>
    <t>IfcWall</t>
  </si>
  <si>
    <t>IfcRoof</t>
  </si>
  <si>
    <t>IfcWindow</t>
  </si>
  <si>
    <t>p</t>
  </si>
  <si>
    <t>Kelderwanden, kalkzandsteen lijmblokken VNK</t>
  </si>
  <si>
    <t>IfcDoor</t>
  </si>
  <si>
    <t>IfcFooting</t>
  </si>
  <si>
    <t>IfcSlab</t>
  </si>
  <si>
    <t>Vrijdragende Vloeren, Houten kanaalplaatvloer</t>
  </si>
  <si>
    <t>Isolatielagen, Schapenwol, incl dampremmende PE-folie</t>
  </si>
  <si>
    <t>Luchtbehandelingssystemen, VLA Luchtfilters, kunststof behuizing, synthetisch filtermedia</t>
  </si>
  <si>
    <t>Bekledingen systeemwanden niet dragend, Hardboard, 100% secundair hout</t>
  </si>
  <si>
    <t>Dekvloeren, Zandcement</t>
  </si>
  <si>
    <t>Isolatielagen, Knauf Insulation Cavitec 032 Premium</t>
  </si>
  <si>
    <t>Spouwmuren binnenblad, Lichte baksteen</t>
  </si>
  <si>
    <t>Hemelwaterafvoeren, Koper; 80 mm</t>
  </si>
  <si>
    <t>Kelderwanden, Beton, prefab; AB-FAB</t>
  </si>
  <si>
    <t>Platte daken, Kanaalplaat, prefab beton; AB-FAB</t>
  </si>
  <si>
    <t>Hellende daken, Dak elementen, massief PIR, spaanplaat en OSB; duurzame bosbouw</t>
  </si>
  <si>
    <t>Stelkozijnen, Onverduurzaamd hout; geverfd</t>
  </si>
  <si>
    <t>Dakgoten, Vuren / Zink; standaard bosbouw</t>
  </si>
  <si>
    <t>Binnendeuren, Hout; geschilderd:alkyd</t>
  </si>
  <si>
    <t>Fundatiebalken, Beton, prefab; AB-FAB</t>
  </si>
  <si>
    <t>Binnenbeglazing, Enkel glas; droog beglaasd</t>
  </si>
  <si>
    <t>Dakgoten, PVC; mastgoot</t>
  </si>
  <si>
    <t>Systeemwanden, HSB element; Europees naaldhouten multiplex en gipsplaat; duurzame bosbouw</t>
  </si>
  <si>
    <t>Bekledingen, Staal op MDF; standaard bosbouw</t>
  </si>
  <si>
    <t>Binnenbeglazing, Dubbel glas; 4/12/5 mm</t>
  </si>
  <si>
    <t>Balkon- en galerijvloeren, Beton, prefab; AB-FAB</t>
  </si>
  <si>
    <t>Hellende daken, Dakelement; hout, zelfdr, prefab, incl.isolatie,beplating; duurz. bosb</t>
  </si>
  <si>
    <t>Isolatielagen, Glaswol MWA 2012; platen;</t>
  </si>
  <si>
    <t>Binnenkozijnen, Staal; verzinkt+gemoffeld</t>
  </si>
  <si>
    <t>hoeveelheid</t>
  </si>
  <si>
    <t>unit</t>
  </si>
  <si>
    <t>units per woning</t>
  </si>
  <si>
    <t>Balken</t>
  </si>
  <si>
    <t>BOT Results</t>
  </si>
  <si>
    <t>MPG match</t>
  </si>
  <si>
    <t>comments</t>
  </si>
  <si>
    <t>mat match</t>
  </si>
  <si>
    <t>func match</t>
  </si>
  <si>
    <t># elements</t>
  </si>
  <si>
    <t>mpg deviation due to lack of NMD scaling dimension</t>
  </si>
  <si>
    <t>ref MKI</t>
  </si>
  <si>
    <t>match_key</t>
  </si>
  <si>
    <t>CHECK</t>
  </si>
  <si>
    <t>MKI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</si>
</sst>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0.00000"/>
    <numFmt numFmtId="167" formatCode="0.0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323"/>
      <name val="Calibri"/>
      <family val="2"/>
      <scheme val="minor"/>
    </font>
    <font>
      <b/>
      <sz val="11"/>
      <color rgb="FF23232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7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4" borderId="5" applyNumberFormat="0" applyAlignment="0" applyProtection="0"/>
  </cellStyleXfs>
  <cellXfs count="120">
    <xf numFmtId="0" fontId="0" fillId="0" borderId="0" xfId="0"/>
    <xf numFmtId="1" fontId="1" fillId="0" borderId="0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horizontal="justify" vertical="top" wrapText="1"/>
    </xf>
    <xf numFmtId="1" fontId="4" fillId="0" borderId="0" xfId="0" applyNumberFormat="1" applyFont="1" applyFill="1" applyBorder="1" applyAlignment="1">
      <alignment vertical="top" wrapText="1"/>
    </xf>
    <xf numFmtId="1" fontId="0" fillId="0" borderId="0" xfId="0" applyNumberForma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Fon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horizontal="righ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justify" vertical="top" wrapText="1"/>
    </xf>
    <xf numFmtId="1" fontId="2" fillId="0" borderId="1" xfId="0" applyNumberFormat="1" applyFont="1" applyFill="1" applyBorder="1" applyAlignment="1">
      <alignment horizontal="justify" vertical="top" wrapText="1"/>
    </xf>
    <xf numFmtId="1" fontId="0" fillId="0" borderId="1" xfId="0" applyNumberFormat="1" applyFill="1" applyBorder="1" applyAlignment="1">
      <alignment vertical="top" wrapText="1"/>
    </xf>
    <xf numFmtId="1" fontId="0" fillId="0" borderId="0" xfId="0" applyNumberForma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vertical="top" wrapText="1"/>
    </xf>
    <xf numFmtId="1" fontId="2" fillId="2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1" fontId="0" fillId="0" borderId="1" xfId="0" applyNumberFormat="1" applyFont="1" applyFill="1" applyBorder="1" applyAlignment="1">
      <alignment vertical="top" wrapText="1"/>
    </xf>
    <xf numFmtId="1" fontId="0" fillId="0" borderId="1" xfId="0" applyNumberFormat="1" applyFont="1" applyFill="1" applyBorder="1" applyAlignment="1">
      <alignment horizontal="right" vertical="top" wrapText="1"/>
    </xf>
    <xf numFmtId="165" fontId="0" fillId="0" borderId="1" xfId="0" applyNumberFormat="1" applyFont="1" applyFill="1" applyBorder="1" applyAlignment="1">
      <alignment horizontal="right" vertical="top" wrapText="1"/>
    </xf>
    <xf numFmtId="9" fontId="0" fillId="0" borderId="1" xfId="1" applyFont="1" applyFill="1" applyBorder="1" applyAlignment="1">
      <alignment horizontal="right" vertical="top" wrapText="1"/>
    </xf>
    <xf numFmtId="9" fontId="2" fillId="0" borderId="1" xfId="1" applyFont="1" applyFill="1" applyBorder="1" applyAlignment="1">
      <alignment horizontal="right" vertical="top" wrapText="1"/>
    </xf>
    <xf numFmtId="165" fontId="2" fillId="0" borderId="1" xfId="0" applyNumberFormat="1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horizontal="right" vertical="top" wrapText="1"/>
    </xf>
    <xf numFmtId="1" fontId="1" fillId="0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165" fontId="0" fillId="0" borderId="1" xfId="0" applyNumberFormat="1" applyBorder="1" applyAlignment="1">
      <alignment vertical="top" wrapText="1"/>
    </xf>
    <xf numFmtId="49" fontId="1" fillId="0" borderId="1" xfId="0" applyNumberFormat="1" applyFont="1" applyFill="1" applyBorder="1" applyAlignment="1">
      <alignment vertical="top" wrapText="1"/>
    </xf>
    <xf numFmtId="49" fontId="0" fillId="0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3" fillId="0" borderId="1" xfId="0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justify" vertical="top" wrapText="1"/>
    </xf>
    <xf numFmtId="49" fontId="2" fillId="0" borderId="2" xfId="0" applyNumberFormat="1" applyFont="1" applyFill="1" applyBorder="1" applyAlignment="1">
      <alignment vertical="top" wrapText="1"/>
    </xf>
    <xf numFmtId="49" fontId="0" fillId="0" borderId="2" xfId="0" applyNumberFormat="1" applyFont="1" applyFill="1" applyBorder="1" applyAlignment="1">
      <alignment vertical="top" wrapText="1"/>
    </xf>
    <xf numFmtId="0" fontId="1" fillId="0" borderId="1" xfId="0" applyFont="1" applyBorder="1"/>
    <xf numFmtId="0" fontId="0" fillId="0" borderId="1" xfId="0" applyBorder="1"/>
    <xf numFmtId="9" fontId="2" fillId="0" borderId="1" xfId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vertical="top" wrapText="1"/>
    </xf>
    <xf numFmtId="165" fontId="0" fillId="2" borderId="1" xfId="0" applyNumberFormat="1" applyFont="1" applyFill="1" applyBorder="1" applyAlignment="1">
      <alignment horizontal="right" vertical="top" wrapText="1"/>
    </xf>
    <xf numFmtId="0" fontId="0" fillId="0" borderId="1" xfId="0" applyFont="1" applyBorder="1" applyAlignment="1">
      <alignment horizontal="righ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167" fontId="0" fillId="0" borderId="0" xfId="0" applyNumberFormat="1"/>
    <xf numFmtId="2" fontId="0" fillId="0" borderId="0" xfId="0" applyNumberFormat="1"/>
    <xf numFmtId="166" fontId="0" fillId="0" borderId="1" xfId="0" applyNumberFormat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Alignment="1">
      <alignment vertical="top"/>
    </xf>
    <xf numFmtId="1" fontId="1" fillId="0" borderId="0" xfId="0" applyNumberFormat="1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Fill="1" applyBorder="1" applyAlignment="1">
      <alignment horizontal="right" vertical="top" wrapText="1"/>
    </xf>
    <xf numFmtId="2" fontId="2" fillId="0" borderId="1" xfId="0" applyNumberFormat="1" applyFont="1" applyFill="1" applyBorder="1" applyAlignment="1">
      <alignment horizontal="right" vertical="top" wrapText="1"/>
    </xf>
    <xf numFmtId="2" fontId="2" fillId="0" borderId="1" xfId="0" applyNumberFormat="1" applyFont="1" applyFill="1" applyBorder="1" applyAlignment="1">
      <alignment horizontal="justify" vertical="top" wrapText="1"/>
    </xf>
    <xf numFmtId="168" fontId="2" fillId="0" borderId="1" xfId="0" applyNumberFormat="1" applyFont="1" applyFill="1" applyBorder="1" applyAlignment="1">
      <alignment horizontal="right" vertical="top" wrapText="1"/>
    </xf>
    <xf numFmtId="2" fontId="0" fillId="0" borderId="1" xfId="0" applyNumberFormat="1" applyFont="1" applyFill="1" applyBorder="1" applyAlignment="1">
      <alignment horizontal="right" vertical="top" wrapText="1"/>
    </xf>
    <xf numFmtId="168" fontId="0" fillId="0" borderId="1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165" fontId="0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vertical="top" wrapText="1"/>
    </xf>
    <xf numFmtId="165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" fontId="3" fillId="0" borderId="3" xfId="0" applyNumberFormat="1" applyFont="1" applyFill="1" applyBorder="1" applyAlignment="1">
      <alignment vertical="top" wrapText="1"/>
    </xf>
    <xf numFmtId="0" fontId="0" fillId="0" borderId="4" xfId="0" applyFont="1" applyBorder="1" applyAlignment="1">
      <alignment horizontal="right" vertical="top" wrapText="1"/>
    </xf>
    <xf numFmtId="1" fontId="2" fillId="0" borderId="4" xfId="0" applyNumberFormat="1" applyFont="1" applyFill="1" applyBorder="1" applyAlignment="1">
      <alignment vertical="top" wrapText="1"/>
    </xf>
    <xf numFmtId="49" fontId="2" fillId="0" borderId="3" xfId="0" applyNumberFormat="1" applyFont="1" applyFill="1" applyBorder="1" applyAlignment="1">
      <alignment vertical="top" wrapText="1"/>
    </xf>
    <xf numFmtId="1" fontId="3" fillId="0" borderId="4" xfId="0" applyNumberFormat="1" applyFont="1" applyFill="1" applyBorder="1" applyAlignment="1">
      <alignment vertical="top" wrapText="1"/>
    </xf>
    <xf numFmtId="2" fontId="2" fillId="0" borderId="4" xfId="0" applyNumberFormat="1" applyFont="1" applyFill="1" applyBorder="1" applyAlignment="1">
      <alignment horizontal="right" vertical="top" wrapText="1"/>
    </xf>
    <xf numFmtId="2" fontId="2" fillId="0" borderId="4" xfId="0" applyNumberFormat="1" applyFont="1" applyFill="1" applyBorder="1" applyAlignment="1">
      <alignment vertical="top" wrapText="1"/>
    </xf>
    <xf numFmtId="1" fontId="2" fillId="0" borderId="4" xfId="0" applyNumberFormat="1" applyFont="1" applyFill="1" applyBorder="1" applyAlignment="1">
      <alignment horizontal="right" vertical="top" wrapText="1"/>
    </xf>
    <xf numFmtId="1" fontId="0" fillId="2" borderId="4" xfId="0" applyNumberFormat="1" applyFont="1" applyFill="1" applyBorder="1" applyAlignment="1">
      <alignment horizontal="right" vertical="top" wrapText="1"/>
    </xf>
    <xf numFmtId="165" fontId="0" fillId="2" borderId="4" xfId="0" applyNumberFormat="1" applyFont="1" applyFill="1" applyBorder="1" applyAlignment="1">
      <alignment horizontal="right" vertical="top" wrapText="1"/>
    </xf>
    <xf numFmtId="165" fontId="0" fillId="0" borderId="4" xfId="0" applyNumberFormat="1" applyFont="1" applyFill="1" applyBorder="1" applyAlignment="1">
      <alignment horizontal="right" vertical="top" wrapText="1"/>
    </xf>
    <xf numFmtId="2" fontId="0" fillId="0" borderId="4" xfId="0" applyNumberFormat="1" applyFont="1" applyFill="1" applyBorder="1" applyAlignment="1">
      <alignment horizontal="right" vertical="top" wrapText="1"/>
    </xf>
    <xf numFmtId="168" fontId="0" fillId="0" borderId="4" xfId="0" applyNumberFormat="1" applyFont="1" applyFill="1" applyBorder="1" applyAlignment="1">
      <alignment horizontal="right" vertical="top" wrapText="1"/>
    </xf>
    <xf numFmtId="168" fontId="0" fillId="2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vertical="top"/>
    </xf>
    <xf numFmtId="165" fontId="1" fillId="0" borderId="0" xfId="0" applyNumberFormat="1" applyFont="1" applyAlignment="1">
      <alignment vertical="top"/>
    </xf>
    <xf numFmtId="2" fontId="5" fillId="0" borderId="0" xfId="0" applyNumberFormat="1" applyFont="1"/>
    <xf numFmtId="0" fontId="5" fillId="0" borderId="0" xfId="0" applyFont="1"/>
    <xf numFmtId="1" fontId="5" fillId="0" borderId="0" xfId="0" applyNumberFormat="1" applyFont="1"/>
    <xf numFmtId="0" fontId="0" fillId="0" borderId="6" xfId="0" applyBorder="1"/>
    <xf numFmtId="2" fontId="0" fillId="0" borderId="6" xfId="0" applyNumberFormat="1" applyBorder="1"/>
    <xf numFmtId="0" fontId="1" fillId="0" borderId="6" xfId="0" applyFont="1" applyBorder="1" applyAlignment="1">
      <alignment horizontal="right"/>
    </xf>
    <xf numFmtId="2" fontId="1" fillId="0" borderId="6" xfId="0" applyNumberFormat="1" applyFont="1" applyBorder="1"/>
    <xf numFmtId="0" fontId="1" fillId="0" borderId="6" xfId="0" applyFont="1" applyBorder="1"/>
    <xf numFmtId="2" fontId="9" fillId="4" borderId="5" xfId="5" applyNumberFormat="1" applyAlignment="1">
      <alignment horizontal="right" vertical="top" wrapText="1"/>
    </xf>
    <xf numFmtId="1" fontId="9" fillId="4" borderId="5" xfId="5" applyNumberFormat="1" applyAlignment="1">
      <alignment horizontal="left" vertical="top" wrapText="1"/>
    </xf>
    <xf numFmtId="1" fontId="9" fillId="4" borderId="5" xfId="5" applyNumberFormat="1" applyAlignment="1">
      <alignment horizontal="right" vertical="top" wrapText="1"/>
    </xf>
    <xf numFmtId="0" fontId="9" fillId="4" borderId="5" xfId="5" applyAlignment="1">
      <alignment vertical="top" wrapText="1"/>
    </xf>
    <xf numFmtId="49" fontId="9" fillId="4" borderId="5" xfId="5" applyNumberFormat="1" applyAlignment="1">
      <alignment horizontal="left" vertical="top" wrapText="1"/>
    </xf>
    <xf numFmtId="1" fontId="9" fillId="4" borderId="5" xfId="5" applyNumberFormat="1" applyAlignment="1">
      <alignment horizontal="justify" vertical="top" wrapText="1"/>
    </xf>
    <xf numFmtId="2" fontId="9" fillId="4" borderId="5" xfId="5" applyNumberFormat="1" applyAlignment="1">
      <alignment vertical="top" wrapText="1"/>
    </xf>
    <xf numFmtId="165" fontId="9" fillId="4" borderId="5" xfId="5" applyNumberFormat="1" applyAlignment="1">
      <alignment horizontal="right" vertical="top" wrapText="1"/>
    </xf>
    <xf numFmtId="165" fontId="9" fillId="4" borderId="5" xfId="5" applyNumberFormat="1" applyAlignment="1">
      <alignment horizontal="left" vertical="top" wrapText="1"/>
    </xf>
    <xf numFmtId="168" fontId="9" fillId="4" borderId="5" xfId="5" applyNumberFormat="1" applyAlignment="1">
      <alignment horizontal="right" vertical="top" wrapText="1"/>
    </xf>
    <xf numFmtId="0" fontId="9" fillId="4" borderId="5" xfId="5" applyAlignment="1">
      <alignment vertical="top"/>
    </xf>
    <xf numFmtId="1" fontId="9" fillId="4" borderId="5" xfId="5" applyNumberFormat="1" applyAlignment="1">
      <alignment vertical="top" wrapText="1"/>
    </xf>
    <xf numFmtId="49" fontId="9" fillId="4" borderId="5" xfId="5" applyNumberFormat="1" applyAlignment="1">
      <alignment vertical="top" wrapText="1"/>
    </xf>
  </cellXfs>
  <cellStyles count="6">
    <cellStyle name="Check Cell" xfId="5" builtinId="23"/>
    <cellStyle name="Komma 2" xfId="4" xr:uid="{00000000-0005-0000-0000-000030000000}"/>
    <cellStyle name="Normal" xfId="0" builtinId="0"/>
    <cellStyle name="Percent" xfId="1" builtinId="5"/>
    <cellStyle name="Procent 2" xfId="3" xr:uid="{00000000-0005-0000-0000-000031000000}"/>
    <cellStyle name="Standaard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83154</xdr:colOff>
      <xdr:row>7</xdr:row>
      <xdr:rowOff>32657</xdr:rowOff>
    </xdr:from>
    <xdr:ext cx="4763060" cy="4259916"/>
    <xdr:pic>
      <xdr:nvPicPr>
        <xdr:cNvPr id="4" name="Afbeelding 1" descr="https://static.karwei.nl/medias/sys_master/had/h14/8796266463262.jpg">
          <a:extLst>
            <a:ext uri="{FF2B5EF4-FFF2-40B4-BE49-F238E27FC236}">
              <a16:creationId xmlns:a16="http://schemas.microsoft.com/office/drawing/2014/main" id="{3CF0B4B7-9E53-4015-9442-FBB67CED3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8854" y="2509157"/>
          <a:ext cx="4763060" cy="425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per Vijverberg" id="{6816DA36-7E16-4577-A913-91BF22E806F4}" userId="Jasper Vijverber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20-01-14T09:25:41.20" personId="{6816DA36-7E16-4577-A913-91BF22E806F4}" id="{8F48EE52-D901-4B2A-94BF-3525C13A7153}">
    <text>edited as it evaluated 11 time 77 m. while the 11 elements where in total 77 m</text>
  </threadedComment>
  <threadedComment ref="I19" dT="2020-01-14T09:25:41.20" personId="{6816DA36-7E16-4577-A913-91BF22E806F4}" id="{F1760268-A4A8-4B75-BA15-366C3CF65EA2}">
    <text>edited as it evaluated 11 time 77 m. while the 11 elements where in total 77 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6" dT="2020-01-14T15:33:21.16" personId="{6816DA36-7E16-4577-A913-91BF22E806F4}" id="{51273EF2-94F8-423D-A04B-F335D7D7E486}">
    <text>Reduced diameter as Electricity tubes aren't usually at 4.5cm diameter.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:X43"/>
  <sheetViews>
    <sheetView zoomScale="70" zoomScaleNormal="70" workbookViewId="0">
      <pane xSplit="5" ySplit="1" topLeftCell="G2" activePane="bottomRight" state="frozen"/>
      <selection pane="topRight" activeCell="G1" sqref="G1"/>
      <selection pane="bottomLeft" activeCell="A2" sqref="A2"/>
      <selection pane="bottomRight" activeCell="M12" sqref="M12"/>
    </sheetView>
  </sheetViews>
  <sheetFormatPr defaultColWidth="9.140625" defaultRowHeight="15" x14ac:dyDescent="0.25"/>
  <cols>
    <col min="1" max="1" width="27.140625" style="14" customWidth="1"/>
    <col min="2" max="4" width="33.5703125" style="14" customWidth="1"/>
    <col min="5" max="5" width="13.85546875" style="4" customWidth="1"/>
    <col min="6" max="7" width="19.85546875" style="4" customWidth="1"/>
    <col min="8" max="8" width="19.85546875" style="65" customWidth="1"/>
    <col min="9" max="10" width="19.85546875" style="4" customWidth="1"/>
    <col min="11" max="11" width="19.85546875" style="65" customWidth="1"/>
    <col min="12" max="14" width="19.85546875" style="4" customWidth="1"/>
    <col min="15" max="15" width="19.85546875" style="65" customWidth="1"/>
    <col min="16" max="16" width="10.42578125" style="6" bestFit="1" customWidth="1"/>
    <col min="17" max="17" width="6.7109375" style="6" bestFit="1" customWidth="1"/>
    <col min="18" max="18" width="6.85546875" style="6" bestFit="1" customWidth="1"/>
    <col min="19" max="19" width="56.140625" style="74" customWidth="1"/>
    <col min="20" max="21" width="9.140625" style="62"/>
    <col min="22" max="22" width="7.7109375" style="20" bestFit="1" customWidth="1"/>
    <col min="23" max="23" width="12.140625" style="20" bestFit="1" customWidth="1"/>
    <col min="24" max="24" width="86.42578125" style="20" customWidth="1"/>
    <col min="25" max="25" width="24" style="20" customWidth="1"/>
    <col min="26" max="26" width="20.7109375" style="20" customWidth="1"/>
    <col min="27" max="16384" width="9.140625" style="20"/>
  </cols>
  <sheetData>
    <row r="1" spans="1:24" ht="30" x14ac:dyDescent="0.25">
      <c r="A1" s="49" t="s">
        <v>22</v>
      </c>
      <c r="B1" s="30" t="s">
        <v>126</v>
      </c>
      <c r="C1" s="49" t="s">
        <v>125</v>
      </c>
      <c r="D1" s="40" t="s">
        <v>23</v>
      </c>
      <c r="E1" s="8" t="s">
        <v>24</v>
      </c>
      <c r="F1" s="9" t="s">
        <v>138</v>
      </c>
      <c r="G1" s="9" t="s">
        <v>139</v>
      </c>
      <c r="H1" s="9" t="s">
        <v>76</v>
      </c>
      <c r="I1" s="8" t="s">
        <v>222</v>
      </c>
      <c r="J1" s="8" t="s">
        <v>148</v>
      </c>
      <c r="K1" s="71" t="s">
        <v>153</v>
      </c>
      <c r="L1" s="8" t="s">
        <v>146</v>
      </c>
      <c r="M1" s="8" t="s">
        <v>145</v>
      </c>
      <c r="N1" s="8" t="s">
        <v>143</v>
      </c>
      <c r="O1" s="9" t="s">
        <v>140</v>
      </c>
      <c r="P1" s="9" t="s">
        <v>1</v>
      </c>
      <c r="Q1" s="9" t="s">
        <v>113</v>
      </c>
      <c r="R1" s="9" t="s">
        <v>179</v>
      </c>
      <c r="S1" s="71" t="s">
        <v>152</v>
      </c>
      <c r="T1" s="34"/>
      <c r="U1" s="34"/>
      <c r="V1" s="34" t="s">
        <v>151</v>
      </c>
      <c r="W1" s="34" t="s">
        <v>150</v>
      </c>
      <c r="X1" s="97" t="s">
        <v>234</v>
      </c>
    </row>
    <row r="2" spans="1:24" ht="30" x14ac:dyDescent="0.25">
      <c r="A2" s="79" t="s">
        <v>25</v>
      </c>
      <c r="B2" s="80">
        <v>16</v>
      </c>
      <c r="C2" s="81" t="s">
        <v>114</v>
      </c>
      <c r="D2" s="82" t="s">
        <v>99</v>
      </c>
      <c r="E2" s="83" t="s">
        <v>3</v>
      </c>
      <c r="F2" s="84"/>
      <c r="G2" s="84"/>
      <c r="H2" s="84">
        <v>0.04</v>
      </c>
      <c r="I2" s="84">
        <v>1</v>
      </c>
      <c r="J2" s="85" t="s">
        <v>193</v>
      </c>
      <c r="K2" s="84">
        <f>3*Gebouweigenschappen!B5+3*Gebouweigenschappen!B6</f>
        <v>42</v>
      </c>
      <c r="L2" s="85" t="s">
        <v>147</v>
      </c>
      <c r="M2" s="84">
        <v>6.6799999999999998E-2</v>
      </c>
      <c r="N2" s="84">
        <v>2.8</v>
      </c>
      <c r="O2" s="86">
        <v>1800</v>
      </c>
      <c r="P2" s="87">
        <f>Gebouweigenschappen!C25*1800</f>
        <v>5050.08</v>
      </c>
      <c r="Q2" s="88">
        <f>P2/Gebouweigenschappen!$B$3</f>
        <v>58.046896551724139</v>
      </c>
      <c r="R2" s="89" t="str">
        <f>LEFT(S2,4)</f>
        <v>0008</v>
      </c>
      <c r="S2" s="72" t="s">
        <v>163</v>
      </c>
      <c r="T2" s="90">
        <v>4.4200000000000003E-2</v>
      </c>
      <c r="U2" s="91" t="s">
        <v>142</v>
      </c>
      <c r="V2" s="88">
        <f>W2/Gebouweigenschappen!$B$3</f>
        <v>2.5656728275862069</v>
      </c>
      <c r="W2" s="88">
        <f>P2*T2</f>
        <v>223.213536</v>
      </c>
      <c r="X2" s="20" t="str">
        <f>E2&amp;D2</f>
        <v xml:space="preserve">baksteenbaksteengedeelte. </v>
      </c>
    </row>
    <row r="3" spans="1:24" ht="30" x14ac:dyDescent="0.25">
      <c r="A3" s="50" t="s">
        <v>25</v>
      </c>
      <c r="B3" s="52">
        <v>16</v>
      </c>
      <c r="C3" s="18" t="s">
        <v>114</v>
      </c>
      <c r="D3" s="43" t="s">
        <v>100</v>
      </c>
      <c r="E3" s="8" t="s">
        <v>26</v>
      </c>
      <c r="F3" s="66">
        <v>0.7</v>
      </c>
      <c r="G3" s="66">
        <f>(3*Gebouweigenschappen!B5+3*Gebouweigenschappen!B6)</f>
        <v>42</v>
      </c>
      <c r="H3" s="66">
        <v>0.15</v>
      </c>
      <c r="I3" s="66"/>
      <c r="J3" s="18"/>
      <c r="K3" s="66">
        <f>G3*F3</f>
        <v>29.4</v>
      </c>
      <c r="L3" s="60" t="s">
        <v>149</v>
      </c>
      <c r="M3" s="66">
        <f>N3/G3</f>
        <v>9.9749999999999991E-2</v>
      </c>
      <c r="N3" s="66">
        <f>F3*H3*G3*0.95</f>
        <v>4.1894999999999998</v>
      </c>
      <c r="O3" s="55">
        <v>2380</v>
      </c>
      <c r="P3" s="19">
        <f>0.95*Gebouweigenschappen!D25*2380</f>
        <v>9971.0099999999966</v>
      </c>
      <c r="Q3" s="51">
        <f>P3/Gebouweigenschappen!$B$3</f>
        <v>114.60931034482755</v>
      </c>
      <c r="R3" s="23" t="str">
        <f>LEFT(S3,4)</f>
        <v>0004</v>
      </c>
      <c r="S3" s="72" t="s">
        <v>164</v>
      </c>
      <c r="T3" s="66">
        <v>8.6099999999999996E-3</v>
      </c>
      <c r="U3" s="70" t="s">
        <v>142</v>
      </c>
      <c r="V3" s="51">
        <f>W3/Gebouweigenschappen!$B$3</f>
        <v>0.98678616206896519</v>
      </c>
      <c r="W3" s="51">
        <f>P3*T3</f>
        <v>85.850396099999969</v>
      </c>
      <c r="X3" s="20" t="str">
        <f>E3&amp;D3</f>
        <v>betongegoten beton</v>
      </c>
    </row>
    <row r="4" spans="1:24" ht="45" x14ac:dyDescent="0.25">
      <c r="A4" s="50" t="s">
        <v>25</v>
      </c>
      <c r="B4" s="52">
        <v>16</v>
      </c>
      <c r="C4" s="18" t="s">
        <v>114</v>
      </c>
      <c r="D4" s="43" t="s">
        <v>93</v>
      </c>
      <c r="E4" s="8" t="s">
        <v>20</v>
      </c>
      <c r="F4" s="66">
        <v>0.7</v>
      </c>
      <c r="G4" s="66">
        <f>(3*Gebouweigenschappen!B5+3*Gebouweigenschappen!B6)</f>
        <v>42</v>
      </c>
      <c r="H4" s="66">
        <v>0.15</v>
      </c>
      <c r="I4" s="66"/>
      <c r="J4" s="18"/>
      <c r="K4" s="66">
        <f>G4*F4</f>
        <v>29.4</v>
      </c>
      <c r="L4" s="60" t="s">
        <v>149</v>
      </c>
      <c r="M4" s="66">
        <f>N4/G4</f>
        <v>5.2500000000000003E-3</v>
      </c>
      <c r="N4" s="66">
        <f>F4*H4*G4*0.05</f>
        <v>0.22050000000000003</v>
      </c>
      <c r="O4" s="55">
        <v>2380</v>
      </c>
      <c r="P4" s="19">
        <f>0.05*Gebouweigenschappen!D25*2380</f>
        <v>524.79</v>
      </c>
      <c r="Q4" s="51">
        <f>P4/Gebouweigenschappen!$B$3</f>
        <v>6.032068965517241</v>
      </c>
      <c r="R4" s="23" t="str">
        <f>LEFT(S4,4)</f>
        <v>0167</v>
      </c>
      <c r="S4" s="72" t="s">
        <v>165</v>
      </c>
      <c r="T4" s="66">
        <v>0.82799999999999996</v>
      </c>
      <c r="U4" s="70" t="s">
        <v>142</v>
      </c>
      <c r="V4" s="51">
        <f>W4/Gebouweigenschappen!$B$3</f>
        <v>4.9945531034482755</v>
      </c>
      <c r="W4" s="51">
        <f>T4*P4</f>
        <v>434.52611999999993</v>
      </c>
      <c r="X4" s="20" t="str">
        <f>E4&amp;D4</f>
        <v>staalstalen frame</v>
      </c>
    </row>
    <row r="5" spans="1:24" ht="45" x14ac:dyDescent="0.25">
      <c r="A5" s="50" t="s">
        <v>4</v>
      </c>
      <c r="B5" s="52">
        <v>23</v>
      </c>
      <c r="C5" s="48" t="s">
        <v>115</v>
      </c>
      <c r="D5" s="43" t="s">
        <v>95</v>
      </c>
      <c r="E5" s="11" t="s">
        <v>20</v>
      </c>
      <c r="F5" s="66"/>
      <c r="G5" s="66"/>
      <c r="H5" s="66">
        <f>N5/K5</f>
        <v>1.0000000000000002E-2</v>
      </c>
      <c r="I5" s="66"/>
      <c r="J5" s="12"/>
      <c r="K5" s="66">
        <v>47</v>
      </c>
      <c r="L5" s="60" t="s">
        <v>149</v>
      </c>
      <c r="M5" s="66"/>
      <c r="N5" s="66">
        <f>P5/O5</f>
        <v>0.47000000000000008</v>
      </c>
      <c r="O5" s="55">
        <v>2380</v>
      </c>
      <c r="P5" s="19">
        <f>P6*0.05</f>
        <v>1118.6000000000001</v>
      </c>
      <c r="Q5" s="51">
        <f>P5/Gebouweigenschappen!$B$3</f>
        <v>12.857471264367817</v>
      </c>
      <c r="R5" s="23" t="str">
        <f>LEFT(S5,4)</f>
        <v>0167</v>
      </c>
      <c r="S5" s="72" t="s">
        <v>165</v>
      </c>
      <c r="T5" s="66">
        <v>0.82799999999999996</v>
      </c>
      <c r="U5" s="70" t="s">
        <v>142</v>
      </c>
      <c r="V5" s="51">
        <f>W5/Gebouweigenschappen!$B$3</f>
        <v>10.645986206896552</v>
      </c>
      <c r="W5" s="51">
        <f>T5*P5</f>
        <v>926.20080000000007</v>
      </c>
      <c r="X5" s="20" t="str">
        <f>E5&amp;D5</f>
        <v>staalstalen versterking</v>
      </c>
    </row>
    <row r="6" spans="1:24" ht="30" x14ac:dyDescent="0.25">
      <c r="A6" s="50" t="s">
        <v>4</v>
      </c>
      <c r="B6" s="10">
        <v>23</v>
      </c>
      <c r="C6" s="31" t="s">
        <v>115</v>
      </c>
      <c r="D6" s="43" t="s">
        <v>37</v>
      </c>
      <c r="E6" s="11" t="s">
        <v>26</v>
      </c>
      <c r="F6" s="66"/>
      <c r="G6" s="66"/>
      <c r="H6" s="66">
        <v>0.2</v>
      </c>
      <c r="I6" s="66"/>
      <c r="J6" s="12"/>
      <c r="K6" s="66">
        <v>47</v>
      </c>
      <c r="L6" s="60" t="s">
        <v>149</v>
      </c>
      <c r="M6" s="66"/>
      <c r="N6" s="66">
        <f>P6/O6</f>
        <v>9.4</v>
      </c>
      <c r="O6" s="55">
        <v>2380</v>
      </c>
      <c r="P6" s="19">
        <f>Gebouweigenschappen!B4*0.2*2380</f>
        <v>22372</v>
      </c>
      <c r="Q6" s="51">
        <f>P6/Gebouweigenschappen!$B$3</f>
        <v>257.14942528735634</v>
      </c>
      <c r="R6" s="23" t="str">
        <f>LEFT(S6,4)</f>
        <v>0004</v>
      </c>
      <c r="S6" s="72" t="s">
        <v>164</v>
      </c>
      <c r="T6" s="66">
        <v>8.6099999999999996E-3</v>
      </c>
      <c r="U6" s="70" t="s">
        <v>142</v>
      </c>
      <c r="V6" s="51">
        <f>W6/Gebouweigenschappen!$B$3</f>
        <v>2.2140565517241377</v>
      </c>
      <c r="W6" s="51">
        <f>P6*T6</f>
        <v>192.62291999999999</v>
      </c>
      <c r="X6" s="20" t="str">
        <f>E6&amp;D6</f>
        <v>betonsteen/beton</v>
      </c>
    </row>
    <row r="7" spans="1:24" ht="30" x14ac:dyDescent="0.25">
      <c r="A7" s="50" t="s">
        <v>4</v>
      </c>
      <c r="B7" s="10">
        <v>23</v>
      </c>
      <c r="C7" s="31" t="s">
        <v>115</v>
      </c>
      <c r="D7" s="43" t="s">
        <v>94</v>
      </c>
      <c r="E7" s="11" t="s">
        <v>112</v>
      </c>
      <c r="F7" s="66"/>
      <c r="G7" s="66"/>
      <c r="H7" s="66">
        <v>0.05</v>
      </c>
      <c r="I7" s="66"/>
      <c r="J7" s="12"/>
      <c r="K7" s="66">
        <v>47</v>
      </c>
      <c r="L7" s="60" t="s">
        <v>149</v>
      </c>
      <c r="M7" s="66"/>
      <c r="N7" s="66">
        <f>P7/O7</f>
        <v>1.8760504201680672</v>
      </c>
      <c r="O7" s="55">
        <v>2380</v>
      </c>
      <c r="P7" s="19">
        <f>Gebouweigenschappen!B4*0.05*1900</f>
        <v>4465</v>
      </c>
      <c r="Q7" s="51">
        <f>P7/Gebouweigenschappen!$B$3</f>
        <v>51.321839080459768</v>
      </c>
      <c r="R7" s="23" t="str">
        <f>LEFT(S7,4)</f>
        <v>0047</v>
      </c>
      <c r="S7" s="72" t="s">
        <v>158</v>
      </c>
      <c r="T7" s="66">
        <v>2.3199999999999998E-2</v>
      </c>
      <c r="U7" s="70" t="s">
        <v>142</v>
      </c>
      <c r="V7" s="51">
        <f>W7/Gebouweigenschappen!$B$3</f>
        <v>1.1906666666666665</v>
      </c>
      <c r="W7" s="51">
        <f>T7*P7</f>
        <v>103.58799999999999</v>
      </c>
      <c r="X7" s="20" t="str">
        <f>E7&amp;D7</f>
        <v>zandcementdeklaag</v>
      </c>
    </row>
    <row r="8" spans="1:24" ht="60" x14ac:dyDescent="0.25">
      <c r="A8" s="49" t="s">
        <v>5</v>
      </c>
      <c r="B8" s="10">
        <v>23</v>
      </c>
      <c r="C8" s="31" t="s">
        <v>115</v>
      </c>
      <c r="D8" s="42" t="s">
        <v>129</v>
      </c>
      <c r="E8" s="11" t="s">
        <v>2</v>
      </c>
      <c r="F8" s="66"/>
      <c r="G8" s="66"/>
      <c r="H8" s="66">
        <v>0.02</v>
      </c>
      <c r="I8" s="66"/>
      <c r="J8" s="12"/>
      <c r="K8" s="66">
        <f>(Gebouweigenschappen!B3-Gebouweigenschappen!B4)*(Gebouweigenschappen!B2-1)</f>
        <v>80</v>
      </c>
      <c r="L8" s="60" t="s">
        <v>149</v>
      </c>
      <c r="M8" s="66"/>
      <c r="N8" s="66">
        <f>K8*H8</f>
        <v>1.6</v>
      </c>
      <c r="O8" s="55">
        <v>500</v>
      </c>
      <c r="P8" s="19">
        <f>(0.02*(Gebouweigenschappen!B3-Gebouweigenschappen!B4)*500)*(Gebouweigenschappen!B2-1)</f>
        <v>800</v>
      </c>
      <c r="Q8" s="51">
        <f>P8/Gebouweigenschappen!$B$3</f>
        <v>9.1954022988505741</v>
      </c>
      <c r="R8" s="23" t="str">
        <f>LEFT(S8,4)</f>
        <v>0027</v>
      </c>
      <c r="S8" s="72" t="s">
        <v>162</v>
      </c>
      <c r="T8" s="66">
        <v>3.6600000000000001E-2</v>
      </c>
      <c r="U8" s="70" t="s">
        <v>142</v>
      </c>
      <c r="V8" s="51">
        <f>W8/Gebouweigenschappen!$B$3</f>
        <v>0.33655172413793105</v>
      </c>
      <c r="W8" s="51">
        <f>T8*P8</f>
        <v>29.28</v>
      </c>
      <c r="X8" s="20" t="str">
        <f>E8&amp;D8</f>
        <v>houtplanken</v>
      </c>
    </row>
    <row r="9" spans="1:24" ht="60" x14ac:dyDescent="0.25">
      <c r="A9" s="49" t="s">
        <v>5</v>
      </c>
      <c r="B9" s="55">
        <v>23</v>
      </c>
      <c r="C9" s="56" t="s">
        <v>225</v>
      </c>
      <c r="D9" s="42" t="s">
        <v>9</v>
      </c>
      <c r="E9" s="11" t="s">
        <v>2</v>
      </c>
      <c r="F9" s="66">
        <v>0.25</v>
      </c>
      <c r="G9" s="66">
        <v>9</v>
      </c>
      <c r="H9" s="66">
        <v>6.7000000000000004E-2</v>
      </c>
      <c r="I9" s="66">
        <v>10</v>
      </c>
      <c r="J9" s="60" t="s">
        <v>224</v>
      </c>
      <c r="K9" s="66">
        <f>F9*G9*I9*2</f>
        <v>45</v>
      </c>
      <c r="L9" s="60" t="s">
        <v>149</v>
      </c>
      <c r="M9" s="66"/>
      <c r="N9" s="66">
        <f>P9/O9</f>
        <v>3.0150000000000001</v>
      </c>
      <c r="O9" s="55">
        <v>500</v>
      </c>
      <c r="P9" s="19">
        <f>(10*0.25*0.067*9*500)*(Gebouweigenschappen!B2-1)</f>
        <v>1507.5</v>
      </c>
      <c r="Q9" s="51">
        <f>P9/Gebouweigenschappen!$B$3</f>
        <v>17.327586206896552</v>
      </c>
      <c r="R9" s="23" t="str">
        <f>LEFT(S9,4)</f>
        <v>0027</v>
      </c>
      <c r="S9" s="72" t="s">
        <v>162</v>
      </c>
      <c r="T9" s="66">
        <v>3.6600000000000001E-2</v>
      </c>
      <c r="U9" s="70" t="s">
        <v>142</v>
      </c>
      <c r="V9" s="51">
        <f>W9/Gebouweigenschappen!$B$3</f>
        <v>0.63418965517241377</v>
      </c>
      <c r="W9" s="51">
        <f>T9*P9</f>
        <v>55.174500000000002</v>
      </c>
      <c r="X9" s="20" t="str">
        <f>E9&amp;D9</f>
        <v>houtbalkensysteem</v>
      </c>
    </row>
    <row r="10" spans="1:24" ht="45" x14ac:dyDescent="0.25">
      <c r="A10" s="50" t="s">
        <v>85</v>
      </c>
      <c r="B10" s="10">
        <v>21</v>
      </c>
      <c r="C10" s="31" t="s">
        <v>116</v>
      </c>
      <c r="D10" s="44" t="s">
        <v>96</v>
      </c>
      <c r="E10" s="11" t="s">
        <v>3</v>
      </c>
      <c r="F10" s="66"/>
      <c r="G10" s="66"/>
      <c r="H10" s="66">
        <v>0.1</v>
      </c>
      <c r="I10" s="66">
        <v>1</v>
      </c>
      <c r="J10" s="12" t="s">
        <v>193</v>
      </c>
      <c r="K10" s="66">
        <f>Gebouweigenschappen!B13+Gebouweigenschappen!B14</f>
        <v>95.3</v>
      </c>
      <c r="L10" s="60" t="s">
        <v>149</v>
      </c>
      <c r="N10" s="66">
        <f>P10/O10</f>
        <v>9.5299999999999994</v>
      </c>
      <c r="O10" s="55">
        <v>1800</v>
      </c>
      <c r="P10" s="19">
        <f>(Gebouweigenschappen!B13+Gebouweigenschappen!B14)*0.1*1800</f>
        <v>17154</v>
      </c>
      <c r="Q10" s="51">
        <f>P10/Gebouweigenschappen!$B$3</f>
        <v>197.17241379310346</v>
      </c>
      <c r="R10" s="23" t="str">
        <f>LEFT(S10,4)</f>
        <v>0008</v>
      </c>
      <c r="S10" s="72" t="s">
        <v>163</v>
      </c>
      <c r="T10" s="69">
        <v>4.4200000000000003E-2</v>
      </c>
      <c r="U10" s="70" t="s">
        <v>142</v>
      </c>
      <c r="V10" s="51">
        <f>W10/Gebouweigenschappen!$B$3</f>
        <v>8.715020689655173</v>
      </c>
      <c r="W10" s="51">
        <f>T10*P10</f>
        <v>758.20680000000004</v>
      </c>
      <c r="X10" s="20" t="str">
        <f>E10&amp;D10</f>
        <v>baksteenGemetseld, 1½ Steens. Dragende gevel, wel spouw. Buitenblad baksteen</v>
      </c>
    </row>
    <row r="11" spans="1:24" ht="45.75" thickBot="1" x14ac:dyDescent="0.3">
      <c r="A11" s="50" t="s">
        <v>85</v>
      </c>
      <c r="B11" s="10">
        <v>21</v>
      </c>
      <c r="C11" s="31" t="s">
        <v>116</v>
      </c>
      <c r="D11" s="44" t="s">
        <v>97</v>
      </c>
      <c r="E11" s="11" t="s">
        <v>7</v>
      </c>
      <c r="F11" s="66"/>
      <c r="G11" s="66"/>
      <c r="H11" s="66">
        <v>0.1</v>
      </c>
      <c r="I11" s="66">
        <v>1</v>
      </c>
      <c r="J11" s="12" t="s">
        <v>193</v>
      </c>
      <c r="K11" s="66">
        <f>Gebouweigenschappen!B13+Gebouweigenschappen!B14</f>
        <v>95.3</v>
      </c>
      <c r="L11" s="60" t="s">
        <v>149</v>
      </c>
      <c r="M11" s="66"/>
      <c r="N11" s="66">
        <f>P11/O11</f>
        <v>9.5299999999999994</v>
      </c>
      <c r="O11" s="55">
        <v>1800</v>
      </c>
      <c r="P11" s="19">
        <f>(Gebouweigenschappen!B13+Gebouweigenschappen!B14)*0.1*1800</f>
        <v>17154</v>
      </c>
      <c r="Q11" s="51">
        <f>P11/Gebouweigenschappen!$B$3</f>
        <v>197.17241379310346</v>
      </c>
      <c r="R11" s="23"/>
      <c r="S11" s="72" t="s">
        <v>166</v>
      </c>
      <c r="T11" s="66">
        <v>2.7400000000000001E-2</v>
      </c>
      <c r="U11" s="70" t="s">
        <v>142</v>
      </c>
      <c r="V11" s="51">
        <f>W11/Gebouweigenschappen!$B$3</f>
        <v>5.4025241379310351</v>
      </c>
      <c r="W11" s="51">
        <f>T11*P11</f>
        <v>470.01960000000003</v>
      </c>
      <c r="X11" s="20" t="str">
        <f>E11&amp;D11</f>
        <v>kalkzandsteenGemetseld, 1½ Steens. Dragende gevel, wel spouw. Binnenblad kalkzandsteen</v>
      </c>
    </row>
    <row r="12" spans="1:24" s="117" customFormat="1" ht="61.5" thickTop="1" thickBot="1" x14ac:dyDescent="0.3">
      <c r="A12" s="108" t="s">
        <v>6</v>
      </c>
      <c r="B12" s="109">
        <v>21</v>
      </c>
      <c r="C12" s="110" t="s">
        <v>116</v>
      </c>
      <c r="D12" s="111" t="s">
        <v>39</v>
      </c>
      <c r="E12" s="112" t="s">
        <v>8</v>
      </c>
      <c r="F12" s="107">
        <v>0.35</v>
      </c>
      <c r="G12" s="107"/>
      <c r="H12" s="107">
        <v>2.8000000000000001E-2</v>
      </c>
      <c r="I12" s="107"/>
      <c r="J12" s="112"/>
      <c r="K12" s="107">
        <f>Gebouweigenschappen!B13</f>
        <v>42.3</v>
      </c>
      <c r="L12" s="113" t="s">
        <v>149</v>
      </c>
      <c r="M12" s="107"/>
      <c r="N12" s="107">
        <f>P12/O12</f>
        <v>0.41453999999999991</v>
      </c>
      <c r="O12" s="109">
        <v>30</v>
      </c>
      <c r="P12" s="109">
        <f>Gebouweigenschappen!B13*0.028*30*0.35</f>
        <v>12.436199999999998</v>
      </c>
      <c r="Q12" s="114">
        <f>P12/Gebouweigenschappen!$B$3</f>
        <v>0.14294482758620686</v>
      </c>
      <c r="R12" s="114" t="str">
        <f>LEFT(S12,4)</f>
        <v>0223</v>
      </c>
      <c r="S12" s="115" t="s">
        <v>159</v>
      </c>
      <c r="T12" s="107">
        <v>0.32900000000000001</v>
      </c>
      <c r="U12" s="116" t="s">
        <v>142</v>
      </c>
      <c r="V12" s="114">
        <f>W12/Gebouweigenschappen!$B$3</f>
        <v>4.7028848275862067E-2</v>
      </c>
      <c r="W12" s="114">
        <f>T12*P12</f>
        <v>4.0915097999999999</v>
      </c>
      <c r="X12" s="117" t="str">
        <f>E12&amp;D12</f>
        <v>polystyreen25 tot 30 mm polystyreen (35%)</v>
      </c>
    </row>
    <row r="13" spans="1:24" ht="30.75" thickTop="1" x14ac:dyDescent="0.25">
      <c r="A13" s="50" t="s">
        <v>84</v>
      </c>
      <c r="B13" s="10">
        <v>22</v>
      </c>
      <c r="C13" s="31" t="s">
        <v>117</v>
      </c>
      <c r="D13" s="43" t="s">
        <v>87</v>
      </c>
      <c r="E13" s="11" t="s">
        <v>7</v>
      </c>
      <c r="F13" s="66"/>
      <c r="G13" s="66"/>
      <c r="H13" s="66">
        <v>0.1</v>
      </c>
      <c r="I13" s="66"/>
      <c r="J13" s="12"/>
      <c r="K13" s="68">
        <f>(Gebouweigenschappen!B5+Gebouweigenschappen!B6+Gebouweigenschappen!B8+Gebouweigenschappen!B9+Gebouweigenschappen!B11+Gebouweigenschappen!B12)*Gebouweigenschappen!B19*0.05</f>
        <v>3.9166666666666665</v>
      </c>
      <c r="L13" s="60" t="s">
        <v>149</v>
      </c>
      <c r="M13" s="66"/>
      <c r="N13" s="66">
        <f>P13/O13</f>
        <v>0.39166666666666666</v>
      </c>
      <c r="O13" s="55">
        <v>1800</v>
      </c>
      <c r="P13" s="19">
        <f>(Gebouweigenschappen!B5+Gebouweigenschappen!B6+Gebouweigenschappen!B8+Gebouweigenschappen!B9+Gebouweigenschappen!B11+Gebouweigenschappen!B12)*Gebouweigenschappen!B19*0.1*1800*0.05</f>
        <v>705</v>
      </c>
      <c r="Q13" s="51">
        <f>P13/Gebouweigenschappen!$B$3</f>
        <v>8.1034482758620694</v>
      </c>
      <c r="R13" s="23"/>
      <c r="S13" s="72" t="s">
        <v>166</v>
      </c>
      <c r="T13" s="66">
        <v>2.7400000000000001E-2</v>
      </c>
      <c r="U13" s="70" t="s">
        <v>142</v>
      </c>
      <c r="V13" s="51">
        <f>W13/Gebouweigenschappen!$B$3</f>
        <v>0.2220344827586207</v>
      </c>
      <c r="W13" s="51">
        <f>T13*P13</f>
        <v>19.317</v>
      </c>
      <c r="X13" s="20" t="str">
        <f>E13&amp;D13</f>
        <v>kalkzandsteenRogier: 50% gips, 45% gasbeton, 5% kalkzandsteen</v>
      </c>
    </row>
    <row r="14" spans="1:24" ht="30" x14ac:dyDescent="0.25">
      <c r="A14" s="50" t="s">
        <v>84</v>
      </c>
      <c r="B14" s="10">
        <v>22</v>
      </c>
      <c r="C14" s="31" t="s">
        <v>117</v>
      </c>
      <c r="D14" s="43" t="s">
        <v>87</v>
      </c>
      <c r="E14" s="8" t="s">
        <v>108</v>
      </c>
      <c r="F14" s="66"/>
      <c r="G14" s="66"/>
      <c r="H14" s="66">
        <v>1.4999999999999999E-2</v>
      </c>
      <c r="I14" s="66">
        <v>1</v>
      </c>
      <c r="J14" s="12" t="s">
        <v>154</v>
      </c>
      <c r="K14" s="66">
        <f>(Gebouweigenschappen!B5+Gebouweigenschappen!B6+Gebouweigenschappen!B8+Gebouweigenschappen!B9+Gebouweigenschappen!B11+Gebouweigenschappen!B12)*Gebouweigenschappen!B19*0.5</f>
        <v>39.166666666666664</v>
      </c>
      <c r="L14" s="60" t="s">
        <v>149</v>
      </c>
      <c r="M14" s="66"/>
      <c r="N14" s="66">
        <f>P14/O14</f>
        <v>1.1749999999999998</v>
      </c>
      <c r="O14" s="55">
        <v>1150</v>
      </c>
      <c r="P14" s="19">
        <f>(Gebouweigenschappen!B5+Gebouweigenschappen!B6+Gebouweigenschappen!B8+Gebouweigenschappen!B9+Gebouweigenschappen!B11+Gebouweigenschappen!B12)*Gebouweigenschappen!B19*0.03*1150*0.5</f>
        <v>1351.2499999999998</v>
      </c>
      <c r="Q14" s="51">
        <f>P14/Gebouweigenschappen!$B$3</f>
        <v>15.531609195402297</v>
      </c>
      <c r="R14" s="23" t="str">
        <f>LEFT(S14,4)</f>
        <v>0011</v>
      </c>
      <c r="S14" s="72" t="s">
        <v>160</v>
      </c>
      <c r="T14" s="66">
        <v>1.5699999999999999E-2</v>
      </c>
      <c r="U14" s="70" t="s">
        <v>142</v>
      </c>
      <c r="V14" s="51">
        <f>W14/Gebouweigenschappen!$B$3</f>
        <v>0.24384626436781603</v>
      </c>
      <c r="W14" s="51">
        <f>T14*P14</f>
        <v>21.214624999999995</v>
      </c>
      <c r="X14" s="20" t="str">
        <f>E14&amp;D14</f>
        <v>gipsplaatRogier: 50% gips, 45% gasbeton, 5% kalkzandsteen</v>
      </c>
    </row>
    <row r="15" spans="1:24" ht="60.75" thickBot="1" x14ac:dyDescent="0.3">
      <c r="A15" s="50" t="s">
        <v>84</v>
      </c>
      <c r="B15" s="55">
        <v>22</v>
      </c>
      <c r="C15" s="56" t="s">
        <v>117</v>
      </c>
      <c r="D15" s="43" t="s">
        <v>87</v>
      </c>
      <c r="E15" s="8" t="s">
        <v>2</v>
      </c>
      <c r="F15" s="66">
        <v>0.5</v>
      </c>
      <c r="G15" s="66"/>
      <c r="H15" s="66">
        <v>0.03</v>
      </c>
      <c r="I15" s="66"/>
      <c r="J15" s="18"/>
      <c r="K15" s="66">
        <f>10%*K14</f>
        <v>3.9166666666666665</v>
      </c>
      <c r="L15" s="60" t="s">
        <v>149</v>
      </c>
      <c r="M15" s="66"/>
      <c r="N15" s="66">
        <f>P15/O15</f>
        <v>0.11749999999999998</v>
      </c>
      <c r="O15" s="55">
        <v>500</v>
      </c>
      <c r="P15" s="19">
        <f>(Gebouweigenschappen!B5+Gebouweigenschappen!B6+Gebouweigenschappen!B8+Gebouweigenschappen!B9+Gebouweigenschappen!B11+Gebouweigenschappen!B12)*Gebouweigenschappen!B19*0.03*500*0.5*0.1</f>
        <v>58.749999999999993</v>
      </c>
      <c r="Q15" s="51">
        <f>P15/Gebouweigenschappen!$B$3</f>
        <v>0.67528735632183901</v>
      </c>
      <c r="R15" s="23" t="str">
        <f>LEFT(S15,4)</f>
        <v>0027</v>
      </c>
      <c r="S15" s="72" t="s">
        <v>162</v>
      </c>
      <c r="T15" s="66">
        <v>3.6600000000000001E-2</v>
      </c>
      <c r="U15" s="70" t="s">
        <v>142</v>
      </c>
      <c r="V15" s="51">
        <f>W15/Gebouweigenschappen!$B$3</f>
        <v>2.4715517241379308E-2</v>
      </c>
      <c r="W15" s="51">
        <f>T15*P15</f>
        <v>2.1502499999999998</v>
      </c>
      <c r="X15" s="20" t="str">
        <f>E15&amp;D15</f>
        <v>houtRogier: 50% gips, 45% gasbeton, 5% kalkzandsteen</v>
      </c>
    </row>
    <row r="16" spans="1:24" s="117" customFormat="1" ht="31.5" thickTop="1" thickBot="1" x14ac:dyDescent="0.3">
      <c r="A16" s="118" t="s">
        <v>84</v>
      </c>
      <c r="B16" s="109">
        <v>22</v>
      </c>
      <c r="C16" s="110" t="s">
        <v>117</v>
      </c>
      <c r="D16" s="119" t="s">
        <v>87</v>
      </c>
      <c r="E16" s="118" t="s">
        <v>8</v>
      </c>
      <c r="F16" s="107"/>
      <c r="G16" s="107"/>
      <c r="H16" s="107">
        <v>0.04</v>
      </c>
      <c r="I16" s="107"/>
      <c r="J16" s="118"/>
      <c r="K16" s="109">
        <f>N16/H16</f>
        <v>39.166666666666664</v>
      </c>
      <c r="L16" s="118"/>
      <c r="M16" s="107"/>
      <c r="N16" s="107">
        <f>P16/O16</f>
        <v>1.5666666666666667</v>
      </c>
      <c r="O16" s="109">
        <v>30</v>
      </c>
      <c r="P16" s="109">
        <f>(Gebouweigenschappen!B5+Gebouweigenschappen!B6+Gebouweigenschappen!B8+Gebouweigenschappen!B9+Gebouweigenschappen!B11+Gebouweigenschappen!B12)*Gebouweigenschappen!B19*0.04*30*0.5</f>
        <v>47</v>
      </c>
      <c r="Q16" s="114">
        <f>P16/Gebouweigenschappen!$B$3</f>
        <v>0.54022988505747127</v>
      </c>
      <c r="R16" s="114" t="str">
        <f>LEFT(S16,4)</f>
        <v>0007</v>
      </c>
      <c r="S16" s="115" t="s">
        <v>161</v>
      </c>
      <c r="T16" s="107">
        <v>0.66300000000000003</v>
      </c>
      <c r="U16" s="116" t="s">
        <v>142</v>
      </c>
      <c r="V16" s="114">
        <f>W16/Gebouweigenschappen!$B$3</f>
        <v>0.35817241379310344</v>
      </c>
      <c r="W16" s="114">
        <f>T16*P16</f>
        <v>31.161000000000001</v>
      </c>
      <c r="X16" s="117" t="str">
        <f>E16&amp;D16</f>
        <v>polystyreenRogier: 50% gips, 45% gasbeton, 5% kalkzandsteen</v>
      </c>
    </row>
    <row r="17" spans="1:24" ht="30.75" thickTop="1" x14ac:dyDescent="0.25">
      <c r="A17" s="50" t="s">
        <v>84</v>
      </c>
      <c r="B17" s="10">
        <v>22</v>
      </c>
      <c r="C17" s="31" t="s">
        <v>124</v>
      </c>
      <c r="D17" s="43" t="s">
        <v>87</v>
      </c>
      <c r="E17" s="11" t="s">
        <v>109</v>
      </c>
      <c r="F17" s="66"/>
      <c r="G17" s="66"/>
      <c r="H17" s="66">
        <v>0.1</v>
      </c>
      <c r="I17" s="66"/>
      <c r="J17" s="12"/>
      <c r="K17" s="66">
        <f>(Gebouweigenschappen!B5+Gebouweigenschappen!B6+Gebouweigenschappen!B8+Gebouweigenschappen!B9+Gebouweigenschappen!B11+Gebouweigenschappen!B12)*Gebouweigenschappen!B19*0.45</f>
        <v>35.25</v>
      </c>
      <c r="L17" s="60" t="s">
        <v>149</v>
      </c>
      <c r="M17" s="66"/>
      <c r="N17" s="66">
        <f>P17/O17</f>
        <v>3.5249999999999999</v>
      </c>
      <c r="O17" s="55">
        <v>600</v>
      </c>
      <c r="P17" s="19">
        <f>(Gebouweigenschappen!B5+Gebouweigenschappen!B6+Gebouweigenschappen!B8+Gebouweigenschappen!B9+Gebouweigenschappen!B11+Gebouweigenschappen!B12)*Gebouweigenschappen!B19*0.1*600*0.45</f>
        <v>2115</v>
      </c>
      <c r="Q17" s="51">
        <f>P17/Gebouweigenschappen!$B$3</f>
        <v>24.310344827586206</v>
      </c>
      <c r="R17" s="23" t="str">
        <f>LEFT(S17,4)</f>
        <v>0065</v>
      </c>
      <c r="S17" s="72" t="s">
        <v>167</v>
      </c>
      <c r="T17" s="66">
        <v>5.5199999999999999E-2</v>
      </c>
      <c r="U17" s="70" t="s">
        <v>142</v>
      </c>
      <c r="V17" s="51">
        <f>W17/Gebouweigenschappen!$B$3</f>
        <v>1.3419310344827586</v>
      </c>
      <c r="W17" s="51">
        <f>T17*P17</f>
        <v>116.748</v>
      </c>
      <c r="X17" s="20" t="str">
        <f>E17&amp;D17</f>
        <v>gasbetonRogier: 50% gips, 45% gasbeton, 5% kalkzandsteen</v>
      </c>
    </row>
    <row r="18" spans="1:24" ht="60" x14ac:dyDescent="0.25">
      <c r="A18" s="50" t="s">
        <v>0</v>
      </c>
      <c r="B18" s="10">
        <v>27</v>
      </c>
      <c r="C18" s="56" t="s">
        <v>225</v>
      </c>
      <c r="D18" s="42" t="s">
        <v>9</v>
      </c>
      <c r="E18" s="11" t="s">
        <v>2</v>
      </c>
      <c r="F18" s="66">
        <v>0.25</v>
      </c>
      <c r="G18" s="66">
        <f>(7*9)+(4*3.6)</f>
        <v>77.400000000000006</v>
      </c>
      <c r="H18" s="66">
        <v>0.25</v>
      </c>
      <c r="I18" s="66">
        <v>1</v>
      </c>
      <c r="J18" s="12" t="s">
        <v>193</v>
      </c>
      <c r="K18" s="55"/>
      <c r="L18" s="12"/>
      <c r="M18" s="66"/>
      <c r="N18" s="66">
        <f>P18/O18</f>
        <v>4.8375000000000004</v>
      </c>
      <c r="O18" s="55">
        <v>500</v>
      </c>
      <c r="P18" s="19">
        <f>(7*Gebouweigenschappen!B5+4*3.6)*0.25*0.25*500</f>
        <v>2418.75</v>
      </c>
      <c r="Q18" s="51">
        <f>P18/Gebouweigenschappen!$B$3</f>
        <v>27.801724137931036</v>
      </c>
      <c r="R18" s="23" t="str">
        <f>LEFT(S18,4)</f>
        <v>0027</v>
      </c>
      <c r="S18" s="72" t="s">
        <v>162</v>
      </c>
      <c r="T18" s="66">
        <v>3.6600000000000001E-2</v>
      </c>
      <c r="U18" s="70" t="s">
        <v>142</v>
      </c>
      <c r="V18" s="51">
        <f>W18/Gebouweigenschappen!$B$3</f>
        <v>1.0175431034482758</v>
      </c>
      <c r="W18" s="51">
        <f>T18*P18</f>
        <v>88.526250000000005</v>
      </c>
      <c r="X18" s="20" t="str">
        <f>E18&amp;D18</f>
        <v>houtbalkensysteem</v>
      </c>
    </row>
    <row r="19" spans="1:24" ht="60" x14ac:dyDescent="0.25">
      <c r="A19" s="50" t="s">
        <v>0</v>
      </c>
      <c r="B19" s="10">
        <v>27</v>
      </c>
      <c r="C19" s="31" t="s">
        <v>0</v>
      </c>
      <c r="D19" s="42" t="s">
        <v>10</v>
      </c>
      <c r="E19" s="11" t="s">
        <v>2</v>
      </c>
      <c r="F19" s="66">
        <v>0.125</v>
      </c>
      <c r="G19" s="66">
        <v>77.400000000000006</v>
      </c>
      <c r="H19" s="66">
        <v>0.25</v>
      </c>
      <c r="I19" s="66">
        <v>1</v>
      </c>
      <c r="J19" s="12" t="s">
        <v>193</v>
      </c>
      <c r="K19" s="55"/>
      <c r="L19" s="67"/>
      <c r="M19" s="66"/>
      <c r="N19" s="66">
        <f>P19/O19</f>
        <v>2.4187500000000002</v>
      </c>
      <c r="O19" s="55">
        <v>500</v>
      </c>
      <c r="P19" s="19">
        <f>0.5*P18</f>
        <v>1209.375</v>
      </c>
      <c r="Q19" s="51">
        <f>P19/Gebouweigenschappen!$B$3</f>
        <v>13.900862068965518</v>
      </c>
      <c r="R19" s="23" t="str">
        <f>LEFT(S19,4)</f>
        <v>0027</v>
      </c>
      <c r="S19" s="72" t="s">
        <v>162</v>
      </c>
      <c r="T19" s="66">
        <v>3.6600000000000001E-2</v>
      </c>
      <c r="U19" s="70" t="s">
        <v>142</v>
      </c>
      <c r="V19" s="51">
        <f>W19/Gebouweigenschappen!$B$3</f>
        <v>0.5087715517241379</v>
      </c>
      <c r="W19" s="51">
        <f>T19*P19</f>
        <v>44.263125000000002</v>
      </c>
      <c r="X19" s="20" t="str">
        <f>E19&amp;D19</f>
        <v>houtlatjes</v>
      </c>
    </row>
    <row r="20" spans="1:24" ht="30" x14ac:dyDescent="0.25">
      <c r="A20" s="50" t="s">
        <v>0</v>
      </c>
      <c r="B20" s="10">
        <v>27</v>
      </c>
      <c r="C20" s="31" t="s">
        <v>0</v>
      </c>
      <c r="D20" s="42" t="s">
        <v>11</v>
      </c>
      <c r="E20" s="11" t="s">
        <v>13</v>
      </c>
      <c r="F20" s="66"/>
      <c r="G20" s="66"/>
      <c r="H20" s="66">
        <v>0.04</v>
      </c>
      <c r="I20" s="66">
        <v>1</v>
      </c>
      <c r="J20" s="12" t="s">
        <v>155</v>
      </c>
      <c r="K20" s="66">
        <f>Gebouweigenschappen!B15</f>
        <v>57.3</v>
      </c>
      <c r="L20" s="12" t="s">
        <v>149</v>
      </c>
      <c r="M20" s="66"/>
      <c r="N20" s="66"/>
      <c r="O20" s="55"/>
      <c r="P20" s="19">
        <f>Gebouweigenschappen!B15*23</f>
        <v>1317.8999999999999</v>
      </c>
      <c r="Q20" s="51">
        <f>P20/Gebouweigenschappen!$B$3</f>
        <v>15.148275862068964</v>
      </c>
      <c r="R20" s="23" t="str">
        <f>LEFT(S20,4)</f>
        <v>0032</v>
      </c>
      <c r="S20" s="72" t="s">
        <v>171</v>
      </c>
      <c r="T20" s="66">
        <v>0.749</v>
      </c>
      <c r="U20" s="70" t="s">
        <v>142</v>
      </c>
      <c r="V20" s="51">
        <f>W20/Gebouweigenschappen!$B$3</f>
        <v>11.346058620689655</v>
      </c>
      <c r="W20" s="51">
        <f>T20*P20</f>
        <v>987.10709999999995</v>
      </c>
      <c r="X20" s="20" t="str">
        <f>E20&amp;D20</f>
        <v>OSB + PURdakelementen</v>
      </c>
    </row>
    <row r="21" spans="1:24" ht="30" x14ac:dyDescent="0.25">
      <c r="A21" s="50" t="s">
        <v>0</v>
      </c>
      <c r="B21" s="10">
        <v>47</v>
      </c>
      <c r="C21" s="31" t="s">
        <v>118</v>
      </c>
      <c r="D21" s="41" t="s">
        <v>12</v>
      </c>
      <c r="E21" s="11" t="s">
        <v>28</v>
      </c>
      <c r="F21" s="66"/>
      <c r="G21" s="66"/>
      <c r="H21" s="66">
        <v>0.05</v>
      </c>
      <c r="I21" s="66">
        <v>1</v>
      </c>
      <c r="J21" s="12" t="s">
        <v>193</v>
      </c>
      <c r="K21" s="69">
        <f>57.3/2</f>
        <v>28.65</v>
      </c>
      <c r="L21" s="12" t="s">
        <v>149</v>
      </c>
      <c r="M21" s="66"/>
      <c r="N21" s="66"/>
      <c r="O21" s="55"/>
      <c r="P21" s="19">
        <f>0.5*40*Gebouweigenschappen!B15</f>
        <v>1146</v>
      </c>
      <c r="Q21" s="51">
        <f>P21/Gebouweigenschappen!$B$3</f>
        <v>13.172413793103448</v>
      </c>
      <c r="R21" s="23" t="str">
        <f>LEFT(S21,4)</f>
        <v>0070</v>
      </c>
      <c r="S21" s="72" t="s">
        <v>168</v>
      </c>
      <c r="T21" s="66">
        <v>6.8500000000000005E-2</v>
      </c>
      <c r="U21" s="70" t="s">
        <v>142</v>
      </c>
      <c r="V21" s="51">
        <f>W21/Gebouweigenschappen!$B$3</f>
        <v>0.90231034482758621</v>
      </c>
      <c r="W21" s="51">
        <f>P21*T21</f>
        <v>78.501000000000005</v>
      </c>
      <c r="X21" s="20" t="str">
        <f>E21&amp;D21</f>
        <v>keramischpannen</v>
      </c>
    </row>
    <row r="22" spans="1:24" ht="30" x14ac:dyDescent="0.25">
      <c r="A22" s="50" t="s">
        <v>0</v>
      </c>
      <c r="B22" s="10">
        <v>47</v>
      </c>
      <c r="C22" s="31" t="s">
        <v>118</v>
      </c>
      <c r="D22" s="41" t="s">
        <v>12</v>
      </c>
      <c r="E22" s="11" t="s">
        <v>26</v>
      </c>
      <c r="F22" s="66"/>
      <c r="G22" s="66"/>
      <c r="H22" s="66">
        <v>0.05</v>
      </c>
      <c r="I22" s="66">
        <v>1</v>
      </c>
      <c r="J22" s="12" t="s">
        <v>193</v>
      </c>
      <c r="K22" s="69">
        <f>57.3/2</f>
        <v>28.65</v>
      </c>
      <c r="L22" s="12" t="s">
        <v>149</v>
      </c>
      <c r="M22" s="66"/>
      <c r="N22" s="66"/>
      <c r="O22" s="55"/>
      <c r="P22" s="19">
        <f>0.5*40*Gebouweigenschappen!B15</f>
        <v>1146</v>
      </c>
      <c r="Q22" s="51">
        <f>P22/Gebouweigenschappen!$B$3</f>
        <v>13.172413793103448</v>
      </c>
      <c r="R22" s="23" t="str">
        <f>LEFT(S22,4)</f>
        <v>0078</v>
      </c>
      <c r="S22" s="72" t="s">
        <v>169</v>
      </c>
      <c r="T22" s="66">
        <v>3.8899999999999997E-2</v>
      </c>
      <c r="U22" s="70" t="s">
        <v>142</v>
      </c>
      <c r="V22" s="51">
        <f>W22/Gebouweigenschappen!$B$3</f>
        <v>0.51240689655172411</v>
      </c>
      <c r="W22" s="51">
        <f>P22*T22</f>
        <v>44.5794</v>
      </c>
      <c r="X22" s="20" t="str">
        <f>E22&amp;D22</f>
        <v>betonpannen</v>
      </c>
    </row>
    <row r="23" spans="1:24" ht="30" x14ac:dyDescent="0.25">
      <c r="A23" s="49" t="s">
        <v>38</v>
      </c>
      <c r="B23" s="55">
        <v>27</v>
      </c>
      <c r="C23" s="56" t="s">
        <v>0</v>
      </c>
      <c r="D23" s="47">
        <v>0.16</v>
      </c>
      <c r="E23" s="11" t="s">
        <v>40</v>
      </c>
      <c r="F23" s="66"/>
      <c r="G23" s="66"/>
      <c r="H23" s="66">
        <v>0.2</v>
      </c>
      <c r="I23" s="66"/>
      <c r="J23" s="12"/>
      <c r="K23" s="66">
        <f>Gebouweigenschappen!B15*16%</f>
        <v>9.1679999999999993</v>
      </c>
      <c r="L23" s="12" t="s">
        <v>149</v>
      </c>
      <c r="M23" s="66"/>
      <c r="N23" s="66"/>
      <c r="O23" s="55">
        <v>35</v>
      </c>
      <c r="P23" s="19">
        <f>Gebouweigenschappen!B15*0.2*35*D23</f>
        <v>64.176000000000002</v>
      </c>
      <c r="Q23" s="51">
        <f>P23/Gebouweigenschappen!$B$3</f>
        <v>0.73765517241379308</v>
      </c>
      <c r="R23" s="23" t="str">
        <f>LEFT(S23,4)</f>
        <v>0017</v>
      </c>
      <c r="S23" s="72" t="s">
        <v>170</v>
      </c>
      <c r="T23" s="66">
        <v>0.71399999999999997</v>
      </c>
      <c r="U23" s="70" t="s">
        <v>142</v>
      </c>
      <c r="V23" s="51">
        <f>W23/Gebouweigenschappen!$B$3</f>
        <v>0.52668579310344821</v>
      </c>
      <c r="W23" s="51">
        <f>P23*T23</f>
        <v>45.821663999999998</v>
      </c>
      <c r="X23" s="20" t="str">
        <f>E23&amp;D23</f>
        <v>glaswol0.16</v>
      </c>
    </row>
    <row r="24" spans="1:24" ht="30" x14ac:dyDescent="0.25">
      <c r="A24" s="50" t="s">
        <v>17</v>
      </c>
      <c r="B24" s="10">
        <v>31</v>
      </c>
      <c r="C24" s="31" t="s">
        <v>119</v>
      </c>
      <c r="D24" s="44" t="s">
        <v>156</v>
      </c>
      <c r="E24" s="11" t="s">
        <v>14</v>
      </c>
      <c r="F24" s="66"/>
      <c r="G24" s="66"/>
      <c r="H24" s="66">
        <v>4.0000000000000001E-3</v>
      </c>
      <c r="I24" s="66">
        <v>1</v>
      </c>
      <c r="J24" s="12" t="s">
        <v>155</v>
      </c>
      <c r="K24" s="66">
        <f>SUM(Gebouweigenschappen!C16:C18)*Gebouweigenschappen!B16</f>
        <v>6.4960000000000004</v>
      </c>
      <c r="L24" s="12" t="s">
        <v>149</v>
      </c>
      <c r="M24" s="66"/>
      <c r="N24" s="66"/>
      <c r="O24" s="55"/>
      <c r="P24" s="19">
        <f>(Gebouweigenschappen!C16+Gebouweigenschappen!C17+Gebouweigenschappen!C18)*Gebouweigenschappen!B16*10</f>
        <v>64.960000000000008</v>
      </c>
      <c r="Q24" s="51">
        <f>P24/Gebouweigenschappen!$B$3</f>
        <v>0.74666666666666681</v>
      </c>
      <c r="R24" s="23" t="str">
        <f>LEFT(S24,4)</f>
        <v>0019</v>
      </c>
      <c r="S24" s="72" t="s">
        <v>172</v>
      </c>
      <c r="T24" s="66">
        <v>0.219</v>
      </c>
      <c r="U24" s="70" t="s">
        <v>142</v>
      </c>
      <c r="V24" s="51">
        <f>W24/Gebouweigenschappen!$B$3</f>
        <v>0.16352000000000003</v>
      </c>
      <c r="W24" s="51">
        <f>P24*T24</f>
        <v>14.226240000000002</v>
      </c>
      <c r="X24" s="20" t="str">
        <f>E24&amp;D24</f>
        <v>enkelglasEnkelglas; 4mm</v>
      </c>
    </row>
    <row r="25" spans="1:24" ht="30" x14ac:dyDescent="0.25">
      <c r="A25" s="50" t="s">
        <v>17</v>
      </c>
      <c r="B25" s="10">
        <v>31</v>
      </c>
      <c r="C25" s="31" t="s">
        <v>119</v>
      </c>
      <c r="D25" s="44" t="s">
        <v>157</v>
      </c>
      <c r="E25" s="11" t="s">
        <v>15</v>
      </c>
      <c r="F25" s="66"/>
      <c r="G25" s="66"/>
      <c r="H25" s="66">
        <v>8.9999999999999993E-3</v>
      </c>
      <c r="I25" s="66">
        <v>1</v>
      </c>
      <c r="J25" s="12" t="s">
        <v>155</v>
      </c>
      <c r="K25" s="66">
        <f>SUM(Gebouweigenschappen!C16:C18)*Gebouweigenschappen!B17</f>
        <v>13.92</v>
      </c>
      <c r="L25" s="12" t="s">
        <v>149</v>
      </c>
      <c r="M25" s="66"/>
      <c r="N25" s="66"/>
      <c r="O25" s="55"/>
      <c r="P25" s="19">
        <f>(Gebouweigenschappen!C16+Gebouweigenschappen!C17+Gebouweigenschappen!C18)*Gebouweigenschappen!B17*22.5</f>
        <v>313.2</v>
      </c>
      <c r="Q25" s="51">
        <f>P25/Gebouweigenschappen!$B$3</f>
        <v>3.6</v>
      </c>
      <c r="R25" s="23" t="str">
        <f>LEFT(S25,4)</f>
        <v>0019</v>
      </c>
      <c r="S25" s="72" t="s">
        <v>172</v>
      </c>
      <c r="T25" s="66">
        <v>0.219</v>
      </c>
      <c r="U25" s="70" t="s">
        <v>142</v>
      </c>
      <c r="V25" s="51">
        <f>W25/Gebouweigenschappen!$B$3</f>
        <v>0.78839999999999999</v>
      </c>
      <c r="W25" s="51">
        <f>P25*T25</f>
        <v>68.590800000000002</v>
      </c>
      <c r="X25" s="20" t="str">
        <f>E25&amp;D25</f>
        <v>dubbelglasondertussen door na-isolatie: 52% dubbelglas 9mm</v>
      </c>
    </row>
    <row r="26" spans="1:24" ht="30" x14ac:dyDescent="0.25">
      <c r="A26" s="50" t="s">
        <v>17</v>
      </c>
      <c r="B26" s="10">
        <v>31</v>
      </c>
      <c r="C26" s="31" t="s">
        <v>119</v>
      </c>
      <c r="D26" s="44" t="s">
        <v>98</v>
      </c>
      <c r="E26" s="11" t="s">
        <v>16</v>
      </c>
      <c r="F26" s="66"/>
      <c r="G26" s="66"/>
      <c r="H26" s="66">
        <v>0.01</v>
      </c>
      <c r="I26" s="66">
        <v>1</v>
      </c>
      <c r="J26" s="12" t="s">
        <v>155</v>
      </c>
      <c r="K26" s="66">
        <f>SUM(Gebouweigenschappen!C16:C18)*Gebouweigenschappen!B18</f>
        <v>2.7839999999999998</v>
      </c>
      <c r="L26" s="12" t="s">
        <v>149</v>
      </c>
      <c r="M26" s="66"/>
      <c r="N26" s="66"/>
      <c r="O26" s="55"/>
      <c r="P26" s="19">
        <f>(Gebouweigenschappen!C16+Gebouweigenschappen!C17+Gebouweigenschappen!C18)*Gebouweigenschappen!B18*32.5</f>
        <v>90.47999999999999</v>
      </c>
      <c r="Q26" s="51">
        <f>P26/Gebouweigenschappen!$B$3</f>
        <v>1.0399999999999998</v>
      </c>
      <c r="R26" s="23" t="str">
        <f>LEFT(S26,4)</f>
        <v>0019</v>
      </c>
      <c r="S26" s="72" t="s">
        <v>172</v>
      </c>
      <c r="T26" s="66">
        <v>0.219</v>
      </c>
      <c r="U26" s="70" t="s">
        <v>142</v>
      </c>
      <c r="V26" s="51">
        <f>W26/Gebouweigenschappen!$B$3</f>
        <v>0.22775999999999996</v>
      </c>
      <c r="W26" s="51">
        <f>P26*T26</f>
        <v>19.815119999999997</v>
      </c>
      <c r="X26" s="20" t="str">
        <f>E26&amp;D26</f>
        <v>HR-glasOndertussen door na-isolatie: 10% HR-glas</v>
      </c>
    </row>
    <row r="27" spans="1:24" ht="60" x14ac:dyDescent="0.25">
      <c r="A27" s="50" t="s">
        <v>18</v>
      </c>
      <c r="B27" s="10">
        <v>31</v>
      </c>
      <c r="C27" s="31" t="s">
        <v>119</v>
      </c>
      <c r="D27" s="43" t="s">
        <v>21</v>
      </c>
      <c r="E27" s="11" t="s">
        <v>2</v>
      </c>
      <c r="F27" s="66">
        <v>0.03</v>
      </c>
      <c r="G27" s="66">
        <f>3*K27</f>
        <v>69.599999999999994</v>
      </c>
      <c r="H27" s="66">
        <v>0.01</v>
      </c>
      <c r="I27" s="66"/>
      <c r="J27" s="12"/>
      <c r="K27" s="66">
        <f>SUM(Gebouweigenschappen!C16:C18)</f>
        <v>23.2</v>
      </c>
      <c r="L27" s="12" t="s">
        <v>149</v>
      </c>
      <c r="M27" s="66"/>
      <c r="N27" s="66">
        <f>G27*H27*F27*0.5</f>
        <v>1.044E-2</v>
      </c>
      <c r="O27" s="55">
        <v>500</v>
      </c>
      <c r="P27" s="19">
        <f>((Gebouweigenschappen!C16+Gebouweigenschappen!C17+Gebouweigenschappen!C18)*3*0.03*0.01*500)*0.5</f>
        <v>5.2199999999999989</v>
      </c>
      <c r="Q27" s="51">
        <f>P27/Gebouweigenschappen!$B$3</f>
        <v>5.9999999999999984E-2</v>
      </c>
      <c r="R27" s="23" t="str">
        <f>LEFT(S27,4)</f>
        <v>0027</v>
      </c>
      <c r="S27" s="72" t="s">
        <v>162</v>
      </c>
      <c r="T27" s="66">
        <v>3.6600000000000001E-2</v>
      </c>
      <c r="U27" s="70" t="s">
        <v>142</v>
      </c>
      <c r="V27" s="51">
        <f>W27/Gebouweigenschappen!$B$3</f>
        <v>2.1959999999999996E-3</v>
      </c>
      <c r="W27" s="51">
        <f>T27*P27</f>
        <v>0.19105199999999997</v>
      </c>
      <c r="X27" s="20" t="str">
        <f>E27&amp;D27</f>
        <v>houthout/staal --&gt; aanname 50-50?</v>
      </c>
    </row>
    <row r="28" spans="1:24" ht="45" x14ac:dyDescent="0.25">
      <c r="A28" s="50" t="s">
        <v>18</v>
      </c>
      <c r="B28" s="10">
        <v>31</v>
      </c>
      <c r="C28" s="31" t="s">
        <v>119</v>
      </c>
      <c r="D28" s="43" t="s">
        <v>21</v>
      </c>
      <c r="E28" s="11" t="s">
        <v>20</v>
      </c>
      <c r="F28" s="66">
        <v>0.03</v>
      </c>
      <c r="G28" s="66">
        <f>3*K27</f>
        <v>69.599999999999994</v>
      </c>
      <c r="H28" s="66">
        <v>5.0000000000000001E-3</v>
      </c>
      <c r="I28" s="66"/>
      <c r="J28" s="12"/>
      <c r="K28" s="66">
        <f>SUM(Gebouweigenschappen!C16:C18)</f>
        <v>23.2</v>
      </c>
      <c r="L28" s="12" t="s">
        <v>149</v>
      </c>
      <c r="M28" s="66"/>
      <c r="N28" s="66">
        <f>G28*H28*F28*0.5</f>
        <v>5.2199999999999998E-3</v>
      </c>
      <c r="O28" s="55">
        <v>7800</v>
      </c>
      <c r="P28" s="19">
        <f>((Gebouweigenschappen!C16+Gebouweigenschappen!C17+Gebouweigenschappen!C18)*3*0.03*0.005*7800)*0.5</f>
        <v>40.715999999999994</v>
      </c>
      <c r="Q28" s="51">
        <f>P28/Gebouweigenschappen!$B$3</f>
        <v>0.46799999999999992</v>
      </c>
      <c r="R28" s="23" t="str">
        <f>LEFT(S28,4)</f>
        <v>0202</v>
      </c>
      <c r="S28" s="72" t="s">
        <v>173</v>
      </c>
      <c r="T28" s="66">
        <v>9.08</v>
      </c>
      <c r="U28" s="70" t="s">
        <v>142</v>
      </c>
      <c r="V28" s="51">
        <f>W28/Gebouweigenschappen!$B$3</f>
        <v>4.249439999999999</v>
      </c>
      <c r="W28" s="51">
        <f>T28*P28</f>
        <v>369.70127999999994</v>
      </c>
      <c r="X28" s="20" t="str">
        <f>E28&amp;D28</f>
        <v>staalhout/staal --&gt; aanname 50-50?</v>
      </c>
    </row>
    <row r="29" spans="1:24" ht="60" x14ac:dyDescent="0.25">
      <c r="A29" s="49" t="s">
        <v>19</v>
      </c>
      <c r="B29" s="53">
        <v>32</v>
      </c>
      <c r="C29" s="54" t="s">
        <v>127</v>
      </c>
      <c r="D29" s="42" t="s">
        <v>92</v>
      </c>
      <c r="E29" s="11" t="s">
        <v>2</v>
      </c>
      <c r="F29" s="66">
        <v>1</v>
      </c>
      <c r="G29" s="66">
        <v>2</v>
      </c>
      <c r="H29" s="66">
        <f>N29/(F29*G29*I29)</f>
        <v>1.7000000000000001E-2</v>
      </c>
      <c r="I29" s="66">
        <v>10</v>
      </c>
      <c r="J29" s="12" t="s">
        <v>144</v>
      </c>
      <c r="K29" s="66">
        <f>2*10</f>
        <v>20</v>
      </c>
      <c r="L29" s="12" t="s">
        <v>149</v>
      </c>
      <c r="M29" s="66"/>
      <c r="N29" s="66">
        <f>P29/O29</f>
        <v>0.34</v>
      </c>
      <c r="O29" s="55">
        <v>500</v>
      </c>
      <c r="P29" s="19">
        <f>10*17</f>
        <v>170</v>
      </c>
      <c r="Q29" s="51">
        <f>P29/Gebouweigenschappen!$B$3</f>
        <v>1.9540229885057472</v>
      </c>
      <c r="R29" s="23" t="str">
        <f>LEFT(S29,4)</f>
        <v>0027</v>
      </c>
      <c r="S29" s="72" t="s">
        <v>162</v>
      </c>
      <c r="T29" s="66">
        <v>3.6600000000000001E-2</v>
      </c>
      <c r="U29" s="70" t="s">
        <v>142</v>
      </c>
      <c r="V29" s="51">
        <f>W29/Gebouweigenschappen!$B$3</f>
        <v>7.1517241379310356E-2</v>
      </c>
      <c r="W29" s="51">
        <f>T29*P29</f>
        <v>6.2220000000000004</v>
      </c>
      <c r="X29" s="20" t="str">
        <f>E29&amp;D29</f>
        <v>houtMeeste deuren van hout?</v>
      </c>
    </row>
    <row r="30" spans="1:24" ht="30.75" thickBot="1" x14ac:dyDescent="0.3">
      <c r="A30" s="50" t="s">
        <v>91</v>
      </c>
      <c r="B30" s="10">
        <v>52</v>
      </c>
      <c r="C30" s="31" t="s">
        <v>120</v>
      </c>
      <c r="D30" s="42" t="s">
        <v>42</v>
      </c>
      <c r="E30" s="11" t="s">
        <v>43</v>
      </c>
      <c r="F30" s="66">
        <v>0.5</v>
      </c>
      <c r="G30" s="66">
        <f>2*Gebouweigenschappen!B5</f>
        <v>18</v>
      </c>
      <c r="H30" s="66">
        <v>8.0000000000000004E-4</v>
      </c>
      <c r="J30" s="12"/>
      <c r="K30" s="55"/>
      <c r="L30" s="12"/>
      <c r="M30" s="66"/>
      <c r="N30" s="66">
        <f>F30*G30*H30</f>
        <v>7.2000000000000007E-3</v>
      </c>
      <c r="O30" s="55">
        <v>7150</v>
      </c>
      <c r="P30" s="19">
        <f>0.0008*0.5*(Gebouweigenschappen!B5*2)*7150</f>
        <v>51.480000000000004</v>
      </c>
      <c r="Q30" s="51">
        <f>P30/Gebouweigenschappen!$B$3</f>
        <v>0.59172413793103451</v>
      </c>
      <c r="R30" s="23" t="str">
        <f>LEFT(S30,4)</f>
        <v>0028</v>
      </c>
      <c r="S30" s="72" t="s">
        <v>175</v>
      </c>
      <c r="T30" s="66">
        <v>2.4500000000000002</v>
      </c>
      <c r="U30" s="70" t="s">
        <v>142</v>
      </c>
      <c r="V30" s="51">
        <f>W30/Gebouweigenschappen!$B$3</f>
        <v>1.4497241379310346</v>
      </c>
      <c r="W30" s="51">
        <f>T30*P30</f>
        <v>126.12600000000002</v>
      </c>
      <c r="X30" s="20" t="str">
        <f>E30&amp;D30</f>
        <v>ZinkDakgoot</v>
      </c>
    </row>
    <row r="31" spans="1:24" ht="46.5" thickTop="1" thickBot="1" x14ac:dyDescent="0.3">
      <c r="A31" s="50" t="s">
        <v>91</v>
      </c>
      <c r="B31" s="10">
        <v>52</v>
      </c>
      <c r="C31" s="31" t="s">
        <v>120</v>
      </c>
      <c r="D31" s="41" t="s">
        <v>44</v>
      </c>
      <c r="E31" s="11" t="s">
        <v>110</v>
      </c>
      <c r="F31" s="107">
        <f>2*PI()*(0.05)</f>
        <v>0.31415926535897931</v>
      </c>
      <c r="G31" s="66">
        <f>Gebouweigenschappen!B2*Gebouweigenschappen!B20</f>
        <v>9</v>
      </c>
      <c r="H31" s="66">
        <v>8.0000000000000004E-4</v>
      </c>
      <c r="I31" s="66"/>
      <c r="J31" s="12"/>
      <c r="K31" s="55"/>
      <c r="L31" s="12"/>
      <c r="M31" s="66"/>
      <c r="N31" s="66">
        <f>H31*G31*F31*0.5</f>
        <v>1.1309733552923257E-3</v>
      </c>
      <c r="O31" s="55">
        <v>1400</v>
      </c>
      <c r="P31" s="19">
        <f>(((2*PI()*(0.05))*0.0008*(Gebouweigenschappen!B2*Gebouweigenschappen!B20)*Dichtheden!B5)*0.5)</f>
        <v>1.5833626974092561</v>
      </c>
      <c r="Q31" s="51">
        <f>P31/Gebouweigenschappen!$B$3</f>
        <v>1.8199571234589151E-2</v>
      </c>
      <c r="R31" s="23" t="str">
        <f>LEFT(S31,4)</f>
        <v>0199</v>
      </c>
      <c r="S31" s="72" t="s">
        <v>174</v>
      </c>
      <c r="T31" s="66">
        <v>0.42</v>
      </c>
      <c r="U31" s="70" t="s">
        <v>142</v>
      </c>
      <c r="V31" s="92">
        <f>W31/Gebouweigenschappen!$B$3</f>
        <v>7.643819918527443E-3</v>
      </c>
      <c r="W31" s="51">
        <f>T31*P31</f>
        <v>0.66501233291188755</v>
      </c>
      <c r="X31" s="20" t="str">
        <f>E31&amp;D31</f>
        <v>PVCRegenpijp</v>
      </c>
    </row>
    <row r="32" spans="1:24" ht="31.5" thickTop="1" thickBot="1" x14ac:dyDescent="0.3">
      <c r="A32" s="50" t="s">
        <v>91</v>
      </c>
      <c r="B32" s="10">
        <v>52</v>
      </c>
      <c r="C32" s="31" t="s">
        <v>120</v>
      </c>
      <c r="D32" s="41" t="s">
        <v>44</v>
      </c>
      <c r="E32" s="11" t="s">
        <v>43</v>
      </c>
      <c r="F32" s="107">
        <f>2*PI()*(0.05)</f>
        <v>0.31415926535897931</v>
      </c>
      <c r="G32" s="66">
        <f>Gebouweigenschappen!B2*Gebouweigenschappen!B20</f>
        <v>9</v>
      </c>
      <c r="H32" s="66">
        <v>8.0000000000000004E-4</v>
      </c>
      <c r="I32" s="66"/>
      <c r="J32" s="12"/>
      <c r="K32" s="55"/>
      <c r="L32" s="12"/>
      <c r="M32" s="66"/>
      <c r="N32" s="66">
        <f>H32*G32*F32*0.5</f>
        <v>1.1309733552923257E-3</v>
      </c>
      <c r="O32" s="55">
        <v>7150</v>
      </c>
      <c r="P32" s="19">
        <f>(((2*PI()*(0.05))*0.0008*(Gebouweigenschappen!B2*Gebouweigenschappen!B20)*Dichtheden!B6)*0.5)</f>
        <v>8.086459490340129</v>
      </c>
      <c r="Q32" s="51">
        <f>P32/Gebouweigenschappen!$B$3</f>
        <v>9.2947810233794587E-2</v>
      </c>
      <c r="R32" s="23" t="str">
        <f>LEFT(S32,4)</f>
        <v>0028</v>
      </c>
      <c r="S32" s="72" t="s">
        <v>175</v>
      </c>
      <c r="T32" s="66">
        <v>2.4500000000000002</v>
      </c>
      <c r="U32" s="70" t="s">
        <v>142</v>
      </c>
      <c r="V32" s="51">
        <f>W32/Gebouweigenschappen!$B$3</f>
        <v>0.22772213507279673</v>
      </c>
      <c r="W32" s="51">
        <f>T32*P32</f>
        <v>19.811825751333316</v>
      </c>
      <c r="X32" s="20" t="str">
        <f>E32&amp;D32</f>
        <v>ZinkRegenpijp</v>
      </c>
    </row>
    <row r="33" spans="1:24" ht="31.5" thickTop="1" thickBot="1" x14ac:dyDescent="0.3">
      <c r="A33" s="50" t="s">
        <v>45</v>
      </c>
      <c r="B33" s="10">
        <v>56</v>
      </c>
      <c r="C33" s="31" t="s">
        <v>128</v>
      </c>
      <c r="D33" s="42" t="s">
        <v>54</v>
      </c>
      <c r="E33" s="11" t="s">
        <v>50</v>
      </c>
      <c r="F33" s="107">
        <f>2*PI()*Gebouweigenschappen!I2</f>
        <v>6.2831853071795868E-2</v>
      </c>
      <c r="G33" s="66">
        <f>2*Gebouweigenschappen!B2*Gebouweigenschappen!B20</f>
        <v>18</v>
      </c>
      <c r="H33" s="66">
        <v>1.1999999999999999E-3</v>
      </c>
      <c r="I33" s="66"/>
      <c r="J33" s="12"/>
      <c r="K33" s="55"/>
      <c r="L33" s="12"/>
      <c r="M33" s="66">
        <f>H33*F33</f>
        <v>7.5398223686155033E-5</v>
      </c>
      <c r="N33" s="66">
        <f>F33*G33*H33</f>
        <v>1.3571680263507906E-3</v>
      </c>
      <c r="O33" s="55">
        <v>7800</v>
      </c>
      <c r="P33" s="19">
        <f>2*Gebouweigenschappen!B2*Gebouweigenschappen!B20*Gebouweigenschappen!L2</f>
        <v>10.585910605536167</v>
      </c>
      <c r="Q33" s="51">
        <f>P33/Gebouweigenschappen!$B$3</f>
        <v>0.12167713339696744</v>
      </c>
      <c r="R33" s="23" t="str">
        <f>LEFT(S33,4)</f>
        <v>0059</v>
      </c>
      <c r="S33" s="72" t="s">
        <v>176</v>
      </c>
      <c r="T33" s="66">
        <v>37.799999999999997</v>
      </c>
      <c r="U33" s="70" t="s">
        <v>142</v>
      </c>
      <c r="V33" s="51">
        <f>W33/Gebouweigenschappen!$B$3</f>
        <v>4.5993956424053692</v>
      </c>
      <c r="W33" s="51">
        <f>T33*P33</f>
        <v>400.1474208892671</v>
      </c>
      <c r="X33" s="20" t="str">
        <f>E33&amp;D33</f>
        <v>KoperCV - schacht</v>
      </c>
    </row>
    <row r="34" spans="1:24" ht="46.5" thickTop="1" thickBot="1" x14ac:dyDescent="0.3">
      <c r="A34" s="50" t="s">
        <v>45</v>
      </c>
      <c r="B34" s="55">
        <v>56</v>
      </c>
      <c r="C34" s="56" t="s">
        <v>128</v>
      </c>
      <c r="D34" s="42" t="s">
        <v>55</v>
      </c>
      <c r="E34" s="11" t="s">
        <v>53</v>
      </c>
      <c r="F34" s="107">
        <f>2*PI()*Gebouweigenschappen!I2</f>
        <v>6.2831853071795868E-2</v>
      </c>
      <c r="G34" s="66">
        <f>((Gebouweigenschappen!B5+Gebouweigenschappen!B6)+(Gebouweigenschappen!B8+Gebouweigenschappen!B9))*4*2</f>
        <v>200</v>
      </c>
      <c r="H34" s="66">
        <v>1.1999999999999999E-3</v>
      </c>
      <c r="I34" s="66"/>
      <c r="J34" s="12"/>
      <c r="K34" s="55"/>
      <c r="L34" s="12"/>
      <c r="M34" s="66">
        <f>H34*F34</f>
        <v>7.5398223686155033E-5</v>
      </c>
      <c r="N34" s="66">
        <f>F34*G34*H34</f>
        <v>1.5079644737231009E-2</v>
      </c>
      <c r="O34" s="55">
        <v>1400</v>
      </c>
      <c r="P34" s="19">
        <f>((Gebouweigenschappen!B5+Gebouweigenschappen!B6)+(Gebouweigenschappen!B8+Gebouweigenschappen!B9))*4*Gebouweigenschappen!M2*2</f>
        <v>21.111502632123411</v>
      </c>
      <c r="Q34" s="51">
        <f>P34/Gebouweigenschappen!$B$3</f>
        <v>0.24266094979452196</v>
      </c>
      <c r="R34" s="23" t="str">
        <f>LEFT(S34,4)</f>
        <v>0199</v>
      </c>
      <c r="S34" s="72" t="s">
        <v>174</v>
      </c>
      <c r="T34" s="66">
        <v>0.42</v>
      </c>
      <c r="U34" s="70" t="s">
        <v>142</v>
      </c>
      <c r="V34" s="51">
        <f>W34/Gebouweigenschappen!$B$3</f>
        <v>0.10191759891369921</v>
      </c>
      <c r="W34" s="51">
        <f>T34*P34</f>
        <v>8.8668311054918316</v>
      </c>
      <c r="X34" s="20" t="str">
        <f>E34&amp;D34</f>
        <v>KunststofCV - verdeler e.v.</v>
      </c>
    </row>
    <row r="35" spans="1:24" ht="46.5" thickTop="1" thickBot="1" x14ac:dyDescent="0.3">
      <c r="A35" s="50" t="s">
        <v>45</v>
      </c>
      <c r="B35" s="55">
        <v>53</v>
      </c>
      <c r="C35" s="56" t="s">
        <v>121</v>
      </c>
      <c r="D35" s="42" t="s">
        <v>47</v>
      </c>
      <c r="E35" s="11" t="s">
        <v>53</v>
      </c>
      <c r="F35" s="107">
        <f>2*PI()*Gebouweigenschappen!I3</f>
        <v>4.7123889803846894E-2</v>
      </c>
      <c r="G35" s="66">
        <f>((Gebouweigenschappen!B5+Gebouweigenschappen!B6)+(Gebouweigenschappen!B8+Gebouweigenschappen!B9)+(2*Gebouweigenschappen!B20))</f>
        <v>31</v>
      </c>
      <c r="H35" s="66">
        <v>1.1999999999999999E-3</v>
      </c>
      <c r="I35" s="66"/>
      <c r="J35" s="12"/>
      <c r="K35" s="55"/>
      <c r="L35" s="12"/>
      <c r="M35" s="66">
        <f>F35*H35</f>
        <v>5.6548667764616268E-5</v>
      </c>
      <c r="N35" s="66">
        <f>F35*G35*H35</f>
        <v>1.7530087007031044E-3</v>
      </c>
      <c r="O35" s="55">
        <v>1400</v>
      </c>
      <c r="P35" s="19">
        <f>((Gebouweigenschappen!B5+Gebouweigenschappen!B6)+(Gebouweigenschappen!B8+Gebouweigenschappen!B9)+(2*Gebouweigenschappen!B20))*Gebouweigenschappen!M3</f>
        <v>2.4542121809843458</v>
      </c>
      <c r="Q35" s="51">
        <f>P35/Gebouweigenschappen!$B$3</f>
        <v>2.820933541361317E-2</v>
      </c>
      <c r="R35" s="23" t="str">
        <f>LEFT(S35,4)</f>
        <v>0199</v>
      </c>
      <c r="S35" s="72" t="s">
        <v>174</v>
      </c>
      <c r="T35" s="66">
        <v>0.42</v>
      </c>
      <c r="U35" s="70" t="s">
        <v>142</v>
      </c>
      <c r="V35" s="51">
        <f>W35/Gebouweigenschappen!$B$3</f>
        <v>1.184792087371753E-2</v>
      </c>
      <c r="W35" s="51">
        <f>T35*P35</f>
        <v>1.0307691160134251</v>
      </c>
      <c r="X35" s="20" t="str">
        <f>E35&amp;D35</f>
        <v>KunststofWateraanvoer</v>
      </c>
    </row>
    <row r="36" spans="1:24" ht="46.5" thickTop="1" thickBot="1" x14ac:dyDescent="0.3">
      <c r="A36" s="50" t="s">
        <v>45</v>
      </c>
      <c r="B36" s="10">
        <v>52</v>
      </c>
      <c r="C36" s="31" t="s">
        <v>120</v>
      </c>
      <c r="D36" s="42" t="s">
        <v>27</v>
      </c>
      <c r="E36" s="11" t="s">
        <v>53</v>
      </c>
      <c r="F36" s="107">
        <f>2*PI()*Gebouweigenschappen!I4</f>
        <v>0.15707963267948966</v>
      </c>
      <c r="G36" s="66">
        <f>((Gebouweigenschappen!B5+Gebouweigenschappen!B6)+(Gebouweigenschappen!B8+Gebouweigenschappen!B9)+(2*Gebouweigenschappen!B20))</f>
        <v>31</v>
      </c>
      <c r="H36" s="66">
        <v>3.2000000000000002E-3</v>
      </c>
      <c r="I36" s="66"/>
      <c r="J36" s="12"/>
      <c r="K36" s="55"/>
      <c r="L36" s="12"/>
      <c r="M36" s="66">
        <f>F36*H36</f>
        <v>5.0265482457436696E-4</v>
      </c>
      <c r="N36" s="66">
        <f>F36*G36*H36</f>
        <v>1.5582299561805374E-2</v>
      </c>
      <c r="O36" s="55">
        <v>1400</v>
      </c>
      <c r="P36" s="19">
        <f>((Gebouweigenschappen!B5+Gebouweigenschappen!B6)+(Gebouweigenschappen!B8+Gebouweigenschappen!B9)+(2*Gebouweigenschappen!B20))*Gebouweigenschappen!M4</f>
        <v>21.815219386527527</v>
      </c>
      <c r="Q36" s="51">
        <f>P36/Gebouweigenschappen!$B$3</f>
        <v>0.25074964812100609</v>
      </c>
      <c r="R36" s="23" t="str">
        <f>LEFT(S36,4)</f>
        <v>0199</v>
      </c>
      <c r="S36" s="72" t="s">
        <v>174</v>
      </c>
      <c r="T36" s="66">
        <v>0.42</v>
      </c>
      <c r="U36" s="70" t="s">
        <v>142</v>
      </c>
      <c r="V36" s="51">
        <f>W36/Gebouweigenschappen!$B$3</f>
        <v>0.10531485221082254</v>
      </c>
      <c r="W36" s="51">
        <f>T36*P36</f>
        <v>9.1623921423415613</v>
      </c>
      <c r="X36" s="20" t="str">
        <f>E36&amp;D36</f>
        <v>KunststofWaterafvoer</v>
      </c>
    </row>
    <row r="37" spans="1:24" ht="31.5" thickTop="1" thickBot="1" x14ac:dyDescent="0.3">
      <c r="A37" s="50" t="s">
        <v>45</v>
      </c>
      <c r="B37" s="10">
        <v>54</v>
      </c>
      <c r="C37" s="31" t="s">
        <v>122</v>
      </c>
      <c r="D37" s="42" t="s">
        <v>48</v>
      </c>
      <c r="E37" s="11" t="s">
        <v>50</v>
      </c>
      <c r="F37" s="107">
        <f>2*PI()*Gebouweigenschappen!I5</f>
        <v>4.7123889803846894E-2</v>
      </c>
      <c r="G37" s="66">
        <f>((Gebouweigenschappen!B2*Gebouweigenschappen!B20)+(Gebouweigenschappen!B5+Gebouweigenschappen!B6))</f>
        <v>23</v>
      </c>
      <c r="H37" s="66">
        <v>1.1999999999999999E-3</v>
      </c>
      <c r="I37" s="66"/>
      <c r="J37" s="12"/>
      <c r="K37" s="55"/>
      <c r="L37" s="12"/>
      <c r="M37" s="66">
        <f>F37*H37</f>
        <v>5.6548667764616268E-5</v>
      </c>
      <c r="N37" s="66">
        <f>F37*G37*H37</f>
        <v>1.300619358586174E-3</v>
      </c>
      <c r="O37" s="55">
        <v>7800</v>
      </c>
      <c r="P37" s="19">
        <f>((Gebouweigenschappen!B2*Gebouweigenschappen!B20)+(Gebouweigenschappen!B5+Gebouweigenschappen!B6))*Gebouweigenschappen!L5</f>
        <v>10.144830996972159</v>
      </c>
      <c r="Q37" s="51">
        <f>P37/Gebouweigenschappen!$B$3</f>
        <v>0.11660725283876044</v>
      </c>
      <c r="R37" s="23" t="str">
        <f>LEFT(S37,4)</f>
        <v>0059</v>
      </c>
      <c r="S37" s="72" t="s">
        <v>176</v>
      </c>
      <c r="T37" s="66">
        <v>37.799999999999997</v>
      </c>
      <c r="U37" s="70" t="s">
        <v>142</v>
      </c>
      <c r="V37" s="51">
        <f>W37/Gebouweigenschappen!$B$3</f>
        <v>4.4077541573051446</v>
      </c>
      <c r="W37" s="51">
        <f>T37*P37</f>
        <v>383.47461168554759</v>
      </c>
      <c r="X37" s="20" t="str">
        <f>E37&amp;D37</f>
        <v>KoperGas</v>
      </c>
    </row>
    <row r="38" spans="1:24" ht="31.5" thickTop="1" thickBot="1" x14ac:dyDescent="0.3">
      <c r="A38" s="50" t="s">
        <v>45</v>
      </c>
      <c r="B38" s="10">
        <v>61</v>
      </c>
      <c r="C38" s="31" t="s">
        <v>123</v>
      </c>
      <c r="D38" s="42" t="s">
        <v>49</v>
      </c>
      <c r="E38" s="11" t="s">
        <v>50</v>
      </c>
      <c r="F38" s="107">
        <f>2*PI()*Gebouweigenschappen!I6</f>
        <v>7.8539816339744828E-2</v>
      </c>
      <c r="G38" s="66">
        <f>((Gebouweigenschappen!B5+Gebouweigenschappen!B6)+(Gebouweigenschappen!B8+Gebouweigenschappen!B9)+(Gebouweigenschappen!B11+Gebouweigenschappen!B12)+(Gebouweigenschappen!B2*Gebouweigenschappen!B20))</f>
        <v>40.333333333333336</v>
      </c>
      <c r="H38" s="66">
        <v>1E-3</v>
      </c>
      <c r="I38" s="66"/>
      <c r="J38" s="12"/>
      <c r="K38" s="55"/>
      <c r="L38" s="12"/>
      <c r="M38" s="66">
        <f>F38*H38</f>
        <v>7.8539816339744827E-5</v>
      </c>
      <c r="N38" s="66">
        <f>F38*G38*H38</f>
        <v>3.1677725923697081E-3</v>
      </c>
      <c r="O38" s="55">
        <v>7800</v>
      </c>
      <c r="P38" s="19">
        <f>((Gebouweigenschappen!B5+Gebouweigenschappen!B6)+(Gebouweigenschappen!B8+Gebouweigenschappen!B9)+(Gebouweigenschappen!B11+Gebouweigenschappen!B12)+(Gebouweigenschappen!B2*Gebouweigenschappen!B20))*Gebouweigenschappen!L6</f>
        <v>24.708626220483723</v>
      </c>
      <c r="Q38" s="51">
        <f>P38/Gebouweigenschappen!$B$3</f>
        <v>0.28400719793659451</v>
      </c>
      <c r="R38" s="23" t="str">
        <f>LEFT(S38,4)</f>
        <v>0059</v>
      </c>
      <c r="S38" s="72" t="s">
        <v>176</v>
      </c>
      <c r="T38" s="66">
        <v>37.799999999999997</v>
      </c>
      <c r="U38" s="70" t="s">
        <v>142</v>
      </c>
      <c r="V38" s="51">
        <f>W38/Gebouweigenschappen!$B$3</f>
        <v>10.735472082003271</v>
      </c>
      <c r="W38" s="51">
        <f>T38*P38</f>
        <v>933.98607113428466</v>
      </c>
      <c r="X38" s="20" t="str">
        <f>E38&amp;D38</f>
        <v>KoperElektra</v>
      </c>
    </row>
    <row r="39" spans="1:24" ht="15.75" thickTop="1" x14ac:dyDescent="0.25">
      <c r="A39" s="15"/>
      <c r="B39" s="15"/>
      <c r="C39" s="15"/>
      <c r="D39" s="15"/>
      <c r="E39" s="2"/>
      <c r="F39" s="2"/>
      <c r="G39" s="2"/>
      <c r="H39" s="61"/>
      <c r="I39" s="2"/>
      <c r="J39" s="2"/>
      <c r="K39" s="61"/>
      <c r="L39" s="2"/>
      <c r="M39" s="2"/>
      <c r="N39" s="2"/>
      <c r="O39" s="61"/>
      <c r="P39" s="5"/>
      <c r="Q39" s="5"/>
      <c r="R39" s="5"/>
      <c r="S39" s="73"/>
      <c r="W39" s="98"/>
    </row>
    <row r="40" spans="1:24" x14ac:dyDescent="0.25">
      <c r="A40" s="15"/>
      <c r="B40" s="15"/>
      <c r="C40" s="15"/>
      <c r="D40" s="15"/>
      <c r="E40" s="2"/>
      <c r="F40" s="2"/>
      <c r="G40" s="2"/>
      <c r="H40" s="61"/>
      <c r="I40" s="2"/>
      <c r="J40" s="2"/>
      <c r="K40" s="61"/>
      <c r="L40" s="2"/>
      <c r="M40" s="2"/>
      <c r="N40" s="2"/>
      <c r="O40" s="61"/>
      <c r="P40" s="5"/>
      <c r="Q40" s="5"/>
      <c r="R40" s="5"/>
      <c r="S40" s="73"/>
    </row>
    <row r="41" spans="1:24" x14ac:dyDescent="0.25">
      <c r="A41" s="15"/>
      <c r="B41" s="15"/>
      <c r="C41" s="15"/>
      <c r="D41" s="15"/>
      <c r="E41" s="2"/>
      <c r="F41" s="2"/>
      <c r="G41" s="2"/>
      <c r="H41" s="61"/>
      <c r="I41" s="2"/>
      <c r="J41" s="2"/>
      <c r="K41" s="61"/>
      <c r="L41" s="2"/>
      <c r="M41" s="2"/>
      <c r="N41" s="2"/>
      <c r="O41" s="61"/>
      <c r="P41" s="5"/>
      <c r="Q41" s="5"/>
      <c r="R41" s="5"/>
      <c r="S41" s="73"/>
    </row>
    <row r="42" spans="1:24" x14ac:dyDescent="0.25">
      <c r="A42" s="16"/>
      <c r="B42" s="16"/>
      <c r="C42" s="16"/>
      <c r="D42" s="15"/>
      <c r="E42" s="1"/>
      <c r="F42" s="1"/>
      <c r="G42" s="1"/>
      <c r="H42" s="63"/>
      <c r="I42" s="1"/>
      <c r="J42" s="1"/>
      <c r="K42" s="63"/>
      <c r="L42" s="1"/>
      <c r="M42" s="1"/>
      <c r="N42" s="1"/>
      <c r="O42" s="63"/>
    </row>
    <row r="43" spans="1:24" x14ac:dyDescent="0.25">
      <c r="A43" s="17"/>
      <c r="B43" s="17"/>
      <c r="C43" s="17"/>
      <c r="D43" s="15"/>
      <c r="E43" s="3"/>
      <c r="F43" s="3"/>
      <c r="G43" s="3"/>
      <c r="H43" s="64"/>
      <c r="I43" s="3"/>
      <c r="J43" s="3"/>
      <c r="K43" s="64"/>
      <c r="L43" s="3"/>
      <c r="M43" s="3"/>
      <c r="N43" s="3"/>
      <c r="O43" s="64"/>
      <c r="P43" s="7"/>
      <c r="Q43" s="7"/>
      <c r="R43" s="7"/>
      <c r="S43" s="7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7C6E-9944-49AE-8784-3861F341919F}">
  <dimension ref="A1:M51"/>
  <sheetViews>
    <sheetView topLeftCell="A11" workbookViewId="0">
      <selection activeCell="B23" sqref="B23"/>
    </sheetView>
  </sheetViews>
  <sheetFormatPr defaultRowHeight="15" x14ac:dyDescent="0.25"/>
  <cols>
    <col min="1" max="1" width="29.7109375" bestFit="1" customWidth="1"/>
    <col min="2" max="2" width="28.85546875" bestFit="1" customWidth="1"/>
    <col min="3" max="3" width="33.140625" bestFit="1" customWidth="1"/>
    <col min="4" max="4" width="24.7109375" bestFit="1" customWidth="1"/>
    <col min="5" max="5" width="20.28515625" bestFit="1" customWidth="1"/>
    <col min="6" max="6" width="11.5703125" customWidth="1"/>
    <col min="7" max="7" width="21.42578125" customWidth="1"/>
    <col min="8" max="8" width="11.5703125" customWidth="1"/>
    <col min="10" max="10" width="15.28515625" bestFit="1" customWidth="1"/>
    <col min="11" max="11" width="14" customWidth="1"/>
    <col min="12" max="12" width="12.140625" bestFit="1" customWidth="1"/>
    <col min="13" max="13" width="11.42578125" bestFit="1" customWidth="1"/>
  </cols>
  <sheetData>
    <row r="1" spans="1:13" ht="60" x14ac:dyDescent="0.25">
      <c r="A1" s="28" t="s">
        <v>70</v>
      </c>
      <c r="B1" s="29" t="s">
        <v>71</v>
      </c>
      <c r="C1" s="29" t="s">
        <v>72</v>
      </c>
      <c r="D1" s="37" t="s">
        <v>73</v>
      </c>
      <c r="E1" s="22"/>
      <c r="F1" s="6"/>
      <c r="G1" s="30" t="s">
        <v>74</v>
      </c>
      <c r="H1" s="30" t="s">
        <v>75</v>
      </c>
      <c r="I1" s="30" t="s">
        <v>77</v>
      </c>
      <c r="J1" s="30" t="s">
        <v>76</v>
      </c>
      <c r="K1" s="30" t="s">
        <v>78</v>
      </c>
      <c r="L1" s="32" t="s">
        <v>81</v>
      </c>
      <c r="M1" s="32" t="s">
        <v>80</v>
      </c>
    </row>
    <row r="2" spans="1:13" ht="30" x14ac:dyDescent="0.25">
      <c r="A2" s="21" t="s">
        <v>41</v>
      </c>
      <c r="B2" s="22">
        <v>3</v>
      </c>
      <c r="C2" s="31" t="s">
        <v>56</v>
      </c>
      <c r="D2" s="38" t="s">
        <v>59</v>
      </c>
      <c r="E2" s="22"/>
      <c r="F2" s="6"/>
      <c r="G2" s="31" t="s">
        <v>46</v>
      </c>
      <c r="H2" s="31">
        <v>0.02</v>
      </c>
      <c r="I2" s="31">
        <f>H2/2</f>
        <v>0.01</v>
      </c>
      <c r="J2" s="31">
        <v>1.1999999999999999E-3</v>
      </c>
      <c r="K2" s="33">
        <f>2*PI()*I2*J2</f>
        <v>7.5398223686155033E-5</v>
      </c>
      <c r="L2" s="33">
        <f>K2*Dichtheden!$B$4</f>
        <v>0.58810614475200929</v>
      </c>
      <c r="M2" s="33">
        <f>K2*Dichtheden!$B$5</f>
        <v>0.10555751316061705</v>
      </c>
    </row>
    <row r="3" spans="1:13" ht="30" x14ac:dyDescent="0.25">
      <c r="A3" s="21" t="s">
        <v>29</v>
      </c>
      <c r="B3" s="22">
        <v>87</v>
      </c>
      <c r="C3" s="31" t="s">
        <v>57</v>
      </c>
      <c r="D3" s="38" t="s">
        <v>59</v>
      </c>
      <c r="E3" s="22"/>
      <c r="F3" s="6"/>
      <c r="G3" s="31" t="s">
        <v>51</v>
      </c>
      <c r="H3" s="31">
        <v>1.4999999999999999E-2</v>
      </c>
      <c r="I3" s="31">
        <f>H3/2</f>
        <v>7.4999999999999997E-3</v>
      </c>
      <c r="J3" s="31">
        <v>1.1999999999999999E-3</v>
      </c>
      <c r="K3" s="33">
        <f>2*PI()*I3*J3</f>
        <v>5.6548667764616268E-5</v>
      </c>
      <c r="L3" s="33">
        <f>K3*Dichtheden!$B$4</f>
        <v>0.44107960856400691</v>
      </c>
      <c r="M3" s="33">
        <f>K3*Dichtheden!$B$5</f>
        <v>7.9168134870462772E-2</v>
      </c>
    </row>
    <row r="4" spans="1:13" ht="30" x14ac:dyDescent="0.25">
      <c r="A4" s="21" t="s">
        <v>34</v>
      </c>
      <c r="B4" s="22">
        <v>47</v>
      </c>
      <c r="C4" s="31" t="s">
        <v>57</v>
      </c>
      <c r="D4" s="38" t="s">
        <v>59</v>
      </c>
      <c r="E4" s="22"/>
      <c r="F4" s="6"/>
      <c r="G4" s="31" t="s">
        <v>52</v>
      </c>
      <c r="H4" s="31">
        <v>0.05</v>
      </c>
      <c r="I4" s="31">
        <f>H4/2</f>
        <v>2.5000000000000001E-2</v>
      </c>
      <c r="J4" s="31">
        <v>3.2000000000000002E-3</v>
      </c>
      <c r="K4" s="33">
        <f>2*PI()*I4*J4</f>
        <v>5.0265482457436696E-4</v>
      </c>
      <c r="L4" s="33">
        <f>K4*Dichtheden!$B$4</f>
        <v>3.9207076316800622</v>
      </c>
      <c r="M4" s="33">
        <f>K4*Dichtheden!$B$5</f>
        <v>0.70371675440411374</v>
      </c>
    </row>
    <row r="5" spans="1:13" x14ac:dyDescent="0.25">
      <c r="A5" s="21" t="s">
        <v>62</v>
      </c>
      <c r="B5" s="22">
        <v>9</v>
      </c>
      <c r="C5" s="31" t="s">
        <v>58</v>
      </c>
      <c r="D5" s="39" t="s">
        <v>61</v>
      </c>
      <c r="E5" s="22"/>
      <c r="F5" s="6"/>
      <c r="G5" s="31" t="s">
        <v>48</v>
      </c>
      <c r="H5" s="31">
        <v>1.4999999999999999E-2</v>
      </c>
      <c r="I5" s="31">
        <f>H5/2</f>
        <v>7.4999999999999997E-3</v>
      </c>
      <c r="J5" s="31">
        <v>1.1999999999999999E-3</v>
      </c>
      <c r="K5" s="33">
        <f>2*PI()*I5*J5</f>
        <v>5.6548667764616268E-5</v>
      </c>
      <c r="L5" s="33">
        <f>K5*Dichtheden!$B$4</f>
        <v>0.44107960856400691</v>
      </c>
      <c r="M5" s="33">
        <f>K5*Dichtheden!$B$5</f>
        <v>7.9168134870462772E-2</v>
      </c>
    </row>
    <row r="6" spans="1:13" x14ac:dyDescent="0.25">
      <c r="A6" s="21" t="s">
        <v>63</v>
      </c>
      <c r="B6" s="22">
        <v>5</v>
      </c>
      <c r="C6" s="31" t="s">
        <v>58</v>
      </c>
      <c r="D6" s="39" t="s">
        <v>61</v>
      </c>
      <c r="E6" s="22"/>
      <c r="F6" s="6"/>
      <c r="G6" s="31" t="s">
        <v>49</v>
      </c>
      <c r="H6" s="31">
        <f>0.025</f>
        <v>2.5000000000000001E-2</v>
      </c>
      <c r="I6" s="31">
        <f>H6/2</f>
        <v>1.2500000000000001E-2</v>
      </c>
      <c r="J6" s="31">
        <v>1E-3</v>
      </c>
      <c r="K6" s="33">
        <f>2*PI()*I6*J6</f>
        <v>7.8539816339744827E-5</v>
      </c>
      <c r="L6" s="33">
        <f>K6*Dichtheden!$B$4</f>
        <v>0.61261056745000964</v>
      </c>
      <c r="M6" s="33">
        <f>K6*Dichtheden!$B$5</f>
        <v>0.10995574287564276</v>
      </c>
    </row>
    <row r="7" spans="1:13" x14ac:dyDescent="0.25">
      <c r="A7" s="21" t="s">
        <v>64</v>
      </c>
      <c r="B7" s="22">
        <f>0.75*(B3-B4)</f>
        <v>30</v>
      </c>
      <c r="C7" s="31" t="s">
        <v>57</v>
      </c>
      <c r="D7" s="39" t="s">
        <v>33</v>
      </c>
      <c r="E7" s="22"/>
      <c r="F7" s="6"/>
      <c r="G7" s="20"/>
      <c r="H7" s="20"/>
      <c r="I7" s="20"/>
      <c r="J7" s="20"/>
      <c r="K7" s="20"/>
      <c r="L7" s="20"/>
      <c r="M7" s="20"/>
    </row>
    <row r="8" spans="1:13" x14ac:dyDescent="0.25">
      <c r="A8" s="21" t="s">
        <v>66</v>
      </c>
      <c r="B8" s="22">
        <f>B7/B9</f>
        <v>6</v>
      </c>
      <c r="C8" s="31" t="s">
        <v>58</v>
      </c>
      <c r="D8" s="39" t="s">
        <v>61</v>
      </c>
      <c r="E8" s="22"/>
      <c r="F8" s="6"/>
      <c r="G8" s="20"/>
      <c r="H8" s="20"/>
      <c r="I8" s="20"/>
      <c r="J8" s="20"/>
      <c r="K8" s="20"/>
      <c r="L8" s="20"/>
      <c r="M8" s="20"/>
    </row>
    <row r="9" spans="1:13" x14ac:dyDescent="0.25">
      <c r="A9" s="21" t="s">
        <v>67</v>
      </c>
      <c r="B9" s="22">
        <f>B6</f>
        <v>5</v>
      </c>
      <c r="C9" s="31" t="s">
        <v>58</v>
      </c>
      <c r="D9" s="39" t="s">
        <v>61</v>
      </c>
      <c r="E9" s="22"/>
      <c r="F9" s="6"/>
      <c r="G9" s="20"/>
      <c r="H9" s="20"/>
      <c r="I9" s="20"/>
      <c r="J9" s="20"/>
      <c r="K9" s="20"/>
      <c r="L9" s="20"/>
      <c r="M9" s="20"/>
    </row>
    <row r="10" spans="1:13" x14ac:dyDescent="0.25">
      <c r="A10" s="21" t="s">
        <v>65</v>
      </c>
      <c r="B10" s="22">
        <f>B3-B4-B7</f>
        <v>10</v>
      </c>
      <c r="C10" s="31" t="s">
        <v>57</v>
      </c>
      <c r="D10" s="39" t="s">
        <v>33</v>
      </c>
      <c r="E10" s="22"/>
      <c r="F10" s="6"/>
      <c r="G10" s="20"/>
      <c r="H10" s="20"/>
      <c r="I10" s="20"/>
      <c r="J10" s="20"/>
      <c r="K10" s="20"/>
      <c r="L10" s="20"/>
      <c r="M10" s="20"/>
    </row>
    <row r="11" spans="1:13" x14ac:dyDescent="0.25">
      <c r="A11" s="21" t="s">
        <v>68</v>
      </c>
      <c r="B11" s="23">
        <f>B10/B12</f>
        <v>3.3333333333333335</v>
      </c>
      <c r="C11" s="31" t="s">
        <v>58</v>
      </c>
      <c r="D11" s="39" t="s">
        <v>61</v>
      </c>
      <c r="E11" s="22"/>
      <c r="F11" s="6"/>
      <c r="G11" s="20"/>
      <c r="H11" s="20"/>
      <c r="I11" s="20"/>
      <c r="J11" s="20"/>
      <c r="K11" s="20"/>
      <c r="L11" s="20"/>
      <c r="M11" s="20"/>
    </row>
    <row r="12" spans="1:13" x14ac:dyDescent="0.25">
      <c r="A12" s="21" t="s">
        <v>69</v>
      </c>
      <c r="B12" s="22">
        <v>3</v>
      </c>
      <c r="C12" s="31" t="s">
        <v>58</v>
      </c>
      <c r="D12" s="39" t="s">
        <v>61</v>
      </c>
      <c r="E12" s="22"/>
      <c r="F12" s="6"/>
      <c r="G12" s="20"/>
      <c r="H12" s="20"/>
      <c r="I12" s="20"/>
      <c r="J12" s="20"/>
      <c r="K12" s="20"/>
      <c r="L12" s="20"/>
      <c r="M12" s="20"/>
    </row>
    <row r="13" spans="1:13" ht="30" x14ac:dyDescent="0.25">
      <c r="A13" s="21" t="s">
        <v>35</v>
      </c>
      <c r="B13" s="23">
        <v>42.3</v>
      </c>
      <c r="C13" s="31" t="s">
        <v>57</v>
      </c>
      <c r="D13" s="38" t="s">
        <v>59</v>
      </c>
      <c r="E13" s="22"/>
      <c r="F13" s="6"/>
      <c r="G13" s="20"/>
      <c r="H13" s="20"/>
      <c r="I13" s="20"/>
      <c r="J13" s="20"/>
      <c r="K13" s="20"/>
      <c r="L13" s="20"/>
      <c r="M13" s="20"/>
    </row>
    <row r="14" spans="1:13" ht="30" x14ac:dyDescent="0.25">
      <c r="A14" s="21" t="s">
        <v>86</v>
      </c>
      <c r="B14" s="23">
        <v>53</v>
      </c>
      <c r="C14" s="31" t="s">
        <v>57</v>
      </c>
      <c r="D14" s="38" t="s">
        <v>59</v>
      </c>
      <c r="E14" s="22"/>
      <c r="F14" s="6"/>
      <c r="G14" s="20"/>
      <c r="H14" s="20"/>
      <c r="I14" s="20"/>
      <c r="J14" s="20"/>
      <c r="K14" s="20"/>
      <c r="L14" s="20"/>
      <c r="M14" s="20"/>
    </row>
    <row r="15" spans="1:13" ht="30" x14ac:dyDescent="0.25">
      <c r="A15" s="21" t="s">
        <v>36</v>
      </c>
      <c r="B15" s="23">
        <v>57.3</v>
      </c>
      <c r="C15" s="31" t="s">
        <v>57</v>
      </c>
      <c r="D15" s="38" t="s">
        <v>59</v>
      </c>
      <c r="E15" s="22"/>
      <c r="F15" s="6"/>
      <c r="G15" s="20"/>
      <c r="H15" s="20"/>
      <c r="I15" s="20"/>
      <c r="J15" s="20"/>
      <c r="K15" s="20"/>
      <c r="L15" s="20"/>
      <c r="M15" s="20"/>
    </row>
    <row r="16" spans="1:13" ht="30" x14ac:dyDescent="0.25">
      <c r="A16" s="21" t="s">
        <v>30</v>
      </c>
      <c r="B16" s="24">
        <f>1-B17-B18</f>
        <v>0.28000000000000003</v>
      </c>
      <c r="C16" s="34">
        <v>6.5</v>
      </c>
      <c r="D16" s="39" t="s">
        <v>57</v>
      </c>
      <c r="E16" s="13" t="s">
        <v>59</v>
      </c>
      <c r="F16" s="4"/>
      <c r="G16" s="20"/>
      <c r="H16" s="20"/>
      <c r="I16" s="20"/>
      <c r="J16" s="20"/>
      <c r="K16" s="20"/>
      <c r="L16" s="20"/>
      <c r="M16" s="20"/>
    </row>
    <row r="17" spans="1:13" ht="30" x14ac:dyDescent="0.25">
      <c r="A17" s="18" t="s">
        <v>31</v>
      </c>
      <c r="B17" s="25">
        <v>0.6</v>
      </c>
      <c r="C17" s="34">
        <f>14.9+1.8</f>
        <v>16.7</v>
      </c>
      <c r="D17" s="39" t="s">
        <v>57</v>
      </c>
      <c r="E17" s="13" t="s">
        <v>59</v>
      </c>
      <c r="F17" s="4"/>
      <c r="G17" s="20"/>
      <c r="H17" s="20"/>
      <c r="I17" s="20"/>
      <c r="J17" s="20"/>
      <c r="K17" s="20"/>
      <c r="L17" s="20"/>
      <c r="M17" s="20"/>
    </row>
    <row r="18" spans="1:13" ht="30" x14ac:dyDescent="0.25">
      <c r="A18" s="18" t="s">
        <v>32</v>
      </c>
      <c r="B18" s="25">
        <v>0.12</v>
      </c>
      <c r="C18" s="35">
        <v>0</v>
      </c>
      <c r="D18" s="39" t="s">
        <v>57</v>
      </c>
      <c r="E18" s="13" t="s">
        <v>59</v>
      </c>
      <c r="F18" s="4"/>
      <c r="G18" s="20"/>
      <c r="H18" s="20"/>
      <c r="I18" s="20"/>
      <c r="J18" s="20"/>
      <c r="K18" s="20"/>
      <c r="L18" s="20"/>
      <c r="M18" s="20"/>
    </row>
    <row r="19" spans="1:13" x14ac:dyDescent="0.25">
      <c r="A19" s="26" t="s">
        <v>82</v>
      </c>
      <c r="B19" s="27">
        <v>2.5</v>
      </c>
      <c r="C19" s="31" t="s">
        <v>58</v>
      </c>
      <c r="D19" s="39" t="s">
        <v>60</v>
      </c>
      <c r="E19" s="22"/>
      <c r="F19" s="6"/>
      <c r="G19" s="20"/>
      <c r="H19" s="20"/>
      <c r="I19" s="20"/>
      <c r="J19" s="20"/>
      <c r="K19" s="20"/>
      <c r="L19" s="20"/>
      <c r="M19" s="20"/>
    </row>
    <row r="20" spans="1:13" x14ac:dyDescent="0.25">
      <c r="A20" s="18" t="s">
        <v>83</v>
      </c>
      <c r="B20" s="10">
        <v>3</v>
      </c>
      <c r="C20" s="31" t="s">
        <v>58</v>
      </c>
      <c r="D20" s="39" t="s">
        <v>60</v>
      </c>
      <c r="E20" s="22"/>
      <c r="F20" s="6"/>
      <c r="G20" s="20"/>
      <c r="H20" s="20"/>
      <c r="I20" s="20"/>
      <c r="J20" s="20"/>
      <c r="K20" s="20"/>
      <c r="L20" s="20"/>
      <c r="M20" s="20"/>
    </row>
    <row r="21" spans="1:13" x14ac:dyDescent="0.25">
      <c r="A21" s="18" t="s">
        <v>130</v>
      </c>
      <c r="B21" s="55">
        <v>75</v>
      </c>
      <c r="C21" s="56" t="s">
        <v>131</v>
      </c>
      <c r="D21" s="39"/>
      <c r="E21" s="22"/>
    </row>
    <row r="22" spans="1:13" x14ac:dyDescent="0.25">
      <c r="A22" s="76" t="s">
        <v>177</v>
      </c>
      <c r="B22" s="77">
        <f>SUM('BOM rijtjeswoning'!V2:V38)/B21</f>
        <v>1.091828509127539</v>
      </c>
      <c r="C22" s="78" t="s">
        <v>178</v>
      </c>
    </row>
    <row r="23" spans="1:13" x14ac:dyDescent="0.25">
      <c r="A23" s="20" t="s">
        <v>236</v>
      </c>
      <c r="B23" s="20">
        <f>SUM('BOM rijtjeswoning'!W2:W38)</f>
        <v>7124.1810220571906</v>
      </c>
      <c r="C23" s="20"/>
      <c r="D23" s="20"/>
      <c r="E23" s="20"/>
      <c r="F23" s="20"/>
      <c r="G23" s="20"/>
      <c r="H23" s="20"/>
    </row>
    <row r="24" spans="1:13" x14ac:dyDescent="0.25">
      <c r="A24" s="20"/>
      <c r="B24" s="31" t="s">
        <v>89</v>
      </c>
      <c r="C24" s="31" t="s">
        <v>88</v>
      </c>
      <c r="D24" s="31" t="s">
        <v>90</v>
      </c>
      <c r="E24" s="20"/>
      <c r="F24" s="20"/>
      <c r="G24" s="20"/>
      <c r="H24" s="20"/>
    </row>
    <row r="25" spans="1:13" x14ac:dyDescent="0.25">
      <c r="A25" s="20"/>
      <c r="B25" s="59">
        <f>(0.48*0.08+0.24*0.08+0.115*0.08)</f>
        <v>6.6799999999999998E-2</v>
      </c>
      <c r="C25" s="36">
        <f>(3*B5+3*B6)*B25</f>
        <v>2.8056000000000001</v>
      </c>
      <c r="D25" s="36">
        <f>(3*Gebouweigenschappen!B5+3*Gebouweigenschappen!B6)*0.15*0.7</f>
        <v>4.4099999999999993</v>
      </c>
      <c r="E25" s="20"/>
      <c r="F25" s="20"/>
      <c r="G25" s="20"/>
      <c r="H25" s="20"/>
    </row>
    <row r="26" spans="1:13" x14ac:dyDescent="0.25">
      <c r="A26" s="20"/>
      <c r="B26" s="20"/>
      <c r="C26" s="20"/>
      <c r="D26" s="20"/>
      <c r="E26" s="20"/>
      <c r="F26" s="20"/>
      <c r="G26" s="20"/>
      <c r="H26" s="20"/>
    </row>
    <row r="27" spans="1:13" x14ac:dyDescent="0.25">
      <c r="D27" s="20"/>
      <c r="E27" s="20"/>
      <c r="F27" s="20"/>
      <c r="G27" s="20"/>
      <c r="H27" s="20" t="s">
        <v>132</v>
      </c>
    </row>
    <row r="28" spans="1:13" x14ac:dyDescent="0.25">
      <c r="A28" s="20"/>
      <c r="B28" s="20"/>
      <c r="C28" s="20"/>
      <c r="D28" s="20"/>
      <c r="F28" s="20"/>
      <c r="G28" s="20"/>
      <c r="H28" t="s">
        <v>133</v>
      </c>
      <c r="I28">
        <v>0.115</v>
      </c>
      <c r="J28" t="s">
        <v>58</v>
      </c>
    </row>
    <row r="29" spans="1:13" x14ac:dyDescent="0.25">
      <c r="A29" s="20"/>
      <c r="B29" s="20"/>
      <c r="C29" s="20"/>
      <c r="D29" s="20"/>
      <c r="F29" s="20"/>
      <c r="G29" s="20"/>
      <c r="H29" t="s">
        <v>136</v>
      </c>
      <c r="I29">
        <v>0.24</v>
      </c>
      <c r="J29" t="s">
        <v>58</v>
      </c>
    </row>
    <row r="30" spans="1:13" x14ac:dyDescent="0.25">
      <c r="A30" s="20"/>
      <c r="B30" s="20"/>
      <c r="C30" s="20"/>
      <c r="D30" s="20"/>
      <c r="F30" s="20"/>
      <c r="G30" s="20"/>
      <c r="H30" t="s">
        <v>134</v>
      </c>
      <c r="I30">
        <v>0.04</v>
      </c>
      <c r="J30" t="s">
        <v>58</v>
      </c>
    </row>
    <row r="31" spans="1:13" x14ac:dyDescent="0.25">
      <c r="A31" s="20"/>
      <c r="B31" s="20"/>
      <c r="C31" s="20"/>
      <c r="D31" s="20"/>
      <c r="G31" s="20"/>
      <c r="H31" t="s">
        <v>137</v>
      </c>
      <c r="I31">
        <f>I30*I29*I28</f>
        <v>1.1039999999999999E-3</v>
      </c>
      <c r="J31" t="s">
        <v>135</v>
      </c>
    </row>
    <row r="32" spans="1:13" x14ac:dyDescent="0.25">
      <c r="E32" s="20"/>
      <c r="F32" s="20"/>
      <c r="G32" s="20"/>
    </row>
    <row r="33" spans="1:11" x14ac:dyDescent="0.25">
      <c r="A33" s="20"/>
      <c r="D33" s="20"/>
      <c r="H33" t="s">
        <v>141</v>
      </c>
      <c r="I33">
        <f>C25/I31</f>
        <v>2541.304347826087</v>
      </c>
    </row>
    <row r="39" spans="1:11" x14ac:dyDescent="0.25">
      <c r="I39" s="58"/>
      <c r="K39" s="58"/>
    </row>
    <row r="43" spans="1:11" x14ac:dyDescent="0.25">
      <c r="I43" s="58"/>
    </row>
    <row r="47" spans="1:11" x14ac:dyDescent="0.25">
      <c r="I47" s="58"/>
    </row>
    <row r="50" spans="9:9" x14ac:dyDescent="0.25">
      <c r="I50" s="58"/>
    </row>
    <row r="51" spans="9:9" x14ac:dyDescent="0.25">
      <c r="I51" s="5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0DDA-5CE1-4701-AA7C-BC05E98C1901}">
  <dimension ref="A1:O32"/>
  <sheetViews>
    <sheetView tabSelected="1" workbookViewId="0">
      <selection activeCell="C23" sqref="C23"/>
    </sheetView>
  </sheetViews>
  <sheetFormatPr defaultRowHeight="15" x14ac:dyDescent="0.25"/>
  <cols>
    <col min="1" max="1" width="13.85546875" bestFit="1" customWidth="1"/>
    <col min="2" max="2" width="6.5703125" style="58" bestFit="1" customWidth="1"/>
    <col min="3" max="3" width="71" customWidth="1"/>
    <col min="4" max="4" width="15.85546875" style="58" bestFit="1" customWidth="1"/>
    <col min="5" max="5" width="23.5703125" customWidth="1"/>
    <col min="6" max="6" width="7.140625" bestFit="1" customWidth="1"/>
    <col min="7" max="7" width="12" style="58" bestFit="1" customWidth="1"/>
    <col min="8" max="8" width="10.85546875" customWidth="1"/>
    <col min="9" max="9" width="39.140625" customWidth="1"/>
    <col min="10" max="10" width="5.5703125" customWidth="1"/>
    <col min="11" max="11" width="10.7109375" bestFit="1" customWidth="1"/>
    <col min="12" max="13" width="10.28515625" customWidth="1"/>
    <col min="15" max="15" width="24.7109375" customWidth="1"/>
  </cols>
  <sheetData>
    <row r="1" spans="1:15" x14ac:dyDescent="0.25">
      <c r="A1" s="96" t="s">
        <v>226</v>
      </c>
      <c r="B1" s="96"/>
      <c r="C1" s="96"/>
      <c r="D1" s="96"/>
      <c r="E1" s="96"/>
      <c r="F1" s="96"/>
      <c r="G1" s="96"/>
      <c r="H1" s="96"/>
      <c r="I1" s="96"/>
      <c r="J1" s="96"/>
    </row>
    <row r="2" spans="1:15" x14ac:dyDescent="0.25">
      <c r="A2" s="93" t="s">
        <v>180</v>
      </c>
      <c r="B2" s="95" t="s">
        <v>181</v>
      </c>
      <c r="C2" s="93" t="s">
        <v>182</v>
      </c>
      <c r="D2" s="95" t="s">
        <v>183</v>
      </c>
      <c r="E2" s="93" t="s">
        <v>184</v>
      </c>
      <c r="F2" s="93" t="s">
        <v>223</v>
      </c>
      <c r="G2" s="95" t="s">
        <v>185</v>
      </c>
      <c r="H2" s="93" t="s">
        <v>186</v>
      </c>
      <c r="I2" s="93" t="s">
        <v>187</v>
      </c>
      <c r="J2" s="93" t="s">
        <v>231</v>
      </c>
      <c r="K2" s="93" t="s">
        <v>230</v>
      </c>
      <c r="L2" s="93" t="s">
        <v>229</v>
      </c>
      <c r="M2" s="93" t="s">
        <v>233</v>
      </c>
      <c r="N2" s="93" t="s">
        <v>227</v>
      </c>
      <c r="O2" s="93" t="s">
        <v>228</v>
      </c>
    </row>
    <row r="3" spans="1:15" x14ac:dyDescent="0.25">
      <c r="A3" t="s">
        <v>2</v>
      </c>
      <c r="B3" s="58">
        <v>20</v>
      </c>
      <c r="C3" t="s">
        <v>92</v>
      </c>
      <c r="D3" s="99">
        <v>17.295751954777401</v>
      </c>
      <c r="E3" s="58">
        <v>10</v>
      </c>
      <c r="F3" t="s">
        <v>193</v>
      </c>
      <c r="G3" s="58" t="s">
        <v>195</v>
      </c>
      <c r="H3" s="58">
        <v>0.34</v>
      </c>
      <c r="I3" t="s">
        <v>211</v>
      </c>
      <c r="J3">
        <v>10</v>
      </c>
      <c r="K3" t="b">
        <v>1</v>
      </c>
      <c r="L3" t="b">
        <v>1</v>
      </c>
      <c r="M3" s="100">
        <f>'BOM rijtjeswoning'!W29</f>
        <v>6.2220000000000004</v>
      </c>
      <c r="N3">
        <f>(D3-M3)/M3</f>
        <v>1.7797736989356154</v>
      </c>
    </row>
    <row r="4" spans="1:15" x14ac:dyDescent="0.25">
      <c r="A4" t="s">
        <v>50</v>
      </c>
      <c r="B4" s="58">
        <v>5.3825954131505096</v>
      </c>
      <c r="C4" t="s">
        <v>49</v>
      </c>
      <c r="D4" s="99">
        <v>531.242358334492</v>
      </c>
      <c r="E4" s="58">
        <v>81.3333333333333</v>
      </c>
      <c r="F4" t="s">
        <v>189</v>
      </c>
      <c r="G4" s="58" t="s">
        <v>188</v>
      </c>
      <c r="H4" s="58">
        <v>5.8255599773066697E-3</v>
      </c>
      <c r="I4" t="s">
        <v>205</v>
      </c>
      <c r="J4">
        <v>3</v>
      </c>
      <c r="K4" t="b">
        <v>1</v>
      </c>
      <c r="L4" t="b">
        <v>1</v>
      </c>
      <c r="M4" s="100">
        <f>'BOM rijtjeswoning'!W38+'BOM rijtjeswoning'!W37+'BOM rijtjeswoning'!W33</f>
        <v>1717.6081037090994</v>
      </c>
      <c r="N4">
        <f t="shared" ref="N4:N32" si="0">(D4-M4)/M4</f>
        <v>-0.69070805081362996</v>
      </c>
      <c r="O4" t="s">
        <v>232</v>
      </c>
    </row>
    <row r="5" spans="1:15" x14ac:dyDescent="0.25">
      <c r="A5" t="s">
        <v>43</v>
      </c>
      <c r="B5" s="58">
        <v>11.8274333882308</v>
      </c>
      <c r="C5" t="s">
        <v>42</v>
      </c>
      <c r="D5" s="99">
        <v>229.08875968459901</v>
      </c>
      <c r="E5" s="58">
        <v>27</v>
      </c>
      <c r="F5" t="s">
        <v>189</v>
      </c>
      <c r="G5" s="58" t="s">
        <v>188</v>
      </c>
      <c r="H5" s="58">
        <v>9.4619467105846507E-3</v>
      </c>
      <c r="I5" t="s">
        <v>210</v>
      </c>
      <c r="J5">
        <v>2</v>
      </c>
      <c r="K5" t="b">
        <v>1</v>
      </c>
      <c r="L5" t="b">
        <v>0</v>
      </c>
      <c r="M5" s="100">
        <f>'BOM rijtjeswoning'!W30+'BOM rijtjeswoning'!W32</f>
        <v>145.93782575133332</v>
      </c>
      <c r="N5">
        <f t="shared" si="0"/>
        <v>0.56976958170494052</v>
      </c>
    </row>
    <row r="6" spans="1:15" x14ac:dyDescent="0.25">
      <c r="A6" t="s">
        <v>110</v>
      </c>
      <c r="B6" s="58">
        <v>2.8274333882308098</v>
      </c>
      <c r="C6" t="s">
        <v>44</v>
      </c>
      <c r="D6" s="99">
        <v>9.2901156070374196</v>
      </c>
      <c r="E6" s="58">
        <v>9</v>
      </c>
      <c r="F6" t="s">
        <v>189</v>
      </c>
      <c r="G6" s="58" t="s">
        <v>188</v>
      </c>
      <c r="H6" s="58">
        <v>2.2619467105846501E-3</v>
      </c>
      <c r="I6" t="s">
        <v>214</v>
      </c>
      <c r="J6">
        <v>1</v>
      </c>
      <c r="K6" t="b">
        <v>0</v>
      </c>
      <c r="L6" t="b">
        <v>1</v>
      </c>
      <c r="M6" s="100">
        <f>'BOM rijtjeswoning'!W31</f>
        <v>0.66501233291188755</v>
      </c>
      <c r="N6">
        <f t="shared" si="0"/>
        <v>12.969839576296003</v>
      </c>
    </row>
    <row r="7" spans="1:15" x14ac:dyDescent="0.25">
      <c r="A7" t="s">
        <v>53</v>
      </c>
      <c r="B7" s="58">
        <v>18.896679811342601</v>
      </c>
      <c r="C7" t="s">
        <v>55</v>
      </c>
      <c r="D7" s="99">
        <v>512.49168620469004</v>
      </c>
      <c r="E7" s="58">
        <v>3</v>
      </c>
      <c r="F7" t="s">
        <v>193</v>
      </c>
      <c r="G7" s="58" t="s">
        <v>188</v>
      </c>
      <c r="H7" s="58">
        <v>3.2414952999739399E-2</v>
      </c>
      <c r="I7" t="s">
        <v>200</v>
      </c>
      <c r="J7">
        <v>3</v>
      </c>
      <c r="K7" t="b">
        <v>0</v>
      </c>
      <c r="L7" t="b">
        <v>0</v>
      </c>
      <c r="M7" s="100">
        <f>'BOM rijtjeswoning'!W34+'BOM rijtjeswoning'!W35+'BOM rijtjeswoning'!W36</f>
        <v>19.059992363846817</v>
      </c>
      <c r="N7">
        <f t="shared" si="0"/>
        <v>25.88834687976</v>
      </c>
    </row>
    <row r="8" spans="1:15" x14ac:dyDescent="0.25">
      <c r="A8" t="s">
        <v>3</v>
      </c>
      <c r="B8" s="58">
        <v>42</v>
      </c>
      <c r="C8" t="s">
        <v>99</v>
      </c>
      <c r="D8" s="99">
        <v>46.269618977877499</v>
      </c>
      <c r="E8" s="58">
        <v>6.4807406984078604</v>
      </c>
      <c r="F8" t="s">
        <v>189</v>
      </c>
      <c r="G8" s="58" t="s">
        <v>196</v>
      </c>
      <c r="H8" s="58">
        <v>1.68</v>
      </c>
      <c r="I8" t="s">
        <v>212</v>
      </c>
      <c r="J8">
        <v>1</v>
      </c>
      <c r="K8" t="b">
        <v>1</v>
      </c>
      <c r="L8" t="b">
        <v>0</v>
      </c>
      <c r="M8" s="100">
        <f>'BOM rijtjeswoning'!W2</f>
        <v>223.213536</v>
      </c>
      <c r="N8">
        <f t="shared" si="0"/>
        <v>-0.79271141075477825</v>
      </c>
    </row>
    <row r="9" spans="1:15" x14ac:dyDescent="0.25">
      <c r="A9" t="s">
        <v>26</v>
      </c>
      <c r="B9" s="58">
        <v>29.4</v>
      </c>
      <c r="C9" t="s">
        <v>100</v>
      </c>
      <c r="D9" s="99">
        <v>121.457749816928</v>
      </c>
      <c r="E9" s="58">
        <v>42</v>
      </c>
      <c r="F9" t="s">
        <v>189</v>
      </c>
      <c r="G9" s="58" t="s">
        <v>196</v>
      </c>
      <c r="H9" s="58">
        <v>4.4099999999999904</v>
      </c>
      <c r="I9" t="s">
        <v>212</v>
      </c>
      <c r="J9">
        <v>1</v>
      </c>
      <c r="K9" t="b">
        <v>1</v>
      </c>
      <c r="L9" t="b">
        <v>1</v>
      </c>
      <c r="M9" s="100">
        <f>'BOM rijtjeswoning'!W3</f>
        <v>85.850396099999969</v>
      </c>
      <c r="N9">
        <f t="shared" si="0"/>
        <v>0.41476050588575031</v>
      </c>
    </row>
    <row r="10" spans="1:15" x14ac:dyDescent="0.25">
      <c r="A10" t="s">
        <v>20</v>
      </c>
      <c r="B10" s="58">
        <v>29.4</v>
      </c>
      <c r="C10" t="s">
        <v>93</v>
      </c>
      <c r="D10" s="99">
        <v>121.457749816928</v>
      </c>
      <c r="E10" s="58">
        <v>42</v>
      </c>
      <c r="F10" t="s">
        <v>189</v>
      </c>
      <c r="G10" s="58" t="s">
        <v>196</v>
      </c>
      <c r="H10" s="58">
        <v>4.4099999999999904</v>
      </c>
      <c r="I10" t="s">
        <v>212</v>
      </c>
      <c r="J10">
        <v>1</v>
      </c>
      <c r="K10" t="b">
        <v>1</v>
      </c>
      <c r="L10" t="b">
        <v>0</v>
      </c>
      <c r="M10" s="100">
        <f>'BOM rijtjeswoning'!W4</f>
        <v>434.52611999999993</v>
      </c>
      <c r="N10">
        <f t="shared" si="0"/>
        <v>-0.7204822812103262</v>
      </c>
    </row>
    <row r="11" spans="1:15" x14ac:dyDescent="0.25">
      <c r="A11" t="s">
        <v>26</v>
      </c>
      <c r="B11" s="58">
        <v>28.65</v>
      </c>
      <c r="C11" t="s">
        <v>12</v>
      </c>
      <c r="D11" s="99">
        <v>26.921163291826598</v>
      </c>
      <c r="E11" s="58">
        <v>28.65</v>
      </c>
      <c r="F11" t="s">
        <v>57</v>
      </c>
      <c r="G11" s="58" t="s">
        <v>191</v>
      </c>
      <c r="H11" s="58">
        <v>1.4325000000000001</v>
      </c>
      <c r="I11" t="s">
        <v>207</v>
      </c>
      <c r="J11">
        <v>1</v>
      </c>
      <c r="K11" t="b">
        <v>1</v>
      </c>
      <c r="L11" t="b">
        <v>1</v>
      </c>
      <c r="M11" s="100">
        <f>'BOM rijtjeswoning'!W22</f>
        <v>44.5794</v>
      </c>
      <c r="N11">
        <f t="shared" si="0"/>
        <v>-0.3961075453723783</v>
      </c>
    </row>
    <row r="12" spans="1:15" x14ac:dyDescent="0.25">
      <c r="A12" t="s">
        <v>13</v>
      </c>
      <c r="B12" s="58">
        <v>57.299999999999898</v>
      </c>
      <c r="C12" t="s">
        <v>11</v>
      </c>
      <c r="D12" s="99">
        <v>1.75358605565561</v>
      </c>
      <c r="E12" s="58">
        <v>57.299999999999898</v>
      </c>
      <c r="F12" t="s">
        <v>57</v>
      </c>
      <c r="G12" s="58" t="s">
        <v>191</v>
      </c>
      <c r="H12" s="58">
        <v>2.2919999999999998</v>
      </c>
      <c r="I12" t="s">
        <v>208</v>
      </c>
      <c r="J12">
        <v>1</v>
      </c>
      <c r="K12" t="b">
        <v>1</v>
      </c>
      <c r="L12" t="b">
        <v>1</v>
      </c>
      <c r="M12" s="101">
        <f>'BOM rijtjeswoning'!W20</f>
        <v>987.10709999999995</v>
      </c>
      <c r="N12">
        <f t="shared" si="0"/>
        <v>-0.99822350983428687</v>
      </c>
    </row>
    <row r="13" spans="1:15" x14ac:dyDescent="0.25">
      <c r="A13" t="s">
        <v>28</v>
      </c>
      <c r="B13" s="58">
        <v>28.65</v>
      </c>
      <c r="C13" t="s">
        <v>12</v>
      </c>
      <c r="D13" s="99">
        <v>22.341310448188199</v>
      </c>
      <c r="E13" s="58">
        <v>28.65</v>
      </c>
      <c r="F13" t="s">
        <v>57</v>
      </c>
      <c r="G13" s="58" t="s">
        <v>191</v>
      </c>
      <c r="H13" s="58">
        <v>1.4325000000000001</v>
      </c>
      <c r="I13" t="s">
        <v>203</v>
      </c>
      <c r="J13">
        <v>1</v>
      </c>
      <c r="K13" t="b">
        <v>0</v>
      </c>
      <c r="L13" t="b">
        <v>0</v>
      </c>
      <c r="M13" s="100">
        <f>'BOM rijtjeswoning'!W21</f>
        <v>78.501000000000005</v>
      </c>
      <c r="N13">
        <f t="shared" si="0"/>
        <v>-0.71540094459703452</v>
      </c>
    </row>
    <row r="14" spans="1:15" x14ac:dyDescent="0.25">
      <c r="A14" t="s">
        <v>2</v>
      </c>
      <c r="B14" s="58">
        <v>38.700000000000003</v>
      </c>
      <c r="C14" t="s">
        <v>9</v>
      </c>
      <c r="D14" s="99">
        <v>65.857175219965498</v>
      </c>
      <c r="E14" s="58">
        <v>38.700000000000003</v>
      </c>
      <c r="F14" t="s">
        <v>57</v>
      </c>
      <c r="G14" s="58" t="s">
        <v>191</v>
      </c>
      <c r="H14" s="58">
        <v>7.2562499999999996</v>
      </c>
      <c r="I14" t="s">
        <v>219</v>
      </c>
      <c r="J14">
        <v>2</v>
      </c>
      <c r="K14" t="b">
        <v>0</v>
      </c>
      <c r="L14" t="b">
        <v>1</v>
      </c>
      <c r="M14" s="100">
        <f>'BOM rijtjeswoning'!W19+'BOM rijtjeswoning'!W18</f>
        <v>132.78937500000001</v>
      </c>
      <c r="N14">
        <f t="shared" si="0"/>
        <v>-0.5040478560881434</v>
      </c>
    </row>
    <row r="15" spans="1:15" x14ac:dyDescent="0.25">
      <c r="A15" t="s">
        <v>40</v>
      </c>
      <c r="B15" s="58">
        <v>9.1679999999999993</v>
      </c>
      <c r="C15">
        <v>0.16</v>
      </c>
      <c r="D15" s="99">
        <v>6.1417996827886601</v>
      </c>
      <c r="E15" s="58">
        <v>9.1679999999999993</v>
      </c>
      <c r="F15" t="s">
        <v>57</v>
      </c>
      <c r="G15" s="58" t="s">
        <v>191</v>
      </c>
      <c r="H15" s="58">
        <v>1.8335999999999999</v>
      </c>
      <c r="I15" t="s">
        <v>220</v>
      </c>
      <c r="J15">
        <v>1</v>
      </c>
      <c r="K15" t="b">
        <v>1</v>
      </c>
      <c r="L15" t="b">
        <v>1</v>
      </c>
      <c r="M15" s="100">
        <f>'BOM rijtjeswoning'!W23</f>
        <v>45.821663999999998</v>
      </c>
      <c r="N15">
        <f t="shared" si="0"/>
        <v>-0.86596297151520607</v>
      </c>
    </row>
    <row r="16" spans="1:15" x14ac:dyDescent="0.25">
      <c r="A16" t="s">
        <v>2</v>
      </c>
      <c r="B16" s="58">
        <v>102.5</v>
      </c>
      <c r="C16" t="s">
        <v>9</v>
      </c>
      <c r="D16" s="99">
        <v>34.998781382507197</v>
      </c>
      <c r="E16" s="58">
        <v>102.5</v>
      </c>
      <c r="F16" t="s">
        <v>57</v>
      </c>
      <c r="G16" s="58" t="s">
        <v>197</v>
      </c>
      <c r="H16" s="58">
        <v>3.1074999999999999</v>
      </c>
      <c r="I16" t="s">
        <v>198</v>
      </c>
      <c r="J16">
        <v>11</v>
      </c>
      <c r="K16" t="b">
        <v>1</v>
      </c>
      <c r="L16" t="b">
        <v>0</v>
      </c>
      <c r="M16" s="100">
        <f>'BOM rijtjeswoning'!W8+'BOM rijtjeswoning'!W9</f>
        <v>84.454499999999996</v>
      </c>
      <c r="N16">
        <f t="shared" si="0"/>
        <v>-0.58559009428145092</v>
      </c>
    </row>
    <row r="17" spans="1:14" x14ac:dyDescent="0.25">
      <c r="A17" t="s">
        <v>20</v>
      </c>
      <c r="B17" s="58">
        <v>47</v>
      </c>
      <c r="C17" t="s">
        <v>95</v>
      </c>
      <c r="D17" s="99">
        <v>2.7105572475395001</v>
      </c>
      <c r="E17" s="58">
        <v>6.8556546004010404</v>
      </c>
      <c r="F17" t="s">
        <v>189</v>
      </c>
      <c r="G17" s="58" t="s">
        <v>197</v>
      </c>
      <c r="H17" s="58">
        <v>0.47</v>
      </c>
      <c r="I17" t="s">
        <v>216</v>
      </c>
      <c r="J17">
        <v>1</v>
      </c>
      <c r="K17" t="b">
        <v>0</v>
      </c>
      <c r="L17" t="b">
        <v>1</v>
      </c>
      <c r="M17" s="100">
        <f>'BOM rijtjeswoning'!W5</f>
        <v>926.20080000000007</v>
      </c>
      <c r="N17">
        <f t="shared" si="0"/>
        <v>-0.99707346695496313</v>
      </c>
    </row>
    <row r="18" spans="1:14" x14ac:dyDescent="0.25">
      <c r="A18" t="s">
        <v>112</v>
      </c>
      <c r="B18" s="58">
        <v>47</v>
      </c>
      <c r="C18" t="s">
        <v>94</v>
      </c>
      <c r="D18" s="99">
        <v>105.73643863164</v>
      </c>
      <c r="E18" s="58">
        <v>47</v>
      </c>
      <c r="F18" t="s">
        <v>57</v>
      </c>
      <c r="G18" s="58" t="s">
        <v>197</v>
      </c>
      <c r="H18" s="58">
        <v>2.35</v>
      </c>
      <c r="I18" t="s">
        <v>202</v>
      </c>
      <c r="J18">
        <v>1</v>
      </c>
      <c r="K18" t="b">
        <v>1</v>
      </c>
      <c r="L18" t="b">
        <v>1</v>
      </c>
      <c r="M18" s="100">
        <f>'BOM rijtjeswoning'!W7</f>
        <v>103.58799999999999</v>
      </c>
      <c r="N18">
        <f t="shared" si="0"/>
        <v>2.0740226972622358E-2</v>
      </c>
    </row>
    <row r="19" spans="1:14" x14ac:dyDescent="0.25">
      <c r="A19" t="s">
        <v>26</v>
      </c>
      <c r="B19" s="58">
        <v>47</v>
      </c>
      <c r="C19" t="s">
        <v>37</v>
      </c>
      <c r="D19" s="99">
        <v>398.91042995464699</v>
      </c>
      <c r="E19" s="58">
        <v>47</v>
      </c>
      <c r="F19" t="s">
        <v>57</v>
      </c>
      <c r="G19" s="58" t="s">
        <v>197</v>
      </c>
      <c r="H19" s="58">
        <v>9.4</v>
      </c>
      <c r="I19" t="s">
        <v>218</v>
      </c>
      <c r="J19">
        <v>1</v>
      </c>
      <c r="K19" t="b">
        <v>1</v>
      </c>
      <c r="L19" t="b">
        <v>1</v>
      </c>
      <c r="M19" s="100">
        <f>'BOM rijtjeswoning'!W6</f>
        <v>192.62291999999999</v>
      </c>
      <c r="N19">
        <f t="shared" si="0"/>
        <v>1.0709395847319052</v>
      </c>
    </row>
    <row r="20" spans="1:14" x14ac:dyDescent="0.25">
      <c r="A20" t="s">
        <v>109</v>
      </c>
      <c r="B20" s="58">
        <v>35.25</v>
      </c>
      <c r="C20" t="s">
        <v>87</v>
      </c>
      <c r="D20" s="99">
        <v>139.85330335778201</v>
      </c>
      <c r="E20" s="58">
        <v>35.25</v>
      </c>
      <c r="F20" t="s">
        <v>57</v>
      </c>
      <c r="G20" s="58" t="s">
        <v>190</v>
      </c>
      <c r="H20" s="58">
        <v>3.5249999999999999</v>
      </c>
      <c r="I20" t="s">
        <v>206</v>
      </c>
      <c r="J20">
        <v>1</v>
      </c>
      <c r="K20" t="b">
        <v>1</v>
      </c>
      <c r="L20" t="b">
        <v>1</v>
      </c>
      <c r="M20" s="100">
        <f>'BOM rijtjeswoning'!W17</f>
        <v>116.748</v>
      </c>
      <c r="N20">
        <f t="shared" si="0"/>
        <v>0.19790748756108889</v>
      </c>
    </row>
    <row r="21" spans="1:14" x14ac:dyDescent="0.25">
      <c r="A21" t="s">
        <v>7</v>
      </c>
      <c r="B21" s="58">
        <v>99.216666666666598</v>
      </c>
      <c r="C21" t="s">
        <v>87</v>
      </c>
      <c r="D21" s="99">
        <v>155.26182732272699</v>
      </c>
      <c r="E21" s="58">
        <v>99.216666666666598</v>
      </c>
      <c r="F21" t="s">
        <v>57</v>
      </c>
      <c r="G21" s="58" t="s">
        <v>190</v>
      </c>
      <c r="H21" s="58">
        <v>9.9216666666666598</v>
      </c>
      <c r="I21" t="s">
        <v>194</v>
      </c>
      <c r="J21">
        <v>2</v>
      </c>
      <c r="K21" t="b">
        <v>1</v>
      </c>
      <c r="L21" t="b">
        <v>1</v>
      </c>
      <c r="M21" s="100">
        <f>'BOM rijtjeswoning'!W13+'BOM rijtjeswoning'!W11</f>
        <v>489.33660000000003</v>
      </c>
      <c r="N21">
        <f t="shared" si="0"/>
        <v>-0.68270955550284407</v>
      </c>
    </row>
    <row r="22" spans="1:14" x14ac:dyDescent="0.25">
      <c r="A22" t="s">
        <v>108</v>
      </c>
      <c r="B22" s="58">
        <v>39.1666666666666</v>
      </c>
      <c r="C22" t="s">
        <v>87</v>
      </c>
      <c r="D22" s="99">
        <v>5.4715051006464304</v>
      </c>
      <c r="E22" s="58">
        <v>39.1666666666666</v>
      </c>
      <c r="F22" t="s">
        <v>57</v>
      </c>
      <c r="G22" s="58" t="s">
        <v>190</v>
      </c>
      <c r="H22" s="58">
        <v>0.58749999999999902</v>
      </c>
      <c r="I22" t="s">
        <v>215</v>
      </c>
      <c r="J22">
        <v>1</v>
      </c>
      <c r="K22" t="b">
        <v>1</v>
      </c>
      <c r="L22" t="b">
        <v>1</v>
      </c>
      <c r="M22" s="100">
        <f>'BOM rijtjeswoning'!W14</f>
        <v>21.214624999999995</v>
      </c>
      <c r="N22">
        <f t="shared" si="0"/>
        <v>-0.74208805950393031</v>
      </c>
    </row>
    <row r="23" spans="1:14" x14ac:dyDescent="0.25">
      <c r="A23" t="s">
        <v>8</v>
      </c>
      <c r="B23" s="58">
        <v>81.466666666666598</v>
      </c>
      <c r="C23" t="s">
        <v>39</v>
      </c>
      <c r="D23" s="99">
        <v>3464.4569419067702</v>
      </c>
      <c r="E23" s="58">
        <v>81.466666666666598</v>
      </c>
      <c r="F23" t="s">
        <v>57</v>
      </c>
      <c r="G23" s="58" t="s">
        <v>190</v>
      </c>
      <c r="H23" s="58">
        <v>2.7510666666666599</v>
      </c>
      <c r="I23" t="s">
        <v>199</v>
      </c>
      <c r="J23">
        <v>2</v>
      </c>
      <c r="K23" t="b">
        <v>1</v>
      </c>
      <c r="L23" t="b">
        <v>0</v>
      </c>
      <c r="M23" s="100">
        <f>'BOM rijtjeswoning'!W12+'BOM rijtjeswoning'!W16</f>
        <v>35.252509799999999</v>
      </c>
      <c r="N23">
        <f t="shared" si="0"/>
        <v>97.275469223662768</v>
      </c>
    </row>
    <row r="24" spans="1:14" x14ac:dyDescent="0.25">
      <c r="A24" t="s">
        <v>2</v>
      </c>
      <c r="B24" s="58">
        <v>3.9166666666666599</v>
      </c>
      <c r="C24" t="s">
        <v>87</v>
      </c>
      <c r="D24" s="99">
        <v>7.7110361835565602</v>
      </c>
      <c r="E24" s="58">
        <v>3.9166666666666599</v>
      </c>
      <c r="F24" t="s">
        <v>57</v>
      </c>
      <c r="G24" s="58" t="s">
        <v>190</v>
      </c>
      <c r="H24" s="58">
        <v>0.11749999999999999</v>
      </c>
      <c r="I24" t="s">
        <v>201</v>
      </c>
      <c r="J24">
        <v>1</v>
      </c>
      <c r="K24" t="b">
        <v>1</v>
      </c>
      <c r="L24" t="b">
        <v>1</v>
      </c>
      <c r="M24" s="100">
        <f>'BOM rijtjeswoning'!W15</f>
        <v>2.1502499999999998</v>
      </c>
      <c r="N24">
        <f t="shared" si="0"/>
        <v>2.5861114677626142</v>
      </c>
    </row>
    <row r="25" spans="1:14" x14ac:dyDescent="0.25">
      <c r="A25" t="s">
        <v>3</v>
      </c>
      <c r="B25" s="58">
        <v>95.299999999999898</v>
      </c>
      <c r="C25" t="s">
        <v>96</v>
      </c>
      <c r="D25" s="99">
        <v>342.19297620159301</v>
      </c>
      <c r="E25" s="58">
        <v>95.299999999999898</v>
      </c>
      <c r="F25" t="s">
        <v>57</v>
      </c>
      <c r="G25" s="58" t="s">
        <v>190</v>
      </c>
      <c r="H25" s="58">
        <v>9.5299999999999994</v>
      </c>
      <c r="I25" t="s">
        <v>204</v>
      </c>
      <c r="J25">
        <v>1</v>
      </c>
      <c r="K25" t="b">
        <v>0</v>
      </c>
      <c r="L25" t="b">
        <v>1</v>
      </c>
      <c r="M25" s="100">
        <f>'BOM rijtjeswoning'!W10</f>
        <v>758.20680000000004</v>
      </c>
      <c r="N25">
        <f t="shared" si="0"/>
        <v>-0.54868120913503682</v>
      </c>
    </row>
    <row r="26" spans="1:14" x14ac:dyDescent="0.25">
      <c r="A26" t="s">
        <v>2</v>
      </c>
      <c r="B26" s="58">
        <v>2.0879999999999899</v>
      </c>
      <c r="C26" t="s">
        <v>21</v>
      </c>
      <c r="D26" s="99">
        <v>0.27150069444826702</v>
      </c>
      <c r="E26" s="58">
        <v>1</v>
      </c>
      <c r="F26" t="s">
        <v>193</v>
      </c>
      <c r="G26" s="58" t="s">
        <v>192</v>
      </c>
      <c r="H26" s="58">
        <v>2.0879999999999899E-2</v>
      </c>
      <c r="I26" t="s">
        <v>209</v>
      </c>
      <c r="J26">
        <v>1</v>
      </c>
      <c r="K26" t="b">
        <v>1</v>
      </c>
      <c r="L26" t="b">
        <v>1</v>
      </c>
      <c r="M26" s="100">
        <f>'BOM rijtjeswoning'!W27</f>
        <v>0.19105199999999997</v>
      </c>
      <c r="N26">
        <f t="shared" si="0"/>
        <v>0.42108271281256965</v>
      </c>
    </row>
    <row r="27" spans="1:14" x14ac:dyDescent="0.25">
      <c r="A27" t="s">
        <v>14</v>
      </c>
      <c r="B27" s="58">
        <v>6.4960000000000004</v>
      </c>
      <c r="C27" t="s">
        <v>156</v>
      </c>
      <c r="D27" s="99">
        <v>14.046953999048201</v>
      </c>
      <c r="E27" s="58">
        <v>6.4960000000000004</v>
      </c>
      <c r="F27" t="s">
        <v>57</v>
      </c>
      <c r="G27" s="58" t="s">
        <v>192</v>
      </c>
      <c r="H27" s="58">
        <v>2.5984E-2</v>
      </c>
      <c r="I27" t="s">
        <v>213</v>
      </c>
      <c r="J27">
        <v>1</v>
      </c>
      <c r="K27" t="b">
        <v>1</v>
      </c>
      <c r="L27" t="b">
        <v>1</v>
      </c>
      <c r="M27" s="100">
        <f>'BOM rijtjeswoning'!W24</f>
        <v>14.226240000000002</v>
      </c>
      <c r="N27">
        <f t="shared" si="0"/>
        <v>-1.260248673941966E-2</v>
      </c>
    </row>
    <row r="28" spans="1:14" x14ac:dyDescent="0.25">
      <c r="A28" t="s">
        <v>15</v>
      </c>
      <c r="B28" s="58">
        <v>13.9199999999999</v>
      </c>
      <c r="C28" t="s">
        <v>157</v>
      </c>
      <c r="D28" s="99">
        <v>195.566743580966</v>
      </c>
      <c r="E28" s="58">
        <v>13.9199999999999</v>
      </c>
      <c r="F28" t="s">
        <v>57</v>
      </c>
      <c r="G28" s="58" t="s">
        <v>192</v>
      </c>
      <c r="H28" s="58">
        <v>0.125279999999999</v>
      </c>
      <c r="I28" t="s">
        <v>217</v>
      </c>
      <c r="J28">
        <v>1</v>
      </c>
      <c r="K28" t="b">
        <v>1</v>
      </c>
      <c r="L28" t="b">
        <v>1</v>
      </c>
      <c r="M28" s="100">
        <f>'BOM rijtjeswoning'!W25</f>
        <v>68.590800000000002</v>
      </c>
      <c r="N28">
        <f t="shared" si="0"/>
        <v>1.8512095438596139</v>
      </c>
    </row>
    <row r="29" spans="1:14" x14ac:dyDescent="0.25">
      <c r="A29" t="s">
        <v>16</v>
      </c>
      <c r="B29" s="58">
        <v>2.7839999999999998</v>
      </c>
      <c r="C29" t="s">
        <v>98</v>
      </c>
      <c r="D29" s="99">
        <v>39.1133487161933</v>
      </c>
      <c r="E29" s="58">
        <v>2.7839999999999998</v>
      </c>
      <c r="F29" t="s">
        <v>57</v>
      </c>
      <c r="G29" s="58" t="s">
        <v>192</v>
      </c>
      <c r="H29" s="58">
        <v>2.784E-2</v>
      </c>
      <c r="I29" t="s">
        <v>217</v>
      </c>
      <c r="J29">
        <v>1</v>
      </c>
      <c r="K29" t="b">
        <v>1</v>
      </c>
      <c r="L29" t="b">
        <v>1</v>
      </c>
      <c r="M29" s="100">
        <f>'BOM rijtjeswoning'!W26</f>
        <v>19.815119999999997</v>
      </c>
      <c r="N29">
        <f t="shared" si="0"/>
        <v>0.97391429959512266</v>
      </c>
    </row>
    <row r="30" spans="1:14" x14ac:dyDescent="0.25">
      <c r="A30" t="s">
        <v>20</v>
      </c>
      <c r="B30" s="58">
        <v>2.0879999999999899</v>
      </c>
      <c r="C30" t="s">
        <v>21</v>
      </c>
      <c r="D30" s="99">
        <v>5.0357418202647199</v>
      </c>
      <c r="E30" s="58">
        <v>2.0879999999999899</v>
      </c>
      <c r="F30" t="s">
        <v>57</v>
      </c>
      <c r="G30" s="58" t="s">
        <v>192</v>
      </c>
      <c r="H30" s="58">
        <v>1.0439999999999901E-2</v>
      </c>
      <c r="I30" t="s">
        <v>221</v>
      </c>
      <c r="J30">
        <v>1</v>
      </c>
      <c r="K30" t="b">
        <v>1</v>
      </c>
      <c r="L30" t="b">
        <v>1</v>
      </c>
      <c r="M30" s="100">
        <f>SUMIF('BOM rijtjeswoning'!X:X,MPG_CALC_BoM!A30&amp;C30,'BOM rijtjeswoning'!W:W)</f>
        <v>369.70127999999994</v>
      </c>
      <c r="N30">
        <f t="shared" si="0"/>
        <v>-0.98637888995065226</v>
      </c>
    </row>
    <row r="31" spans="1:14" x14ac:dyDescent="0.25">
      <c r="A31" s="102"/>
      <c r="B31" s="103"/>
      <c r="C31" s="104"/>
      <c r="D31" s="105">
        <f>SUM(D3:D30)</f>
        <v>6622.9469111960843</v>
      </c>
      <c r="E31" s="102"/>
      <c r="F31" s="102"/>
      <c r="G31" s="103"/>
      <c r="H31" s="102"/>
      <c r="I31" s="102"/>
      <c r="J31" s="102"/>
      <c r="K31" s="102">
        <f>1- (COUNTA(K3:K30) - COUNTIF(K3:K30, TRUE)) / COUNTA(K3:K30)</f>
        <v>0.7857142857142857</v>
      </c>
      <c r="L31" s="102">
        <f>1 - ( COUNTA(L3:L30) - COUNTIF(L3:L30, TRUE)) / COUNTA(L3:L30)</f>
        <v>0.75</v>
      </c>
      <c r="M31" s="106">
        <f>SUM(M3:M30)</f>
        <v>7124.1810220571897</v>
      </c>
      <c r="N31" s="102">
        <f t="shared" si="0"/>
        <v>-7.0356734242045998E-2</v>
      </c>
    </row>
    <row r="32" spans="1:14" x14ac:dyDescent="0.25">
      <c r="C32" s="94"/>
      <c r="L32" s="93" t="s">
        <v>235</v>
      </c>
      <c r="M32" s="93">
        <f>Gebouweigenschappen!B23-MPG_CALC_BoM!M31</f>
        <v>0</v>
      </c>
    </row>
  </sheetData>
  <autoFilter ref="A2:O2" xr:uid="{5B67A669-0853-4853-99D4-07ACCF2FBCE5}">
    <sortState xmlns:xlrd2="http://schemas.microsoft.com/office/spreadsheetml/2017/richdata2" ref="A3:O32">
      <sortCondition ref="G2"/>
    </sortState>
  </autoFilter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E16" sqref="E16"/>
    </sheetView>
  </sheetViews>
  <sheetFormatPr defaultRowHeight="15" x14ac:dyDescent="0.25"/>
  <cols>
    <col min="3" max="3" width="56.7109375" bestFit="1" customWidth="1"/>
  </cols>
  <sheetData>
    <row r="1" spans="1:3" x14ac:dyDescent="0.25">
      <c r="A1" s="45" t="s">
        <v>101</v>
      </c>
      <c r="B1" s="45" t="s">
        <v>79</v>
      </c>
      <c r="C1" s="45" t="s">
        <v>102</v>
      </c>
    </row>
    <row r="2" spans="1:3" x14ac:dyDescent="0.25">
      <c r="A2" s="46" t="s">
        <v>103</v>
      </c>
      <c r="B2" s="46">
        <v>1150</v>
      </c>
      <c r="C2" s="46"/>
    </row>
    <row r="3" spans="1:3" x14ac:dyDescent="0.25">
      <c r="A3" s="46" t="s">
        <v>104</v>
      </c>
      <c r="B3" s="46">
        <v>1500</v>
      </c>
      <c r="C3" s="46" t="s">
        <v>105</v>
      </c>
    </row>
    <row r="4" spans="1:3" x14ac:dyDescent="0.25">
      <c r="A4" s="18" t="s">
        <v>106</v>
      </c>
      <c r="B4" s="10">
        <v>7800</v>
      </c>
      <c r="C4" s="46"/>
    </row>
    <row r="5" spans="1:3" x14ac:dyDescent="0.25">
      <c r="A5" s="18" t="s">
        <v>107</v>
      </c>
      <c r="B5" s="10">
        <v>1400</v>
      </c>
      <c r="C5" s="46"/>
    </row>
    <row r="6" spans="1:3" x14ac:dyDescent="0.25">
      <c r="A6" s="46" t="s">
        <v>111</v>
      </c>
      <c r="B6" s="46">
        <v>7150</v>
      </c>
      <c r="C6" s="46"/>
    </row>
    <row r="7" spans="1:3" x14ac:dyDescent="0.25">
      <c r="A7" s="46" t="s">
        <v>2</v>
      </c>
      <c r="B7" s="46">
        <v>500</v>
      </c>
      <c r="C7" s="46"/>
    </row>
    <row r="8" spans="1:3" x14ac:dyDescent="0.25">
      <c r="A8" s="46"/>
      <c r="B8" s="46"/>
      <c r="C8" s="46"/>
    </row>
    <row r="9" spans="1:3" x14ac:dyDescent="0.25">
      <c r="A9" s="46"/>
      <c r="B9" s="46"/>
      <c r="C9" s="46"/>
    </row>
    <row r="10" spans="1:3" x14ac:dyDescent="0.25">
      <c r="A10" s="46"/>
      <c r="B10" s="46"/>
      <c r="C10" s="46"/>
    </row>
    <row r="11" spans="1:3" x14ac:dyDescent="0.25">
      <c r="A11" s="46"/>
      <c r="B11" s="46"/>
      <c r="C11" s="46"/>
    </row>
    <row r="12" spans="1:3" x14ac:dyDescent="0.25">
      <c r="A12" s="46"/>
      <c r="B12" s="46"/>
      <c r="C12" s="46"/>
    </row>
    <row r="13" spans="1:3" x14ac:dyDescent="0.25">
      <c r="A13" s="46"/>
      <c r="B13" s="46"/>
      <c r="C13" s="46"/>
    </row>
    <row r="14" spans="1:3" x14ac:dyDescent="0.25">
      <c r="A14" s="46"/>
      <c r="B14" s="46"/>
      <c r="C14" s="46"/>
    </row>
    <row r="15" spans="1:3" x14ac:dyDescent="0.25">
      <c r="A15" s="46"/>
      <c r="B15" s="46"/>
      <c r="C15" s="46"/>
    </row>
    <row r="16" spans="1:3" x14ac:dyDescent="0.25">
      <c r="A16" s="46"/>
      <c r="B16" s="46"/>
      <c r="C16" s="46"/>
    </row>
    <row r="17" spans="1:3" x14ac:dyDescent="0.25">
      <c r="A17" s="46"/>
      <c r="B17" s="46"/>
      <c r="C17" s="46"/>
    </row>
    <row r="18" spans="1:3" x14ac:dyDescent="0.25">
      <c r="A18" s="46"/>
      <c r="B18" s="46"/>
      <c r="C18" s="46"/>
    </row>
    <row r="19" spans="1:3" x14ac:dyDescent="0.25">
      <c r="A19" s="46"/>
      <c r="B19" s="46"/>
      <c r="C19" s="46"/>
    </row>
    <row r="20" spans="1:3" x14ac:dyDescent="0.25">
      <c r="A20" s="46"/>
      <c r="B20" s="46"/>
      <c r="C20" s="46"/>
    </row>
    <row r="21" spans="1:3" x14ac:dyDescent="0.25">
      <c r="A21" s="46"/>
      <c r="B21" s="46"/>
      <c r="C21" s="46"/>
    </row>
    <row r="22" spans="1:3" x14ac:dyDescent="0.25">
      <c r="A22" s="46"/>
      <c r="B22" s="46"/>
      <c r="C22" s="46"/>
    </row>
    <row r="23" spans="1:3" x14ac:dyDescent="0.25">
      <c r="A23" s="46"/>
      <c r="B23" s="46"/>
      <c r="C23" s="46"/>
    </row>
    <row r="24" spans="1:3" x14ac:dyDescent="0.25">
      <c r="A24" s="46"/>
      <c r="B24" s="46"/>
      <c r="C24" s="46"/>
    </row>
    <row r="25" spans="1:3" x14ac:dyDescent="0.25">
      <c r="A25" s="46"/>
      <c r="B25" s="46"/>
      <c r="C25" s="46"/>
    </row>
    <row r="26" spans="1:3" x14ac:dyDescent="0.25">
      <c r="A26" s="46"/>
      <c r="B26" s="46"/>
      <c r="C26" s="46"/>
    </row>
    <row r="27" spans="1:3" x14ac:dyDescent="0.25">
      <c r="A27" s="46"/>
      <c r="B27" s="46"/>
      <c r="C27" s="46"/>
    </row>
    <row r="28" spans="1:3" x14ac:dyDescent="0.25">
      <c r="A28" s="46"/>
      <c r="B28" s="46"/>
      <c r="C28" s="46"/>
    </row>
    <row r="29" spans="1:3" x14ac:dyDescent="0.25">
      <c r="A29" s="46"/>
      <c r="B29" s="46"/>
      <c r="C29" s="46"/>
    </row>
    <row r="30" spans="1:3" x14ac:dyDescent="0.25">
      <c r="A30" s="46"/>
      <c r="B30" s="46"/>
      <c r="C30" s="46"/>
    </row>
    <row r="31" spans="1:3" x14ac:dyDescent="0.25">
      <c r="A31" s="46"/>
      <c r="B31" s="46"/>
      <c r="C31" s="46"/>
    </row>
    <row r="32" spans="1:3" x14ac:dyDescent="0.25">
      <c r="A32" s="46"/>
      <c r="B32" s="46"/>
      <c r="C32" s="46"/>
    </row>
    <row r="33" spans="1:3" x14ac:dyDescent="0.25">
      <c r="A33" s="46"/>
      <c r="B33" s="46"/>
      <c r="C33" s="46"/>
    </row>
    <row r="34" spans="1:3" x14ac:dyDescent="0.25">
      <c r="A34" s="46"/>
      <c r="B34" s="46"/>
      <c r="C34" s="46"/>
    </row>
    <row r="35" spans="1:3" x14ac:dyDescent="0.25">
      <c r="A35" s="46"/>
      <c r="B35" s="46"/>
      <c r="C35" s="46"/>
    </row>
    <row r="36" spans="1:3" x14ac:dyDescent="0.25">
      <c r="A36" s="46"/>
      <c r="B36" s="46"/>
      <c r="C36" s="46"/>
    </row>
    <row r="37" spans="1:3" x14ac:dyDescent="0.25">
      <c r="A37" s="46"/>
      <c r="B37" s="46"/>
      <c r="C37" s="46"/>
    </row>
    <row r="38" spans="1:3" x14ac:dyDescent="0.25">
      <c r="A38" s="46"/>
      <c r="B38" s="46"/>
      <c r="C38" s="46"/>
    </row>
    <row r="39" spans="1:3" x14ac:dyDescent="0.25">
      <c r="A39" s="46"/>
      <c r="B39" s="46"/>
      <c r="C39" s="46"/>
    </row>
    <row r="40" spans="1:3" x14ac:dyDescent="0.25">
      <c r="A40" s="46"/>
      <c r="B40" s="46"/>
      <c r="C40" s="46"/>
    </row>
    <row r="41" spans="1:3" x14ac:dyDescent="0.25">
      <c r="A41" s="46"/>
      <c r="B41" s="46"/>
      <c r="C41" s="46"/>
    </row>
    <row r="42" spans="1:3" x14ac:dyDescent="0.25">
      <c r="A42" s="46"/>
      <c r="B42" s="46"/>
      <c r="C42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BEAEE4B1CA04CBF3B3E77AAD1867B" ma:contentTypeVersion="7" ma:contentTypeDescription="Create a new document." ma:contentTypeScope="" ma:versionID="fe5e8bff33f492ae91bd2ecdf8a74c45">
  <xsd:schema xmlns:xsd="http://www.w3.org/2001/XMLSchema" xmlns:xs="http://www.w3.org/2001/XMLSchema" xmlns:p="http://schemas.microsoft.com/office/2006/metadata/properties" xmlns:ns3="815ba399-014b-4508-8f04-2125e654312d" targetNamespace="http://schemas.microsoft.com/office/2006/metadata/properties" ma:root="true" ma:fieldsID="b92c3777d5d0f0d563bb22ddfaee4d91" ns3:_="">
    <xsd:import namespace="815ba399-014b-4508-8f04-2125e65431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5ba399-014b-4508-8f04-2125e6543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B69CDE-BD68-47ED-B0B5-54B1C1ADAA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5ba399-014b-4508-8f04-2125e6543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066166-6AE1-43C4-B122-965363BDD2A0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15ba399-014b-4508-8f04-2125e654312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31318B2-9C1F-4072-98B1-5D72029F1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rijtjeswoning</vt:lpstr>
      <vt:lpstr>Gebouweigenschappen</vt:lpstr>
      <vt:lpstr>MPG_CALC_BoM</vt:lpstr>
      <vt:lpstr>Dichtheden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Keijzer</dc:creator>
  <cp:lastModifiedBy>Jasper Vijverberg</cp:lastModifiedBy>
  <dcterms:created xsi:type="dcterms:W3CDTF">2015-12-07T09:15:37Z</dcterms:created>
  <dcterms:modified xsi:type="dcterms:W3CDTF">2020-01-14T17:48:15Z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NOC_DocumentClassification">
    <vt:lpwstr>5;#TNO Internal|1a23c89f-ef54-4907-86fd-8242403ff722</vt:lpwstr>
  </property>
  <property fmtid="{D5CDD505-2E9C-101B-9397-08002B2CF9AE}" pid="3" name="ContentTypeId">
    <vt:lpwstr>0x010100064BEAEE4B1CA04CBF3B3E77AAD1867B</vt:lpwstr>
  </property>
  <property fmtid="{D5CDD505-2E9C-101B-9397-08002B2CF9AE}" pid="4" name="TNOC_DocumentType">
    <vt:lpwstr/>
  </property>
  <property fmtid="{D5CDD505-2E9C-101B-9397-08002B2CF9AE}" pid="5" name="TNOC_DocumentCategory">
    <vt:lpwstr/>
  </property>
  <property fmtid="{D5CDD505-2E9C-101B-9397-08002B2CF9AE}" pid="6" name="TNOC_ClusterType">
    <vt:lpwstr>3;#Team|c614ed86-6527-4042-aa9d-da80e2b69463</vt:lpwstr>
  </property>
  <property fmtid="{D5CDD505-2E9C-101B-9397-08002B2CF9AE}" pid="7" name="_dlc_DocIdItemGuid">
    <vt:lpwstr>cfe0bbfe-c2e5-434f-996d-3d8e2daafbd2</vt:lpwstr>
  </property>
  <property fmtid="{D5CDD505-2E9C-101B-9397-08002B2CF9AE}" pid="8" name="TNOC_DocumentSetType">
    <vt:lpwstr/>
  </property>
</Properties>
</file>