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50" firstSheet="3" activeTab="3"/>
  </bookViews>
  <sheets>
    <sheet name="DEWATERING - RAW DATA" sheetId="7" r:id="rId1"/>
    <sheet name="MC - RSLUDGE" sheetId="3" r:id="rId2"/>
    <sheet name="RESULTS CENTRI" sheetId="5" r:id="rId3"/>
    <sheet name="Moisture content&amp;Water activity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5" l="1"/>
  <c r="F12" i="5"/>
  <c r="I12" i="5"/>
  <c r="G13" i="5"/>
  <c r="F13" i="5"/>
  <c r="I13" i="5"/>
  <c r="G14" i="5"/>
  <c r="F14" i="5"/>
  <c r="I14" i="5"/>
  <c r="K12" i="5"/>
  <c r="G6" i="5"/>
  <c r="F6" i="5"/>
  <c r="I6" i="5"/>
  <c r="G7" i="5"/>
  <c r="F7" i="5"/>
  <c r="I7" i="5"/>
  <c r="G8" i="5"/>
  <c r="F8" i="5"/>
  <c r="I8" i="5"/>
  <c r="K6" i="5"/>
  <c r="G15" i="5"/>
  <c r="F15" i="5"/>
  <c r="I15" i="5"/>
  <c r="G16" i="5"/>
  <c r="F16" i="5"/>
  <c r="I16" i="5"/>
  <c r="G17" i="5"/>
  <c r="F17" i="5"/>
  <c r="I17" i="5"/>
  <c r="K15" i="5"/>
  <c r="G21" i="5"/>
  <c r="F21" i="5"/>
  <c r="I21" i="5"/>
  <c r="G22" i="5"/>
  <c r="F22" i="5"/>
  <c r="I22" i="5"/>
  <c r="G23" i="5"/>
  <c r="F23" i="5"/>
  <c r="I23" i="5"/>
  <c r="K21" i="5"/>
  <c r="G18" i="5"/>
  <c r="F18" i="5"/>
  <c r="I18" i="5"/>
  <c r="G19" i="5"/>
  <c r="F19" i="5"/>
  <c r="I19" i="5"/>
  <c r="G20" i="5"/>
  <c r="F20" i="5"/>
  <c r="I20" i="5"/>
  <c r="K18" i="5"/>
  <c r="F31" i="5"/>
  <c r="F30" i="5"/>
  <c r="F28" i="5"/>
  <c r="F27" i="5"/>
  <c r="N18" i="5"/>
  <c r="E31" i="5"/>
  <c r="N21" i="5"/>
  <c r="E30" i="5"/>
  <c r="N12" i="5"/>
  <c r="D31" i="5"/>
  <c r="N15" i="5"/>
  <c r="D30" i="5"/>
  <c r="N6" i="5"/>
  <c r="C31" i="5"/>
  <c r="N9" i="5"/>
  <c r="C30" i="5"/>
  <c r="M18" i="5"/>
  <c r="E28" i="5"/>
  <c r="M21" i="5"/>
  <c r="E27" i="5"/>
  <c r="M12" i="5"/>
  <c r="D28" i="5"/>
  <c r="M15" i="5"/>
  <c r="D27" i="5"/>
  <c r="M6" i="5"/>
  <c r="C28" i="5"/>
  <c r="M9" i="5"/>
  <c r="C27" i="5"/>
  <c r="P45" i="4"/>
  <c r="R45" i="4"/>
  <c r="P46" i="4"/>
  <c r="R46" i="4"/>
  <c r="T46" i="4"/>
  <c r="P47" i="4"/>
  <c r="R47" i="4"/>
  <c r="T47" i="4"/>
  <c r="P48" i="4"/>
  <c r="T48" i="4" s="1"/>
  <c r="R48" i="4"/>
  <c r="P49" i="4"/>
  <c r="R49" i="4"/>
  <c r="P50" i="4"/>
  <c r="R50" i="4"/>
  <c r="T50" i="4" s="1"/>
  <c r="P51" i="4"/>
  <c r="R51" i="4"/>
  <c r="T51" i="4"/>
  <c r="P52" i="4"/>
  <c r="T52" i="4" s="1"/>
  <c r="R52" i="4"/>
  <c r="P53" i="4"/>
  <c r="R53" i="4"/>
  <c r="P54" i="4"/>
  <c r="R54" i="4"/>
  <c r="T54" i="4"/>
  <c r="P55" i="4"/>
  <c r="R55" i="4"/>
  <c r="T55" i="4"/>
  <c r="P56" i="4"/>
  <c r="T56" i="4" s="1"/>
  <c r="R56" i="4"/>
  <c r="R57" i="4"/>
  <c r="R58" i="4"/>
  <c r="P44" i="4"/>
  <c r="R44" i="4"/>
  <c r="T44" i="4"/>
  <c r="S45" i="4"/>
  <c r="S47" i="4"/>
  <c r="S49" i="4"/>
  <c r="S51" i="4"/>
  <c r="S52" i="4"/>
  <c r="S55" i="4"/>
  <c r="S56" i="4"/>
  <c r="S44" i="4"/>
  <c r="Q75" i="4"/>
  <c r="R75" i="4"/>
  <c r="Q76" i="4"/>
  <c r="R76" i="4"/>
  <c r="T76" i="4"/>
  <c r="Q77" i="4"/>
  <c r="R77" i="4"/>
  <c r="S77" i="4" s="1"/>
  <c r="T77" i="4"/>
  <c r="Q78" i="4"/>
  <c r="R78" i="4"/>
  <c r="Q79" i="4"/>
  <c r="T79" i="4" s="1"/>
  <c r="R79" i="4"/>
  <c r="Q80" i="4"/>
  <c r="R80" i="4"/>
  <c r="T80" i="4" s="1"/>
  <c r="Q81" i="4"/>
  <c r="R81" i="4"/>
  <c r="S81" i="4" s="1"/>
  <c r="T81" i="4"/>
  <c r="Q83" i="4"/>
  <c r="T83" i="4" s="1"/>
  <c r="R83" i="4"/>
  <c r="Q84" i="4"/>
  <c r="R84" i="4"/>
  <c r="Q85" i="4"/>
  <c r="R85" i="4"/>
  <c r="T85" i="4"/>
  <c r="Q86" i="4"/>
  <c r="Q87" i="4"/>
  <c r="Q88" i="4"/>
  <c r="Q89" i="4"/>
  <c r="Q90" i="4"/>
  <c r="Q74" i="4"/>
  <c r="T74" i="4" s="1"/>
  <c r="R74" i="4"/>
  <c r="S75" i="4"/>
  <c r="S76" i="4"/>
  <c r="R82" i="4"/>
  <c r="S82" i="4"/>
  <c r="S74" i="4"/>
  <c r="AC85" i="4"/>
  <c r="AC86" i="4"/>
  <c r="AC87" i="4"/>
  <c r="AD85" i="4"/>
  <c r="AD86" i="4" s="1"/>
  <c r="AD87" i="4" s="1"/>
  <c r="AF87" i="4"/>
  <c r="AL9" i="4"/>
  <c r="AB55" i="4"/>
  <c r="AB56" i="4"/>
  <c r="AB57" i="4"/>
  <c r="AC57" i="4"/>
  <c r="AD57" i="4"/>
  <c r="AB29" i="4"/>
  <c r="AC27" i="4"/>
  <c r="AC28" i="4"/>
  <c r="AC29" i="4"/>
  <c r="AD26" i="4"/>
  <c r="AD27" i="4" s="1"/>
  <c r="AD28" i="4" s="1"/>
  <c r="AD29" i="4"/>
  <c r="P13" i="4"/>
  <c r="Q13" i="4"/>
  <c r="R13" i="4"/>
  <c r="P14" i="4"/>
  <c r="Q14" i="4"/>
  <c r="R14" i="4"/>
  <c r="S14" i="4" s="1"/>
  <c r="P15" i="4"/>
  <c r="T15" i="4" s="1"/>
  <c r="Q15" i="4"/>
  <c r="S15" i="4" s="1"/>
  <c r="R15" i="4"/>
  <c r="P16" i="4"/>
  <c r="Q16" i="4"/>
  <c r="R16" i="4"/>
  <c r="P17" i="4"/>
  <c r="Q17" i="4"/>
  <c r="R17" i="4"/>
  <c r="P18" i="4"/>
  <c r="Q18" i="4"/>
  <c r="R18" i="4"/>
  <c r="P19" i="4"/>
  <c r="T19" i="4" s="1"/>
  <c r="Q19" i="4"/>
  <c r="R19" i="4"/>
  <c r="P20" i="4"/>
  <c r="Q20" i="4"/>
  <c r="R20" i="4"/>
  <c r="P21" i="4"/>
  <c r="Q21" i="4"/>
  <c r="R21" i="4"/>
  <c r="P22" i="4"/>
  <c r="Q22" i="4"/>
  <c r="R22" i="4"/>
  <c r="S22" i="4" s="1"/>
  <c r="P23" i="4"/>
  <c r="T23" i="4" s="1"/>
  <c r="Q23" i="4"/>
  <c r="S23" i="4" s="1"/>
  <c r="R23" i="4"/>
  <c r="P24" i="4"/>
  <c r="Q24" i="4"/>
  <c r="R24" i="4"/>
  <c r="P25" i="4"/>
  <c r="Q25" i="4"/>
  <c r="R25" i="4"/>
  <c r="P26" i="4"/>
  <c r="R26" i="4"/>
  <c r="P27" i="4"/>
  <c r="R27" i="4"/>
  <c r="P28" i="4"/>
  <c r="R28" i="4"/>
  <c r="P12" i="4"/>
  <c r="Q12" i="4"/>
  <c r="R12" i="4"/>
  <c r="S18" i="4"/>
  <c r="S19" i="4"/>
  <c r="N34" i="4"/>
  <c r="O34" i="4"/>
  <c r="M34" i="4"/>
  <c r="Q45" i="4"/>
  <c r="Q46" i="4"/>
  <c r="Q47" i="4"/>
  <c r="Q48" i="4"/>
  <c r="Q49" i="4"/>
  <c r="Q50" i="4"/>
  <c r="Q51" i="4"/>
  <c r="Q52" i="4"/>
  <c r="Q44" i="4"/>
  <c r="N66" i="4"/>
  <c r="O66" i="4"/>
  <c r="M66" i="4"/>
  <c r="P75" i="4"/>
  <c r="P76" i="4"/>
  <c r="M77" i="4"/>
  <c r="P74" i="4"/>
  <c r="N96" i="4"/>
  <c r="O96" i="4"/>
  <c r="M96" i="4"/>
  <c r="Z96" i="4"/>
  <c r="AA96" i="4"/>
  <c r="Y96" i="4"/>
  <c r="AF85" i="4"/>
  <c r="AD75" i="4"/>
  <c r="AE75" i="4" s="1"/>
  <c r="AD76" i="4"/>
  <c r="AD77" i="4"/>
  <c r="AC77" i="4"/>
  <c r="AE77" i="4" s="1"/>
  <c r="AF77" i="4"/>
  <c r="AD78" i="4"/>
  <c r="AD79" i="4"/>
  <c r="AE79" i="4" s="1"/>
  <c r="AD80" i="4"/>
  <c r="AD81" i="4"/>
  <c r="AF81" i="4" s="1"/>
  <c r="AD82" i="4"/>
  <c r="AD83" i="4"/>
  <c r="AD84" i="4"/>
  <c r="AD74" i="4"/>
  <c r="AC75" i="4"/>
  <c r="AC76" i="4"/>
  <c r="AC78" i="4"/>
  <c r="AE78" i="4" s="1"/>
  <c r="AC79" i="4"/>
  <c r="AF79" i="4"/>
  <c r="AC80" i="4"/>
  <c r="AC81" i="4"/>
  <c r="AC82" i="4"/>
  <c r="AC83" i="4"/>
  <c r="AF83" i="4"/>
  <c r="AC84" i="4"/>
  <c r="AC74" i="4"/>
  <c r="AF76" i="4"/>
  <c r="AE76" i="4"/>
  <c r="AE80" i="4"/>
  <c r="Z66" i="4"/>
  <c r="AA66" i="4"/>
  <c r="Y66" i="4"/>
  <c r="AD45" i="4"/>
  <c r="AD46" i="4"/>
  <c r="AD47" i="4"/>
  <c r="AD48" i="4"/>
  <c r="AF48" i="4" s="1"/>
  <c r="AD49" i="4"/>
  <c r="AD50" i="4"/>
  <c r="AD51" i="4"/>
  <c r="AD52" i="4"/>
  <c r="AE52" i="4" s="1"/>
  <c r="AD53" i="4"/>
  <c r="AD54" i="4"/>
  <c r="AD55" i="4"/>
  <c r="AD56" i="4"/>
  <c r="AE56" i="4" s="1"/>
  <c r="AD44" i="4"/>
  <c r="AC45" i="4"/>
  <c r="AB45" i="4"/>
  <c r="AE45" i="4" s="1"/>
  <c r="AF45" i="4"/>
  <c r="AC46" i="4"/>
  <c r="AB46" i="4"/>
  <c r="AF46" i="4"/>
  <c r="AC47" i="4"/>
  <c r="AC48" i="4"/>
  <c r="AC49" i="4"/>
  <c r="AC50" i="4"/>
  <c r="AC51" i="4"/>
  <c r="AE51" i="4" s="1"/>
  <c r="AC52" i="4"/>
  <c r="AC53" i="4"/>
  <c r="AB53" i="4"/>
  <c r="AE53" i="4"/>
  <c r="AC54" i="4"/>
  <c r="AC55" i="4"/>
  <c r="AC56" i="4"/>
  <c r="AC44" i="4"/>
  <c r="AB47" i="4"/>
  <c r="AB48" i="4"/>
  <c r="AB49" i="4"/>
  <c r="AB50" i="4"/>
  <c r="AB51" i="4"/>
  <c r="AB52" i="4"/>
  <c r="AB54" i="4"/>
  <c r="AE54" i="4" s="1"/>
  <c r="AB44" i="4"/>
  <c r="AF44" i="4" s="1"/>
  <c r="AF53" i="4"/>
  <c r="Z34" i="4"/>
  <c r="AA34" i="4"/>
  <c r="Y34" i="4"/>
  <c r="AD13" i="4"/>
  <c r="AD14" i="4"/>
  <c r="AD15" i="4"/>
  <c r="AD16" i="4"/>
  <c r="AE16" i="4" s="1"/>
  <c r="AD17" i="4"/>
  <c r="AD18" i="4"/>
  <c r="AD19" i="4"/>
  <c r="AD20" i="4"/>
  <c r="AF20" i="4" s="1"/>
  <c r="AD21" i="4"/>
  <c r="AD22" i="4"/>
  <c r="AD23" i="4"/>
  <c r="AD24" i="4"/>
  <c r="AE24" i="4" s="1"/>
  <c r="AD25" i="4"/>
  <c r="AD12" i="4"/>
  <c r="AC13" i="4"/>
  <c r="AC14" i="4"/>
  <c r="AF14" i="4" s="1"/>
  <c r="AC15" i="4"/>
  <c r="AC16" i="4"/>
  <c r="AC17" i="4"/>
  <c r="AE17" i="4" s="1"/>
  <c r="AC18" i="4"/>
  <c r="AC19" i="4"/>
  <c r="AC20" i="4"/>
  <c r="AC21" i="4"/>
  <c r="AF21" i="4" s="1"/>
  <c r="AC22" i="4"/>
  <c r="AC23" i="4"/>
  <c r="AC24" i="4"/>
  <c r="AC25" i="4"/>
  <c r="AE25" i="4" s="1"/>
  <c r="AC26" i="4"/>
  <c r="AC12" i="4"/>
  <c r="AB13" i="4"/>
  <c r="AB14" i="4"/>
  <c r="AB15" i="4"/>
  <c r="AE15" i="4" s="1"/>
  <c r="AB16" i="4"/>
  <c r="AB17" i="4"/>
  <c r="AB18" i="4"/>
  <c r="AB19" i="4"/>
  <c r="AE19" i="4" s="1"/>
  <c r="AB20" i="4"/>
  <c r="AB21" i="4"/>
  <c r="AB22" i="4"/>
  <c r="AF22" i="4" s="1"/>
  <c r="AB23" i="4"/>
  <c r="AF23" i="4" s="1"/>
  <c r="AB24" i="4"/>
  <c r="AB25" i="4"/>
  <c r="AB26" i="4"/>
  <c r="AB27" i="4"/>
  <c r="AF27" i="4" s="1"/>
  <c r="AB28" i="4"/>
  <c r="AB12" i="4"/>
  <c r="U33" i="3"/>
  <c r="V33" i="3"/>
  <c r="W33" i="3"/>
  <c r="U34" i="3"/>
  <c r="AN10" i="4"/>
  <c r="I33" i="3"/>
  <c r="J33" i="3"/>
  <c r="I36" i="3"/>
  <c r="AN9" i="4"/>
  <c r="AE46" i="4"/>
  <c r="AE83" i="4"/>
  <c r="AF54" i="4"/>
  <c r="AE85" i="4"/>
  <c r="AF82" i="4"/>
  <c r="AE82" i="4"/>
  <c r="AF55" i="4"/>
  <c r="AE48" i="4"/>
  <c r="AE55" i="4"/>
  <c r="AF12" i="4"/>
  <c r="AE12" i="4"/>
  <c r="O20" i="7"/>
  <c r="O21" i="7"/>
  <c r="O22" i="7"/>
  <c r="P20" i="7"/>
  <c r="O14" i="7"/>
  <c r="O15" i="7"/>
  <c r="O16" i="7"/>
  <c r="P14" i="7"/>
  <c r="O8" i="7"/>
  <c r="O9" i="7"/>
  <c r="O10" i="7"/>
  <c r="P8" i="7"/>
  <c r="F9" i="5"/>
  <c r="F10" i="5"/>
  <c r="F11" i="5"/>
  <c r="H7" i="5"/>
  <c r="J7" i="5"/>
  <c r="H8" i="5"/>
  <c r="H9" i="5"/>
  <c r="H10" i="5"/>
  <c r="H11" i="5"/>
  <c r="J11" i="5"/>
  <c r="H12" i="5"/>
  <c r="H13" i="5"/>
  <c r="H14" i="5"/>
  <c r="H15" i="5"/>
  <c r="J15" i="5"/>
  <c r="H16" i="5"/>
  <c r="H17" i="5"/>
  <c r="H18" i="5"/>
  <c r="H19" i="5"/>
  <c r="J19" i="5"/>
  <c r="H20" i="5"/>
  <c r="H21" i="5"/>
  <c r="H22" i="5"/>
  <c r="H23" i="5"/>
  <c r="J23" i="5"/>
  <c r="H6" i="5"/>
  <c r="G9" i="5"/>
  <c r="I9" i="5"/>
  <c r="G10" i="5"/>
  <c r="I10" i="5"/>
  <c r="G11" i="5"/>
  <c r="I11" i="5"/>
  <c r="J22" i="5"/>
  <c r="J18" i="5"/>
  <c r="J14" i="5"/>
  <c r="J10" i="5"/>
  <c r="J21" i="5"/>
  <c r="J17" i="5"/>
  <c r="J13" i="5"/>
  <c r="J9" i="5"/>
  <c r="K9" i="5"/>
  <c r="J6" i="5"/>
  <c r="J20" i="5"/>
  <c r="J16" i="5"/>
  <c r="J12" i="5"/>
  <c r="J8" i="5"/>
  <c r="X11" i="3"/>
  <c r="Y11" i="3"/>
  <c r="Z11" i="3"/>
  <c r="AA11" i="3"/>
  <c r="Y18" i="3"/>
  <c r="Y17" i="3"/>
  <c r="Y16" i="3"/>
  <c r="Y15" i="3"/>
  <c r="Y14" i="3"/>
  <c r="Y13" i="3"/>
  <c r="Y12" i="3"/>
  <c r="X19" i="3"/>
  <c r="X18" i="3"/>
  <c r="X17" i="3"/>
  <c r="X16" i="3"/>
  <c r="X15" i="3"/>
  <c r="X14" i="3"/>
  <c r="X13" i="3"/>
  <c r="X12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Z12" i="3"/>
  <c r="Z13" i="3"/>
  <c r="Z14" i="3"/>
  <c r="Z15" i="3"/>
  <c r="Z16" i="3"/>
  <c r="Z17" i="3"/>
  <c r="Z18" i="3"/>
  <c r="Z19" i="3"/>
  <c r="Z20" i="3"/>
  <c r="Z21" i="3"/>
  <c r="Z22" i="3"/>
  <c r="L11" i="3"/>
  <c r="Y87" i="4"/>
  <c r="Y76" i="4"/>
  <c r="Y77" i="4"/>
  <c r="Y78" i="4"/>
  <c r="Y79" i="4"/>
  <c r="Y80" i="4"/>
  <c r="Y81" i="4"/>
  <c r="Y82" i="4"/>
  <c r="Y83" i="4"/>
  <c r="Y84" i="4"/>
  <c r="Y85" i="4"/>
  <c r="Y86" i="4"/>
  <c r="Y75" i="4"/>
  <c r="Y57" i="4"/>
  <c r="N55" i="4"/>
  <c r="N54" i="4"/>
  <c r="N57" i="4" s="1"/>
  <c r="N56" i="4"/>
  <c r="N58" i="4"/>
  <c r="N53" i="4"/>
  <c r="M57" i="4"/>
  <c r="AA28" i="4"/>
  <c r="AA29" i="4"/>
  <c r="Z29" i="4"/>
  <c r="N28" i="4"/>
  <c r="N27" i="4"/>
  <c r="M24" i="4"/>
  <c r="M26" i="4" s="1"/>
  <c r="M27" i="4" s="1"/>
  <c r="M28" i="4"/>
  <c r="M25" i="4"/>
  <c r="AE14" i="4"/>
  <c r="AF24" i="4"/>
  <c r="AE13" i="4"/>
  <c r="AE23" i="4"/>
  <c r="AF15" i="4"/>
  <c r="Q53" i="4"/>
  <c r="Q54" i="4"/>
  <c r="Q57" i="4" s="1"/>
  <c r="E34" i="4"/>
  <c r="D34" i="4"/>
  <c r="C34" i="4"/>
  <c r="N28" i="3"/>
  <c r="M28" i="3"/>
  <c r="M29" i="3"/>
  <c r="M30" i="3"/>
  <c r="O25" i="3"/>
  <c r="P25" i="3"/>
  <c r="Q25" i="3"/>
  <c r="Y19" i="3"/>
  <c r="Y20" i="3"/>
  <c r="Y21" i="3"/>
  <c r="Y22" i="3"/>
  <c r="X20" i="3"/>
  <c r="I6" i="4"/>
  <c r="K33" i="3"/>
  <c r="I5" i="4"/>
  <c r="AF28" i="4"/>
  <c r="AE28" i="4"/>
  <c r="AN6" i="4"/>
  <c r="AN7" i="4"/>
  <c r="O14" i="3"/>
  <c r="P14" i="3"/>
  <c r="Q14" i="3"/>
  <c r="O16" i="3"/>
  <c r="P16" i="3"/>
  <c r="Q16" i="3"/>
  <c r="O18" i="3"/>
  <c r="P18" i="3"/>
  <c r="Q18" i="3"/>
  <c r="O20" i="3"/>
  <c r="P20" i="3"/>
  <c r="Q20" i="3"/>
  <c r="O22" i="3"/>
  <c r="P22" i="3"/>
  <c r="Q22" i="3"/>
  <c r="N29" i="3"/>
  <c r="N30" i="3"/>
  <c r="O12" i="3"/>
  <c r="P12" i="3"/>
  <c r="Q12" i="3"/>
  <c r="Q56" i="4"/>
  <c r="Q55" i="4"/>
  <c r="AA20" i="3"/>
  <c r="AB20" i="3"/>
  <c r="AC20" i="3"/>
  <c r="X21" i="3"/>
  <c r="AB11" i="3"/>
  <c r="AC11" i="3"/>
  <c r="AA13" i="3"/>
  <c r="AB13" i="3"/>
  <c r="AC13" i="3"/>
  <c r="AA15" i="3"/>
  <c r="AB15" i="3"/>
  <c r="AC15" i="3"/>
  <c r="AA17" i="3"/>
  <c r="AB17" i="3"/>
  <c r="AC17" i="3"/>
  <c r="AA19" i="3"/>
  <c r="AB19" i="3"/>
  <c r="AC19" i="3"/>
  <c r="O24" i="3"/>
  <c r="P24" i="3"/>
  <c r="Q24" i="3"/>
  <c r="O28" i="3"/>
  <c r="P28" i="3"/>
  <c r="Q28" i="3"/>
  <c r="O15" i="3"/>
  <c r="P15" i="3"/>
  <c r="Q15" i="3"/>
  <c r="O17" i="3"/>
  <c r="P17" i="3"/>
  <c r="Q17" i="3"/>
  <c r="O19" i="3"/>
  <c r="P19" i="3"/>
  <c r="Q19" i="3"/>
  <c r="O23" i="3"/>
  <c r="P23" i="3"/>
  <c r="Q23" i="3"/>
  <c r="AA14" i="3"/>
  <c r="AB14" i="3"/>
  <c r="AC14" i="3"/>
  <c r="O11" i="3"/>
  <c r="P11" i="3"/>
  <c r="Q11" i="3"/>
  <c r="O13" i="3"/>
  <c r="P13" i="3"/>
  <c r="Q13" i="3"/>
  <c r="O21" i="3"/>
  <c r="P21" i="3"/>
  <c r="Q21" i="3"/>
  <c r="O27" i="3"/>
  <c r="P27" i="3"/>
  <c r="Q27" i="3"/>
  <c r="AA12" i="3"/>
  <c r="AB12" i="3"/>
  <c r="AC12" i="3"/>
  <c r="AA16" i="3"/>
  <c r="AB16" i="3"/>
  <c r="AC16" i="3"/>
  <c r="AA18" i="3"/>
  <c r="AB18" i="3"/>
  <c r="AC18" i="3"/>
  <c r="O26" i="3"/>
  <c r="P26" i="3"/>
  <c r="Q26" i="3"/>
  <c r="O30" i="3"/>
  <c r="AF86" i="4"/>
  <c r="AE86" i="4"/>
  <c r="O29" i="3"/>
  <c r="P29" i="3"/>
  <c r="Q29" i="3"/>
  <c r="P30" i="3"/>
  <c r="Q30" i="3"/>
  <c r="X22" i="3"/>
  <c r="AA21" i="3"/>
  <c r="AB21" i="3"/>
  <c r="AC21" i="3"/>
  <c r="AE87" i="4"/>
  <c r="AL6" i="4"/>
  <c r="AA22" i="3"/>
  <c r="AB22" i="3"/>
  <c r="AC22" i="3"/>
  <c r="AF18" i="4" l="1"/>
  <c r="AE18" i="4"/>
  <c r="AF47" i="4"/>
  <c r="AE47" i="4"/>
  <c r="S25" i="4"/>
  <c r="T16" i="4"/>
  <c r="S80" i="4"/>
  <c r="T53" i="4"/>
  <c r="S50" i="4"/>
  <c r="AE27" i="4"/>
  <c r="AF56" i="4"/>
  <c r="AF16" i="4"/>
  <c r="AE21" i="4"/>
  <c r="AF51" i="4"/>
  <c r="AF78" i="4"/>
  <c r="AE44" i="4"/>
  <c r="AF25" i="4"/>
  <c r="AF17" i="4"/>
  <c r="AF13" i="4"/>
  <c r="AE20" i="4"/>
  <c r="AE49" i="4"/>
  <c r="AF49" i="4"/>
  <c r="AF80" i="4"/>
  <c r="P77" i="4"/>
  <c r="M78" i="4"/>
  <c r="T12" i="4"/>
  <c r="Q26" i="4"/>
  <c r="T25" i="4"/>
  <c r="T21" i="4"/>
  <c r="T17" i="4"/>
  <c r="T13" i="4"/>
  <c r="S83" i="4"/>
  <c r="S79" i="4"/>
  <c r="R86" i="4"/>
  <c r="S85" i="4"/>
  <c r="S53" i="4"/>
  <c r="S48" i="4"/>
  <c r="AF74" i="4"/>
  <c r="AE74" i="4"/>
  <c r="AF26" i="4"/>
  <c r="AE26" i="4"/>
  <c r="AF50" i="4"/>
  <c r="AE50" i="4"/>
  <c r="AE84" i="4"/>
  <c r="AF84" i="4"/>
  <c r="AE81" i="4"/>
  <c r="S12" i="4"/>
  <c r="T24" i="4"/>
  <c r="S21" i="4"/>
  <c r="T20" i="4"/>
  <c r="S17" i="4"/>
  <c r="S13" i="4"/>
  <c r="AE29" i="4"/>
  <c r="AJ6" i="4" s="1"/>
  <c r="AE57" i="4"/>
  <c r="AK6" i="4" s="1"/>
  <c r="AF57" i="4"/>
  <c r="AK9" i="4" s="1"/>
  <c r="T84" i="4"/>
  <c r="S84" i="4"/>
  <c r="T78" i="4"/>
  <c r="S78" i="4"/>
  <c r="T75" i="4"/>
  <c r="T45" i="4"/>
  <c r="AF19" i="4"/>
  <c r="AE22" i="4"/>
  <c r="Q58" i="4"/>
  <c r="AF52" i="4"/>
  <c r="AF75" i="4"/>
  <c r="T26" i="4"/>
  <c r="T22" i="4"/>
  <c r="T18" i="4"/>
  <c r="T14" i="4"/>
  <c r="AF29" i="4"/>
  <c r="AJ9" i="4" s="1"/>
  <c r="P57" i="4"/>
  <c r="S54" i="4"/>
  <c r="T49" i="4"/>
  <c r="S46" i="4"/>
  <c r="S24" i="4"/>
  <c r="S20" i="4"/>
  <c r="S16" i="4"/>
  <c r="Q27" i="4" l="1"/>
  <c r="S26" i="4"/>
  <c r="R87" i="4"/>
  <c r="T86" i="4"/>
  <c r="S86" i="4"/>
  <c r="P78" i="4"/>
  <c r="M79" i="4"/>
  <c r="T57" i="4"/>
  <c r="P58" i="4"/>
  <c r="S57" i="4"/>
  <c r="P79" i="4" l="1"/>
  <c r="M80" i="4"/>
  <c r="R88" i="4"/>
  <c r="S87" i="4"/>
  <c r="T87" i="4"/>
  <c r="S58" i="4"/>
  <c r="AK7" i="4" s="1"/>
  <c r="T58" i="4"/>
  <c r="AK10" i="4" s="1"/>
  <c r="S27" i="4"/>
  <c r="AJ7" i="4" s="1"/>
  <c r="Q28" i="4"/>
  <c r="T27" i="4"/>
  <c r="AJ10" i="4" s="1"/>
  <c r="R89" i="4" l="1"/>
  <c r="T88" i="4"/>
  <c r="S88" i="4"/>
  <c r="P80" i="4"/>
  <c r="M81" i="4"/>
  <c r="T28" i="4"/>
  <c r="S28" i="4"/>
  <c r="P81" i="4" l="1"/>
  <c r="M82" i="4"/>
  <c r="R90" i="4"/>
  <c r="S89" i="4"/>
  <c r="T89" i="4"/>
  <c r="P82" i="4" l="1"/>
  <c r="M83" i="4"/>
  <c r="T90" i="4"/>
  <c r="AL10" i="4" s="1"/>
  <c r="S90" i="4"/>
  <c r="AL7" i="4" s="1"/>
  <c r="P83" i="4" l="1"/>
  <c r="M84" i="4"/>
  <c r="P84" i="4" l="1"/>
  <c r="M85" i="4"/>
  <c r="P85" i="4" l="1"/>
  <c r="M86" i="4"/>
  <c r="P86" i="4" l="1"/>
  <c r="M87" i="4"/>
  <c r="P87" i="4" l="1"/>
  <c r="M88" i="4"/>
  <c r="P88" i="4" l="1"/>
  <c r="M89" i="4"/>
  <c r="P89" i="4" l="1"/>
  <c r="M90" i="4"/>
  <c r="P90" i="4" s="1"/>
</calcChain>
</file>

<file path=xl/sharedStrings.xml><?xml version="1.0" encoding="utf-8"?>
<sst xmlns="http://schemas.openxmlformats.org/spreadsheetml/2006/main" count="376" uniqueCount="162">
  <si>
    <t>Time (min)</t>
  </si>
  <si>
    <t>Tube Mass (g)</t>
  </si>
  <si>
    <t>Sample Name</t>
  </si>
  <si>
    <t>Tube no</t>
  </si>
  <si>
    <t>a</t>
  </si>
  <si>
    <t>b</t>
  </si>
  <si>
    <t>c</t>
  </si>
  <si>
    <t>VIP</t>
  </si>
  <si>
    <t>UDDT</t>
  </si>
  <si>
    <t>Speed (RPM)</t>
  </si>
  <si>
    <t>Sample Mass (g)</t>
  </si>
  <si>
    <t>Residue + Crucible Mass after Oven (g)</t>
  </si>
  <si>
    <t>Residue + Crucible Mass after Furnace (g)</t>
  </si>
  <si>
    <t>Tube + Mass BEFORE centrifugation (g)</t>
  </si>
  <si>
    <t>Tube + Solid AFTER centrifugation (g)</t>
  </si>
  <si>
    <t>CENTRIFUGATION / TOTAL AND VOLATILE SOLIDS</t>
  </si>
  <si>
    <t>-</t>
  </si>
  <si>
    <r>
      <t>Water activity Of Solid Residue (a</t>
    </r>
    <r>
      <rPr>
        <b/>
        <sz val="8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)</t>
    </r>
  </si>
  <si>
    <t>Moisture content Of Solid Residue (%)</t>
  </si>
  <si>
    <t>Total Suspended Solids Of Liquid Residue (g/l)</t>
  </si>
  <si>
    <t>NOT ENOUGH LIQUID/ LIQUID IS NOT CLEAR: LOT OF SOLIDS INSIDE</t>
  </si>
  <si>
    <t>Moisture Content (%)</t>
  </si>
  <si>
    <t>MF(g)</t>
  </si>
  <si>
    <t>0,399--&gt;19:40</t>
  </si>
  <si>
    <t>0,398--&gt;16:35</t>
  </si>
  <si>
    <t>0,408--&gt;16:25</t>
  </si>
  <si>
    <t>0,056--&gt;11:00</t>
  </si>
  <si>
    <t>0,058--&gt;8:10</t>
  </si>
  <si>
    <t>0,051--&gt;7:15</t>
  </si>
  <si>
    <t>RAW VIP</t>
  </si>
  <si>
    <t>RAW UDDT</t>
  </si>
  <si>
    <t>Sample Mass 3 (g)</t>
  </si>
  <si>
    <t>Sample Mass 2 (g)</t>
  </si>
  <si>
    <t>Sample Mass 1 (g)</t>
  </si>
  <si>
    <t>No. of crucibles</t>
  </si>
  <si>
    <t>Tick</t>
  </si>
  <si>
    <t>Time</t>
  </si>
  <si>
    <t>Temp</t>
  </si>
  <si>
    <t>Test</t>
  </si>
  <si>
    <t xml:space="preserve">RAW SLUDGE </t>
  </si>
  <si>
    <t xml:space="preserve">Comments </t>
  </si>
  <si>
    <t>Time out</t>
  </si>
  <si>
    <t>No. of samples</t>
  </si>
  <si>
    <t>Drying</t>
  </si>
  <si>
    <t>Project</t>
  </si>
  <si>
    <t>Time in</t>
  </si>
  <si>
    <t>15/08/2018</t>
  </si>
  <si>
    <t>Date</t>
  </si>
  <si>
    <t xml:space="preserve">Bintou &amp; Ambre </t>
  </si>
  <si>
    <t>Name</t>
  </si>
  <si>
    <t>Thermal Moisture Balance</t>
  </si>
  <si>
    <t>PB MACHINE --&gt; SLUDGE NOT DRIED</t>
  </si>
  <si>
    <t>0,364--&gt;16:20</t>
  </si>
  <si>
    <t>0,509--&gt;11:15</t>
  </si>
  <si>
    <t>0,456--&gt;11:30</t>
  </si>
  <si>
    <t>0,379--&gt;11:25</t>
  </si>
  <si>
    <t>0,973--&gt;1:45</t>
  </si>
  <si>
    <t>1A MASS (MC%)</t>
  </si>
  <si>
    <t>1C MASS (g)</t>
  </si>
  <si>
    <t xml:space="preserve">1B MASS (g) </t>
  </si>
  <si>
    <t>2C MASS (g)</t>
  </si>
  <si>
    <t>2B MASS (g)</t>
  </si>
  <si>
    <t xml:space="preserve">2A MASS (g) </t>
  </si>
  <si>
    <t>10 000 rpm /20 min / UDDT  PELLETS</t>
  </si>
  <si>
    <t>10 000 rpm /20 min / VIP  PELLETS</t>
  </si>
  <si>
    <t>NOT ENOUGH SO I MIXED EXTRA 2A AND 2C</t>
  </si>
  <si>
    <t>0,546--&gt;13:10</t>
  </si>
  <si>
    <t>0,536--&gt;11:10</t>
  </si>
  <si>
    <t>0,314--&gt;11:35</t>
  </si>
  <si>
    <t>1B MASS (g)</t>
  </si>
  <si>
    <t>1A MASS (g)</t>
  </si>
  <si>
    <t xml:space="preserve">2C MASS (g) </t>
  </si>
  <si>
    <t>2A MASS (g)</t>
  </si>
  <si>
    <t>8 000 rpm /20 min / UDDT  PELLETS</t>
  </si>
  <si>
    <t>8 000 rpm /20 min /VIP PELLETS</t>
  </si>
  <si>
    <t>and not enough UDDT LIQ to do the MC</t>
  </si>
  <si>
    <t>STOP MC ON SUPERNATANT--&gt; TSS</t>
  </si>
  <si>
    <t>0--&gt;20:45</t>
  </si>
  <si>
    <t>0--&gt;16:50</t>
  </si>
  <si>
    <t>0--&gt;17:30</t>
  </si>
  <si>
    <t>0,449--&gt;15:10</t>
  </si>
  <si>
    <t>0,232--&gt;16:25</t>
  </si>
  <si>
    <t>0,435--&gt;13:30</t>
  </si>
  <si>
    <t>0,201--&gt;10:25</t>
  </si>
  <si>
    <t xml:space="preserve">1A MASS (g) </t>
  </si>
  <si>
    <t>6 000 rpm /20 min / UDDT  PELLETS</t>
  </si>
  <si>
    <t>6 000 rpm /20 min / VIP  PELLETS</t>
  </si>
  <si>
    <t xml:space="preserve">6000 rpm /20 min / VIP SUPERNATANT </t>
  </si>
  <si>
    <t xml:space="preserve">-20 min </t>
  </si>
  <si>
    <t xml:space="preserve">12 TO 16 AUGUST </t>
  </si>
  <si>
    <t>Supernatant (g)</t>
  </si>
  <si>
    <t>Pellets (g)</t>
  </si>
  <si>
    <t>DATA - RAW UDDT</t>
  </si>
  <si>
    <t>DATA - RAW VIP</t>
  </si>
  <si>
    <t>Mass water removed 1 (g)</t>
  </si>
  <si>
    <t>Variance (S²)</t>
  </si>
  <si>
    <t>Ecart type (S)</t>
  </si>
  <si>
    <t xml:space="preserve">Moyenne </t>
  </si>
  <si>
    <t xml:space="preserve">VIP SLUDGE </t>
  </si>
  <si>
    <t xml:space="preserve">UDDT SLUDGE </t>
  </si>
  <si>
    <t xml:space="preserve">Water removed Fraction 1 </t>
  </si>
  <si>
    <t>Water removed Fraction 2 (%)</t>
  </si>
  <si>
    <t>Water removed Fraction 3 (%)</t>
  </si>
  <si>
    <t>Average</t>
  </si>
  <si>
    <t>Standard Variation (S)</t>
  </si>
  <si>
    <t xml:space="preserve">UD - 6 000 RPM - 20 MIN </t>
  </si>
  <si>
    <t xml:space="preserve">VIP - 8 000 RPM - 20 MIN </t>
  </si>
  <si>
    <t xml:space="preserve">UD - 8 000 RPM - 20 MIN </t>
  </si>
  <si>
    <t xml:space="preserve">VIP - 10 000 RPM - 20 MIN </t>
  </si>
  <si>
    <t xml:space="preserve">6 000 RPM - 20 MIN </t>
  </si>
  <si>
    <t xml:space="preserve">10 000 RPM - 20 MIN </t>
  </si>
  <si>
    <t xml:space="preserve">8 000 RPM - 20 MIN </t>
  </si>
  <si>
    <t xml:space="preserve">VIP </t>
  </si>
  <si>
    <t>Mass removed VIP =Mci</t>
  </si>
  <si>
    <t>Mass removed UDDT =Mci</t>
  </si>
  <si>
    <t xml:space="preserve">Moisture content final </t>
  </si>
  <si>
    <t xml:space="preserve">Moisture Conten final </t>
  </si>
  <si>
    <t>Moisture content</t>
  </si>
  <si>
    <t xml:space="preserve">Water removed  1 </t>
  </si>
  <si>
    <t>Water removed 2 (g)</t>
  </si>
  <si>
    <t>Water removed 3 (g)</t>
  </si>
  <si>
    <t xml:space="preserve">Water removed 2 </t>
  </si>
  <si>
    <t xml:space="preserve">Water removed  3 </t>
  </si>
  <si>
    <t>Water removed Fraction 1 (%)</t>
  </si>
  <si>
    <t>STANDARD DEV</t>
  </si>
  <si>
    <t>standard dev</t>
  </si>
  <si>
    <t>TS/VS</t>
  </si>
  <si>
    <t>PARAMETERS</t>
  </si>
  <si>
    <t>CENTRIFUGATION</t>
  </si>
  <si>
    <t>TSS</t>
  </si>
  <si>
    <t xml:space="preserve">ANALYSIS </t>
  </si>
  <si>
    <t>Crucible Mass (g)TS VS</t>
  </si>
  <si>
    <t>Sample Mass  (g)TSVS</t>
  </si>
  <si>
    <t>Volume (mL)</t>
  </si>
  <si>
    <t>Filter Mass (g)</t>
  </si>
  <si>
    <t>Crucible Mass (g) TSVS</t>
  </si>
  <si>
    <t>Sample Mass (g) TSVS</t>
  </si>
  <si>
    <t>UDDT (80%MC)</t>
  </si>
  <si>
    <t>fraction sup</t>
  </si>
  <si>
    <t>fraction pellets</t>
  </si>
  <si>
    <t>Average % supern</t>
  </si>
  <si>
    <t>Average TSS (g/L)</t>
  </si>
  <si>
    <t xml:space="preserve"> RAW UDDT SLUDGE </t>
  </si>
  <si>
    <t xml:space="preserve">RAW VIP SLUDGE </t>
  </si>
  <si>
    <t>Standard Deviation (S)</t>
  </si>
  <si>
    <t xml:space="preserve">Standard variation </t>
  </si>
  <si>
    <t>Average aw</t>
  </si>
  <si>
    <t>Stand. Dev. Aw</t>
  </si>
  <si>
    <t>aw</t>
  </si>
  <si>
    <t xml:space="preserve">8 000 RPM - 20 MN </t>
  </si>
  <si>
    <t xml:space="preserve">Water Activity </t>
  </si>
  <si>
    <t xml:space="preserve">Erreur </t>
  </si>
  <si>
    <t>AW</t>
  </si>
  <si>
    <t xml:space="preserve">RAW SLUdGE </t>
  </si>
  <si>
    <t xml:space="preserve">5 000 RPM - 120 MIN </t>
  </si>
  <si>
    <t>Raw sludge</t>
  </si>
  <si>
    <t>Water Activity (-)</t>
  </si>
  <si>
    <t>Moisture content (%wt)</t>
  </si>
  <si>
    <t xml:space="preserve">UDDT FAECAL SLUDGE </t>
  </si>
  <si>
    <t xml:space="preserve">VIP FAECAL SLUDGE </t>
  </si>
  <si>
    <t xml:space="preserve">Error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</si>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</sst>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605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3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2" borderId="34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5" borderId="34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38" xfId="0" applyBorder="1"/>
    <xf numFmtId="0" fontId="0" fillId="0" borderId="12" xfId="0" applyFill="1" applyBorder="1"/>
    <xf numFmtId="0" fontId="0" fillId="0" borderId="10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4" xfId="0" applyFill="1" applyBorder="1"/>
    <xf numFmtId="0" fontId="0" fillId="0" borderId="11" xfId="0" applyFill="1" applyBorder="1"/>
    <xf numFmtId="0" fontId="2" fillId="0" borderId="4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0" fillId="0" borderId="46" xfId="0" applyBorder="1"/>
    <xf numFmtId="0" fontId="0" fillId="0" borderId="47" xfId="0" applyBorder="1"/>
    <xf numFmtId="0" fontId="0" fillId="0" borderId="10" xfId="0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0" fillId="0" borderId="49" xfId="1" applyFont="1" applyBorder="1" applyAlignment="1"/>
    <xf numFmtId="0" fontId="10" fillId="0" borderId="50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0" fillId="0" borderId="52" xfId="0" applyBorder="1" applyAlignment="1"/>
    <xf numFmtId="0" fontId="0" fillId="0" borderId="53" xfId="0" applyBorder="1" applyAlignment="1"/>
    <xf numFmtId="0" fontId="2" fillId="0" borderId="17" xfId="0" applyFont="1" applyBorder="1"/>
    <xf numFmtId="0" fontId="2" fillId="0" borderId="6" xfId="0" applyFont="1" applyBorder="1"/>
    <xf numFmtId="0" fontId="0" fillId="0" borderId="54" xfId="0" applyBorder="1"/>
    <xf numFmtId="0" fontId="2" fillId="0" borderId="5" xfId="0" applyFont="1" applyBorder="1"/>
    <xf numFmtId="0" fontId="2" fillId="0" borderId="21" xfId="0" applyFont="1" applyBorder="1"/>
    <xf numFmtId="0" fontId="2" fillId="0" borderId="14" xfId="0" applyFont="1" applyBorder="1"/>
    <xf numFmtId="0" fontId="0" fillId="0" borderId="55" xfId="0" applyBorder="1"/>
    <xf numFmtId="0" fontId="2" fillId="0" borderId="11" xfId="0" applyFont="1" applyBorder="1"/>
    <xf numFmtId="0" fontId="2" fillId="0" borderId="20" xfId="0" applyFont="1" applyBorder="1"/>
    <xf numFmtId="0" fontId="0" fillId="0" borderId="0" xfId="0" applyFill="1" applyBorder="1" applyAlignment="1">
      <alignment vertical="center" wrapText="1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 wrapText="1"/>
    </xf>
    <xf numFmtId="0" fontId="0" fillId="0" borderId="51" xfId="0" applyFill="1" applyBorder="1"/>
    <xf numFmtId="0" fontId="0" fillId="0" borderId="18" xfId="0" applyFill="1" applyBorder="1" applyAlignment="1">
      <alignment horizontal="center" vertical="center"/>
    </xf>
    <xf numFmtId="0" fontId="0" fillId="0" borderId="51" xfId="0" applyBorder="1"/>
    <xf numFmtId="0" fontId="0" fillId="0" borderId="44" xfId="0" applyBorder="1"/>
    <xf numFmtId="0" fontId="0" fillId="0" borderId="53" xfId="0" quotePrefix="1" applyBorder="1" applyAlignment="1"/>
    <xf numFmtId="0" fontId="0" fillId="0" borderId="53" xfId="0" applyBorder="1"/>
    <xf numFmtId="0" fontId="0" fillId="0" borderId="43" xfId="0" applyBorder="1"/>
    <xf numFmtId="0" fontId="2" fillId="6" borderId="41" xfId="0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9" borderId="8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4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vertical="center" wrapText="1"/>
    </xf>
    <xf numFmtId="0" fontId="0" fillId="9" borderId="2" xfId="0" applyFill="1" applyBorder="1"/>
    <xf numFmtId="0" fontId="1" fillId="9" borderId="11" xfId="0" applyFont="1" applyFill="1" applyBorder="1"/>
    <xf numFmtId="0" fontId="0" fillId="9" borderId="46" xfId="0" applyFill="1" applyBorder="1"/>
    <xf numFmtId="0" fontId="0" fillId="9" borderId="20" xfId="0" applyFill="1" applyBorder="1"/>
    <xf numFmtId="0" fontId="0" fillId="9" borderId="22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40" xfId="0" applyFill="1" applyBorder="1"/>
    <xf numFmtId="0" fontId="0" fillId="2" borderId="0" xfId="0" applyFill="1" applyBorder="1" applyAlignment="1">
      <alignment horizontal="center" vertical="center"/>
    </xf>
    <xf numFmtId="0" fontId="0" fillId="9" borderId="47" xfId="0" applyFill="1" applyBorder="1"/>
    <xf numFmtId="0" fontId="0" fillId="9" borderId="0" xfId="0" applyFill="1" applyBorder="1"/>
    <xf numFmtId="0" fontId="0" fillId="9" borderId="47" xfId="0" applyFill="1" applyBorder="1" applyAlignment="1">
      <alignment horizontal="center" vertical="center" wrapText="1"/>
    </xf>
    <xf numFmtId="0" fontId="0" fillId="2" borderId="47" xfId="0" applyFill="1" applyBorder="1"/>
    <xf numFmtId="0" fontId="0" fillId="2" borderId="0" xfId="0" applyFill="1" applyBorder="1"/>
    <xf numFmtId="0" fontId="0" fillId="2" borderId="46" xfId="0" applyFill="1" applyBorder="1"/>
    <xf numFmtId="0" fontId="0" fillId="2" borderId="47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40" xfId="0" applyFont="1" applyFill="1" applyBorder="1" applyAlignment="1">
      <alignment horizontal="center" vertical="center" wrapText="1"/>
    </xf>
    <xf numFmtId="0" fontId="2" fillId="13" borderId="49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40" xfId="0" applyFont="1" applyFill="1" applyBorder="1" applyAlignment="1">
      <alignment horizontal="center" vertical="center" wrapText="1"/>
    </xf>
    <xf numFmtId="0" fontId="2" fillId="13" borderId="41" xfId="0" applyFont="1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7" borderId="11" xfId="0" applyFill="1" applyBorder="1"/>
    <xf numFmtId="0" fontId="0" fillId="7" borderId="14" xfId="0" applyFill="1" applyBorder="1"/>
    <xf numFmtId="0" fontId="0" fillId="7" borderId="20" xfId="0" applyFill="1" applyBorder="1"/>
    <xf numFmtId="0" fontId="2" fillId="9" borderId="15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2" fillId="9" borderId="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22" xfId="0" applyFill="1" applyBorder="1"/>
    <xf numFmtId="0" fontId="0" fillId="9" borderId="47" xfId="0" applyFill="1" applyBorder="1" applyAlignment="1">
      <alignment horizontal="center" vertical="center"/>
    </xf>
    <xf numFmtId="0" fontId="2" fillId="9" borderId="47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7" xfId="0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0" fillId="2" borderId="47" xfId="0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0" fillId="9" borderId="38" xfId="0" applyFill="1" applyBorder="1"/>
    <xf numFmtId="0" fontId="0" fillId="9" borderId="26" xfId="0" applyFill="1" applyBorder="1"/>
    <xf numFmtId="0" fontId="0" fillId="9" borderId="11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21" xfId="0" applyFill="1" applyBorder="1"/>
    <xf numFmtId="0" fontId="2" fillId="0" borderId="0" xfId="0" applyFont="1" applyBorder="1"/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10" fillId="0" borderId="0" xfId="1" applyFont="1" applyBorder="1" applyAlignment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textRotation="255"/>
    </xf>
    <xf numFmtId="0" fontId="0" fillId="18" borderId="15" xfId="0" applyFill="1" applyBorder="1" applyAlignment="1">
      <alignment wrapText="1"/>
    </xf>
    <xf numFmtId="0" fontId="0" fillId="18" borderId="1" xfId="0" applyFill="1" applyBorder="1" applyAlignment="1">
      <alignment wrapText="1"/>
    </xf>
    <xf numFmtId="0" fontId="0" fillId="18" borderId="50" xfId="0" applyFill="1" applyBorder="1" applyAlignment="1">
      <alignment wrapText="1"/>
    </xf>
    <xf numFmtId="0" fontId="0" fillId="18" borderId="56" xfId="0" applyFill="1" applyBorder="1" applyAlignment="1">
      <alignment wrapText="1"/>
    </xf>
    <xf numFmtId="0" fontId="0" fillId="0" borderId="11" xfId="0" applyBorder="1"/>
    <xf numFmtId="0" fontId="0" fillId="0" borderId="8" xfId="0" applyBorder="1"/>
    <xf numFmtId="0" fontId="9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7" borderId="0" xfId="0" applyFill="1" applyBorder="1"/>
    <xf numFmtId="0" fontId="2" fillId="2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 vertical="center" wrapText="1"/>
    </xf>
    <xf numFmtId="0" fontId="9" fillId="2" borderId="47" xfId="0" applyFont="1" applyFill="1" applyBorder="1" applyAlignment="1">
      <alignment horizontal="center"/>
    </xf>
    <xf numFmtId="0" fontId="0" fillId="2" borderId="20" xfId="0" applyFill="1" applyBorder="1"/>
    <xf numFmtId="0" fontId="0" fillId="2" borderId="46" xfId="0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0" fillId="7" borderId="47" xfId="0" applyFill="1" applyBorder="1"/>
    <xf numFmtId="0" fontId="0" fillId="7" borderId="46" xfId="0" applyFill="1" applyBorder="1"/>
    <xf numFmtId="0" fontId="0" fillId="2" borderId="47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9" fillId="9" borderId="47" xfId="0" applyFont="1" applyFill="1" applyBorder="1" applyAlignment="1">
      <alignment horizontal="center"/>
    </xf>
    <xf numFmtId="0" fontId="0" fillId="9" borderId="46" xfId="0" applyFill="1" applyBorder="1" applyAlignment="1">
      <alignment horizontal="center" vertical="center"/>
    </xf>
    <xf numFmtId="0" fontId="2" fillId="9" borderId="47" xfId="0" applyFont="1" applyFill="1" applyBorder="1" applyAlignment="1">
      <alignment horizontal="center" vertical="center" wrapText="1"/>
    </xf>
    <xf numFmtId="0" fontId="2" fillId="9" borderId="46" xfId="0" applyFont="1" applyFill="1" applyBorder="1" applyAlignment="1">
      <alignment horizontal="center" vertical="center" wrapText="1"/>
    </xf>
    <xf numFmtId="0" fontId="0" fillId="9" borderId="47" xfId="0" applyFill="1" applyBorder="1" applyAlignment="1">
      <alignment horizontal="center"/>
    </xf>
    <xf numFmtId="0" fontId="0" fillId="9" borderId="46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2" fillId="13" borderId="50" xfId="0" applyFont="1" applyFill="1" applyBorder="1" applyAlignment="1">
      <alignment horizontal="center" vertical="center" wrapText="1"/>
    </xf>
    <xf numFmtId="0" fontId="0" fillId="9" borderId="35" xfId="0" applyFill="1" applyBorder="1"/>
    <xf numFmtId="0" fontId="0" fillId="9" borderId="36" xfId="0" applyFill="1" applyBorder="1"/>
    <xf numFmtId="0" fontId="0" fillId="2" borderId="35" xfId="0" applyFill="1" applyBorder="1"/>
    <xf numFmtId="0" fontId="0" fillId="2" borderId="36" xfId="0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 wrapText="1"/>
    </xf>
    <xf numFmtId="0" fontId="2" fillId="13" borderId="40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 wrapText="1"/>
    </xf>
    <xf numFmtId="0" fontId="1" fillId="2" borderId="14" xfId="0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0" fontId="1" fillId="2" borderId="51" xfId="0" applyFont="1" applyFill="1" applyBorder="1"/>
    <xf numFmtId="0" fontId="4" fillId="0" borderId="0" xfId="0" applyFont="1" applyFill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63" xfId="0" applyFont="1" applyFill="1" applyBorder="1" applyAlignment="1">
      <alignment horizontal="center" vertical="center" wrapText="1"/>
    </xf>
    <xf numFmtId="0" fontId="0" fillId="2" borderId="6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6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20" borderId="43" xfId="0" applyFill="1" applyBorder="1" applyAlignment="1">
      <alignment horizontal="center" vertical="center"/>
    </xf>
    <xf numFmtId="164" fontId="0" fillId="5" borderId="62" xfId="0" applyNumberFormat="1" applyFill="1" applyBorder="1" applyAlignment="1">
      <alignment horizontal="center" vertical="center"/>
    </xf>
    <xf numFmtId="164" fontId="0" fillId="4" borderId="62" xfId="0" applyNumberFormat="1" applyFill="1" applyBorder="1" applyAlignment="1">
      <alignment horizontal="center" vertical="center"/>
    </xf>
    <xf numFmtId="0" fontId="0" fillId="2" borderId="57" xfId="0" applyFill="1" applyBorder="1"/>
    <xf numFmtId="0" fontId="0" fillId="11" borderId="60" xfId="0" applyFill="1" applyBorder="1"/>
    <xf numFmtId="0" fontId="0" fillId="9" borderId="58" xfId="0" applyFill="1" applyBorder="1"/>
    <xf numFmtId="0" fontId="0" fillId="14" borderId="61" xfId="0" applyFill="1" applyBorder="1"/>
    <xf numFmtId="0" fontId="0" fillId="9" borderId="18" xfId="0" applyFill="1" applyBorder="1"/>
    <xf numFmtId="0" fontId="0" fillId="12" borderId="2" xfId="0" applyFill="1" applyBorder="1"/>
    <xf numFmtId="9" fontId="0" fillId="10" borderId="23" xfId="2" applyFont="1" applyFill="1" applyBorder="1"/>
    <xf numFmtId="9" fontId="0" fillId="10" borderId="2" xfId="2" applyFont="1" applyFill="1" applyBorder="1"/>
    <xf numFmtId="9" fontId="0" fillId="10" borderId="48" xfId="2" applyFont="1" applyFill="1" applyBorder="1"/>
    <xf numFmtId="9" fontId="0" fillId="9" borderId="22" xfId="2" applyFont="1" applyFill="1" applyBorder="1"/>
    <xf numFmtId="9" fontId="0" fillId="9" borderId="8" xfId="2" applyFont="1" applyFill="1" applyBorder="1"/>
    <xf numFmtId="9" fontId="0" fillId="9" borderId="36" xfId="2" applyFont="1" applyFill="1" applyBorder="1"/>
    <xf numFmtId="9" fontId="0" fillId="9" borderId="58" xfId="2" applyFont="1" applyFill="1" applyBorder="1"/>
    <xf numFmtId="9" fontId="0" fillId="10" borderId="20" xfId="2" applyFont="1" applyFill="1" applyBorder="1"/>
    <xf numFmtId="9" fontId="0" fillId="10" borderId="11" xfId="2" applyFont="1" applyFill="1" applyBorder="1"/>
    <xf numFmtId="9" fontId="0" fillId="10" borderId="14" xfId="2" applyFont="1" applyFill="1" applyBorder="1"/>
    <xf numFmtId="9" fontId="0" fillId="9" borderId="10" xfId="2" applyFont="1" applyFill="1" applyBorder="1"/>
    <xf numFmtId="9" fontId="0" fillId="10" borderId="65" xfId="2" applyFont="1" applyFill="1" applyBorder="1"/>
    <xf numFmtId="0" fontId="0" fillId="18" borderId="49" xfId="0" applyFill="1" applyBorder="1" applyAlignment="1">
      <alignment wrapText="1"/>
    </xf>
    <xf numFmtId="0" fontId="0" fillId="2" borderId="32" xfId="0" applyFill="1" applyBorder="1"/>
    <xf numFmtId="0" fontId="0" fillId="2" borderId="21" xfId="0" applyFill="1" applyBorder="1"/>
    <xf numFmtId="0" fontId="1" fillId="9" borderId="5" xfId="0" applyFont="1" applyFill="1" applyBorder="1"/>
    <xf numFmtId="0" fontId="1" fillId="12" borderId="5" xfId="0" applyFont="1" applyFill="1" applyBorder="1"/>
    <xf numFmtId="0" fontId="0" fillId="12" borderId="5" xfId="0" applyFill="1" applyBorder="1"/>
    <xf numFmtId="0" fontId="2" fillId="13" borderId="2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0" fillId="12" borderId="6" xfId="0" applyFill="1" applyBorder="1"/>
    <xf numFmtId="0" fontId="0" fillId="9" borderId="19" xfId="0" applyFill="1" applyBorder="1"/>
    <xf numFmtId="0" fontId="1" fillId="15" borderId="5" xfId="0" applyFont="1" applyFill="1" applyBorder="1"/>
    <xf numFmtId="0" fontId="0" fillId="15" borderId="5" xfId="0" applyFill="1" applyBorder="1"/>
    <xf numFmtId="0" fontId="2" fillId="13" borderId="2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/>
    </xf>
    <xf numFmtId="0" fontId="0" fillId="13" borderId="27" xfId="0" applyFill="1" applyBorder="1"/>
    <xf numFmtId="0" fontId="0" fillId="13" borderId="63" xfId="0" applyFill="1" applyBorder="1"/>
    <xf numFmtId="0" fontId="0" fillId="9" borderId="4" xfId="0" applyFill="1" applyBorder="1"/>
    <xf numFmtId="0" fontId="0" fillId="9" borderId="65" xfId="0" applyFill="1" applyBorder="1" applyAlignment="1">
      <alignment horizontal="center"/>
    </xf>
    <xf numFmtId="0" fontId="0" fillId="9" borderId="57" xfId="0" applyFill="1" applyBorder="1" applyAlignment="1">
      <alignment horizontal="center"/>
    </xf>
    <xf numFmtId="0" fontId="0" fillId="9" borderId="58" xfId="0" applyFill="1" applyBorder="1" applyAlignment="1">
      <alignment horizontal="center"/>
    </xf>
    <xf numFmtId="0" fontId="0" fillId="9" borderId="23" xfId="0" applyFill="1" applyBorder="1"/>
    <xf numFmtId="0" fontId="1" fillId="9" borderId="23" xfId="0" applyFont="1" applyFill="1" applyBorder="1"/>
    <xf numFmtId="0" fontId="0" fillId="15" borderId="6" xfId="0" applyFill="1" applyBorder="1"/>
    <xf numFmtId="0" fontId="0" fillId="12" borderId="19" xfId="0" applyFill="1" applyBorder="1"/>
    <xf numFmtId="0" fontId="2" fillId="10" borderId="28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2" fillId="10" borderId="39" xfId="0" applyFont="1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0" fontId="0" fillId="10" borderId="27" xfId="0" applyFill="1" applyBorder="1"/>
    <xf numFmtId="0" fontId="0" fillId="10" borderId="63" xfId="0" applyFill="1" applyBorder="1"/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31" xfId="0" applyFill="1" applyBorder="1"/>
    <xf numFmtId="0" fontId="0" fillId="2" borderId="37" xfId="0" applyFill="1" applyBorder="1"/>
    <xf numFmtId="0" fontId="0" fillId="15" borderId="21" xfId="0" applyFill="1" applyBorder="1"/>
    <xf numFmtId="0" fontId="0" fillId="2" borderId="60" xfId="0" applyFill="1" applyBorder="1" applyAlignment="1">
      <alignment horizontal="center"/>
    </xf>
    <xf numFmtId="0" fontId="0" fillId="2" borderId="66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19" xfId="0" applyFill="1" applyBorder="1"/>
    <xf numFmtId="0" fontId="2" fillId="13" borderId="13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 wrapText="1"/>
    </xf>
    <xf numFmtId="0" fontId="0" fillId="9" borderId="60" xfId="0" applyFill="1" applyBorder="1" applyAlignment="1">
      <alignment horizontal="center"/>
    </xf>
    <xf numFmtId="0" fontId="0" fillId="9" borderId="66" xfId="0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0" fontId="0" fillId="21" borderId="5" xfId="0" applyFill="1" applyBorder="1"/>
    <xf numFmtId="2" fontId="13" fillId="0" borderId="0" xfId="0" applyNumberFormat="1" applyFont="1" applyFill="1" applyBorder="1" applyAlignment="1">
      <alignment vertical="center" textRotation="255"/>
    </xf>
    <xf numFmtId="0" fontId="0" fillId="15" borderId="19" xfId="0" applyFill="1" applyBorder="1"/>
    <xf numFmtId="0" fontId="0" fillId="12" borderId="21" xfId="0" applyFill="1" applyBorder="1"/>
    <xf numFmtId="0" fontId="1" fillId="12" borderId="23" xfId="0" applyFont="1" applyFill="1" applyBorder="1"/>
    <xf numFmtId="0" fontId="6" fillId="2" borderId="21" xfId="0" applyFont="1" applyFill="1" applyBorder="1"/>
    <xf numFmtId="0" fontId="0" fillId="0" borderId="5" xfId="0" applyBorder="1"/>
    <xf numFmtId="0" fontId="2" fillId="6" borderId="50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12" xfId="0" applyBorder="1"/>
    <xf numFmtId="0" fontId="2" fillId="0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wrapText="1"/>
    </xf>
    <xf numFmtId="164" fontId="0" fillId="2" borderId="1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5" borderId="38" xfId="0" applyNumberForma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5" borderId="53" xfId="0" applyNumberFormat="1" applyFill="1" applyBorder="1" applyAlignment="1">
      <alignment horizontal="center" vertical="center"/>
    </xf>
    <xf numFmtId="164" fontId="0" fillId="4" borderId="28" xfId="0" applyNumberFormat="1" applyFill="1" applyBorder="1" applyAlignment="1">
      <alignment horizontal="center" vertical="center"/>
    </xf>
    <xf numFmtId="164" fontId="0" fillId="4" borderId="29" xfId="0" applyNumberFormat="1" applyFill="1" applyBorder="1" applyAlignment="1">
      <alignment horizontal="center" vertical="center"/>
    </xf>
    <xf numFmtId="164" fontId="0" fillId="4" borderId="30" xfId="0" applyNumberFormat="1" applyFill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3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 wrapText="1"/>
    </xf>
    <xf numFmtId="3" fontId="0" fillId="9" borderId="7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20" borderId="45" xfId="0" applyFill="1" applyBorder="1" applyAlignment="1">
      <alignment horizontal="center" vertical="center"/>
    </xf>
    <xf numFmtId="0" fontId="0" fillId="20" borderId="4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20" borderId="45" xfId="0" applyFill="1" applyBorder="1" applyAlignment="1">
      <alignment horizontal="center"/>
    </xf>
    <xf numFmtId="0" fontId="0" fillId="20" borderId="42" xfId="0" applyFill="1" applyBorder="1" applyAlignment="1">
      <alignment horizontal="center"/>
    </xf>
    <xf numFmtId="0" fontId="0" fillId="20" borderId="4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7" borderId="45" xfId="0" applyFont="1" applyFill="1" applyBorder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 vertical="center" textRotation="255"/>
    </xf>
    <xf numFmtId="0" fontId="2" fillId="11" borderId="16" xfId="0" applyFont="1" applyFill="1" applyBorder="1" applyAlignment="1">
      <alignment horizontal="center" vertical="center" textRotation="255"/>
    </xf>
    <xf numFmtId="0" fontId="2" fillId="11" borderId="17" xfId="0" applyFont="1" applyFill="1" applyBorder="1" applyAlignment="1">
      <alignment horizontal="center" vertical="center" textRotation="255"/>
    </xf>
    <xf numFmtId="0" fontId="0" fillId="10" borderId="2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9" fillId="11" borderId="45" xfId="0" applyFont="1" applyFill="1" applyBorder="1" applyAlignment="1">
      <alignment horizontal="center"/>
    </xf>
    <xf numFmtId="0" fontId="9" fillId="11" borderId="43" xfId="0" applyFont="1" applyFill="1" applyBorder="1" applyAlignment="1">
      <alignment horizontal="center"/>
    </xf>
    <xf numFmtId="0" fontId="9" fillId="11" borderId="42" xfId="0" applyFont="1" applyFill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14" fillId="11" borderId="45" xfId="0" applyFont="1" applyFill="1" applyBorder="1" applyAlignment="1">
      <alignment horizontal="center" vertical="center"/>
    </xf>
    <xf numFmtId="0" fontId="14" fillId="11" borderId="43" xfId="0" applyFont="1" applyFill="1" applyBorder="1" applyAlignment="1">
      <alignment horizontal="center" vertical="center"/>
    </xf>
    <xf numFmtId="0" fontId="14" fillId="11" borderId="42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14" fillId="14" borderId="45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0" fontId="14" fillId="14" borderId="42" xfId="0" applyFont="1" applyFill="1" applyBorder="1" applyAlignment="1">
      <alignment horizontal="center" vertical="center"/>
    </xf>
    <xf numFmtId="0" fontId="9" fillId="14" borderId="45" xfId="0" applyFont="1" applyFill="1" applyBorder="1" applyAlignment="1">
      <alignment horizontal="center"/>
    </xf>
    <xf numFmtId="0" fontId="9" fillId="14" borderId="43" xfId="0" applyFont="1" applyFill="1" applyBorder="1" applyAlignment="1">
      <alignment horizontal="center"/>
    </xf>
    <xf numFmtId="0" fontId="9" fillId="14" borderId="42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 vertical="center" textRotation="255"/>
    </xf>
    <xf numFmtId="0" fontId="2" fillId="14" borderId="16" xfId="0" applyFont="1" applyFill="1" applyBorder="1" applyAlignment="1">
      <alignment horizontal="center" vertical="center" textRotation="255"/>
    </xf>
    <xf numFmtId="0" fontId="2" fillId="14" borderId="17" xfId="0" applyFont="1" applyFill="1" applyBorder="1" applyAlignment="1">
      <alignment horizontal="center" vertical="center" textRotation="255"/>
    </xf>
    <xf numFmtId="0" fontId="0" fillId="9" borderId="47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/>
    </xf>
    <xf numFmtId="0" fontId="0" fillId="14" borderId="43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1" fillId="22" borderId="14" xfId="0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1" fillId="22" borderId="10" xfId="0" applyFont="1" applyFill="1" applyBorder="1" applyAlignment="1">
      <alignment horizontal="center" vertical="center"/>
    </xf>
    <xf numFmtId="0" fontId="0" fillId="11" borderId="45" xfId="0" applyFill="1" applyBorder="1" applyAlignment="1">
      <alignment horizontal="center"/>
    </xf>
    <xf numFmtId="0" fontId="0" fillId="11" borderId="43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9" fontId="0" fillId="0" borderId="11" xfId="2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8" xfId="2" applyFont="1" applyBorder="1" applyAlignment="1">
      <alignment horizontal="center"/>
    </xf>
    <xf numFmtId="0" fontId="0" fillId="4" borderId="19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2" fillId="8" borderId="60" xfId="0" applyFont="1" applyFill="1" applyBorder="1" applyAlignment="1">
      <alignment horizontal="center" vertical="center"/>
    </xf>
    <xf numFmtId="0" fontId="2" fillId="8" borderId="66" xfId="0" applyFont="1" applyFill="1" applyBorder="1" applyAlignment="1">
      <alignment horizontal="center" vertical="center"/>
    </xf>
    <xf numFmtId="0" fontId="2" fillId="8" borderId="6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12" borderId="20" xfId="0" applyFill="1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 wrapText="1"/>
    </xf>
    <xf numFmtId="0" fontId="0" fillId="12" borderId="22" xfId="0" applyFill="1" applyBorder="1" applyAlignment="1">
      <alignment horizontal="center" vertical="center" wrapText="1"/>
    </xf>
    <xf numFmtId="9" fontId="0" fillId="12" borderId="11" xfId="2" applyFont="1" applyFill="1" applyBorder="1" applyAlignment="1">
      <alignment horizontal="center" vertical="center"/>
    </xf>
    <xf numFmtId="9" fontId="0" fillId="12" borderId="5" xfId="2" applyFont="1" applyFill="1" applyBorder="1" applyAlignment="1">
      <alignment horizontal="center" vertical="center"/>
    </xf>
    <xf numFmtId="9" fontId="0" fillId="12" borderId="8" xfId="2" applyFont="1" applyFill="1" applyBorder="1" applyAlignment="1">
      <alignment horizontal="center" vertical="center"/>
    </xf>
    <xf numFmtId="0" fontId="12" fillId="14" borderId="44" xfId="0" applyFont="1" applyFill="1" applyBorder="1" applyAlignment="1">
      <alignment horizontal="center" vertical="center"/>
    </xf>
    <xf numFmtId="0" fontId="12" fillId="14" borderId="38" xfId="0" applyFont="1" applyFill="1" applyBorder="1" applyAlignment="1">
      <alignment horizontal="center" vertical="center"/>
    </xf>
    <xf numFmtId="0" fontId="12" fillId="14" borderId="51" xfId="0" applyFont="1" applyFill="1" applyBorder="1" applyAlignment="1">
      <alignment horizontal="center" vertical="center"/>
    </xf>
    <xf numFmtId="0" fontId="12" fillId="14" borderId="59" xfId="0" applyFont="1" applyFill="1" applyBorder="1" applyAlignment="1">
      <alignment horizontal="center" vertical="center"/>
    </xf>
    <xf numFmtId="0" fontId="12" fillId="14" borderId="53" xfId="0" applyFont="1" applyFill="1" applyBorder="1" applyAlignment="1">
      <alignment horizontal="center" vertical="center"/>
    </xf>
    <xf numFmtId="0" fontId="12" fillId="14" borderId="52" xfId="0" applyFont="1" applyFill="1" applyBorder="1" applyAlignment="1">
      <alignment horizontal="center" vertical="center"/>
    </xf>
    <xf numFmtId="0" fontId="13" fillId="17" borderId="44" xfId="0" applyFont="1" applyFill="1" applyBorder="1" applyAlignment="1">
      <alignment horizontal="center" vertical="center" textRotation="255"/>
    </xf>
    <xf numFmtId="0" fontId="13" fillId="17" borderId="51" xfId="0" applyFont="1" applyFill="1" applyBorder="1" applyAlignment="1">
      <alignment horizontal="center" vertical="center" textRotation="255"/>
    </xf>
    <xf numFmtId="0" fontId="13" fillId="17" borderId="47" xfId="0" applyFont="1" applyFill="1" applyBorder="1" applyAlignment="1">
      <alignment horizontal="center" vertical="center" textRotation="255"/>
    </xf>
    <xf numFmtId="0" fontId="13" fillId="17" borderId="0" xfId="0" applyFont="1" applyFill="1" applyBorder="1" applyAlignment="1">
      <alignment horizontal="center" vertical="center" textRotation="255"/>
    </xf>
    <xf numFmtId="0" fontId="13" fillId="17" borderId="59" xfId="0" applyFont="1" applyFill="1" applyBorder="1" applyAlignment="1">
      <alignment horizontal="center" vertical="center" textRotation="255"/>
    </xf>
    <xf numFmtId="0" fontId="13" fillId="17" borderId="53" xfId="0" applyFont="1" applyFill="1" applyBorder="1" applyAlignment="1">
      <alignment horizontal="center" vertical="center" textRotation="255"/>
    </xf>
    <xf numFmtId="0" fontId="2" fillId="14" borderId="45" xfId="0" applyFont="1" applyFill="1" applyBorder="1" applyAlignment="1">
      <alignment horizontal="center"/>
    </xf>
    <xf numFmtId="0" fontId="2" fillId="14" borderId="42" xfId="0" applyFont="1" applyFill="1" applyBorder="1" applyAlignment="1">
      <alignment horizontal="center"/>
    </xf>
    <xf numFmtId="0" fontId="0" fillId="19" borderId="44" xfId="0" applyFill="1" applyBorder="1" applyAlignment="1">
      <alignment horizontal="center" wrapText="1"/>
    </xf>
    <xf numFmtId="0" fontId="0" fillId="19" borderId="59" xfId="0" applyFill="1" applyBorder="1" applyAlignment="1">
      <alignment horizontal="center" wrapText="1"/>
    </xf>
    <xf numFmtId="0" fontId="0" fillId="8" borderId="0" xfId="0" applyFill="1" applyBorder="1" applyAlignment="1">
      <alignment horizontal="center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3" fillId="17" borderId="38" xfId="0" applyFont="1" applyFill="1" applyBorder="1" applyAlignment="1">
      <alignment horizontal="center" vertical="center" textRotation="255"/>
    </xf>
    <xf numFmtId="0" fontId="9" fillId="14" borderId="44" xfId="0" applyFont="1" applyFill="1" applyBorder="1" applyAlignment="1">
      <alignment horizontal="center"/>
    </xf>
    <xf numFmtId="0" fontId="9" fillId="14" borderId="38" xfId="0" applyFont="1" applyFill="1" applyBorder="1" applyAlignment="1">
      <alignment horizontal="center"/>
    </xf>
    <xf numFmtId="0" fontId="9" fillId="14" borderId="51" xfId="0" applyFont="1" applyFill="1" applyBorder="1" applyAlignment="1">
      <alignment horizontal="center"/>
    </xf>
    <xf numFmtId="0" fontId="12" fillId="11" borderId="44" xfId="0" applyFont="1" applyFill="1" applyBorder="1" applyAlignment="1">
      <alignment horizontal="center" vertical="center"/>
    </xf>
    <xf numFmtId="0" fontId="12" fillId="11" borderId="38" xfId="0" applyFont="1" applyFill="1" applyBorder="1" applyAlignment="1">
      <alignment horizontal="center" vertical="center"/>
    </xf>
    <xf numFmtId="0" fontId="12" fillId="11" borderId="59" xfId="0" applyFont="1" applyFill="1" applyBorder="1" applyAlignment="1">
      <alignment horizontal="center" vertical="center"/>
    </xf>
    <xf numFmtId="0" fontId="12" fillId="11" borderId="53" xfId="0" applyFont="1" applyFill="1" applyBorder="1" applyAlignment="1">
      <alignment horizontal="center" vertical="center"/>
    </xf>
    <xf numFmtId="9" fontId="1" fillId="12" borderId="11" xfId="2" applyFont="1" applyFill="1" applyBorder="1" applyAlignment="1">
      <alignment horizontal="center" vertical="center"/>
    </xf>
    <xf numFmtId="9" fontId="1" fillId="12" borderId="5" xfId="2" applyFont="1" applyFill="1" applyBorder="1" applyAlignment="1">
      <alignment horizontal="center" vertical="center"/>
    </xf>
    <xf numFmtId="9" fontId="1" fillId="12" borderId="8" xfId="2" applyFont="1" applyFill="1" applyBorder="1" applyAlignment="1">
      <alignment horizontal="center" vertical="center"/>
    </xf>
    <xf numFmtId="9" fontId="6" fillId="12" borderId="11" xfId="2" applyFont="1" applyFill="1" applyBorder="1" applyAlignment="1">
      <alignment horizontal="center" vertical="center"/>
    </xf>
    <xf numFmtId="9" fontId="6" fillId="12" borderId="5" xfId="2" applyFont="1" applyFill="1" applyBorder="1" applyAlignment="1">
      <alignment horizontal="center" vertical="center"/>
    </xf>
    <xf numFmtId="9" fontId="6" fillId="12" borderId="8" xfId="2" applyFont="1" applyFill="1" applyBorder="1" applyAlignment="1">
      <alignment horizontal="center" vertical="center"/>
    </xf>
    <xf numFmtId="0" fontId="0" fillId="12" borderId="44" xfId="0" applyFill="1" applyBorder="1" applyAlignment="1">
      <alignment horizontal="center" wrapText="1"/>
    </xf>
    <xf numFmtId="0" fontId="0" fillId="12" borderId="59" xfId="0" applyFill="1" applyBorder="1" applyAlignment="1">
      <alignment horizontal="center" wrapText="1"/>
    </xf>
    <xf numFmtId="0" fontId="0" fillId="21" borderId="28" xfId="0" applyFill="1" applyBorder="1" applyAlignment="1">
      <alignment horizontal="center" vertical="center"/>
    </xf>
    <xf numFmtId="0" fontId="0" fillId="21" borderId="30" xfId="0" applyFill="1" applyBorder="1" applyAlignment="1">
      <alignment horizontal="center" vertical="center"/>
    </xf>
    <xf numFmtId="0" fontId="13" fillId="16" borderId="44" xfId="0" applyFont="1" applyFill="1" applyBorder="1" applyAlignment="1">
      <alignment horizontal="center" vertical="center" textRotation="255"/>
    </xf>
    <xf numFmtId="0" fontId="13" fillId="16" borderId="51" xfId="0" applyFont="1" applyFill="1" applyBorder="1" applyAlignment="1">
      <alignment horizontal="center" vertical="center" textRotation="255"/>
    </xf>
    <xf numFmtId="0" fontId="13" fillId="16" borderId="47" xfId="0" applyFont="1" applyFill="1" applyBorder="1" applyAlignment="1">
      <alignment horizontal="center" vertical="center" textRotation="255"/>
    </xf>
    <xf numFmtId="0" fontId="13" fillId="16" borderId="0" xfId="0" applyFont="1" applyFill="1" applyBorder="1" applyAlignment="1">
      <alignment horizontal="center" vertical="center" textRotation="255"/>
    </xf>
    <xf numFmtId="0" fontId="13" fillId="16" borderId="59" xfId="0" applyFont="1" applyFill="1" applyBorder="1" applyAlignment="1">
      <alignment horizontal="center" vertical="center" textRotation="255"/>
    </xf>
    <xf numFmtId="0" fontId="13" fillId="16" borderId="53" xfId="0" applyFont="1" applyFill="1" applyBorder="1" applyAlignment="1">
      <alignment horizontal="center" vertical="center" textRotation="255"/>
    </xf>
    <xf numFmtId="0" fontId="13" fillId="16" borderId="38" xfId="0" applyFont="1" applyFill="1" applyBorder="1" applyAlignment="1">
      <alignment horizontal="center" vertical="center" textRotation="255"/>
    </xf>
    <xf numFmtId="0" fontId="2" fillId="11" borderId="45" xfId="0" applyFont="1" applyFill="1" applyBorder="1" applyAlignment="1">
      <alignment horizontal="center"/>
    </xf>
    <xf numFmtId="0" fontId="2" fillId="11" borderId="4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2" xfId="0" applyBorder="1"/>
    <xf numFmtId="0" fontId="2" fillId="0" borderId="3" xfId="0" applyFont="1" applyBorder="1"/>
    <xf numFmtId="0" fontId="2" fillId="0" borderId="2" xfId="0" applyFont="1" applyBorder="1"/>
  </cellXfs>
  <cellStyles count="3">
    <cellStyle name="Heading 4" xfId="1" builtinId="1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Removed</a:t>
            </a:r>
            <a:r>
              <a:rPr lang="pt-BR" baseline="0"/>
              <a:t> water from UDDT and VIP sludge as a function of time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UDDT 70% 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'MC - RSLUDGE'!$AC$11:$AC$22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9.8129641958441385E-2</c:v>
                  </c:pt>
                  <c:pt idx="2">
                    <c:v>0.17228399677181561</c:v>
                  </c:pt>
                  <c:pt idx="3">
                    <c:v>0.22774118828294457</c:v>
                  </c:pt>
                  <c:pt idx="4">
                    <c:v>0.26851399804667864</c:v>
                  </c:pt>
                  <c:pt idx="5">
                    <c:v>0.29076354945409477</c:v>
                  </c:pt>
                  <c:pt idx="6">
                    <c:v>0.2812676320819667</c:v>
                  </c:pt>
                  <c:pt idx="7">
                    <c:v>0.25121637432860439</c:v>
                  </c:pt>
                  <c:pt idx="8">
                    <c:v>0.23589319799895969</c:v>
                  </c:pt>
                  <c:pt idx="9">
                    <c:v>0.23402625221996512</c:v>
                  </c:pt>
                  <c:pt idx="10">
                    <c:v>0.23402625221996512</c:v>
                  </c:pt>
                  <c:pt idx="11">
                    <c:v>0.23309277934739708</c:v>
                  </c:pt>
                </c:numCache>
              </c:numRef>
            </c:plus>
            <c:minus>
              <c:numRef>
                <c:f>'MC - RSLUDGE'!$AC$11:$AC$22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9.8129641958441385E-2</c:v>
                  </c:pt>
                  <c:pt idx="2">
                    <c:v>0.17228399677181561</c:v>
                  </c:pt>
                  <c:pt idx="3">
                    <c:v>0.22774118828294457</c:v>
                  </c:pt>
                  <c:pt idx="4">
                    <c:v>0.26851399804667864</c:v>
                  </c:pt>
                  <c:pt idx="5">
                    <c:v>0.29076354945409477</c:v>
                  </c:pt>
                  <c:pt idx="6">
                    <c:v>0.2812676320819667</c:v>
                  </c:pt>
                  <c:pt idx="7">
                    <c:v>0.25121637432860439</c:v>
                  </c:pt>
                  <c:pt idx="8">
                    <c:v>0.23589319799895969</c:v>
                  </c:pt>
                  <c:pt idx="9">
                    <c:v>0.23402625221996512</c:v>
                  </c:pt>
                  <c:pt idx="10">
                    <c:v>0.23402625221996512</c:v>
                  </c:pt>
                  <c:pt idx="11">
                    <c:v>0.23309277934739708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'MC - RSLUDGE'!$H$66:$H$85</c:f>
              <c:numCache>
                <c:formatCode>General</c:formatCode>
                <c:ptCount val="20"/>
              </c:numCache>
            </c:numRef>
          </c:xVal>
          <c:yVal>
            <c:numRef>
              <c:f>'MC - RSLUDGE'!$O$11:$O$30</c:f>
              <c:numCache>
                <c:formatCode>General</c:formatCode>
                <c:ptCount val="20"/>
                <c:pt idx="0">
                  <c:v>0</c:v>
                </c:pt>
                <c:pt idx="1">
                  <c:v>0.29566666666666658</c:v>
                </c:pt>
                <c:pt idx="2">
                  <c:v>0.51766666666666661</c:v>
                </c:pt>
                <c:pt idx="3">
                  <c:v>0.67733333333333334</c:v>
                </c:pt>
                <c:pt idx="4">
                  <c:v>0.79066666666666663</c:v>
                </c:pt>
                <c:pt idx="5">
                  <c:v>0.874</c:v>
                </c:pt>
                <c:pt idx="6">
                  <c:v>0.93800000000000006</c:v>
                </c:pt>
                <c:pt idx="7">
                  <c:v>0.98833333333333329</c:v>
                </c:pt>
                <c:pt idx="8">
                  <c:v>1.0276666666666665</c:v>
                </c:pt>
                <c:pt idx="9">
                  <c:v>1.0566666666666666</c:v>
                </c:pt>
                <c:pt idx="10">
                  <c:v>1.0786666666666667</c:v>
                </c:pt>
                <c:pt idx="11">
                  <c:v>1.0936666666666666</c:v>
                </c:pt>
                <c:pt idx="12">
                  <c:v>1.105</c:v>
                </c:pt>
                <c:pt idx="13">
                  <c:v>1.1130000000000002</c:v>
                </c:pt>
                <c:pt idx="14">
                  <c:v>1.1183333333333334</c:v>
                </c:pt>
                <c:pt idx="15">
                  <c:v>1.123</c:v>
                </c:pt>
                <c:pt idx="16">
                  <c:v>1.1260000000000001</c:v>
                </c:pt>
                <c:pt idx="17">
                  <c:v>1.127</c:v>
                </c:pt>
                <c:pt idx="18">
                  <c:v>1.1280000000000001</c:v>
                </c:pt>
                <c:pt idx="19">
                  <c:v>1.1286666666666667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0-4EE6-B572-7051269225AC}"/>
            </c:ext>
          </c:extLst>
        </c:ser>
        <c:ser>
          <c:idx val="1"/>
          <c:order val="1"/>
          <c:tx>
            <c:v>VIP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'MC - RSLUDGE'!$Q$11:$Q$30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2.6132142830026198E-2</c:v>
                  </c:pt>
                  <c:pt idx="2">
                    <c:v>1.9703355608175564E-2</c:v>
                  </c:pt>
                  <c:pt idx="3">
                    <c:v>1.613140484341713E-2</c:v>
                  </c:pt>
                  <c:pt idx="4">
                    <c:v>1.5195028426721996E-2</c:v>
                  </c:pt>
                  <c:pt idx="5">
                    <c:v>1.3140268896284652E-2</c:v>
                  </c:pt>
                  <c:pt idx="6">
                    <c:v>1.1518101695447307E-2</c:v>
                  </c:pt>
                  <c:pt idx="7">
                    <c:v>9.177266598624105E-3</c:v>
                  </c:pt>
                  <c:pt idx="8">
                    <c:v>6.1824123303305147E-3</c:v>
                  </c:pt>
                  <c:pt idx="9">
                    <c:v>4.4969125210774768E-3</c:v>
                  </c:pt>
                  <c:pt idx="10">
                    <c:v>4.9888765156986918E-3</c:v>
                  </c:pt>
                  <c:pt idx="11">
                    <c:v>8.3399973354646145E-3</c:v>
                  </c:pt>
                  <c:pt idx="12">
                    <c:v>1.1224972160321893E-2</c:v>
                  </c:pt>
                  <c:pt idx="13">
                    <c:v>1.3490737563232104E-2</c:v>
                  </c:pt>
                  <c:pt idx="14">
                    <c:v>1.5923427883328307E-2</c:v>
                  </c:pt>
                  <c:pt idx="15">
                    <c:v>1.7568911937472641E-2</c:v>
                  </c:pt>
                  <c:pt idx="16">
                    <c:v>1.8832595855767388E-2</c:v>
                  </c:pt>
                  <c:pt idx="17">
                    <c:v>2.0116328359486204E-2</c:v>
                  </c:pt>
                  <c:pt idx="18">
                    <c:v>2.1416504538945353E-2</c:v>
                  </c:pt>
                  <c:pt idx="19">
                    <c:v>2.2291004663067319E-2</c:v>
                  </c:pt>
                </c:numCache>
              </c:numRef>
            </c:plus>
            <c:minus>
              <c:numRef>
                <c:f>'MC - RSLUDGE'!$Q$11:$Q$30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2.6132142830026198E-2</c:v>
                  </c:pt>
                  <c:pt idx="2">
                    <c:v>1.9703355608175564E-2</c:v>
                  </c:pt>
                  <c:pt idx="3">
                    <c:v>1.613140484341713E-2</c:v>
                  </c:pt>
                  <c:pt idx="4">
                    <c:v>1.5195028426721996E-2</c:v>
                  </c:pt>
                  <c:pt idx="5">
                    <c:v>1.3140268896284652E-2</c:v>
                  </c:pt>
                  <c:pt idx="6">
                    <c:v>1.1518101695447307E-2</c:v>
                  </c:pt>
                  <c:pt idx="7">
                    <c:v>9.177266598624105E-3</c:v>
                  </c:pt>
                  <c:pt idx="8">
                    <c:v>6.1824123303305147E-3</c:v>
                  </c:pt>
                  <c:pt idx="9">
                    <c:v>4.4969125210774768E-3</c:v>
                  </c:pt>
                  <c:pt idx="10">
                    <c:v>4.9888765156986918E-3</c:v>
                  </c:pt>
                  <c:pt idx="11">
                    <c:v>8.3399973354646145E-3</c:v>
                  </c:pt>
                  <c:pt idx="12">
                    <c:v>1.1224972160321893E-2</c:v>
                  </c:pt>
                  <c:pt idx="13">
                    <c:v>1.3490737563232104E-2</c:v>
                  </c:pt>
                  <c:pt idx="14">
                    <c:v>1.5923427883328307E-2</c:v>
                  </c:pt>
                  <c:pt idx="15">
                    <c:v>1.7568911937472641E-2</c:v>
                  </c:pt>
                  <c:pt idx="16">
                    <c:v>1.8832595855767388E-2</c:v>
                  </c:pt>
                  <c:pt idx="17">
                    <c:v>2.0116328359486204E-2</c:v>
                  </c:pt>
                  <c:pt idx="18">
                    <c:v>2.1416504538945353E-2</c:v>
                  </c:pt>
                  <c:pt idx="19">
                    <c:v>2.2291004663067319E-2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'MC - RSLUDGE'!$H$66:$H$77</c:f>
              <c:numCache>
                <c:formatCode>General</c:formatCode>
                <c:ptCount val="12"/>
              </c:numCache>
            </c:numRef>
          </c:xVal>
          <c:yVal>
            <c:numRef>
              <c:f>'MC - RSLUDGE'!$AA$11:$AA$22</c:f>
              <c:numCache>
                <c:formatCode>General</c:formatCode>
                <c:ptCount val="12"/>
                <c:pt idx="0">
                  <c:v>0</c:v>
                </c:pt>
                <c:pt idx="1">
                  <c:v>0.34121342134213412</c:v>
                </c:pt>
                <c:pt idx="2">
                  <c:v>0.60468536853685362</c:v>
                </c:pt>
                <c:pt idx="3">
                  <c:v>0.83296369636963696</c:v>
                </c:pt>
                <c:pt idx="4">
                  <c:v>1.0231881188118812</c:v>
                </c:pt>
                <c:pt idx="5">
                  <c:v>1.1696919691969196</c:v>
                </c:pt>
                <c:pt idx="6">
                  <c:v>1.2528151815181519</c:v>
                </c:pt>
                <c:pt idx="7">
                  <c:v>1.2793641364136412</c:v>
                </c:pt>
                <c:pt idx="8">
                  <c:v>1.2906985698569857</c:v>
                </c:pt>
                <c:pt idx="9">
                  <c:v>1.2920187018701872</c:v>
                </c:pt>
                <c:pt idx="10">
                  <c:v>1.2920187018701872</c:v>
                </c:pt>
                <c:pt idx="11">
                  <c:v>1.2926787678767877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0-4EE6-B572-70512692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41272"/>
        <c:axId val="553241600"/>
      </c:scatterChart>
      <c:valAx>
        <c:axId val="553241272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1600"/>
        <c:crosses val="autoZero"/>
        <c:crossBetween val="midCat"/>
      </c:valAx>
      <c:valAx>
        <c:axId val="553241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Perdentage</a:t>
                </a:r>
                <a:r>
                  <a:rPr lang="pt-BR" baseline="0"/>
                  <a:t> of removed water (%)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Comparaison of</a:t>
            </a:r>
            <a:r>
              <a:rPr lang="pt-BR" baseline="0"/>
              <a:t> sludges' water activity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CENTRI'!$C$26</c:f>
              <c:strCache>
                <c:ptCount val="1"/>
                <c:pt idx="0">
                  <c:v>6 000 RPM - 20 MIN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CENTRI'!$C$30:$C$31</c:f>
                <c:numCache>
                  <c:formatCode>General</c:formatCode>
                  <c:ptCount val="2"/>
                  <c:pt idx="0">
                    <c:v>9.7979589711325401E-4</c:v>
                  </c:pt>
                  <c:pt idx="1">
                    <c:v>1.2961481396816007E-3</c:v>
                  </c:pt>
                </c:numCache>
              </c:numRef>
            </c:plus>
            <c:minus>
              <c:numRef>
                <c:f>'RESULTS CENTRI'!$C$30:$C$31</c:f>
                <c:numCache>
                  <c:formatCode>General</c:formatCode>
                  <c:ptCount val="2"/>
                  <c:pt idx="0">
                    <c:v>9.7979589711325401E-4</c:v>
                  </c:pt>
                  <c:pt idx="1">
                    <c:v>1.2961481396816007E-3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CENTRI'!$B$27:$B$28</c:f>
              <c:strCache>
                <c:ptCount val="2"/>
                <c:pt idx="0">
                  <c:v>UDDT</c:v>
                </c:pt>
                <c:pt idx="1">
                  <c:v>VIP</c:v>
                </c:pt>
              </c:strCache>
            </c:strRef>
          </c:cat>
          <c:val>
            <c:numRef>
              <c:f>'RESULTS CENTRI'!$C$27:$C$28</c:f>
              <c:numCache>
                <c:formatCode>General</c:formatCode>
                <c:ptCount val="2"/>
                <c:pt idx="0">
                  <c:v>0.96989999999999998</c:v>
                </c:pt>
                <c:pt idx="1">
                  <c:v>1.0041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4CF-9D9F-D53A4F78BF41}"/>
            </c:ext>
          </c:extLst>
        </c:ser>
        <c:ser>
          <c:idx val="1"/>
          <c:order val="1"/>
          <c:tx>
            <c:strRef>
              <c:f>'RESULTS CENTRI'!$D$26</c:f>
              <c:strCache>
                <c:ptCount val="1"/>
                <c:pt idx="0">
                  <c:v>8 000 RPM - 20 MN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CENTRI'!$D$30:$D$31</c:f>
                <c:numCache>
                  <c:formatCode>General</c:formatCode>
                  <c:ptCount val="2"/>
                  <c:pt idx="0">
                    <c:v>3.1496031496047205E-3</c:v>
                  </c:pt>
                  <c:pt idx="1">
                    <c:v>3.3109246778237349E-3</c:v>
                  </c:pt>
                </c:numCache>
              </c:numRef>
            </c:plus>
            <c:minus>
              <c:numRef>
                <c:f>'RESULTS CENTRI'!$D$30:$D$31</c:f>
                <c:numCache>
                  <c:formatCode>General</c:formatCode>
                  <c:ptCount val="2"/>
                  <c:pt idx="0">
                    <c:v>3.1496031496047205E-3</c:v>
                  </c:pt>
                  <c:pt idx="1">
                    <c:v>3.3109246778237349E-3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CENTRI'!$B$27:$B$28</c:f>
              <c:strCache>
                <c:ptCount val="2"/>
                <c:pt idx="0">
                  <c:v>UDDT</c:v>
                </c:pt>
                <c:pt idx="1">
                  <c:v>VIP</c:v>
                </c:pt>
              </c:strCache>
            </c:strRef>
          </c:cat>
          <c:val>
            <c:numRef>
              <c:f>'RESULTS CENTRI'!$D$27:$D$28</c:f>
              <c:numCache>
                <c:formatCode>General</c:formatCode>
                <c:ptCount val="2"/>
                <c:pt idx="0">
                  <c:v>0.99330000000000007</c:v>
                </c:pt>
                <c:pt idx="1">
                  <c:v>1.0267666666666664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4CF-9D9F-D53A4F78BF41}"/>
            </c:ext>
          </c:extLst>
        </c:ser>
        <c:ser>
          <c:idx val="2"/>
          <c:order val="2"/>
          <c:tx>
            <c:strRef>
              <c:f>'RESULTS CENTRI'!$E$26</c:f>
              <c:strCache>
                <c:ptCount val="1"/>
                <c:pt idx="0">
                  <c:v>10 000 RPM - 20 MIN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CENTRI'!$E$30:$E$31</c:f>
                <c:numCache>
                  <c:formatCode>General</c:formatCode>
                  <c:ptCount val="2"/>
                  <c:pt idx="0">
                    <c:v>1.275408431313949E-3</c:v>
                  </c:pt>
                  <c:pt idx="1">
                    <c:v>1.6006942938057334E-3</c:v>
                  </c:pt>
                </c:numCache>
              </c:numRef>
            </c:plus>
            <c:minus>
              <c:numRef>
                <c:f>'RESULTS CENTRI'!$E$30:$E$31</c:f>
                <c:numCache>
                  <c:formatCode>General</c:formatCode>
                  <c:ptCount val="2"/>
                  <c:pt idx="0">
                    <c:v>1.275408431313949E-3</c:v>
                  </c:pt>
                  <c:pt idx="1">
                    <c:v>1.6006942938057334E-3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CENTRI'!$B$27:$B$28</c:f>
              <c:strCache>
                <c:ptCount val="2"/>
                <c:pt idx="0">
                  <c:v>UDDT</c:v>
                </c:pt>
                <c:pt idx="1">
                  <c:v>VIP</c:v>
                </c:pt>
              </c:strCache>
            </c:strRef>
          </c:cat>
          <c:val>
            <c:numRef>
              <c:f>'RESULTS CENTRI'!$E$27:$E$28</c:f>
              <c:numCache>
                <c:formatCode>General</c:formatCode>
                <c:ptCount val="2"/>
                <c:pt idx="0">
                  <c:v>0.9869</c:v>
                </c:pt>
                <c:pt idx="1">
                  <c:v>1.0276333333333334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4CF-9D9F-D53A4F78BF41}"/>
            </c:ext>
          </c:extLst>
        </c:ser>
        <c:ser>
          <c:idx val="3"/>
          <c:order val="3"/>
          <c:tx>
            <c:strRef>
              <c:f>'RESULTS CENTRI'!$F$26</c:f>
              <c:strCache>
                <c:ptCount val="1"/>
                <c:pt idx="0">
                  <c:v>RAW SLUdGE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CENTRI'!$F$30:$F$31</c:f>
                <c:numCache>
                  <c:formatCode>General</c:formatCode>
                  <c:ptCount val="2"/>
                  <c:pt idx="0">
                    <c:v>4.3293571501243919E-3</c:v>
                  </c:pt>
                  <c:pt idx="1">
                    <c:v>1.1547005383791244E-4</c:v>
                  </c:pt>
                </c:numCache>
              </c:numRef>
            </c:plus>
            <c:minus>
              <c:numRef>
                <c:f>'RESULTS CENTRI'!$F$30:$F$31</c:f>
                <c:numCache>
                  <c:formatCode>General</c:formatCode>
                  <c:ptCount val="2"/>
                  <c:pt idx="0">
                    <c:v>4.3293571501243919E-3</c:v>
                  </c:pt>
                  <c:pt idx="1">
                    <c:v>1.1547005383791244E-4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CENTRI'!$B$27:$B$28</c:f>
              <c:strCache>
                <c:ptCount val="2"/>
                <c:pt idx="0">
                  <c:v>UDDT</c:v>
                </c:pt>
                <c:pt idx="1">
                  <c:v>VIP</c:v>
                </c:pt>
              </c:strCache>
            </c:strRef>
          </c:cat>
          <c:val>
            <c:numRef>
              <c:f>'RESULTS CENTRI'!$F$27:$F$28</c:f>
              <c:numCache>
                <c:formatCode>General</c:formatCode>
                <c:ptCount val="2"/>
                <c:pt idx="0">
                  <c:v>0.97653333333333325</c:v>
                </c:pt>
                <c:pt idx="1">
                  <c:v>1.0012333333333334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4CF-9D9F-D53A4F78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82176"/>
        <c:axId val="527883160"/>
      </c:barChart>
      <c:catAx>
        <c:axId val="5278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3160"/>
        <c:crosses val="autoZero"/>
        <c:auto val="1"/>
        <c:lblAlgn val="ctr"/>
        <c:lblOffset val="100"/>
        <c:noMultiLvlLbl val="0"/>
      </c:catAx>
      <c:valAx>
        <c:axId val="527883160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Water</a:t>
                </a:r>
                <a:r>
                  <a:rPr lang="pt-BR" baseline="0"/>
                  <a:t> Activity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Comparison of sludge's</a:t>
            </a:r>
            <a:r>
              <a:rPr lang="pt-BR" baseline="0"/>
              <a:t> </a:t>
            </a:r>
            <a:r>
              <a:rPr lang="pt-BR"/>
              <a:t>moisture</a:t>
            </a:r>
            <a:r>
              <a:rPr lang="pt-BR" baseline="0"/>
              <a:t> content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'Moisture content&amp;Water activity'!$AJ$5</c:f>
              <c:strCache>
                <c:ptCount val="1"/>
                <c:pt idx="0">
                  <c:v>6 000 RPM - 20 MIN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'Moisture content&amp;Water activity'!$AJ$9:$AJ$10</c:f>
                <c:numCache>
                  <c:formatCode>General</c:formatCode>
                  <c:ptCount val="2"/>
                  <c:pt idx="0">
                    <c:v>3.9123533305128492E-3</c:v>
                  </c:pt>
                  <c:pt idx="1">
                    <c:v>8.9487728006141694E-3</c:v>
                  </c:pt>
                </c:numCache>
              </c:numRef>
            </c:plus>
            <c:minus>
              <c:numRef>
                <c:f>'Moisture content&amp;Water activity'!$AJ$9:$AJ$10</c:f>
                <c:numCache>
                  <c:formatCode>General</c:formatCode>
                  <c:ptCount val="2"/>
                  <c:pt idx="0">
                    <c:v>3.9123533305128492E-3</c:v>
                  </c:pt>
                  <c:pt idx="1">
                    <c:v>8.9487728006141694E-3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'Moisture content&amp;Water activity'!$AI$6:$AI$7</c:f>
              <c:strCache>
                <c:ptCount val="2"/>
                <c:pt idx="0">
                  <c:v>UDDT</c:v>
                </c:pt>
                <c:pt idx="1">
                  <c:v>VIP </c:v>
                </c:pt>
              </c:strCache>
            </c:strRef>
          </c:cat>
          <c:val>
            <c:numRef>
              <c:f>'Moisture content&amp;Water activity'!$AJ$6:$AJ$7</c:f>
              <c:numCache>
                <c:formatCode>0%</c:formatCode>
                <c:ptCount val="2"/>
                <c:pt idx="0">
                  <c:v>0.70715033041301256</c:v>
                </c:pt>
                <c:pt idx="1">
                  <c:v>0.8567874108390322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D-48CD-82EA-A8B5A085BF0B}"/>
            </c:ext>
          </c:extLst>
        </c:ser>
        <c:ser>
          <c:idx val="1"/>
          <c:order val="1"/>
          <c:tx>
            <c:strRef>
              <c:f>'Moisture content&amp;Water activity'!$AK$5</c:f>
              <c:strCache>
                <c:ptCount val="1"/>
                <c:pt idx="0">
                  <c:v>8 000 RPM - 20 MIN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'Moisture content&amp;Water activity'!$AK$9:$AK$10</c:f>
                <c:numCache>
                  <c:formatCode>General</c:formatCode>
                  <c:ptCount val="2"/>
                  <c:pt idx="0">
                    <c:v>1.6848455755784374E-2</c:v>
                  </c:pt>
                  <c:pt idx="1">
                    <c:v>9.9869623369858718E-3</c:v>
                  </c:pt>
                </c:numCache>
              </c:numRef>
            </c:plus>
            <c:minus>
              <c:numRef>
                <c:f>'Moisture content&amp;Water activity'!$AK$9:$AK$10</c:f>
                <c:numCache>
                  <c:formatCode>General</c:formatCode>
                  <c:ptCount val="2"/>
                  <c:pt idx="0">
                    <c:v>1.6848455755784374E-2</c:v>
                  </c:pt>
                  <c:pt idx="1">
                    <c:v>9.9869623369858718E-3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'Moisture content&amp;Water activity'!$AI$6:$AI$7</c:f>
              <c:strCache>
                <c:ptCount val="2"/>
                <c:pt idx="0">
                  <c:v>UDDT</c:v>
                </c:pt>
                <c:pt idx="1">
                  <c:v>VIP </c:v>
                </c:pt>
              </c:strCache>
            </c:strRef>
          </c:cat>
          <c:val>
            <c:numRef>
              <c:f>'Moisture content&amp;Water activity'!$AK$6:$AK$7</c:f>
              <c:numCache>
                <c:formatCode>0%</c:formatCode>
                <c:ptCount val="2"/>
                <c:pt idx="0">
                  <c:v>0.64036406715292871</c:v>
                </c:pt>
                <c:pt idx="1">
                  <c:v>0.78518590132902832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D-48CD-82EA-A8B5A085BF0B}"/>
            </c:ext>
          </c:extLst>
        </c:ser>
        <c:ser>
          <c:idx val="2"/>
          <c:order val="2"/>
          <c:tx>
            <c:strRef>
              <c:f>'Moisture content&amp;Water activity'!$AL$5</c:f>
              <c:strCache>
                <c:ptCount val="1"/>
                <c:pt idx="0">
                  <c:v>10 000 RPM - 20 MIN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'Moisture content&amp;Water activity'!$AL$9:$AL$10</c:f>
                <c:numCache>
                  <c:formatCode>General</c:formatCode>
                  <c:ptCount val="2"/>
                  <c:pt idx="0">
                    <c:v>1.6018013015055472E-2</c:v>
                  </c:pt>
                  <c:pt idx="1">
                    <c:v>9.7017327013889845E-3</c:v>
                  </c:pt>
                </c:numCache>
              </c:numRef>
            </c:plus>
            <c:minus>
              <c:numRef>
                <c:f>'Moisture content&amp;Water activity'!$AL$9:$AL$10</c:f>
                <c:numCache>
                  <c:formatCode>General</c:formatCode>
                  <c:ptCount val="2"/>
                  <c:pt idx="0">
                    <c:v>1.6018013015055472E-2</c:v>
                  </c:pt>
                  <c:pt idx="1">
                    <c:v>9.7017327013889845E-3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'Moisture content&amp;Water activity'!$AI$6:$AI$7</c:f>
              <c:strCache>
                <c:ptCount val="2"/>
                <c:pt idx="0">
                  <c:v>UDDT</c:v>
                </c:pt>
                <c:pt idx="1">
                  <c:v>VIP </c:v>
                </c:pt>
              </c:strCache>
            </c:strRef>
          </c:cat>
          <c:val>
            <c:numRef>
              <c:f>'Moisture content&amp;Water activity'!$AL$6:$AL$7</c:f>
              <c:numCache>
                <c:formatCode>0%</c:formatCode>
                <c:ptCount val="2"/>
                <c:pt idx="0">
                  <c:v>0.68243286421011662</c:v>
                </c:pt>
                <c:pt idx="1">
                  <c:v>0.7287970648708928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D-48CD-82EA-A8B5A085BF0B}"/>
            </c:ext>
          </c:extLst>
        </c:ser>
        <c:ser>
          <c:idx val="3"/>
          <c:order val="3"/>
          <c:tx>
            <c:strRef>
              <c:f>'Moisture content&amp;Water activity'!$AN$5</c:f>
              <c:strCache>
                <c:ptCount val="1"/>
                <c:pt idx="0">
                  <c:v>Raw sludge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'Moisture content&amp;Water activity'!$AN$9:$AN$10</c:f>
                <c:numCache>
                  <c:formatCode>General</c:formatCode>
                  <c:ptCount val="2"/>
                  <c:pt idx="0">
                    <c:v>5.0282477348988497E-3</c:v>
                  </c:pt>
                  <c:pt idx="1">
                    <c:v>1.9129506441892482E-3</c:v>
                  </c:pt>
                </c:numCache>
              </c:numRef>
            </c:plus>
            <c:minus>
              <c:numRef>
                <c:f>'Moisture content&amp;Water activity'!$AN$9:$AN$10</c:f>
                <c:numCache>
                  <c:formatCode>General</c:formatCode>
                  <c:ptCount val="2"/>
                  <c:pt idx="0">
                    <c:v>5.0282477348988497E-3</c:v>
                  </c:pt>
                  <c:pt idx="1">
                    <c:v>1.9129506441892482E-3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'Moisture content&amp;Water activity'!$AI$6:$AI$7</c:f>
              <c:strCache>
                <c:ptCount val="2"/>
                <c:pt idx="0">
                  <c:v>UDDT</c:v>
                </c:pt>
                <c:pt idx="1">
                  <c:v>VIP </c:v>
                </c:pt>
              </c:strCache>
            </c:strRef>
          </c:cat>
          <c:val>
            <c:numRef>
              <c:f>'Moisture content&amp;Water activity'!$AN$6:$AN$7</c:f>
              <c:numCache>
                <c:formatCode>0%</c:formatCode>
                <c:ptCount val="2"/>
                <c:pt idx="0">
                  <c:v>0.73870970987589113</c:v>
                </c:pt>
                <c:pt idx="1">
                  <c:v>0.96367410550578869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D-48CD-82EA-A8B5A085B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76944"/>
        <c:axId val="76976288"/>
      </c:barChart>
      <c:catAx>
        <c:axId val="769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6288"/>
        <c:crosses val="autoZero"/>
        <c:auto val="1"/>
        <c:lblAlgn val="ctr"/>
        <c:lblOffset val="100"/>
        <c:noMultiLvlLbl val="0"/>
      </c:catAx>
      <c:valAx>
        <c:axId val="769762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Moisture</a:t>
                </a:r>
                <a:r>
                  <a:rPr lang="pt-BR" baseline="0"/>
                  <a:t> content (%)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3.1249896940308927E-2"/>
          <c:w val="0.85071916010498683"/>
          <c:h val="0.86677139363452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'Moisture content&amp;Water activity'!$AN$19</c:f>
              <c:strCache>
                <c:ptCount val="1"/>
                <c:pt idx="0">
                  <c:v>Raw sludge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('Moisture content&amp;Water activity'!$AN$9,'Moisture content&amp;Water activity'!$AN$23)</c:f>
                <c:numCache>
                  <c:formatCode>General</c:formatCode>
                  <c:ptCount val="2"/>
                  <c:pt idx="0">
                    <c:v>5.0282477348988497E-3</c:v>
                  </c:pt>
                  <c:pt idx="1">
                    <c:v>4.3293571501243919E-3</c:v>
                  </c:pt>
                </c:numCache>
              </c:numRef>
            </c:plus>
            <c:minus>
              <c:numRef>
                <c:f>('Moisture content&amp;Water activity'!$AN$9,'Moisture content&amp;Water activity'!$AN$23)</c:f>
                <c:numCache>
                  <c:formatCode>General</c:formatCode>
                  <c:ptCount val="2"/>
                  <c:pt idx="0">
                    <c:v>5.0282477348988497E-3</c:v>
                  </c:pt>
                  <c:pt idx="1">
                    <c:v>4.3293571501243919E-3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('Moisture content&amp;Water activity'!$AH$6,'Moisture content&amp;Water activity'!$AH$20)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('Moisture content&amp;Water activity'!$AN$6,'Moisture content&amp;Water activity'!$AN$20)</c:f>
              <c:numCache>
                <c:formatCode>General</c:formatCode>
                <c:ptCount val="2"/>
                <c:pt idx="0" formatCode="0%">
                  <c:v>0.73870970987589113</c:v>
                </c:pt>
                <c:pt idx="1">
                  <c:v>0.97653333333333325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1-4BFC-86FB-507D8E8A8B9C}"/>
            </c:ext>
          </c:extLst>
        </c:ser>
        <c:ser>
          <c:idx val="4"/>
          <c:order val="1"/>
          <c:tx>
            <c:strRef>
              <c:f>'Moisture content&amp;Water activity'!$AJ$5</c:f>
              <c:strCache>
                <c:ptCount val="1"/>
                <c:pt idx="0">
                  <c:v>6 000 RPM - 20 MIN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('Moisture content&amp;Water activity'!$AJ$9,'Moisture content&amp;Water activity'!$AJ$23)</c:f>
                <c:numCache>
                  <c:formatCode>General</c:formatCode>
                  <c:ptCount val="2"/>
                  <c:pt idx="0">
                    <c:v>3.9123533305128492E-3</c:v>
                  </c:pt>
                  <c:pt idx="1">
                    <c:v>9.7979589711325401E-4</c:v>
                  </c:pt>
                </c:numCache>
              </c:numRef>
            </c:plus>
            <c:minus>
              <c:numRef>
                <c:f>('Moisture content&amp;Water activity'!$AJ$9,'Moisture content&amp;Water activity'!$AJ$23)</c:f>
                <c:numCache>
                  <c:formatCode>General</c:formatCode>
                  <c:ptCount val="2"/>
                  <c:pt idx="0">
                    <c:v>3.9123533305128492E-3</c:v>
                  </c:pt>
                  <c:pt idx="1">
                    <c:v>9.7979589711325401E-4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('Moisture content&amp;Water activity'!$AH$6,'Moisture content&amp;Water activity'!$AH$20)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('Moisture content&amp;Water activity'!$AJ$6,'Moisture content&amp;Water activity'!$AJ$20)</c:f>
              <c:numCache>
                <c:formatCode>General</c:formatCode>
                <c:ptCount val="2"/>
                <c:pt idx="0" formatCode="0%">
                  <c:v>0.70715033041301256</c:v>
                </c:pt>
                <c:pt idx="1">
                  <c:v>0.96989999999999998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31-4BFC-86FB-507D8E8A8B9C}"/>
            </c:ext>
          </c:extLst>
        </c:ser>
        <c:ser>
          <c:idx val="3"/>
          <c:order val="2"/>
          <c:tx>
            <c:strRef>
              <c:f>'Moisture content&amp;Water activity'!$AK$5</c:f>
              <c:strCache>
                <c:ptCount val="1"/>
                <c:pt idx="0">
                  <c:v>8 000 RPM - 20 MIN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('Moisture content&amp;Water activity'!$AK$9,'Moisture content&amp;Water activity'!$AK$23)</c:f>
                <c:numCache>
                  <c:formatCode>General</c:formatCode>
                  <c:ptCount val="2"/>
                  <c:pt idx="0">
                    <c:v>1.6848455755784374E-2</c:v>
                  </c:pt>
                  <c:pt idx="1">
                    <c:v>3.1496031496047205E-3</c:v>
                  </c:pt>
                </c:numCache>
              </c:numRef>
            </c:plus>
            <c:minus>
              <c:numRef>
                <c:f>('Moisture content&amp;Water activity'!$AK$9,'Moisture content&amp;Water activity'!$AK$23)</c:f>
                <c:numCache>
                  <c:formatCode>General</c:formatCode>
                  <c:ptCount val="2"/>
                  <c:pt idx="0">
                    <c:v>1.6848455755784374E-2</c:v>
                  </c:pt>
                  <c:pt idx="1">
                    <c:v>3.1496031496047205E-3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('Moisture content&amp;Water activity'!$AH$6,'Moisture content&amp;Water activity'!$AH$20)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('Moisture content&amp;Water activity'!$AK$6,'Moisture content&amp;Water activity'!$AK$20)</c:f>
              <c:numCache>
                <c:formatCode>General</c:formatCode>
                <c:ptCount val="2"/>
                <c:pt idx="0" formatCode="0%">
                  <c:v>0.64036406715292871</c:v>
                </c:pt>
                <c:pt idx="1">
                  <c:v>0.99330000000000007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31-4BFC-86FB-507D8E8A8B9C}"/>
            </c:ext>
          </c:extLst>
        </c:ser>
        <c:ser>
          <c:idx val="2"/>
          <c:order val="3"/>
          <c:tx>
            <c:strRef>
              <c:f>'Moisture content&amp;Water activity'!$AL$5</c:f>
              <c:strCache>
                <c:ptCount val="1"/>
                <c:pt idx="0">
                  <c:v>10 000 RPM - 20 MIN </c:v>
                </c:pt>
              </c:strCache>
            </c:strRef>
          </c:tx>
          <c:spPr>
            <a:pattFill prst="dkHorz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('Moisture content&amp;Water activity'!$AL$9,'Moisture content&amp;Water activity'!$AL$23)</c:f>
                <c:numCache>
                  <c:formatCode>General</c:formatCode>
                  <c:ptCount val="2"/>
                  <c:pt idx="0">
                    <c:v>1.6018013015055472E-2</c:v>
                  </c:pt>
                  <c:pt idx="1">
                    <c:v>1.275408431313949E-3</c:v>
                  </c:pt>
                </c:numCache>
              </c:numRef>
            </c:plus>
            <c:minus>
              <c:numRef>
                <c:f>('Moisture content&amp;Water activity'!$AL$9,'Moisture content&amp;Water activity'!$AL$23)</c:f>
                <c:numCache>
                  <c:formatCode>General</c:formatCode>
                  <c:ptCount val="2"/>
                  <c:pt idx="0">
                    <c:v>1.6018013015055472E-2</c:v>
                  </c:pt>
                  <c:pt idx="1">
                    <c:v>1.275408431313949E-3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('Moisture content&amp;Water activity'!$AH$6,'Moisture content&amp;Water activity'!$AH$20)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('Moisture content&amp;Water activity'!$AL$6,'Moisture content&amp;Water activity'!$AL$20)</c:f>
              <c:numCache>
                <c:formatCode>General</c:formatCode>
                <c:ptCount val="2"/>
                <c:pt idx="0" formatCode="0%">
                  <c:v>0.68243286421011662</c:v>
                </c:pt>
                <c:pt idx="1">
                  <c:v>0.9869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31-4BFC-86FB-507D8E8A8B9C}"/>
            </c:ext>
          </c:extLst>
        </c:ser>
        <c:ser>
          <c:idx val="1"/>
          <c:order val="4"/>
          <c:tx>
            <c:strRef>
              <c:f>'Moisture content&amp;Water activity'!$AM$5</c:f>
              <c:strCache>
                <c:ptCount val="1"/>
                <c:pt idx="0">
                  <c:v>5 000 RPM - 120 MIN </c:v>
                </c:pt>
              </c:strCache>
            </c:strRef>
          </c:tx>
          <c:spPr>
            <a:pattFill prst="wdUp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('Moisture content&amp;Water activity'!$AM$9,'Moisture content&amp;Water activity'!$AM$23)</c:f>
                <c:numCache>
                  <c:formatCode>General</c:formatCode>
                  <c:ptCount val="2"/>
                  <c:pt idx="0">
                    <c:v>1.4347938295564699E-3</c:v>
                  </c:pt>
                  <c:pt idx="1">
                    <c:v>4.3588989435405302E-4</c:v>
                  </c:pt>
                </c:numCache>
              </c:numRef>
            </c:plus>
            <c:minus>
              <c:numRef>
                <c:f>('Moisture content&amp;Water activity'!$AM$9,'Moisture content&amp;Water activity'!$AM$23)</c:f>
                <c:numCache>
                  <c:formatCode>General</c:formatCode>
                  <c:ptCount val="2"/>
                  <c:pt idx="0">
                    <c:v>1.4347938295564699E-3</c:v>
                  </c:pt>
                  <c:pt idx="1">
                    <c:v>4.3588989435405302E-4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('Moisture content&amp;Water activity'!$AH$6,'Moisture content&amp;Water activity'!$AH$20)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('Moisture content&amp;Water activity'!$AM$6,'Moisture content&amp;Water activity'!$AM$20)</c:f>
              <c:numCache>
                <c:formatCode>General</c:formatCode>
                <c:ptCount val="2"/>
                <c:pt idx="0" formatCode="0%">
                  <c:v>0.66930000000000001</c:v>
                </c:pt>
                <c:pt idx="1">
                  <c:v>0.94210000000000005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31-4BFC-86FB-507D8E8A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752912"/>
        <c:axId val="1417756240"/>
      </c:barChart>
      <c:catAx>
        <c:axId val="14177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6240"/>
        <c:crosses val="autoZero"/>
        <c:auto val="1"/>
        <c:lblAlgn val="ctr"/>
        <c:lblOffset val="100"/>
        <c:noMultiLvlLbl val="0"/>
      </c:catAx>
      <c:valAx>
        <c:axId val="14177562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2912"/>
        <c:crosses val="autoZero"/>
        <c:crossBetween val="between"/>
        <c:majorUnit val="0.2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56451047391116"/>
          <c:y val="6.4603404919287441E-2"/>
          <c:w val="0.30771369203849519"/>
          <c:h val="0.2803549091879451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0.19775481189851268"/>
          <c:w val="0.86460804899387578"/>
          <c:h val="0.70079432779235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'Moisture content&amp;Water activity'!$AN$19</c:f>
              <c:strCache>
                <c:ptCount val="1"/>
                <c:pt idx="0">
                  <c:v>Raw sludge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('Moisture content&amp;Water activity'!$AN$10,'Moisture content&amp;Water activity'!$AN$24)</c:f>
                <c:numCache>
                  <c:formatCode>General</c:formatCode>
                  <c:ptCount val="2"/>
                  <c:pt idx="0">
                    <c:v>1.9129506441892482E-3</c:v>
                  </c:pt>
                  <c:pt idx="1">
                    <c:v>1.1547005383791244E-4</c:v>
                  </c:pt>
                </c:numCache>
              </c:numRef>
            </c:plus>
            <c:minus>
              <c:numRef>
                <c:f>('Moisture content&amp;Water activity'!$AN$10,'Moisture content&amp;Water activity'!$AN$24)</c:f>
                <c:numCache>
                  <c:formatCode>General</c:formatCode>
                  <c:ptCount val="2"/>
                  <c:pt idx="0">
                    <c:v>1.9129506441892482E-3</c:v>
                  </c:pt>
                  <c:pt idx="1">
                    <c:v>1.1547005383791244E-4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('Moisture content&amp;Water activity'!$AH$6,'Moisture content&amp;Water activity'!$AH$20)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('Moisture content&amp;Water activity'!$AN$7,'Moisture content&amp;Water activity'!$AN$21)</c:f>
              <c:numCache>
                <c:formatCode>General</c:formatCode>
                <c:ptCount val="2"/>
                <c:pt idx="0" formatCode="0%">
                  <c:v>0.96367410550578869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B-40D9-8C2F-128FC2166632}"/>
            </c:ext>
          </c:extLst>
        </c:ser>
        <c:ser>
          <c:idx val="4"/>
          <c:order val="1"/>
          <c:tx>
            <c:strRef>
              <c:f>'Moisture content&amp;Water activity'!$AJ$5</c:f>
              <c:strCache>
                <c:ptCount val="1"/>
                <c:pt idx="0">
                  <c:v>6 000 RPM - 20 MIN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('Moisture content&amp;Water activity'!$AJ$10,'Moisture content&amp;Water activity'!$AJ$24)</c:f>
                <c:numCache>
                  <c:formatCode>General</c:formatCode>
                  <c:ptCount val="2"/>
                  <c:pt idx="0">
                    <c:v>8.9487728006141694E-3</c:v>
                  </c:pt>
                  <c:pt idx="1">
                    <c:v>1.2961481396816007E-3</c:v>
                  </c:pt>
                </c:numCache>
              </c:numRef>
            </c:plus>
            <c:minus>
              <c:numRef>
                <c:f>('Moisture content&amp;Water activity'!$AJ$10,'Moisture content&amp;Water activity'!$AJ$24)</c:f>
                <c:numCache>
                  <c:formatCode>General</c:formatCode>
                  <c:ptCount val="2"/>
                  <c:pt idx="0">
                    <c:v>8.9487728006141694E-3</c:v>
                  </c:pt>
                  <c:pt idx="1">
                    <c:v>1.2961481396816007E-3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('Moisture content&amp;Water activity'!$AH$6,'Moisture content&amp;Water activity'!$AH$20)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('Moisture content&amp;Water activity'!$AJ$7,'Moisture content&amp;Water activity'!$AJ$21)</c:f>
              <c:numCache>
                <c:formatCode>General</c:formatCode>
                <c:ptCount val="2"/>
                <c:pt idx="0" formatCode="0%">
                  <c:v>0.8567874108390322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B-40D9-8C2F-128FC2166632}"/>
            </c:ext>
          </c:extLst>
        </c:ser>
        <c:ser>
          <c:idx val="3"/>
          <c:order val="2"/>
          <c:tx>
            <c:strRef>
              <c:f>'Moisture content&amp;Water activity'!$AK$5</c:f>
              <c:strCache>
                <c:ptCount val="1"/>
                <c:pt idx="0">
                  <c:v>8 000 RPM - 20 MIN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('Moisture content&amp;Water activity'!$AK$10,'Moisture content&amp;Water activity'!$AK$24)</c:f>
                <c:numCache>
                  <c:formatCode>General</c:formatCode>
                  <c:ptCount val="2"/>
                  <c:pt idx="0">
                    <c:v>9.9869623369858718E-3</c:v>
                  </c:pt>
                  <c:pt idx="1">
                    <c:v>3.3109246778237349E-3</c:v>
                  </c:pt>
                </c:numCache>
              </c:numRef>
            </c:plus>
            <c:minus>
              <c:numRef>
                <c:f>('Moisture content&amp;Water activity'!$AK$10,'Moisture content&amp;Water activity'!$AK$24)</c:f>
                <c:numCache>
                  <c:formatCode>General</c:formatCode>
                  <c:ptCount val="2"/>
                  <c:pt idx="0">
                    <c:v>9.9869623369858718E-3</c:v>
                  </c:pt>
                  <c:pt idx="1">
                    <c:v>3.3109246778237349E-3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('Moisture content&amp;Water activity'!$AH$6,'Moisture content&amp;Water activity'!$AH$20)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('Moisture content&amp;Water activity'!$AK$7,'Moisture content&amp;Water activity'!$AK$21)</c:f>
              <c:numCache>
                <c:formatCode>General</c:formatCode>
                <c:ptCount val="2"/>
                <c:pt idx="0" formatCode="0%">
                  <c:v>0.78518590132902832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B-40D9-8C2F-128FC2166632}"/>
            </c:ext>
          </c:extLst>
        </c:ser>
        <c:ser>
          <c:idx val="2"/>
          <c:order val="3"/>
          <c:tx>
            <c:strRef>
              <c:f>'Moisture content&amp;Water activity'!$AL$5</c:f>
              <c:strCache>
                <c:ptCount val="1"/>
                <c:pt idx="0">
                  <c:v>10 000 RPM - 20 MIN </c:v>
                </c:pt>
              </c:strCache>
            </c:strRef>
          </c:tx>
          <c:spPr>
            <a:pattFill prst="dk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('Moisture content&amp;Water activity'!$AL$10,'Moisture content&amp;Water activity'!$AL$24)</c:f>
                <c:numCache>
                  <c:formatCode>General</c:formatCode>
                  <c:ptCount val="2"/>
                  <c:pt idx="0">
                    <c:v>9.7017327013889845E-3</c:v>
                  </c:pt>
                  <c:pt idx="1">
                    <c:v>1.6006942938057334E-3</c:v>
                  </c:pt>
                </c:numCache>
              </c:numRef>
            </c:plus>
            <c:minus>
              <c:numRef>
                <c:f>('Moisture content&amp;Water activity'!$AL$10,'Moisture content&amp;Water activity'!$AL$24)</c:f>
                <c:numCache>
                  <c:formatCode>General</c:formatCode>
                  <c:ptCount val="2"/>
                  <c:pt idx="0">
                    <c:v>9.7017327013889845E-3</c:v>
                  </c:pt>
                  <c:pt idx="1">
                    <c:v>1.6006942938057334E-3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('Moisture content&amp;Water activity'!$AH$6,'Moisture content&amp;Water activity'!$AH$20)</c:f>
              <c:strCache>
                <c:ptCount val="2"/>
                <c:pt idx="0">
                  <c:v>Moisture content (%wt)</c:v>
                </c:pt>
                <c:pt idx="1">
                  <c:v>Water Activity (-)</c:v>
                </c:pt>
              </c:strCache>
            </c:strRef>
          </c:cat>
          <c:val>
            <c:numRef>
              <c:f>('Moisture content&amp;Water activity'!$AL$7,'Moisture content&amp;Water activity'!$AL$21)</c:f>
              <c:numCache>
                <c:formatCode>General</c:formatCode>
                <c:ptCount val="2"/>
                <c:pt idx="0" formatCode="0%">
                  <c:v>0.7287970648708928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B-40D9-8C2F-128FC216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752912"/>
        <c:axId val="1417756240"/>
      </c:barChart>
      <c:catAx>
        <c:axId val="14177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6240"/>
        <c:crosses val="autoZero"/>
        <c:auto val="1"/>
        <c:lblAlgn val="ctr"/>
        <c:lblOffset val="100"/>
        <c:noMultiLvlLbl val="0"/>
      </c:catAx>
      <c:valAx>
        <c:axId val="1417756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2912"/>
        <c:crosses val="autoZero"/>
        <c:crossBetween val="between"/>
        <c:majorUnit val="0.2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2370953630797"/>
          <c:y val="2.165281423155439E-2"/>
          <c:w val="0.79104702537182847"/>
          <c:h val="0.1509412365121026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506557</xdr:colOff>
      <xdr:row>65</xdr:row>
      <xdr:rowOff>31171</xdr:rowOff>
    </xdr:from>
    <xdr:to>
      <xdr:col>38</xdr:col>
      <xdr:colOff>411307</xdr:colOff>
      <xdr:row>78</xdr:row>
      <xdr:rowOff>185303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05D7CF2-B239-455D-AB72-7DEFF531F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473392</xdr:colOff>
      <xdr:row>25</xdr:row>
      <xdr:rowOff>48577</xdr:rowOff>
    </xdr:from>
    <xdr:to>
      <xdr:col>14</xdr:col>
      <xdr:colOff>75247</xdr:colOff>
      <xdr:row>38</xdr:row>
      <xdr:rowOff>136207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8B7D0F-3A4E-490C-815F-FE9DED3F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323369</xdr:colOff>
      <xdr:row>3</xdr:row>
      <xdr:rowOff>95411</xdr:rowOff>
    </xdr:from>
    <xdr:to>
      <xdr:col>50</xdr:col>
      <xdr:colOff>54428</xdr:colOff>
      <xdr:row>12</xdr:row>
      <xdr:rowOff>156882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FDF45E6-9987-4677-8C5F-F829A33D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293914</xdr:colOff>
      <xdr:row>16</xdr:row>
      <xdr:rowOff>190500</xdr:rowOff>
    </xdr:from>
    <xdr:to>
      <xdr:col>51</xdr:col>
      <xdr:colOff>183021</xdr:colOff>
      <xdr:row>33</xdr:row>
      <xdr:rowOff>96750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315684</xdr:colOff>
      <xdr:row>36</xdr:row>
      <xdr:rowOff>13606</xdr:rowOff>
    </xdr:from>
    <xdr:to>
      <xdr:col>51</xdr:col>
      <xdr:colOff>204791</xdr:colOff>
      <xdr:row>51</xdr:row>
      <xdr:rowOff>1499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opLeftCell="N7" workbookViewId="0">
      <selection activeCell="Q25" sqref="Q8:Q25"/>
    </sheetView>
  </sheetViews>
  <sheetFormatPr defaultColWidth="9.140625" defaultRowHeight="15" x14ac:dyDescent="0.25"/>
  <cols>
    <col min="1" max="1" width="12.85546875" style="2" customWidth="1"/>
    <col min="2" max="2" width="9.7109375" style="2" customWidth="1"/>
    <col min="3" max="3" width="11.5703125" style="2" customWidth="1"/>
    <col min="4" max="5" width="14.85546875" style="2" customWidth="1"/>
    <col min="6" max="6" width="14.140625" style="2" customWidth="1"/>
    <col min="7" max="7" width="14.7109375" style="2" customWidth="1"/>
    <col min="8" max="8" width="16.5703125" style="2" customWidth="1"/>
    <col min="9" max="9" width="21.85546875" style="2" customWidth="1"/>
    <col min="10" max="12" width="21.28515625" style="2" customWidth="1"/>
    <col min="13" max="13" width="20.7109375" style="2" customWidth="1"/>
    <col min="14" max="14" width="24.7109375" style="2" customWidth="1"/>
    <col min="15" max="16" width="27.28515625" style="2" customWidth="1"/>
    <col min="17" max="17" width="19" style="2" customWidth="1"/>
    <col min="18" max="18" width="20.42578125" style="2" customWidth="1"/>
    <col min="19" max="16384" width="9.140625" style="2"/>
  </cols>
  <sheetData>
    <row r="2" spans="1:18" x14ac:dyDescent="0.25">
      <c r="A2" s="469" t="s">
        <v>15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</row>
    <row r="3" spans="1:18" x14ac:dyDescent="0.25">
      <c r="A3" s="469"/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469"/>
      <c r="R3" s="469"/>
    </row>
    <row r="4" spans="1:18" s="41" customFormat="1" x14ac:dyDescent="0.25">
      <c r="A4" s="275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</row>
    <row r="5" spans="1:18" s="41" customFormat="1" ht="15.75" thickBot="1" x14ac:dyDescent="0.3">
      <c r="A5" s="275"/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</row>
    <row r="6" spans="1:18" ht="15.75" thickBot="1" x14ac:dyDescent="0.3">
      <c r="D6" s="449" t="s">
        <v>126</v>
      </c>
      <c r="E6" s="450"/>
      <c r="F6" s="442" t="s">
        <v>127</v>
      </c>
      <c r="G6" s="451"/>
      <c r="H6" s="442" t="s">
        <v>128</v>
      </c>
      <c r="I6" s="451"/>
      <c r="J6" s="443"/>
      <c r="K6" s="442" t="s">
        <v>129</v>
      </c>
      <c r="L6" s="451"/>
      <c r="M6" s="451"/>
      <c r="N6" s="451"/>
      <c r="O6" s="443"/>
      <c r="P6" s="286"/>
      <c r="Q6" s="442" t="s">
        <v>130</v>
      </c>
      <c r="R6" s="443"/>
    </row>
    <row r="7" spans="1:18" ht="36.75" customHeight="1" thickBot="1" x14ac:dyDescent="0.3">
      <c r="B7" s="32" t="s">
        <v>2</v>
      </c>
      <c r="C7" s="33" t="s">
        <v>3</v>
      </c>
      <c r="D7" s="33" t="s">
        <v>131</v>
      </c>
      <c r="E7" s="33" t="s">
        <v>132</v>
      </c>
      <c r="F7" s="33" t="s">
        <v>9</v>
      </c>
      <c r="G7" s="34" t="s">
        <v>0</v>
      </c>
      <c r="H7" s="33" t="s">
        <v>1</v>
      </c>
      <c r="I7" s="33" t="s">
        <v>13</v>
      </c>
      <c r="J7" s="33" t="s">
        <v>14</v>
      </c>
      <c r="K7" s="33" t="s">
        <v>133</v>
      </c>
      <c r="L7" s="33" t="s">
        <v>134</v>
      </c>
      <c r="M7" s="33" t="s">
        <v>11</v>
      </c>
      <c r="N7" s="33" t="s">
        <v>12</v>
      </c>
      <c r="O7" s="33" t="s">
        <v>19</v>
      </c>
      <c r="P7" s="33" t="s">
        <v>141</v>
      </c>
      <c r="Q7" s="33" t="s">
        <v>17</v>
      </c>
      <c r="R7" s="53" t="s">
        <v>18</v>
      </c>
    </row>
    <row r="8" spans="1:18" x14ac:dyDescent="0.25">
      <c r="A8" s="384">
        <v>43318</v>
      </c>
      <c r="B8" s="419" t="s">
        <v>7</v>
      </c>
      <c r="C8" s="5" t="s">
        <v>4</v>
      </c>
      <c r="D8" s="5">
        <v>38.729999999999997</v>
      </c>
      <c r="E8" s="164">
        <v>7.2336</v>
      </c>
      <c r="F8" s="462">
        <v>6000</v>
      </c>
      <c r="G8" s="423">
        <v>20</v>
      </c>
      <c r="H8" s="6">
        <v>24.345600000000001</v>
      </c>
      <c r="I8" s="164">
        <v>60.507800000000003</v>
      </c>
      <c r="J8" s="177">
        <v>36.1205</v>
      </c>
      <c r="K8" s="177"/>
      <c r="L8" s="177"/>
      <c r="M8" s="164">
        <v>39.7395</v>
      </c>
      <c r="N8" s="51">
        <v>39.1098</v>
      </c>
      <c r="O8" s="58">
        <f>(0.3503-0.3322)/(20*10^-3)</f>
        <v>0.90500000000000025</v>
      </c>
      <c r="P8" s="375">
        <f>AVERAGE(O8:O10)</f>
        <v>0.91333333333333355</v>
      </c>
      <c r="Q8" s="52">
        <v>1.0023</v>
      </c>
      <c r="R8" s="199">
        <v>86.6</v>
      </c>
    </row>
    <row r="9" spans="1:18" x14ac:dyDescent="0.25">
      <c r="A9" s="385"/>
      <c r="B9" s="420"/>
      <c r="C9" s="7" t="s">
        <v>5</v>
      </c>
      <c r="D9" s="7">
        <v>34.987000000000002</v>
      </c>
      <c r="E9" s="165">
        <v>7.4641000000000002</v>
      </c>
      <c r="F9" s="422"/>
      <c r="G9" s="424"/>
      <c r="H9" s="8">
        <v>24.515499999999999</v>
      </c>
      <c r="I9" s="165">
        <v>61.124499999999998</v>
      </c>
      <c r="J9" s="178">
        <v>35.952300000000001</v>
      </c>
      <c r="K9" s="178"/>
      <c r="L9" s="178"/>
      <c r="M9" s="165">
        <v>36.067900000000002</v>
      </c>
      <c r="N9" s="8">
        <v>35.392400000000002</v>
      </c>
      <c r="O9" s="59">
        <f>(0.352-0.3326)/(20*10^-3)</f>
        <v>0.96999999999999864</v>
      </c>
      <c r="P9" s="376"/>
      <c r="Q9" s="165">
        <v>1.0046999999999999</v>
      </c>
      <c r="R9" s="200">
        <v>85.97</v>
      </c>
    </row>
    <row r="10" spans="1:18" ht="15.75" thickBot="1" x14ac:dyDescent="0.3">
      <c r="A10" s="385"/>
      <c r="B10" s="420"/>
      <c r="C10" s="9" t="s">
        <v>6</v>
      </c>
      <c r="D10" s="9">
        <v>38.842300000000002</v>
      </c>
      <c r="E10" s="10">
        <v>5.6769999999999996</v>
      </c>
      <c r="F10" s="422"/>
      <c r="G10" s="425"/>
      <c r="H10" s="11">
        <v>24.402100000000001</v>
      </c>
      <c r="I10" s="10">
        <v>59.674999999999997</v>
      </c>
      <c r="J10" s="35">
        <v>34.063099999999999</v>
      </c>
      <c r="K10" s="35"/>
      <c r="L10" s="35"/>
      <c r="M10" s="10">
        <v>39.725999999999999</v>
      </c>
      <c r="N10" s="11">
        <v>37.168300000000002</v>
      </c>
      <c r="O10" s="57">
        <f>(0.3542-0.3369)/(20*10^-3)</f>
        <v>0.86500000000000188</v>
      </c>
      <c r="P10" s="377"/>
      <c r="Q10" s="166">
        <v>1.0053000000000001</v>
      </c>
      <c r="R10" s="201">
        <v>84.73</v>
      </c>
    </row>
    <row r="11" spans="1:18" x14ac:dyDescent="0.25">
      <c r="A11" s="385"/>
      <c r="B11" s="463" t="s">
        <v>8</v>
      </c>
      <c r="C11" s="5" t="s">
        <v>4</v>
      </c>
      <c r="D11" s="5">
        <v>31.1739</v>
      </c>
      <c r="E11" s="164">
        <v>10.089499999999999</v>
      </c>
      <c r="F11" s="466">
        <v>6000</v>
      </c>
      <c r="G11" s="432">
        <v>20</v>
      </c>
      <c r="H11" s="164">
        <v>24.490200000000002</v>
      </c>
      <c r="I11" s="164">
        <v>64.159499999999994</v>
      </c>
      <c r="J11" s="177">
        <v>63.478299999999997</v>
      </c>
      <c r="K11" s="177"/>
      <c r="L11" s="177"/>
      <c r="M11" s="164">
        <v>34.163200000000003</v>
      </c>
      <c r="N11" s="6" t="s">
        <v>16</v>
      </c>
      <c r="O11" s="452" t="s">
        <v>20</v>
      </c>
      <c r="P11" s="167"/>
      <c r="Q11" s="164">
        <v>0.96989999999999998</v>
      </c>
      <c r="R11" s="54">
        <v>70.16</v>
      </c>
    </row>
    <row r="12" spans="1:18" x14ac:dyDescent="0.25">
      <c r="A12" s="385"/>
      <c r="B12" s="464"/>
      <c r="C12" s="7" t="s">
        <v>5</v>
      </c>
      <c r="D12" s="7">
        <v>35.722999999999999</v>
      </c>
      <c r="E12" s="165">
        <v>10.0655</v>
      </c>
      <c r="F12" s="467"/>
      <c r="G12" s="424"/>
      <c r="H12" s="165">
        <v>24.496500000000001</v>
      </c>
      <c r="I12" s="165">
        <v>64.450299999999999</v>
      </c>
      <c r="J12" s="178">
        <v>63.520499999999998</v>
      </c>
      <c r="K12" s="178"/>
      <c r="L12" s="178"/>
      <c r="M12" s="165">
        <v>38.700699999999998</v>
      </c>
      <c r="N12" s="8">
        <v>36.678699999999999</v>
      </c>
      <c r="O12" s="453"/>
      <c r="P12" s="168"/>
      <c r="Q12" s="165">
        <v>0.97109999999999996</v>
      </c>
      <c r="R12" s="200">
        <v>70.91</v>
      </c>
    </row>
    <row r="13" spans="1:18" ht="15.75" thickBot="1" x14ac:dyDescent="0.3">
      <c r="A13" s="386"/>
      <c r="B13" s="465"/>
      <c r="C13" s="12" t="s">
        <v>6</v>
      </c>
      <c r="D13" s="12">
        <v>36.082599999999999</v>
      </c>
      <c r="E13" s="166">
        <v>10.096</v>
      </c>
      <c r="F13" s="468"/>
      <c r="G13" s="425"/>
      <c r="H13" s="166">
        <v>24.311699999999998</v>
      </c>
      <c r="I13" s="166">
        <v>64.462199999999996</v>
      </c>
      <c r="J13" s="179">
        <v>63.699599999999997</v>
      </c>
      <c r="K13" s="179"/>
      <c r="L13" s="179"/>
      <c r="M13" s="166">
        <v>39.103099999999998</v>
      </c>
      <c r="N13" s="42">
        <v>37.056100000000001</v>
      </c>
      <c r="O13" s="454"/>
      <c r="P13" s="169"/>
      <c r="Q13" s="166">
        <v>0.96870000000000001</v>
      </c>
      <c r="R13" s="201">
        <v>71.05</v>
      </c>
    </row>
    <row r="14" spans="1:18" x14ac:dyDescent="0.25">
      <c r="A14" s="384">
        <v>43325</v>
      </c>
      <c r="B14" s="455" t="s">
        <v>7</v>
      </c>
      <c r="C14" s="21" t="s">
        <v>4</v>
      </c>
      <c r="D14" s="29">
        <v>36.796599999999998</v>
      </c>
      <c r="E14" s="159">
        <v>10.0082</v>
      </c>
      <c r="F14" s="408">
        <v>8000</v>
      </c>
      <c r="G14" s="411">
        <v>20</v>
      </c>
      <c r="H14" s="159">
        <v>24.504799999999999</v>
      </c>
      <c r="I14" s="159">
        <v>61.049700000000001</v>
      </c>
      <c r="J14" s="180">
        <v>38.321100000000001</v>
      </c>
      <c r="K14" s="180"/>
      <c r="L14" s="180"/>
      <c r="M14" s="156">
        <v>38.204999999999998</v>
      </c>
      <c r="N14" s="43">
        <v>37.365200000000002</v>
      </c>
      <c r="O14" s="60">
        <f>(0.3438-0.3293)/(20*10^-3)</f>
        <v>0.72500000000000064</v>
      </c>
      <c r="P14" s="378">
        <f>AVERAGE(O14:O16)</f>
        <v>0.62333333333333318</v>
      </c>
      <c r="Q14" s="156">
        <v>1.0269999999999999</v>
      </c>
      <c r="R14" s="23">
        <v>79.516999999999996</v>
      </c>
    </row>
    <row r="15" spans="1:18" x14ac:dyDescent="0.25">
      <c r="A15" s="385"/>
      <c r="B15" s="456"/>
      <c r="C15" s="24" t="s">
        <v>5</v>
      </c>
      <c r="D15" s="25">
        <v>38.912300000000002</v>
      </c>
      <c r="E15" s="159">
        <v>10.0617</v>
      </c>
      <c r="F15" s="409"/>
      <c r="G15" s="412"/>
      <c r="H15" s="157">
        <v>24.245899999999999</v>
      </c>
      <c r="I15" s="157">
        <v>60.639800000000001</v>
      </c>
      <c r="J15" s="181">
        <v>35.678800000000003</v>
      </c>
      <c r="K15" s="181"/>
      <c r="L15" s="181"/>
      <c r="M15" s="157">
        <v>40.691099999999999</v>
      </c>
      <c r="N15" s="44">
        <v>39.673200000000001</v>
      </c>
      <c r="O15" s="287">
        <f>(0.3368-0.3269)/(20*10^-3)</f>
        <v>0.49499999999999822</v>
      </c>
      <c r="P15" s="379"/>
      <c r="Q15" s="44">
        <v>1.0306999999999999</v>
      </c>
      <c r="R15" s="55">
        <v>57.290999999999997</v>
      </c>
    </row>
    <row r="16" spans="1:18" ht="15.75" thickBot="1" x14ac:dyDescent="0.3">
      <c r="A16" s="385"/>
      <c r="B16" s="457"/>
      <c r="C16" s="27" t="s">
        <v>6</v>
      </c>
      <c r="D16" s="30">
        <v>35.3078</v>
      </c>
      <c r="E16" s="38">
        <v>10.0221</v>
      </c>
      <c r="F16" s="410"/>
      <c r="G16" s="413"/>
      <c r="H16" s="160">
        <v>24.426400000000001</v>
      </c>
      <c r="I16" s="160">
        <v>63.515999999999998</v>
      </c>
      <c r="J16" s="36">
        <v>39.996600000000001</v>
      </c>
      <c r="K16" s="36"/>
      <c r="L16" s="36"/>
      <c r="M16" s="158">
        <v>36.556100000000001</v>
      </c>
      <c r="N16" s="45">
        <v>35.810499999999998</v>
      </c>
      <c r="O16" s="287">
        <f>(0.3449-0.3319)/(20*10^-3)</f>
        <v>0.65000000000000058</v>
      </c>
      <c r="P16" s="380"/>
      <c r="Q16" s="46">
        <v>1.0226</v>
      </c>
      <c r="R16" s="31">
        <v>77.52</v>
      </c>
    </row>
    <row r="17" spans="1:18" x14ac:dyDescent="0.25">
      <c r="A17" s="385"/>
      <c r="B17" s="458" t="s">
        <v>8</v>
      </c>
      <c r="C17" s="29" t="s">
        <v>4</v>
      </c>
      <c r="D17" s="22">
        <v>36.221600000000002</v>
      </c>
      <c r="E17" s="156">
        <v>10.192</v>
      </c>
      <c r="F17" s="415">
        <v>8000</v>
      </c>
      <c r="G17" s="417">
        <v>20</v>
      </c>
      <c r="H17" s="156">
        <v>24.141500000000001</v>
      </c>
      <c r="I17" s="156">
        <v>64.187600000000003</v>
      </c>
      <c r="J17" s="180">
        <v>61.559899999999999</v>
      </c>
      <c r="K17" s="180"/>
      <c r="L17" s="180"/>
      <c r="M17" s="156">
        <v>42.9754</v>
      </c>
      <c r="N17" s="43">
        <v>41.058199999999999</v>
      </c>
      <c r="O17" s="459" t="s">
        <v>20</v>
      </c>
      <c r="P17" s="170"/>
      <c r="Q17" s="159">
        <v>0.99170000000000003</v>
      </c>
      <c r="R17" s="23">
        <v>65.77</v>
      </c>
    </row>
    <row r="18" spans="1:18" ht="15" customHeight="1" x14ac:dyDescent="0.25">
      <c r="A18" s="385"/>
      <c r="B18" s="456"/>
      <c r="C18" s="25" t="s">
        <v>5</v>
      </c>
      <c r="D18" s="25">
        <v>40.248899999999999</v>
      </c>
      <c r="E18" s="159">
        <v>10.098000000000001</v>
      </c>
      <c r="F18" s="409"/>
      <c r="G18" s="412"/>
      <c r="H18" s="157">
        <v>24.236699999999999</v>
      </c>
      <c r="I18" s="157">
        <v>64.316100000000006</v>
      </c>
      <c r="J18" s="181">
        <v>61.223599999999998</v>
      </c>
      <c r="K18" s="181"/>
      <c r="L18" s="181"/>
      <c r="M18" s="157">
        <v>38.937800000000003</v>
      </c>
      <c r="N18" s="44">
        <v>37.033900000000003</v>
      </c>
      <c r="O18" s="460"/>
      <c r="P18" s="170"/>
      <c r="Q18" s="157">
        <v>0.99770000000000003</v>
      </c>
      <c r="R18" s="26">
        <v>64.17</v>
      </c>
    </row>
    <row r="19" spans="1:18" ht="15.75" thickBot="1" x14ac:dyDescent="0.3">
      <c r="A19" s="386"/>
      <c r="B19" s="457"/>
      <c r="C19" s="30" t="s">
        <v>6</v>
      </c>
      <c r="D19" s="28">
        <v>30.967600000000001</v>
      </c>
      <c r="E19" s="159">
        <v>10.113200000000001</v>
      </c>
      <c r="F19" s="416"/>
      <c r="G19" s="418"/>
      <c r="H19" s="158">
        <v>24.313600000000001</v>
      </c>
      <c r="I19" s="158">
        <v>64.268299999999996</v>
      </c>
      <c r="J19" s="182">
        <v>61.045000000000002</v>
      </c>
      <c r="K19" s="36"/>
      <c r="L19" s="36"/>
      <c r="M19" s="160">
        <v>33.715600000000002</v>
      </c>
      <c r="N19" s="46">
        <v>31.7834</v>
      </c>
      <c r="O19" s="461"/>
      <c r="P19" s="171"/>
      <c r="Q19" s="158">
        <v>0.99050000000000005</v>
      </c>
      <c r="R19" s="31">
        <v>61.906999999999996</v>
      </c>
    </row>
    <row r="20" spans="1:18" x14ac:dyDescent="0.25">
      <c r="A20" s="384">
        <v>43327</v>
      </c>
      <c r="B20" s="387" t="s">
        <v>7</v>
      </c>
      <c r="C20" s="18" t="s">
        <v>4</v>
      </c>
      <c r="D20" s="18">
        <v>35.721899999999998</v>
      </c>
      <c r="E20" s="161">
        <v>8.2604000000000006</v>
      </c>
      <c r="F20" s="444">
        <v>10000</v>
      </c>
      <c r="G20" s="393">
        <v>20</v>
      </c>
      <c r="H20" s="13">
        <v>24.504799999999999</v>
      </c>
      <c r="I20" s="13">
        <v>64.5304</v>
      </c>
      <c r="J20" s="183">
        <v>35.862499999999997</v>
      </c>
      <c r="K20" s="183"/>
      <c r="L20" s="183"/>
      <c r="M20" s="161">
        <v>37.244799999999998</v>
      </c>
      <c r="N20" s="47">
        <v>36.298900000000003</v>
      </c>
      <c r="O20" s="288">
        <f>(0.3458-0.338)/(20*10^-3)</f>
        <v>0.38999999999999868</v>
      </c>
      <c r="P20" s="381">
        <f>AVERAGE(O20:O22)</f>
        <v>0.59999999999999876</v>
      </c>
      <c r="Q20" s="47">
        <v>1.0274000000000001</v>
      </c>
      <c r="R20" s="56">
        <v>31.3338</v>
      </c>
    </row>
    <row r="21" spans="1:18" x14ac:dyDescent="0.25">
      <c r="A21" s="385"/>
      <c r="B21" s="388"/>
      <c r="C21" s="15" t="s">
        <v>5</v>
      </c>
      <c r="D21" s="15">
        <v>34.411799999999999</v>
      </c>
      <c r="E21" s="162">
        <v>8.1218000000000004</v>
      </c>
      <c r="F21" s="391"/>
      <c r="G21" s="394"/>
      <c r="H21" s="162">
        <v>24.245899999999999</v>
      </c>
      <c r="I21" s="162">
        <v>63.066899999999997</v>
      </c>
      <c r="J21" s="175">
        <v>34.734000000000002</v>
      </c>
      <c r="K21" s="175"/>
      <c r="L21" s="175"/>
      <c r="M21" s="162">
        <v>35.979799999999997</v>
      </c>
      <c r="N21" s="48">
        <v>34.990499999999997</v>
      </c>
      <c r="O21" s="288">
        <f>(0.3494-0.331)/(20*10^-3)</f>
        <v>0.9199999999999986</v>
      </c>
      <c r="P21" s="382"/>
      <c r="Q21" s="48">
        <v>1.0297000000000001</v>
      </c>
      <c r="R21" s="16">
        <v>73.193700000000007</v>
      </c>
    </row>
    <row r="22" spans="1:18" ht="15.75" thickBot="1" x14ac:dyDescent="0.3">
      <c r="A22" s="385"/>
      <c r="B22" s="389"/>
      <c r="C22" s="19" t="s">
        <v>6</v>
      </c>
      <c r="D22" s="19">
        <v>38.322600000000001</v>
      </c>
      <c r="E22" s="163">
        <v>8.2307000000000006</v>
      </c>
      <c r="F22" s="392"/>
      <c r="G22" s="395"/>
      <c r="H22" s="17">
        <v>24.426400000000001</v>
      </c>
      <c r="I22" s="17">
        <v>62.867199999999997</v>
      </c>
      <c r="J22" s="37">
        <v>35.059699999999999</v>
      </c>
      <c r="K22" s="37"/>
      <c r="L22" s="37"/>
      <c r="M22" s="17">
        <v>40.1036</v>
      </c>
      <c r="N22" s="49">
        <v>39.090400000000002</v>
      </c>
      <c r="O22" s="288">
        <f>(0.3453-0.3355)/(20*10^-3)</f>
        <v>0.48999999999999877</v>
      </c>
      <c r="P22" s="383"/>
      <c r="Q22" s="49">
        <v>1.0258</v>
      </c>
      <c r="R22" s="20">
        <v>72.193700000000007</v>
      </c>
    </row>
    <row r="23" spans="1:18" x14ac:dyDescent="0.25">
      <c r="A23" s="385"/>
      <c r="B23" s="396" t="s">
        <v>8</v>
      </c>
      <c r="C23" s="18" t="s">
        <v>4</v>
      </c>
      <c r="D23" s="18">
        <v>34.782299999999999</v>
      </c>
      <c r="E23" s="161">
        <v>10.1653</v>
      </c>
      <c r="F23" s="445">
        <v>10000</v>
      </c>
      <c r="G23" s="402">
        <v>20</v>
      </c>
      <c r="H23" s="161">
        <v>24.2074</v>
      </c>
      <c r="I23" s="161">
        <v>64.66</v>
      </c>
      <c r="J23" s="183">
        <v>60.719000000000001</v>
      </c>
      <c r="K23" s="183"/>
      <c r="L23" s="183"/>
      <c r="M23" s="161">
        <v>37.577500000000001</v>
      </c>
      <c r="N23" s="47">
        <v>35.595599999999997</v>
      </c>
      <c r="O23" s="446" t="s">
        <v>20</v>
      </c>
      <c r="P23" s="172"/>
      <c r="Q23" s="161">
        <v>0.98509999999999998</v>
      </c>
      <c r="R23" s="14">
        <v>68.965999999999994</v>
      </c>
    </row>
    <row r="24" spans="1:18" x14ac:dyDescent="0.25">
      <c r="A24" s="385"/>
      <c r="B24" s="397"/>
      <c r="C24" s="15" t="s">
        <v>5</v>
      </c>
      <c r="D24" s="15">
        <v>34.856699999999996</v>
      </c>
      <c r="E24" s="162">
        <v>10.5604</v>
      </c>
      <c r="F24" s="400"/>
      <c r="G24" s="403"/>
      <c r="H24" s="162">
        <v>24.5014</v>
      </c>
      <c r="I24" s="162">
        <v>65.125699999999995</v>
      </c>
      <c r="J24" s="175">
        <v>59.601500000000001</v>
      </c>
      <c r="K24" s="175"/>
      <c r="L24" s="175"/>
      <c r="M24" s="162">
        <v>37.985100000000003</v>
      </c>
      <c r="N24" s="48">
        <v>35.7849</v>
      </c>
      <c r="O24" s="447"/>
      <c r="P24" s="173"/>
      <c r="Q24" s="162">
        <v>0.9879</v>
      </c>
      <c r="R24" s="16">
        <v>69.741</v>
      </c>
    </row>
    <row r="25" spans="1:18" ht="15.75" thickBot="1" x14ac:dyDescent="0.3">
      <c r="A25" s="386"/>
      <c r="B25" s="398"/>
      <c r="C25" s="19" t="s">
        <v>6</v>
      </c>
      <c r="D25" s="19">
        <v>41.303400000000003</v>
      </c>
      <c r="E25" s="163">
        <v>10.5404</v>
      </c>
      <c r="F25" s="401"/>
      <c r="G25" s="404"/>
      <c r="H25" s="163">
        <v>24.256499999999999</v>
      </c>
      <c r="I25" s="163">
        <v>64.417599999999993</v>
      </c>
      <c r="J25" s="176">
        <v>58.465800000000002</v>
      </c>
      <c r="K25" s="176"/>
      <c r="L25" s="176"/>
      <c r="M25" s="163">
        <v>44.196800000000003</v>
      </c>
      <c r="N25" s="50">
        <v>42.156100000000002</v>
      </c>
      <c r="O25" s="448"/>
      <c r="P25" s="174"/>
      <c r="Q25" s="163">
        <v>0.98770000000000002</v>
      </c>
      <c r="R25" s="20">
        <v>66.089299999999994</v>
      </c>
    </row>
    <row r="26" spans="1:18" s="41" customFormat="1" x14ac:dyDescent="0.25">
      <c r="A26" s="3"/>
      <c r="B26" s="39"/>
      <c r="C26" s="1"/>
      <c r="D26" s="1"/>
      <c r="E26" s="3"/>
      <c r="F26" s="3"/>
      <c r="G26" s="40"/>
      <c r="H26" s="3"/>
      <c r="I26" s="3"/>
      <c r="J26" s="3"/>
      <c r="K26" s="3"/>
      <c r="L26" s="3"/>
      <c r="M26" s="3"/>
      <c r="N26" s="3"/>
      <c r="O26" s="3"/>
      <c r="P26" s="3"/>
    </row>
    <row r="27" spans="1:18" s="41" customFormat="1" ht="15.75" thickBot="1" x14ac:dyDescent="0.3">
      <c r="A27" s="3"/>
      <c r="B27" s="39"/>
      <c r="C27" s="1"/>
      <c r="D27" s="1"/>
      <c r="E27" s="3"/>
      <c r="F27" s="3"/>
      <c r="G27" s="40"/>
      <c r="H27" s="3"/>
      <c r="I27" s="3"/>
      <c r="J27" s="3"/>
      <c r="K27" s="3"/>
      <c r="L27" s="3"/>
      <c r="M27" s="3"/>
      <c r="N27" s="3"/>
      <c r="O27" s="3"/>
      <c r="P27" s="3"/>
    </row>
    <row r="28" spans="1:18" ht="15.75" thickBot="1" x14ac:dyDescent="0.3">
      <c r="B28" s="3"/>
      <c r="C28" s="1"/>
      <c r="D28" s="449" t="s">
        <v>126</v>
      </c>
      <c r="E28" s="450"/>
      <c r="F28" s="442" t="s">
        <v>127</v>
      </c>
      <c r="G28" s="451"/>
      <c r="H28" s="442" t="s">
        <v>128</v>
      </c>
      <c r="I28" s="451"/>
      <c r="J28" s="443"/>
      <c r="K28" s="442" t="s">
        <v>129</v>
      </c>
      <c r="L28" s="451"/>
      <c r="M28" s="451"/>
      <c r="N28" s="451"/>
      <c r="O28" s="443"/>
      <c r="P28" s="286"/>
      <c r="Q28" s="442" t="s">
        <v>130</v>
      </c>
      <c r="R28" s="443"/>
    </row>
    <row r="29" spans="1:18" ht="36.75" customHeight="1" thickBot="1" x14ac:dyDescent="0.3">
      <c r="B29" s="32" t="s">
        <v>2</v>
      </c>
      <c r="C29" s="33" t="s">
        <v>3</v>
      </c>
      <c r="D29" s="33" t="s">
        <v>135</v>
      </c>
      <c r="E29" s="33" t="s">
        <v>136</v>
      </c>
      <c r="F29" s="33" t="s">
        <v>9</v>
      </c>
      <c r="G29" s="34" t="s">
        <v>0</v>
      </c>
      <c r="H29" s="33" t="s">
        <v>1</v>
      </c>
      <c r="I29" s="33" t="s">
        <v>13</v>
      </c>
      <c r="J29" s="33" t="s">
        <v>14</v>
      </c>
      <c r="K29" s="33" t="s">
        <v>133</v>
      </c>
      <c r="L29" s="33" t="s">
        <v>134</v>
      </c>
      <c r="M29" s="33" t="s">
        <v>11</v>
      </c>
      <c r="N29" s="33" t="s">
        <v>12</v>
      </c>
      <c r="O29" s="33" t="s">
        <v>19</v>
      </c>
      <c r="P29" s="276"/>
      <c r="Q29" s="276" t="s">
        <v>17</v>
      </c>
      <c r="R29" s="277" t="s">
        <v>18</v>
      </c>
    </row>
    <row r="30" spans="1:18" x14ac:dyDescent="0.25">
      <c r="A30" s="384">
        <v>43332</v>
      </c>
      <c r="B30" s="419" t="s">
        <v>7</v>
      </c>
      <c r="C30" s="5" t="s">
        <v>4</v>
      </c>
      <c r="D30" s="5">
        <v>34.412199999999999</v>
      </c>
      <c r="E30" s="164">
        <v>8.0835000000000008</v>
      </c>
      <c r="F30" s="421">
        <v>10000</v>
      </c>
      <c r="G30" s="423">
        <v>30</v>
      </c>
      <c r="H30" s="6">
        <v>24.4222</v>
      </c>
      <c r="I30" s="164">
        <v>63.543100000000003</v>
      </c>
      <c r="J30" s="177">
        <v>36.252699999999997</v>
      </c>
      <c r="K30" s="177"/>
      <c r="L30" s="177"/>
      <c r="M30" s="164"/>
      <c r="N30" s="51"/>
      <c r="O30" s="51"/>
      <c r="P30" s="51"/>
      <c r="Q30" s="52"/>
      <c r="R30" s="199"/>
    </row>
    <row r="31" spans="1:18" x14ac:dyDescent="0.25">
      <c r="A31" s="385"/>
      <c r="B31" s="420"/>
      <c r="C31" s="7" t="s">
        <v>5</v>
      </c>
      <c r="D31" s="7">
        <v>35.309699999999999</v>
      </c>
      <c r="E31" s="165">
        <v>8.0477000000000007</v>
      </c>
      <c r="F31" s="422"/>
      <c r="G31" s="424"/>
      <c r="H31" s="8">
        <v>24.328800000000001</v>
      </c>
      <c r="I31" s="165">
        <v>62.56</v>
      </c>
      <c r="J31" s="178">
        <v>34.447699999999998</v>
      </c>
      <c r="K31" s="178"/>
      <c r="L31" s="178"/>
      <c r="M31" s="165"/>
      <c r="N31" s="8"/>
      <c r="O31" s="8"/>
      <c r="P31" s="8"/>
      <c r="Q31" s="165"/>
      <c r="R31" s="200"/>
    </row>
    <row r="32" spans="1:18" ht="15.75" thickBot="1" x14ac:dyDescent="0.3">
      <c r="A32" s="385"/>
      <c r="B32" s="420"/>
      <c r="C32" s="9" t="s">
        <v>6</v>
      </c>
      <c r="D32" s="9">
        <v>34.858800000000002</v>
      </c>
      <c r="E32" s="10">
        <v>8.0592000000000006</v>
      </c>
      <c r="F32" s="422"/>
      <c r="G32" s="425"/>
      <c r="H32" s="11">
        <v>24.155200000000001</v>
      </c>
      <c r="I32" s="10">
        <v>63.576300000000003</v>
      </c>
      <c r="J32" s="35">
        <v>34.842199999999998</v>
      </c>
      <c r="K32" s="35"/>
      <c r="L32" s="35"/>
      <c r="M32" s="10"/>
      <c r="N32" s="11"/>
      <c r="O32" s="11"/>
      <c r="P32" s="11"/>
      <c r="Q32" s="166"/>
      <c r="R32" s="201"/>
    </row>
    <row r="33" spans="1:18" x14ac:dyDescent="0.25">
      <c r="A33" s="385"/>
      <c r="B33" s="419" t="s">
        <v>8</v>
      </c>
      <c r="C33" s="5" t="s">
        <v>4</v>
      </c>
      <c r="D33" s="5">
        <v>41.144599999999997</v>
      </c>
      <c r="E33" s="164">
        <v>10.8056</v>
      </c>
      <c r="F33" s="427">
        <v>10000</v>
      </c>
      <c r="G33" s="430">
        <v>30</v>
      </c>
      <c r="H33" s="6">
        <v>24.309000000000001</v>
      </c>
      <c r="I33" s="164">
        <v>64.883499999999998</v>
      </c>
      <c r="J33" s="177">
        <v>57.082999999999998</v>
      </c>
      <c r="K33" s="177"/>
      <c r="L33" s="177"/>
      <c r="M33" s="164"/>
      <c r="N33" s="6"/>
      <c r="O33" s="6"/>
      <c r="P33" s="6"/>
      <c r="Q33" s="164"/>
      <c r="R33" s="54"/>
    </row>
    <row r="34" spans="1:18" x14ac:dyDescent="0.25">
      <c r="A34" s="385"/>
      <c r="B34" s="420"/>
      <c r="C34" s="7" t="s">
        <v>5</v>
      </c>
      <c r="D34" s="7">
        <v>30.9694</v>
      </c>
      <c r="E34" s="165">
        <v>10.707100000000001</v>
      </c>
      <c r="F34" s="428"/>
      <c r="G34" s="431"/>
      <c r="H34" s="8">
        <v>24.223099999999999</v>
      </c>
      <c r="I34" s="165">
        <v>64.560400000000001</v>
      </c>
      <c r="J34" s="178">
        <v>56.541699999999999</v>
      </c>
      <c r="K34" s="178"/>
      <c r="L34" s="178"/>
      <c r="M34" s="165"/>
      <c r="N34" s="8"/>
      <c r="O34" s="8"/>
      <c r="P34" s="8"/>
      <c r="Q34" s="165"/>
      <c r="R34" s="200"/>
    </row>
    <row r="35" spans="1:18" x14ac:dyDescent="0.25">
      <c r="A35" s="385"/>
      <c r="B35" s="426"/>
      <c r="C35" s="9" t="s">
        <v>6</v>
      </c>
      <c r="D35" s="9">
        <v>34.783999999999999</v>
      </c>
      <c r="E35" s="10">
        <v>10.571099999999999</v>
      </c>
      <c r="F35" s="429"/>
      <c r="G35" s="432"/>
      <c r="H35" s="11">
        <v>24.173200000000001</v>
      </c>
      <c r="I35" s="10">
        <v>64.535799999999995</v>
      </c>
      <c r="J35" s="35">
        <v>56.372399999999999</v>
      </c>
      <c r="K35" s="35"/>
      <c r="L35" s="35"/>
      <c r="M35" s="10"/>
      <c r="N35" s="11"/>
      <c r="O35" s="11"/>
      <c r="P35" s="11"/>
      <c r="Q35" s="10"/>
      <c r="R35" s="278"/>
    </row>
    <row r="36" spans="1:18" x14ac:dyDescent="0.25">
      <c r="A36" s="385"/>
      <c r="B36" s="433" t="s">
        <v>137</v>
      </c>
      <c r="C36" s="279" t="s">
        <v>4</v>
      </c>
      <c r="D36" s="279"/>
      <c r="E36" s="280"/>
      <c r="F36" s="436">
        <v>10000</v>
      </c>
      <c r="G36" s="439">
        <v>30</v>
      </c>
      <c r="H36" s="280">
        <v>13.2159</v>
      </c>
      <c r="I36" s="280">
        <v>53.034500000000001</v>
      </c>
      <c r="J36" s="281">
        <v>16.4343</v>
      </c>
      <c r="K36" s="281"/>
      <c r="L36" s="281"/>
      <c r="M36" s="280"/>
      <c r="N36" s="282"/>
      <c r="O36" s="282"/>
      <c r="P36" s="282"/>
      <c r="Q36" s="280"/>
      <c r="R36" s="283"/>
    </row>
    <row r="37" spans="1:18" x14ac:dyDescent="0.25">
      <c r="A37" s="385"/>
      <c r="B37" s="434"/>
      <c r="C37" s="279" t="s">
        <v>5</v>
      </c>
      <c r="D37" s="279"/>
      <c r="E37" s="280"/>
      <c r="F37" s="437"/>
      <c r="G37" s="440"/>
      <c r="H37" s="280">
        <v>13.248200000000001</v>
      </c>
      <c r="I37" s="280">
        <v>53.092700000000001</v>
      </c>
      <c r="J37" s="281">
        <v>17.1097</v>
      </c>
      <c r="K37" s="281"/>
      <c r="L37" s="281"/>
      <c r="M37" s="280"/>
      <c r="N37" s="282"/>
      <c r="O37" s="282"/>
      <c r="P37" s="282"/>
      <c r="Q37" s="280"/>
      <c r="R37" s="283"/>
    </row>
    <row r="38" spans="1:18" ht="15.75" thickBot="1" x14ac:dyDescent="0.3">
      <c r="A38" s="386"/>
      <c r="B38" s="435"/>
      <c r="C38" s="191" t="s">
        <v>6</v>
      </c>
      <c r="D38" s="191"/>
      <c r="E38" s="213"/>
      <c r="F38" s="438"/>
      <c r="G38" s="441"/>
      <c r="H38" s="213">
        <v>13.3744</v>
      </c>
      <c r="I38" s="213">
        <v>53.308399999999999</v>
      </c>
      <c r="J38" s="284">
        <v>20.445900000000002</v>
      </c>
      <c r="K38" s="284"/>
      <c r="L38" s="284"/>
      <c r="M38" s="213"/>
      <c r="N38" s="285"/>
      <c r="O38" s="285"/>
      <c r="P38" s="285"/>
      <c r="Q38" s="213"/>
      <c r="R38" s="214"/>
    </row>
    <row r="39" spans="1:18" x14ac:dyDescent="0.25">
      <c r="A39" s="384">
        <v>43334</v>
      </c>
      <c r="B39" s="405" t="s">
        <v>7</v>
      </c>
      <c r="C39" s="21" t="s">
        <v>4</v>
      </c>
      <c r="D39" s="29"/>
      <c r="E39" s="159"/>
      <c r="F39" s="408">
        <v>8000</v>
      </c>
      <c r="G39" s="411">
        <v>30</v>
      </c>
      <c r="H39" s="159"/>
      <c r="I39" s="159"/>
      <c r="J39" s="180"/>
      <c r="K39" s="180"/>
      <c r="L39" s="180"/>
      <c r="M39" s="156"/>
      <c r="N39" s="43"/>
      <c r="O39" s="43"/>
      <c r="P39" s="43"/>
      <c r="Q39" s="156"/>
      <c r="R39" s="23"/>
    </row>
    <row r="40" spans="1:18" x14ac:dyDescent="0.25">
      <c r="A40" s="385"/>
      <c r="B40" s="406"/>
      <c r="C40" s="24" t="s">
        <v>5</v>
      </c>
      <c r="D40" s="25"/>
      <c r="E40" s="159"/>
      <c r="F40" s="409"/>
      <c r="G40" s="412"/>
      <c r="H40" s="157"/>
      <c r="I40" s="157"/>
      <c r="J40" s="181"/>
      <c r="K40" s="181"/>
      <c r="L40" s="181"/>
      <c r="M40" s="157"/>
      <c r="N40" s="44"/>
      <c r="O40" s="44"/>
      <c r="P40" s="44"/>
      <c r="Q40" s="157"/>
      <c r="R40" s="55"/>
    </row>
    <row r="41" spans="1:18" ht="15.75" thickBot="1" x14ac:dyDescent="0.3">
      <c r="A41" s="385"/>
      <c r="B41" s="407"/>
      <c r="C41" s="27" t="s">
        <v>6</v>
      </c>
      <c r="D41" s="30"/>
      <c r="E41" s="38"/>
      <c r="F41" s="410"/>
      <c r="G41" s="413"/>
      <c r="H41" s="160"/>
      <c r="I41" s="160"/>
      <c r="J41" s="36"/>
      <c r="K41" s="36"/>
      <c r="L41" s="36"/>
      <c r="M41" s="158"/>
      <c r="N41" s="45"/>
      <c r="O41" s="158"/>
      <c r="P41" s="158"/>
      <c r="Q41" s="158"/>
      <c r="R41" s="31"/>
    </row>
    <row r="42" spans="1:18" x14ac:dyDescent="0.25">
      <c r="A42" s="385"/>
      <c r="B42" s="414" t="s">
        <v>8</v>
      </c>
      <c r="C42" s="29" t="s">
        <v>4</v>
      </c>
      <c r="D42" s="22"/>
      <c r="E42" s="156"/>
      <c r="F42" s="415">
        <v>8000</v>
      </c>
      <c r="G42" s="417">
        <v>30</v>
      </c>
      <c r="H42" s="156"/>
      <c r="I42" s="156"/>
      <c r="J42" s="180"/>
      <c r="K42" s="180"/>
      <c r="L42" s="180"/>
      <c r="M42" s="156"/>
      <c r="N42" s="43"/>
      <c r="O42" s="156"/>
      <c r="P42" s="159"/>
      <c r="Q42" s="159"/>
      <c r="R42" s="23"/>
    </row>
    <row r="43" spans="1:18" x14ac:dyDescent="0.25">
      <c r="A43" s="385"/>
      <c r="B43" s="406"/>
      <c r="C43" s="25" t="s">
        <v>5</v>
      </c>
      <c r="D43" s="25"/>
      <c r="E43" s="159"/>
      <c r="F43" s="409"/>
      <c r="G43" s="412"/>
      <c r="H43" s="157"/>
      <c r="I43" s="157"/>
      <c r="J43" s="181"/>
      <c r="K43" s="181"/>
      <c r="L43" s="181"/>
      <c r="M43" s="157"/>
      <c r="N43" s="44"/>
      <c r="O43" s="44"/>
      <c r="P43" s="44"/>
      <c r="Q43" s="157"/>
      <c r="R43" s="26"/>
    </row>
    <row r="44" spans="1:18" ht="15.75" thickBot="1" x14ac:dyDescent="0.3">
      <c r="A44" s="386"/>
      <c r="B44" s="407"/>
      <c r="C44" s="30" t="s">
        <v>6</v>
      </c>
      <c r="D44" s="28"/>
      <c r="E44" s="159"/>
      <c r="F44" s="416"/>
      <c r="G44" s="418"/>
      <c r="H44" s="158"/>
      <c r="I44" s="158"/>
      <c r="J44" s="182"/>
      <c r="K44" s="36"/>
      <c r="L44" s="36"/>
      <c r="M44" s="160"/>
      <c r="N44" s="46"/>
      <c r="O44" s="46"/>
      <c r="P44" s="46"/>
      <c r="Q44" s="158"/>
      <c r="R44" s="31"/>
    </row>
    <row r="45" spans="1:18" x14ac:dyDescent="0.25">
      <c r="A45" s="384"/>
      <c r="B45" s="387" t="s">
        <v>7</v>
      </c>
      <c r="C45" s="18" t="s">
        <v>4</v>
      </c>
      <c r="D45" s="18"/>
      <c r="E45" s="161"/>
      <c r="F45" s="390">
        <v>6000</v>
      </c>
      <c r="G45" s="393">
        <v>30</v>
      </c>
      <c r="H45" s="13"/>
      <c r="I45" s="13"/>
      <c r="J45" s="183"/>
      <c r="K45" s="183"/>
      <c r="L45" s="183"/>
      <c r="M45" s="161"/>
      <c r="N45" s="47"/>
      <c r="O45" s="47"/>
      <c r="P45" s="47"/>
      <c r="Q45" s="161"/>
      <c r="R45" s="56"/>
    </row>
    <row r="46" spans="1:18" x14ac:dyDescent="0.25">
      <c r="A46" s="385"/>
      <c r="B46" s="388"/>
      <c r="C46" s="15" t="s">
        <v>5</v>
      </c>
      <c r="D46" s="15"/>
      <c r="E46" s="162"/>
      <c r="F46" s="391"/>
      <c r="G46" s="394"/>
      <c r="H46" s="162"/>
      <c r="I46" s="162"/>
      <c r="J46" s="175"/>
      <c r="K46" s="175"/>
      <c r="L46" s="175"/>
      <c r="M46" s="162"/>
      <c r="N46" s="48"/>
      <c r="O46" s="48"/>
      <c r="P46" s="48"/>
      <c r="Q46" s="162"/>
      <c r="R46" s="16"/>
    </row>
    <row r="47" spans="1:18" ht="15.75" thickBot="1" x14ac:dyDescent="0.3">
      <c r="A47" s="385"/>
      <c r="B47" s="389"/>
      <c r="C47" s="19" t="s">
        <v>6</v>
      </c>
      <c r="D47" s="19"/>
      <c r="E47" s="163"/>
      <c r="F47" s="392"/>
      <c r="G47" s="395"/>
      <c r="H47" s="17"/>
      <c r="I47" s="17"/>
      <c r="J47" s="37"/>
      <c r="K47" s="37"/>
      <c r="L47" s="37"/>
      <c r="M47" s="17"/>
      <c r="N47" s="49"/>
      <c r="O47" s="49"/>
      <c r="P47" s="49"/>
      <c r="Q47" s="17"/>
      <c r="R47" s="20"/>
    </row>
    <row r="48" spans="1:18" x14ac:dyDescent="0.25">
      <c r="A48" s="385"/>
      <c r="B48" s="396" t="s">
        <v>8</v>
      </c>
      <c r="C48" s="18" t="s">
        <v>4</v>
      </c>
      <c r="D48" s="18"/>
      <c r="E48" s="161"/>
      <c r="F48" s="399">
        <v>6000</v>
      </c>
      <c r="G48" s="402">
        <v>30</v>
      </c>
      <c r="H48" s="161"/>
      <c r="I48" s="161"/>
      <c r="J48" s="183"/>
      <c r="K48" s="183"/>
      <c r="L48" s="183"/>
      <c r="M48" s="161"/>
      <c r="N48" s="47"/>
      <c r="O48" s="47"/>
      <c r="P48" s="47"/>
      <c r="Q48" s="161"/>
      <c r="R48" s="14"/>
    </row>
    <row r="49" spans="1:18" x14ac:dyDescent="0.25">
      <c r="A49" s="385"/>
      <c r="B49" s="397"/>
      <c r="C49" s="15" t="s">
        <v>5</v>
      </c>
      <c r="D49" s="15"/>
      <c r="E49" s="162"/>
      <c r="F49" s="400"/>
      <c r="G49" s="403"/>
      <c r="H49" s="162"/>
      <c r="I49" s="162"/>
      <c r="J49" s="175"/>
      <c r="K49" s="175"/>
      <c r="L49" s="175"/>
      <c r="M49" s="162"/>
      <c r="N49" s="48"/>
      <c r="O49" s="48"/>
      <c r="P49" s="48"/>
      <c r="Q49" s="162"/>
      <c r="R49" s="16"/>
    </row>
    <row r="50" spans="1:18" ht="15.75" thickBot="1" x14ac:dyDescent="0.3">
      <c r="A50" s="386"/>
      <c r="B50" s="398"/>
      <c r="C50" s="19" t="s">
        <v>6</v>
      </c>
      <c r="D50" s="19"/>
      <c r="E50" s="163"/>
      <c r="F50" s="401"/>
      <c r="G50" s="404"/>
      <c r="H50" s="163"/>
      <c r="I50" s="163"/>
      <c r="J50" s="176"/>
      <c r="K50" s="176"/>
      <c r="L50" s="176"/>
      <c r="M50" s="163"/>
      <c r="N50" s="50"/>
      <c r="O50" s="50"/>
      <c r="P50" s="50"/>
      <c r="Q50" s="163"/>
      <c r="R50" s="20"/>
    </row>
  </sheetData>
  <mergeCells count="62">
    <mergeCell ref="A2:R3"/>
    <mergeCell ref="D6:E6"/>
    <mergeCell ref="F6:G6"/>
    <mergeCell ref="H6:J6"/>
    <mergeCell ref="K6:O6"/>
    <mergeCell ref="Q6:R6"/>
    <mergeCell ref="O11:O13"/>
    <mergeCell ref="A14:A19"/>
    <mergeCell ref="B14:B16"/>
    <mergeCell ref="F14:F16"/>
    <mergeCell ref="G14:G16"/>
    <mergeCell ref="B17:B19"/>
    <mergeCell ref="F17:F19"/>
    <mergeCell ref="G17:G19"/>
    <mergeCell ref="O17:O19"/>
    <mergeCell ref="A8:A13"/>
    <mergeCell ref="B8:B10"/>
    <mergeCell ref="F8:F10"/>
    <mergeCell ref="G8:G10"/>
    <mergeCell ref="B11:B13"/>
    <mergeCell ref="F11:F13"/>
    <mergeCell ref="G11:G13"/>
    <mergeCell ref="Q28:R28"/>
    <mergeCell ref="A20:A25"/>
    <mergeCell ref="B20:B22"/>
    <mergeCell ref="F20:F22"/>
    <mergeCell ref="G20:G22"/>
    <mergeCell ref="B23:B25"/>
    <mergeCell ref="F23:F25"/>
    <mergeCell ref="G23:G25"/>
    <mergeCell ref="O23:O25"/>
    <mergeCell ref="D28:E28"/>
    <mergeCell ref="F28:G28"/>
    <mergeCell ref="H28:J28"/>
    <mergeCell ref="K28:O28"/>
    <mergeCell ref="G42:G44"/>
    <mergeCell ref="A30:A38"/>
    <mergeCell ref="B30:B32"/>
    <mergeCell ref="F30:F32"/>
    <mergeCell ref="G30:G32"/>
    <mergeCell ref="B33:B35"/>
    <mergeCell ref="F33:F35"/>
    <mergeCell ref="G33:G35"/>
    <mergeCell ref="B36:B38"/>
    <mergeCell ref="F36:F38"/>
    <mergeCell ref="G36:G38"/>
    <mergeCell ref="P8:P10"/>
    <mergeCell ref="P14:P16"/>
    <mergeCell ref="P20:P22"/>
    <mergeCell ref="A45:A50"/>
    <mergeCell ref="B45:B47"/>
    <mergeCell ref="F45:F47"/>
    <mergeCell ref="G45:G47"/>
    <mergeCell ref="B48:B50"/>
    <mergeCell ref="F48:F50"/>
    <mergeCell ref="G48:G50"/>
    <mergeCell ref="A39:A44"/>
    <mergeCell ref="B39:B41"/>
    <mergeCell ref="F39:F41"/>
    <mergeCell ref="G39:G41"/>
    <mergeCell ref="B42:B44"/>
    <mergeCell ref="F42:F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6"/>
  <sheetViews>
    <sheetView topLeftCell="E11" zoomScale="70" zoomScaleNormal="70" workbookViewId="0">
      <selection activeCell="Y29" sqref="Y29"/>
    </sheetView>
  </sheetViews>
  <sheetFormatPr defaultColWidth="9.140625" defaultRowHeight="15" x14ac:dyDescent="0.25"/>
  <cols>
    <col min="1" max="1" width="12" customWidth="1"/>
    <col min="2" max="2" width="15.5703125" customWidth="1"/>
    <col min="3" max="3" width="14.42578125" bestFit="1" customWidth="1"/>
    <col min="4" max="5" width="14.7109375" customWidth="1"/>
    <col min="6" max="6" width="3.42578125" customWidth="1"/>
    <col min="7" max="7" width="13.28515625" style="143" customWidth="1"/>
    <col min="8" max="8" width="15.42578125" style="144" customWidth="1"/>
    <col min="9" max="9" width="13.7109375" style="144" customWidth="1"/>
    <col min="10" max="10" width="14.42578125" style="144" customWidth="1"/>
    <col min="11" max="11" width="14.7109375" style="145" customWidth="1"/>
    <col min="12" max="12" width="14.7109375" style="143" customWidth="1"/>
    <col min="13" max="16" width="14.7109375" style="144" customWidth="1"/>
    <col min="17" max="17" width="14.7109375" style="145" customWidth="1"/>
    <col min="19" max="19" width="9.140625" style="140"/>
    <col min="20" max="20" width="12.28515625" style="141" bestFit="1" customWidth="1"/>
    <col min="21" max="21" width="13.85546875" style="141" customWidth="1"/>
    <col min="22" max="22" width="14.140625" style="141" customWidth="1"/>
    <col min="23" max="23" width="14.7109375" style="126" customWidth="1"/>
    <col min="24" max="24" width="14.7109375" style="140" customWidth="1"/>
    <col min="25" max="28" width="14.7109375" style="141" customWidth="1"/>
    <col min="29" max="29" width="14.7109375" style="126" customWidth="1"/>
  </cols>
  <sheetData>
    <row r="1" spans="1:29" ht="24" customHeight="1" thickBot="1" x14ac:dyDescent="0.3">
      <c r="A1" s="470" t="s">
        <v>50</v>
      </c>
      <c r="B1" s="471"/>
      <c r="C1" s="471"/>
      <c r="D1" s="471"/>
      <c r="E1" s="472"/>
      <c r="G1" s="488" t="s">
        <v>142</v>
      </c>
      <c r="H1" s="489"/>
      <c r="I1" s="489"/>
      <c r="J1" s="489"/>
      <c r="K1" s="489"/>
      <c r="L1" s="489"/>
      <c r="M1" s="489"/>
      <c r="N1" s="489"/>
      <c r="O1" s="489"/>
      <c r="P1" s="489"/>
      <c r="Q1" s="490"/>
      <c r="S1" s="492" t="s">
        <v>143</v>
      </c>
      <c r="T1" s="493"/>
      <c r="U1" s="493"/>
      <c r="V1" s="493"/>
      <c r="W1" s="493"/>
      <c r="X1" s="493"/>
      <c r="Y1" s="493"/>
      <c r="Z1" s="493"/>
      <c r="AA1" s="493"/>
      <c r="AB1" s="493"/>
      <c r="AC1" s="494"/>
    </row>
    <row r="2" spans="1:29" x14ac:dyDescent="0.25">
      <c r="A2" s="99" t="s">
        <v>49</v>
      </c>
      <c r="B2" s="97" t="s">
        <v>48</v>
      </c>
      <c r="C2" s="98" t="s">
        <v>47</v>
      </c>
      <c r="D2" s="97" t="s">
        <v>46</v>
      </c>
      <c r="E2" s="96" t="s">
        <v>45</v>
      </c>
    </row>
    <row r="3" spans="1:29" x14ac:dyDescent="0.25">
      <c r="A3" s="95" t="s">
        <v>44</v>
      </c>
      <c r="B3" s="93" t="s">
        <v>43</v>
      </c>
      <c r="C3" s="94" t="s">
        <v>42</v>
      </c>
      <c r="D3" s="93">
        <v>6</v>
      </c>
      <c r="E3" s="92" t="s">
        <v>41</v>
      </c>
    </row>
    <row r="4" spans="1:29" ht="15.75" thickBot="1" x14ac:dyDescent="0.3">
      <c r="A4" s="91" t="s">
        <v>40</v>
      </c>
      <c r="B4" s="90" t="s">
        <v>39</v>
      </c>
      <c r="C4" s="90"/>
      <c r="D4" s="90"/>
      <c r="E4" s="89"/>
    </row>
    <row r="5" spans="1:29" ht="15.75" thickBot="1" x14ac:dyDescent="0.3">
      <c r="A5" s="485"/>
      <c r="B5" s="486"/>
      <c r="C5" s="486"/>
      <c r="D5" s="486"/>
      <c r="E5" s="487"/>
    </row>
    <row r="6" spans="1:29" ht="15.75" thickBot="1" x14ac:dyDescent="0.3">
      <c r="A6" s="88" t="s">
        <v>38</v>
      </c>
      <c r="B6" s="87" t="s">
        <v>37</v>
      </c>
      <c r="C6" s="87" t="s">
        <v>36</v>
      </c>
      <c r="D6" s="86" t="s">
        <v>35</v>
      </c>
      <c r="E6" s="85" t="s">
        <v>34</v>
      </c>
    </row>
    <row r="7" spans="1:29" x14ac:dyDescent="0.25">
      <c r="A7" s="84"/>
      <c r="B7" s="83">
        <v>105</v>
      </c>
      <c r="C7" s="83"/>
      <c r="D7" s="82"/>
      <c r="E7" s="81"/>
    </row>
    <row r="8" spans="1:29" ht="15.75" thickBot="1" x14ac:dyDescent="0.3">
      <c r="A8" s="80"/>
      <c r="B8" s="79"/>
      <c r="C8" s="79"/>
      <c r="D8" s="78"/>
      <c r="E8" s="77"/>
    </row>
    <row r="9" spans="1:29" ht="15.75" thickBot="1" x14ac:dyDescent="0.3">
      <c r="A9" s="76"/>
      <c r="B9" s="61"/>
      <c r="C9" s="61"/>
      <c r="D9" s="61"/>
      <c r="E9" s="75"/>
      <c r="G9" s="482" t="s">
        <v>92</v>
      </c>
      <c r="H9" s="483"/>
      <c r="I9" s="483"/>
      <c r="J9" s="483"/>
      <c r="K9" s="484"/>
      <c r="L9" s="237"/>
      <c r="M9" s="231"/>
      <c r="N9" s="231"/>
      <c r="O9" s="508" t="s">
        <v>114</v>
      </c>
      <c r="P9" s="509"/>
      <c r="Q9" s="510"/>
      <c r="S9" s="495" t="s">
        <v>93</v>
      </c>
      <c r="T9" s="496"/>
      <c r="U9" s="496"/>
      <c r="V9" s="496"/>
      <c r="W9" s="497"/>
      <c r="X9" s="246"/>
      <c r="Y9" s="235"/>
      <c r="Z9" s="235"/>
      <c r="AA9" s="502" t="s">
        <v>113</v>
      </c>
      <c r="AB9" s="503"/>
      <c r="AC9" s="504"/>
    </row>
    <row r="10" spans="1:29" ht="45.75" customHeight="1" thickBot="1" x14ac:dyDescent="0.3">
      <c r="G10" s="194"/>
      <c r="H10" s="264" t="s">
        <v>0</v>
      </c>
      <c r="I10" s="147" t="s">
        <v>33</v>
      </c>
      <c r="J10" s="147" t="s">
        <v>32</v>
      </c>
      <c r="K10" s="148" t="s">
        <v>31</v>
      </c>
      <c r="L10" s="265" t="s">
        <v>94</v>
      </c>
      <c r="M10" s="147" t="s">
        <v>32</v>
      </c>
      <c r="N10" s="148" t="s">
        <v>31</v>
      </c>
      <c r="O10" s="147" t="s">
        <v>97</v>
      </c>
      <c r="P10" s="147" t="s">
        <v>95</v>
      </c>
      <c r="Q10" s="148" t="s">
        <v>96</v>
      </c>
      <c r="S10" s="188"/>
      <c r="T10" s="269" t="s">
        <v>0</v>
      </c>
      <c r="U10" s="152" t="s">
        <v>33</v>
      </c>
      <c r="V10" s="150" t="s">
        <v>32</v>
      </c>
      <c r="W10" s="151" t="s">
        <v>31</v>
      </c>
      <c r="X10" s="270" t="s">
        <v>94</v>
      </c>
      <c r="Y10" s="150" t="s">
        <v>32</v>
      </c>
      <c r="Z10" s="259" t="s">
        <v>31</v>
      </c>
      <c r="AA10" s="270" t="s">
        <v>97</v>
      </c>
      <c r="AB10" s="150" t="s">
        <v>95</v>
      </c>
      <c r="AC10" s="151" t="s">
        <v>96</v>
      </c>
    </row>
    <row r="11" spans="1:29" ht="15.75" thickBot="1" x14ac:dyDescent="0.3">
      <c r="G11" s="473" t="s">
        <v>30</v>
      </c>
      <c r="H11" s="5">
        <v>0</v>
      </c>
      <c r="I11" s="131">
        <v>1.5569999999999999</v>
      </c>
      <c r="J11" s="131">
        <v>1.532</v>
      </c>
      <c r="K11" s="271">
        <v>1.5029999999999999</v>
      </c>
      <c r="L11" s="238">
        <f>($I$11-I11)</f>
        <v>0</v>
      </c>
      <c r="M11" s="131">
        <f>($J$11-J11)</f>
        <v>0</v>
      </c>
      <c r="N11" s="132">
        <f>($K$11-K11)</f>
        <v>0</v>
      </c>
      <c r="O11" s="133">
        <f t="shared" ref="O11:O30" si="0">SUM(L11:N11)/3</f>
        <v>0</v>
      </c>
      <c r="P11" s="133">
        <f t="shared" ref="P11:P30" si="1">((L11-O11)^2+(M11-O11)^2+(N11-O11)^2)/3</f>
        <v>0</v>
      </c>
      <c r="Q11" s="134">
        <f t="shared" ref="Q11:Q30" si="2">SQRT(P11)</f>
        <v>0</v>
      </c>
      <c r="S11" s="498" t="s">
        <v>29</v>
      </c>
      <c r="T11" s="189">
        <v>0</v>
      </c>
      <c r="U11" s="116">
        <v>1.5149999999999999</v>
      </c>
      <c r="V11" s="116">
        <v>1.512</v>
      </c>
      <c r="W11" s="117">
        <v>1.5149999999999999</v>
      </c>
      <c r="X11" s="127">
        <f>($U$11-U11)</f>
        <v>0</v>
      </c>
      <c r="Y11" s="116">
        <f>($V$11-V11)</f>
        <v>0</v>
      </c>
      <c r="Z11" s="260">
        <f>($W$11-W11)</f>
        <v>0</v>
      </c>
      <c r="AA11" s="293">
        <f t="shared" ref="AA11:AA22" si="3">SUM(X11:Z11)/3</f>
        <v>0</v>
      </c>
      <c r="AB11" s="118">
        <f t="shared" ref="AB11:AB22" si="4">((X11-AA11)^2+(Y11-AA11)^2+(Z11-AA11)^2)/3</f>
        <v>0</v>
      </c>
      <c r="AC11" s="119">
        <f>SQRT(AB11)</f>
        <v>0</v>
      </c>
    </row>
    <row r="12" spans="1:29" ht="15.75" thickBot="1" x14ac:dyDescent="0.3">
      <c r="G12" s="474"/>
      <c r="H12" s="7">
        <v>1</v>
      </c>
      <c r="I12" s="135">
        <v>1.298</v>
      </c>
      <c r="J12" s="135">
        <v>1.222</v>
      </c>
      <c r="K12" s="272">
        <v>1.1850000000000001</v>
      </c>
      <c r="L12" s="238">
        <f t="shared" ref="L12:L30" si="5">($I$11-I12)</f>
        <v>0.2589999999999999</v>
      </c>
      <c r="M12" s="131">
        <f t="shared" ref="M12:M27" si="6">($J$11-J12)</f>
        <v>0.31000000000000005</v>
      </c>
      <c r="N12" s="132">
        <f t="shared" ref="N12:N27" si="7">($K$11-K12)</f>
        <v>0.31799999999999984</v>
      </c>
      <c r="O12" s="133">
        <f t="shared" si="0"/>
        <v>0.29566666666666658</v>
      </c>
      <c r="P12" s="133">
        <f t="shared" si="1"/>
        <v>6.8288888888888956E-4</v>
      </c>
      <c r="Q12" s="134">
        <f t="shared" si="2"/>
        <v>2.6132142830026198E-2</v>
      </c>
      <c r="S12" s="499"/>
      <c r="T12" s="190">
        <v>1</v>
      </c>
      <c r="U12" s="120">
        <v>1.0980000000000001</v>
      </c>
      <c r="V12" s="120">
        <v>1.1080000000000001</v>
      </c>
      <c r="W12" s="121">
        <v>1.208</v>
      </c>
      <c r="X12" s="127">
        <f t="shared" ref="X12:X19" si="8">($U$11-U12)</f>
        <v>0.41699999999999982</v>
      </c>
      <c r="Y12" s="116">
        <f t="shared" ref="Y12:Y18" si="9">($V$11-V12)</f>
        <v>0.40399999999999991</v>
      </c>
      <c r="Z12" s="260">
        <f t="shared" ref="Z12:Z22" si="10">($W$11-W12)/$W$11</f>
        <v>0.20264026402640262</v>
      </c>
      <c r="AA12" s="293">
        <f t="shared" si="3"/>
        <v>0.34121342134213412</v>
      </c>
      <c r="AB12" s="118">
        <f t="shared" si="4"/>
        <v>9.6294266308919012E-3</v>
      </c>
      <c r="AC12" s="119">
        <f t="shared" ref="AC12:AC22" si="11">SQRT(AB12)</f>
        <v>9.8129641958441385E-2</v>
      </c>
    </row>
    <row r="13" spans="1:29" ht="15.75" thickBot="1" x14ac:dyDescent="0.3">
      <c r="G13" s="474"/>
      <c r="H13" s="12">
        <v>2</v>
      </c>
      <c r="I13" s="129">
        <v>1.0660000000000001</v>
      </c>
      <c r="J13" s="129">
        <v>1.008</v>
      </c>
      <c r="K13" s="273">
        <v>0.96499999999999997</v>
      </c>
      <c r="L13" s="238">
        <f t="shared" si="5"/>
        <v>0.49099999999999988</v>
      </c>
      <c r="M13" s="131">
        <f t="shared" si="6"/>
        <v>0.52400000000000002</v>
      </c>
      <c r="N13" s="132">
        <f t="shared" si="7"/>
        <v>0.53799999999999992</v>
      </c>
      <c r="O13" s="133">
        <f t="shared" si="0"/>
        <v>0.51766666666666661</v>
      </c>
      <c r="P13" s="133">
        <f t="shared" si="1"/>
        <v>3.8822222222222339E-4</v>
      </c>
      <c r="Q13" s="134">
        <f t="shared" si="2"/>
        <v>1.9703355608175564E-2</v>
      </c>
      <c r="S13" s="499"/>
      <c r="T13" s="191">
        <v>2</v>
      </c>
      <c r="U13" s="114">
        <v>0.79100000000000004</v>
      </c>
      <c r="V13" s="114">
        <v>0.78300000000000003</v>
      </c>
      <c r="W13" s="115">
        <v>0.96799999999999997</v>
      </c>
      <c r="X13" s="127">
        <f t="shared" si="8"/>
        <v>0.72399999999999987</v>
      </c>
      <c r="Y13" s="116">
        <f t="shared" si="9"/>
        <v>0.72899999999999998</v>
      </c>
      <c r="Z13" s="260">
        <f t="shared" si="10"/>
        <v>0.36105610561056101</v>
      </c>
      <c r="AA13" s="293">
        <f t="shared" si="3"/>
        <v>0.60468536853685362</v>
      </c>
      <c r="AB13" s="118">
        <f t="shared" si="4"/>
        <v>2.9681775543670973E-2</v>
      </c>
      <c r="AC13" s="119">
        <f t="shared" si="11"/>
        <v>0.17228399677181561</v>
      </c>
    </row>
    <row r="14" spans="1:29" ht="15.75" thickBot="1" x14ac:dyDescent="0.3">
      <c r="G14" s="474"/>
      <c r="H14" s="5">
        <v>3</v>
      </c>
      <c r="I14" s="131">
        <v>0.90100000000000002</v>
      </c>
      <c r="J14" s="131">
        <v>0.85099999999999998</v>
      </c>
      <c r="K14" s="271">
        <v>0.80800000000000005</v>
      </c>
      <c r="L14" s="238">
        <f t="shared" si="5"/>
        <v>0.65599999999999992</v>
      </c>
      <c r="M14" s="131">
        <f t="shared" si="6"/>
        <v>0.68100000000000005</v>
      </c>
      <c r="N14" s="132">
        <f t="shared" si="7"/>
        <v>0.69499999999999984</v>
      </c>
      <c r="O14" s="133">
        <f t="shared" si="0"/>
        <v>0.67733333333333334</v>
      </c>
      <c r="P14" s="133">
        <f t="shared" si="1"/>
        <v>2.6022222222222164E-4</v>
      </c>
      <c r="Q14" s="134">
        <f t="shared" si="2"/>
        <v>1.613140484341713E-2</v>
      </c>
      <c r="S14" s="499"/>
      <c r="T14" s="189">
        <v>3</v>
      </c>
      <c r="U14" s="116">
        <v>0.52200000000000002</v>
      </c>
      <c r="V14" s="116">
        <v>0.51700000000000002</v>
      </c>
      <c r="W14" s="117">
        <v>0.74099999999999999</v>
      </c>
      <c r="X14" s="127">
        <f t="shared" si="8"/>
        <v>0.99299999999999988</v>
      </c>
      <c r="Y14" s="116">
        <f t="shared" si="9"/>
        <v>0.995</v>
      </c>
      <c r="Z14" s="260">
        <f t="shared" si="10"/>
        <v>0.5108910891089109</v>
      </c>
      <c r="AA14" s="293">
        <f t="shared" si="3"/>
        <v>0.83296369636963696</v>
      </c>
      <c r="AB14" s="118">
        <f t="shared" si="4"/>
        <v>5.1866048840527611E-2</v>
      </c>
      <c r="AC14" s="119">
        <f t="shared" si="11"/>
        <v>0.22774118828294457</v>
      </c>
    </row>
    <row r="15" spans="1:29" ht="15.75" thickBot="1" x14ac:dyDescent="0.3">
      <c r="G15" s="474"/>
      <c r="H15" s="7">
        <v>4</v>
      </c>
      <c r="I15" s="135">
        <v>0.78600000000000003</v>
      </c>
      <c r="J15" s="135">
        <v>0.73899999999999999</v>
      </c>
      <c r="K15" s="272">
        <v>0.69499999999999995</v>
      </c>
      <c r="L15" s="238">
        <f t="shared" si="5"/>
        <v>0.77099999999999991</v>
      </c>
      <c r="M15" s="131">
        <f t="shared" si="6"/>
        <v>0.79300000000000004</v>
      </c>
      <c r="N15" s="132">
        <f t="shared" si="7"/>
        <v>0.80799999999999994</v>
      </c>
      <c r="O15" s="133">
        <f t="shared" si="0"/>
        <v>0.79066666666666663</v>
      </c>
      <c r="P15" s="133">
        <f t="shared" si="1"/>
        <v>2.308888888888895E-4</v>
      </c>
      <c r="Q15" s="134">
        <f t="shared" si="2"/>
        <v>1.5195028426721996E-2</v>
      </c>
      <c r="S15" s="499"/>
      <c r="T15" s="190">
        <v>4</v>
      </c>
      <c r="U15" s="120">
        <v>0.31</v>
      </c>
      <c r="V15" s="120">
        <v>0.29099999999999998</v>
      </c>
      <c r="W15" s="121">
        <v>0.54</v>
      </c>
      <c r="X15" s="127">
        <f t="shared" si="8"/>
        <v>1.2049999999999998</v>
      </c>
      <c r="Y15" s="116">
        <f t="shared" si="9"/>
        <v>1.2210000000000001</v>
      </c>
      <c r="Z15" s="260">
        <f t="shared" si="10"/>
        <v>0.64356435643564347</v>
      </c>
      <c r="AA15" s="293">
        <f t="shared" si="3"/>
        <v>1.0231881188118812</v>
      </c>
      <c r="AB15" s="118">
        <f t="shared" si="4"/>
        <v>7.2099767147011745E-2</v>
      </c>
      <c r="AC15" s="119">
        <f t="shared" si="11"/>
        <v>0.26851399804667864</v>
      </c>
    </row>
    <row r="16" spans="1:29" ht="15.75" thickBot="1" x14ac:dyDescent="0.3">
      <c r="G16" s="474"/>
      <c r="H16" s="12">
        <v>5</v>
      </c>
      <c r="I16" s="129">
        <v>0.7</v>
      </c>
      <c r="J16" s="129">
        <v>0.65600000000000003</v>
      </c>
      <c r="K16" s="273">
        <v>0.61399999999999999</v>
      </c>
      <c r="L16" s="238">
        <f t="shared" si="5"/>
        <v>0.85699999999999998</v>
      </c>
      <c r="M16" s="131">
        <f t="shared" si="6"/>
        <v>0.876</v>
      </c>
      <c r="N16" s="132">
        <f t="shared" si="7"/>
        <v>0.8889999999999999</v>
      </c>
      <c r="O16" s="133">
        <f t="shared" si="0"/>
        <v>0.874</v>
      </c>
      <c r="P16" s="133">
        <f t="shared" si="1"/>
        <v>1.7266666666666589E-4</v>
      </c>
      <c r="Q16" s="134">
        <f t="shared" si="2"/>
        <v>1.3140268896284652E-2</v>
      </c>
      <c r="S16" s="499"/>
      <c r="T16" s="191">
        <v>5</v>
      </c>
      <c r="U16" s="114">
        <v>0.159</v>
      </c>
      <c r="V16" s="114">
        <v>0.11799999999999999</v>
      </c>
      <c r="W16" s="115">
        <v>0.36499999999999999</v>
      </c>
      <c r="X16" s="127">
        <f t="shared" si="8"/>
        <v>1.3559999999999999</v>
      </c>
      <c r="Y16" s="116">
        <f t="shared" si="9"/>
        <v>1.3940000000000001</v>
      </c>
      <c r="Z16" s="260">
        <f t="shared" si="10"/>
        <v>0.75907590759075905</v>
      </c>
      <c r="AA16" s="293">
        <f t="shared" si="3"/>
        <v>1.1696919691969196</v>
      </c>
      <c r="AB16" s="118">
        <f t="shared" si="4"/>
        <v>8.454344169114382E-2</v>
      </c>
      <c r="AC16" s="119">
        <f t="shared" si="11"/>
        <v>0.29076354945409477</v>
      </c>
    </row>
    <row r="17" spans="7:29" ht="15.75" thickBot="1" x14ac:dyDescent="0.3">
      <c r="G17" s="474"/>
      <c r="H17" s="5">
        <v>6</v>
      </c>
      <c r="I17" s="131">
        <v>0.63400000000000001</v>
      </c>
      <c r="J17" s="131">
        <v>0.59199999999999997</v>
      </c>
      <c r="K17" s="271">
        <v>0.55200000000000005</v>
      </c>
      <c r="L17" s="238">
        <f t="shared" si="5"/>
        <v>0.92299999999999993</v>
      </c>
      <c r="M17" s="131">
        <f t="shared" si="6"/>
        <v>0.94000000000000006</v>
      </c>
      <c r="N17" s="132">
        <f t="shared" si="7"/>
        <v>0.95099999999999985</v>
      </c>
      <c r="O17" s="133">
        <f t="shared" si="0"/>
        <v>0.93800000000000006</v>
      </c>
      <c r="P17" s="133">
        <f t="shared" si="1"/>
        <v>1.3266666666666611E-4</v>
      </c>
      <c r="Q17" s="134">
        <f t="shared" si="2"/>
        <v>1.1518101695447307E-2</v>
      </c>
      <c r="S17" s="499"/>
      <c r="T17" s="189">
        <v>6</v>
      </c>
      <c r="U17" s="116">
        <v>7.9000000000000001E-2</v>
      </c>
      <c r="V17" s="116">
        <v>4.4999999999999998E-2</v>
      </c>
      <c r="W17" s="117">
        <v>0.219</v>
      </c>
      <c r="X17" s="127">
        <f t="shared" si="8"/>
        <v>1.4359999999999999</v>
      </c>
      <c r="Y17" s="116">
        <f t="shared" si="9"/>
        <v>1.4670000000000001</v>
      </c>
      <c r="Z17" s="260">
        <f t="shared" si="10"/>
        <v>0.85544554455445543</v>
      </c>
      <c r="AA17" s="293">
        <f t="shared" si="3"/>
        <v>1.2528151815181519</v>
      </c>
      <c r="AB17" s="118">
        <f t="shared" si="4"/>
        <v>7.9111480856996597E-2</v>
      </c>
      <c r="AC17" s="119">
        <f t="shared" si="11"/>
        <v>0.2812676320819667</v>
      </c>
    </row>
    <row r="18" spans="7:29" ht="15.75" thickBot="1" x14ac:dyDescent="0.3">
      <c r="G18" s="474"/>
      <c r="H18" s="7">
        <v>7</v>
      </c>
      <c r="I18" s="135">
        <v>0.58099999999999996</v>
      </c>
      <c r="J18" s="135">
        <v>0.54100000000000004</v>
      </c>
      <c r="K18" s="272">
        <v>0.505</v>
      </c>
      <c r="L18" s="238">
        <f t="shared" si="5"/>
        <v>0.97599999999999998</v>
      </c>
      <c r="M18" s="131">
        <f t="shared" si="6"/>
        <v>0.99099999999999999</v>
      </c>
      <c r="N18" s="132">
        <f t="shared" si="7"/>
        <v>0.99799999999999989</v>
      </c>
      <c r="O18" s="133">
        <f t="shared" si="0"/>
        <v>0.98833333333333329</v>
      </c>
      <c r="P18" s="133">
        <f t="shared" si="1"/>
        <v>8.4222222222221657E-5</v>
      </c>
      <c r="Q18" s="134">
        <f t="shared" si="2"/>
        <v>9.177266598624105E-3</v>
      </c>
      <c r="S18" s="499"/>
      <c r="T18" s="190">
        <v>7</v>
      </c>
      <c r="U18" s="120">
        <v>5.8999999999999997E-2</v>
      </c>
      <c r="V18" s="120">
        <v>5.3999999999999999E-2</v>
      </c>
      <c r="W18" s="121">
        <v>0.115</v>
      </c>
      <c r="X18" s="127">
        <f t="shared" si="8"/>
        <v>1.456</v>
      </c>
      <c r="Y18" s="116">
        <f t="shared" si="9"/>
        <v>1.458</v>
      </c>
      <c r="Z18" s="260">
        <f t="shared" si="10"/>
        <v>0.92409240924092406</v>
      </c>
      <c r="AA18" s="293">
        <f t="shared" si="3"/>
        <v>1.2793641364136412</v>
      </c>
      <c r="AB18" s="118">
        <f t="shared" si="4"/>
        <v>6.3109666730809491E-2</v>
      </c>
      <c r="AC18" s="119">
        <f t="shared" si="11"/>
        <v>0.25121637432860439</v>
      </c>
    </row>
    <row r="19" spans="7:29" ht="15.75" thickBot="1" x14ac:dyDescent="0.3">
      <c r="G19" s="474"/>
      <c r="H19" s="12">
        <v>8</v>
      </c>
      <c r="I19" s="129">
        <v>0.53800000000000003</v>
      </c>
      <c r="J19" s="129">
        <v>0.501</v>
      </c>
      <c r="K19" s="273">
        <v>0.47</v>
      </c>
      <c r="L19" s="238">
        <f t="shared" si="5"/>
        <v>1.0189999999999999</v>
      </c>
      <c r="M19" s="131">
        <f t="shared" si="6"/>
        <v>1.0310000000000001</v>
      </c>
      <c r="N19" s="132">
        <f t="shared" si="7"/>
        <v>1.0329999999999999</v>
      </c>
      <c r="O19" s="133">
        <f t="shared" si="0"/>
        <v>1.0276666666666665</v>
      </c>
      <c r="P19" s="133">
        <f t="shared" si="1"/>
        <v>3.8222222222222782E-5</v>
      </c>
      <c r="Q19" s="134">
        <f t="shared" si="2"/>
        <v>6.1824123303305147E-3</v>
      </c>
      <c r="S19" s="499"/>
      <c r="T19" s="191">
        <v>8</v>
      </c>
      <c r="U19" s="114">
        <v>5.8000000000000003E-2</v>
      </c>
      <c r="V19" s="114" t="s">
        <v>28</v>
      </c>
      <c r="W19" s="115">
        <v>6.5000000000000002E-2</v>
      </c>
      <c r="X19" s="127">
        <f t="shared" si="8"/>
        <v>1.4569999999999999</v>
      </c>
      <c r="Y19" s="185">
        <f>Y18</f>
        <v>1.458</v>
      </c>
      <c r="Z19" s="260">
        <f t="shared" si="10"/>
        <v>0.95709570957095713</v>
      </c>
      <c r="AA19" s="293">
        <f t="shared" si="3"/>
        <v>1.2906985698569857</v>
      </c>
      <c r="AB19" s="118">
        <f t="shared" si="4"/>
        <v>5.5645600862176403E-2</v>
      </c>
      <c r="AC19" s="119">
        <f t="shared" si="11"/>
        <v>0.23589319799895969</v>
      </c>
    </row>
    <row r="20" spans="7:29" ht="15.75" thickBot="1" x14ac:dyDescent="0.3">
      <c r="G20" s="474"/>
      <c r="H20" s="5">
        <v>9</v>
      </c>
      <c r="I20" s="131">
        <v>0.504</v>
      </c>
      <c r="J20" s="131">
        <v>0.46899999999999997</v>
      </c>
      <c r="K20" s="271">
        <v>0.44900000000000001</v>
      </c>
      <c r="L20" s="238">
        <f t="shared" si="5"/>
        <v>1.0529999999999999</v>
      </c>
      <c r="M20" s="131">
        <f t="shared" si="6"/>
        <v>1.0630000000000002</v>
      </c>
      <c r="N20" s="132">
        <f t="shared" si="7"/>
        <v>1.0539999999999998</v>
      </c>
      <c r="O20" s="133">
        <f t="shared" si="0"/>
        <v>1.0566666666666666</v>
      </c>
      <c r="P20" s="133">
        <f t="shared" si="1"/>
        <v>2.0222222222223391E-5</v>
      </c>
      <c r="Q20" s="134">
        <f t="shared" si="2"/>
        <v>4.4969125210774768E-3</v>
      </c>
      <c r="S20" s="499"/>
      <c r="T20" s="189">
        <v>9</v>
      </c>
      <c r="U20" s="116" t="s">
        <v>27</v>
      </c>
      <c r="V20" s="116"/>
      <c r="W20" s="117">
        <v>5.8999999999999997E-2</v>
      </c>
      <c r="X20" s="187">
        <f>X19</f>
        <v>1.4569999999999999</v>
      </c>
      <c r="Y20" s="185">
        <f>Y19</f>
        <v>1.458</v>
      </c>
      <c r="Z20" s="260">
        <f t="shared" si="10"/>
        <v>0.9610561056105611</v>
      </c>
      <c r="AA20" s="293">
        <f t="shared" si="3"/>
        <v>1.2920187018701872</v>
      </c>
      <c r="AB20" s="118">
        <f t="shared" si="4"/>
        <v>5.4768286728122728E-2</v>
      </c>
      <c r="AC20" s="119">
        <f t="shared" si="11"/>
        <v>0.23402625221996512</v>
      </c>
    </row>
    <row r="21" spans="7:29" ht="15.75" thickBot="1" x14ac:dyDescent="0.3">
      <c r="G21" s="474"/>
      <c r="H21" s="7">
        <v>10</v>
      </c>
      <c r="I21" s="135">
        <v>0.47699999999999998</v>
      </c>
      <c r="J21" s="135">
        <v>0.44800000000000001</v>
      </c>
      <c r="K21" s="272">
        <v>0.43099999999999999</v>
      </c>
      <c r="L21" s="238">
        <f t="shared" si="5"/>
        <v>1.08</v>
      </c>
      <c r="M21" s="131">
        <f t="shared" si="6"/>
        <v>1.0840000000000001</v>
      </c>
      <c r="N21" s="132">
        <f t="shared" si="7"/>
        <v>1.0719999999999998</v>
      </c>
      <c r="O21" s="133">
        <f t="shared" si="0"/>
        <v>1.0786666666666667</v>
      </c>
      <c r="P21" s="133">
        <f t="shared" si="1"/>
        <v>2.4888888888889923E-5</v>
      </c>
      <c r="Q21" s="134">
        <f t="shared" si="2"/>
        <v>4.9888765156986918E-3</v>
      </c>
      <c r="S21" s="499"/>
      <c r="T21" s="190">
        <v>10</v>
      </c>
      <c r="U21" s="124"/>
      <c r="V21" s="120"/>
      <c r="W21" s="121">
        <v>5.8999999999999997E-2</v>
      </c>
      <c r="X21" s="187">
        <f>X20</f>
        <v>1.4569999999999999</v>
      </c>
      <c r="Y21" s="185">
        <f>Y20</f>
        <v>1.458</v>
      </c>
      <c r="Z21" s="260">
        <f t="shared" si="10"/>
        <v>0.9610561056105611</v>
      </c>
      <c r="AA21" s="293">
        <f t="shared" si="3"/>
        <v>1.2920187018701872</v>
      </c>
      <c r="AB21" s="118">
        <f t="shared" si="4"/>
        <v>5.4768286728122728E-2</v>
      </c>
      <c r="AC21" s="119">
        <f t="shared" si="11"/>
        <v>0.23402625221996512</v>
      </c>
    </row>
    <row r="22" spans="7:29" ht="15.75" thickBot="1" x14ac:dyDescent="0.3">
      <c r="G22" s="474"/>
      <c r="H22" s="12">
        <v>11</v>
      </c>
      <c r="I22" s="129">
        <v>0.45600000000000002</v>
      </c>
      <c r="J22" s="129">
        <v>0.434</v>
      </c>
      <c r="K22" s="273">
        <v>0.42099999999999999</v>
      </c>
      <c r="L22" s="238">
        <f t="shared" si="5"/>
        <v>1.101</v>
      </c>
      <c r="M22" s="131">
        <f t="shared" si="6"/>
        <v>1.0980000000000001</v>
      </c>
      <c r="N22" s="132">
        <f t="shared" si="7"/>
        <v>1.0819999999999999</v>
      </c>
      <c r="O22" s="133">
        <f t="shared" si="0"/>
        <v>1.0936666666666666</v>
      </c>
      <c r="P22" s="133">
        <f t="shared" si="1"/>
        <v>6.9555555555556861E-5</v>
      </c>
      <c r="Q22" s="134">
        <f t="shared" si="2"/>
        <v>8.3399973354646145E-3</v>
      </c>
      <c r="S22" s="499"/>
      <c r="T22" s="191">
        <v>11</v>
      </c>
      <c r="U22" s="114"/>
      <c r="V22" s="114"/>
      <c r="W22" s="115">
        <v>5.6000000000000001E-2</v>
      </c>
      <c r="X22" s="187">
        <f>X21</f>
        <v>1.4569999999999999</v>
      </c>
      <c r="Y22" s="185">
        <f>Y21</f>
        <v>1.458</v>
      </c>
      <c r="Z22" s="260">
        <f t="shared" si="10"/>
        <v>0.96303630363036297</v>
      </c>
      <c r="AA22" s="293">
        <f t="shared" si="3"/>
        <v>1.2926787678767877</v>
      </c>
      <c r="AB22" s="118">
        <f t="shared" si="4"/>
        <v>5.4332243783894341E-2</v>
      </c>
      <c r="AC22" s="119">
        <f t="shared" si="11"/>
        <v>0.23309277934739708</v>
      </c>
    </row>
    <row r="23" spans="7:29" ht="15.75" thickBot="1" x14ac:dyDescent="0.3">
      <c r="G23" s="474"/>
      <c r="H23" s="5">
        <v>12</v>
      </c>
      <c r="I23" s="131">
        <v>0.44</v>
      </c>
      <c r="J23" s="131">
        <v>0.42399999999999999</v>
      </c>
      <c r="K23" s="271">
        <v>0.41299999999999998</v>
      </c>
      <c r="L23" s="238">
        <f t="shared" si="5"/>
        <v>1.117</v>
      </c>
      <c r="M23" s="131">
        <f t="shared" si="6"/>
        <v>1.1080000000000001</v>
      </c>
      <c r="N23" s="132">
        <f t="shared" si="7"/>
        <v>1.0899999999999999</v>
      </c>
      <c r="O23" s="133">
        <f t="shared" si="0"/>
        <v>1.105</v>
      </c>
      <c r="P23" s="133">
        <f t="shared" si="1"/>
        <v>1.2600000000000154E-4</v>
      </c>
      <c r="Q23" s="134">
        <f t="shared" si="2"/>
        <v>1.1224972160321893E-2</v>
      </c>
      <c r="S23" s="499"/>
      <c r="T23" s="189">
        <v>12</v>
      </c>
      <c r="U23" s="116"/>
      <c r="V23" s="116"/>
      <c r="W23" s="117" t="s">
        <v>26</v>
      </c>
      <c r="X23" s="127"/>
      <c r="Y23" s="116"/>
      <c r="Z23" s="260"/>
      <c r="AA23" s="293" t="s">
        <v>29</v>
      </c>
      <c r="AB23" s="120"/>
      <c r="AC23" s="121"/>
    </row>
    <row r="24" spans="7:29" ht="15.75" thickBot="1" x14ac:dyDescent="0.3">
      <c r="G24" s="474"/>
      <c r="H24" s="7">
        <v>13</v>
      </c>
      <c r="I24" s="135">
        <v>0.42799999999999999</v>
      </c>
      <c r="J24" s="135">
        <v>0.41799999999999998</v>
      </c>
      <c r="K24" s="272">
        <v>0.40699999999999997</v>
      </c>
      <c r="L24" s="238">
        <f t="shared" si="5"/>
        <v>1.129</v>
      </c>
      <c r="M24" s="131">
        <f t="shared" si="6"/>
        <v>1.1140000000000001</v>
      </c>
      <c r="N24" s="132">
        <f t="shared" si="7"/>
        <v>1.0959999999999999</v>
      </c>
      <c r="O24" s="133">
        <f t="shared" si="0"/>
        <v>1.1130000000000002</v>
      </c>
      <c r="P24" s="133">
        <f t="shared" si="1"/>
        <v>1.8200000000000169E-4</v>
      </c>
      <c r="Q24" s="134">
        <f t="shared" si="2"/>
        <v>1.3490737563232104E-2</v>
      </c>
      <c r="S24" s="499"/>
      <c r="T24" s="190">
        <v>13</v>
      </c>
      <c r="U24" s="120"/>
      <c r="V24" s="120"/>
      <c r="W24" s="121"/>
      <c r="X24" s="127"/>
      <c r="Y24" s="116"/>
      <c r="Z24" s="260"/>
      <c r="AA24" s="215"/>
      <c r="AB24" s="120"/>
      <c r="AC24" s="121"/>
    </row>
    <row r="25" spans="7:29" ht="15.75" thickBot="1" x14ac:dyDescent="0.3">
      <c r="G25" s="474"/>
      <c r="H25" s="12">
        <v>14</v>
      </c>
      <c r="I25" s="129">
        <v>0.41899999999999998</v>
      </c>
      <c r="J25" s="129">
        <v>0.41399999999999998</v>
      </c>
      <c r="K25" s="273">
        <v>0.40400000000000003</v>
      </c>
      <c r="L25" s="238">
        <f t="shared" si="5"/>
        <v>1.1379999999999999</v>
      </c>
      <c r="M25" s="131">
        <f t="shared" si="6"/>
        <v>1.1180000000000001</v>
      </c>
      <c r="N25" s="132">
        <f t="shared" si="7"/>
        <v>1.0989999999999998</v>
      </c>
      <c r="O25" s="133">
        <f t="shared" si="0"/>
        <v>1.1183333333333334</v>
      </c>
      <c r="P25" s="133">
        <f t="shared" si="1"/>
        <v>2.5355555555555738E-4</v>
      </c>
      <c r="Q25" s="134">
        <f t="shared" si="2"/>
        <v>1.5923427883328307E-2</v>
      </c>
      <c r="S25" s="499"/>
      <c r="T25" s="191">
        <v>14</v>
      </c>
      <c r="U25" s="114"/>
      <c r="V25" s="114"/>
      <c r="W25" s="115"/>
      <c r="X25" s="127"/>
      <c r="Y25" s="116"/>
      <c r="Z25" s="260"/>
      <c r="AA25" s="215"/>
      <c r="AB25" s="120"/>
      <c r="AC25" s="121"/>
    </row>
    <row r="26" spans="7:29" ht="15.75" thickBot="1" x14ac:dyDescent="0.3">
      <c r="G26" s="474"/>
      <c r="H26" s="5">
        <v>15</v>
      </c>
      <c r="I26" s="131">
        <v>0.41199999999999998</v>
      </c>
      <c r="J26" s="131">
        <v>0.41</v>
      </c>
      <c r="K26" s="271">
        <v>0.40100000000000002</v>
      </c>
      <c r="L26" s="238">
        <f t="shared" si="5"/>
        <v>1.145</v>
      </c>
      <c r="M26" s="131">
        <f t="shared" si="6"/>
        <v>1.1220000000000001</v>
      </c>
      <c r="N26" s="132">
        <f t="shared" si="7"/>
        <v>1.1019999999999999</v>
      </c>
      <c r="O26" s="133">
        <f t="shared" si="0"/>
        <v>1.123</v>
      </c>
      <c r="P26" s="133">
        <f t="shared" si="1"/>
        <v>3.0866666666666868E-4</v>
      </c>
      <c r="Q26" s="134">
        <f t="shared" si="2"/>
        <v>1.7568911937472641E-2</v>
      </c>
      <c r="S26" s="499"/>
      <c r="T26" s="189">
        <v>15</v>
      </c>
      <c r="U26" s="116"/>
      <c r="V26" s="116"/>
      <c r="W26" s="117"/>
      <c r="X26" s="127"/>
      <c r="Y26" s="116"/>
      <c r="Z26" s="260"/>
      <c r="AA26" s="215"/>
      <c r="AB26" s="120"/>
      <c r="AC26" s="121"/>
    </row>
    <row r="27" spans="7:29" ht="15.75" thickBot="1" x14ac:dyDescent="0.3">
      <c r="G27" s="474"/>
      <c r="H27" s="7">
        <v>16</v>
      </c>
      <c r="I27" s="135">
        <v>0.40699999999999997</v>
      </c>
      <c r="J27" s="135">
        <v>0.40799999999999997</v>
      </c>
      <c r="K27" s="272">
        <v>0.39900000000000002</v>
      </c>
      <c r="L27" s="238">
        <f t="shared" si="5"/>
        <v>1.1499999999999999</v>
      </c>
      <c r="M27" s="131">
        <f t="shared" si="6"/>
        <v>1.1240000000000001</v>
      </c>
      <c r="N27" s="132">
        <f t="shared" si="7"/>
        <v>1.1039999999999999</v>
      </c>
      <c r="O27" s="133">
        <f t="shared" si="0"/>
        <v>1.1260000000000001</v>
      </c>
      <c r="P27" s="133">
        <f t="shared" si="1"/>
        <v>3.5466666666666698E-4</v>
      </c>
      <c r="Q27" s="134">
        <f t="shared" si="2"/>
        <v>1.8832595855767388E-2</v>
      </c>
      <c r="S27" s="499"/>
      <c r="T27" s="190">
        <v>16</v>
      </c>
      <c r="U27" s="120"/>
      <c r="V27" s="120"/>
      <c r="W27" s="121"/>
      <c r="X27" s="127"/>
      <c r="Y27" s="116"/>
      <c r="Z27" s="260"/>
      <c r="AA27" s="215"/>
      <c r="AB27" s="120"/>
      <c r="AC27" s="121"/>
    </row>
    <row r="28" spans="7:29" ht="15.75" thickBot="1" x14ac:dyDescent="0.3">
      <c r="G28" s="474"/>
      <c r="H28" s="12">
        <v>17</v>
      </c>
      <c r="I28" s="129">
        <v>0.40400000000000003</v>
      </c>
      <c r="J28" s="129" t="s">
        <v>25</v>
      </c>
      <c r="K28" s="273" t="s">
        <v>24</v>
      </c>
      <c r="L28" s="238">
        <f t="shared" si="5"/>
        <v>1.153</v>
      </c>
      <c r="M28" s="185">
        <f>M27</f>
        <v>1.1240000000000001</v>
      </c>
      <c r="N28" s="186">
        <f>N27</f>
        <v>1.1039999999999999</v>
      </c>
      <c r="O28" s="133">
        <f t="shared" si="0"/>
        <v>1.127</v>
      </c>
      <c r="P28" s="133">
        <f t="shared" si="1"/>
        <v>4.046666666666689E-4</v>
      </c>
      <c r="Q28" s="134">
        <f t="shared" si="2"/>
        <v>2.0116328359486204E-2</v>
      </c>
      <c r="S28" s="499"/>
      <c r="T28" s="191">
        <v>17</v>
      </c>
      <c r="U28" s="114"/>
      <c r="V28" s="114"/>
      <c r="W28" s="115"/>
      <c r="X28" s="127"/>
      <c r="Y28" s="116"/>
      <c r="Z28" s="260"/>
      <c r="AA28" s="215"/>
      <c r="AB28" s="120"/>
      <c r="AC28" s="121"/>
    </row>
    <row r="29" spans="7:29" ht="15.75" thickBot="1" x14ac:dyDescent="0.3">
      <c r="G29" s="474"/>
      <c r="H29" s="5">
        <v>18</v>
      </c>
      <c r="I29" s="131">
        <v>0.40100000000000002</v>
      </c>
      <c r="J29" s="131"/>
      <c r="K29" s="271"/>
      <c r="L29" s="238">
        <f t="shared" si="5"/>
        <v>1.1559999999999999</v>
      </c>
      <c r="M29" s="185">
        <f>M28</f>
        <v>1.1240000000000001</v>
      </c>
      <c r="N29" s="186">
        <f>N27</f>
        <v>1.1039999999999999</v>
      </c>
      <c r="O29" s="133">
        <f t="shared" si="0"/>
        <v>1.1280000000000001</v>
      </c>
      <c r="P29" s="133">
        <f t="shared" si="1"/>
        <v>4.586666666666669E-4</v>
      </c>
      <c r="Q29" s="134">
        <f t="shared" si="2"/>
        <v>2.1416504538945353E-2</v>
      </c>
      <c r="S29" s="499"/>
      <c r="T29" s="189">
        <v>18</v>
      </c>
      <c r="U29" s="116"/>
      <c r="V29" s="116"/>
      <c r="W29" s="117"/>
      <c r="X29" s="127"/>
      <c r="Y29" s="116"/>
      <c r="Z29" s="260"/>
      <c r="AA29" s="215"/>
      <c r="AB29" s="120"/>
      <c r="AC29" s="121"/>
    </row>
    <row r="30" spans="7:29" ht="15.75" thickBot="1" x14ac:dyDescent="0.3">
      <c r="G30" s="474"/>
      <c r="H30" s="7">
        <v>19</v>
      </c>
      <c r="I30" s="135">
        <v>0.39900000000000002</v>
      </c>
      <c r="J30" s="135"/>
      <c r="K30" s="272"/>
      <c r="L30" s="238">
        <f t="shared" si="5"/>
        <v>1.1579999999999999</v>
      </c>
      <c r="M30" s="185">
        <f>M29</f>
        <v>1.1240000000000001</v>
      </c>
      <c r="N30" s="186">
        <f>N29</f>
        <v>1.1039999999999999</v>
      </c>
      <c r="O30" s="133">
        <f t="shared" si="0"/>
        <v>1.1286666666666667</v>
      </c>
      <c r="P30" s="133">
        <f t="shared" si="1"/>
        <v>4.9688888888888905E-4</v>
      </c>
      <c r="Q30" s="134">
        <f t="shared" si="2"/>
        <v>2.2291004663067319E-2</v>
      </c>
      <c r="S30" s="499"/>
      <c r="T30" s="190">
        <v>19</v>
      </c>
      <c r="U30" s="120"/>
      <c r="V30" s="120"/>
      <c r="W30" s="121"/>
      <c r="X30" s="127"/>
      <c r="Y30" s="116"/>
      <c r="Z30" s="260"/>
      <c r="AA30" s="215"/>
      <c r="AB30" s="120"/>
      <c r="AC30" s="121"/>
    </row>
    <row r="31" spans="7:29" ht="15.75" thickBot="1" x14ac:dyDescent="0.3">
      <c r="G31" s="475"/>
      <c r="H31" s="12">
        <v>20</v>
      </c>
      <c r="I31" s="129" t="s">
        <v>23</v>
      </c>
      <c r="J31" s="129"/>
      <c r="K31" s="273"/>
      <c r="L31" s="195"/>
      <c r="M31" s="129"/>
      <c r="N31" s="130"/>
      <c r="O31" s="137" t="s">
        <v>30</v>
      </c>
      <c r="P31" s="137"/>
      <c r="Q31" s="138"/>
      <c r="S31" s="500"/>
      <c r="T31" s="191">
        <v>20</v>
      </c>
      <c r="U31" s="114"/>
      <c r="V31" s="114"/>
      <c r="W31" s="115"/>
      <c r="X31" s="128"/>
      <c r="Y31" s="114"/>
      <c r="Z31" s="261"/>
      <c r="AA31" s="128"/>
      <c r="AB31" s="114"/>
      <c r="AC31" s="115"/>
    </row>
    <row r="32" spans="7:29" ht="15.75" thickBot="1" x14ac:dyDescent="0.3">
      <c r="G32" s="154" t="s">
        <v>22</v>
      </c>
      <c r="H32" s="198"/>
      <c r="I32" s="133">
        <v>0.39900000000000002</v>
      </c>
      <c r="J32" s="133">
        <v>0.40799999999999997</v>
      </c>
      <c r="K32" s="274">
        <v>0.98</v>
      </c>
      <c r="S32" s="153" t="s">
        <v>22</v>
      </c>
      <c r="T32" s="206"/>
      <c r="U32" s="207">
        <v>5.8000000000000003E-2</v>
      </c>
      <c r="V32" s="207">
        <v>5.0999999999999997E-2</v>
      </c>
      <c r="W32" s="119">
        <v>5.6000000000000001E-2</v>
      </c>
    </row>
    <row r="33" spans="7:29" ht="45" x14ac:dyDescent="0.25">
      <c r="G33" s="476" t="s">
        <v>21</v>
      </c>
      <c r="H33" s="466" t="s">
        <v>16</v>
      </c>
      <c r="I33" s="479">
        <f>(I11-I32)/I11</f>
        <v>0.74373795761078998</v>
      </c>
      <c r="J33" s="479">
        <f>(J11-J32)/J11</f>
        <v>0.73368146214099228</v>
      </c>
      <c r="K33" s="505">
        <f>(K11-K32)/K11</f>
        <v>0.34797072521623418</v>
      </c>
      <c r="L33" s="204"/>
      <c r="M33" s="139"/>
      <c r="N33" s="139"/>
      <c r="O33" s="139"/>
      <c r="P33" s="139"/>
      <c r="Q33" s="239"/>
      <c r="S33" s="268" t="s">
        <v>21</v>
      </c>
      <c r="T33" s="208" t="s">
        <v>16</v>
      </c>
      <c r="U33" s="266">
        <f>(U11-U32)/U11</f>
        <v>0.96171617161716172</v>
      </c>
      <c r="V33" s="266">
        <f>(V11-V32)/V11</f>
        <v>0.96626984126984128</v>
      </c>
      <c r="W33" s="267">
        <f>(W11-W32)/W11</f>
        <v>0.96303630363036297</v>
      </c>
      <c r="X33" s="196"/>
      <c r="Y33" s="122"/>
      <c r="Z33" s="122"/>
      <c r="AA33" s="122"/>
      <c r="AB33" s="122"/>
      <c r="AC33" s="247"/>
    </row>
    <row r="34" spans="7:29" ht="15" customHeight="1" x14ac:dyDescent="0.25">
      <c r="G34" s="477"/>
      <c r="H34" s="467"/>
      <c r="I34" s="480"/>
      <c r="J34" s="480"/>
      <c r="K34" s="506"/>
      <c r="L34" s="204"/>
      <c r="M34" s="139"/>
      <c r="N34" s="139"/>
      <c r="O34" s="139"/>
      <c r="P34" s="139"/>
      <c r="Q34" s="239"/>
      <c r="S34" s="209" t="s">
        <v>124</v>
      </c>
      <c r="T34" s="210"/>
      <c r="U34" s="210">
        <f>STDEVP(U33:W33)</f>
        <v>1.9129506441892482E-3</v>
      </c>
      <c r="V34" s="210"/>
      <c r="W34" s="211"/>
      <c r="X34" s="196"/>
      <c r="Y34" s="122"/>
      <c r="Z34" s="122"/>
      <c r="AA34" s="122"/>
      <c r="AB34" s="122"/>
      <c r="AC34" s="247"/>
    </row>
    <row r="35" spans="7:29" ht="15.75" thickBot="1" x14ac:dyDescent="0.3">
      <c r="G35" s="478"/>
      <c r="H35" s="468"/>
      <c r="I35" s="481"/>
      <c r="J35" s="481"/>
      <c r="K35" s="507"/>
      <c r="L35" s="204"/>
      <c r="M35" s="139"/>
      <c r="N35" s="139"/>
      <c r="O35" s="139"/>
      <c r="P35" s="139"/>
      <c r="Q35" s="239"/>
      <c r="S35" s="212"/>
      <c r="T35" s="213"/>
      <c r="U35" s="213"/>
      <c r="V35" s="213"/>
      <c r="W35" s="214"/>
      <c r="X35" s="196"/>
      <c r="Y35" s="122"/>
      <c r="Z35" s="122"/>
      <c r="AA35" s="122"/>
      <c r="AB35" s="122"/>
      <c r="AC35" s="247"/>
    </row>
    <row r="36" spans="7:29" x14ac:dyDescent="0.25">
      <c r="G36" s="202" t="s">
        <v>125</v>
      </c>
      <c r="H36" s="203"/>
      <c r="I36" s="144">
        <f>STDEVP(I33:J35)</f>
        <v>5.0282477348988497E-3</v>
      </c>
    </row>
    <row r="37" spans="7:29" x14ac:dyDescent="0.25">
      <c r="G37" s="202"/>
      <c r="H37" s="203"/>
    </row>
    <row r="38" spans="7:29" x14ac:dyDescent="0.25">
      <c r="G38" s="205"/>
      <c r="H38" s="234"/>
      <c r="L38" s="240"/>
      <c r="M38" s="232"/>
      <c r="N38" s="232"/>
      <c r="O38" s="232"/>
      <c r="P38" s="232"/>
      <c r="Q38" s="241"/>
      <c r="S38" s="197"/>
      <c r="T38" s="193"/>
      <c r="X38" s="248"/>
      <c r="Y38" s="236"/>
      <c r="Z38" s="236"/>
      <c r="AA38" s="236"/>
      <c r="AB38" s="236"/>
      <c r="AC38" s="249"/>
    </row>
    <row r="39" spans="7:29" x14ac:dyDescent="0.25">
      <c r="G39" s="491"/>
      <c r="H39" s="203"/>
      <c r="S39" s="501"/>
      <c r="T39" s="192"/>
    </row>
    <row r="40" spans="7:29" x14ac:dyDescent="0.25">
      <c r="G40" s="491"/>
      <c r="H40" s="203"/>
      <c r="S40" s="501"/>
      <c r="T40" s="192"/>
    </row>
    <row r="41" spans="7:29" x14ac:dyDescent="0.25">
      <c r="G41" s="491"/>
      <c r="H41" s="203"/>
      <c r="S41" s="501"/>
      <c r="T41" s="192"/>
    </row>
    <row r="42" spans="7:29" x14ac:dyDescent="0.25">
      <c r="G42" s="491"/>
      <c r="H42" s="203"/>
      <c r="S42" s="501"/>
      <c r="T42" s="192"/>
    </row>
    <row r="43" spans="7:29" x14ac:dyDescent="0.25">
      <c r="G43" s="491"/>
      <c r="H43" s="203"/>
      <c r="S43" s="501"/>
      <c r="T43" s="192"/>
    </row>
    <row r="44" spans="7:29" x14ac:dyDescent="0.25">
      <c r="G44" s="491"/>
      <c r="H44" s="203"/>
      <c r="S44" s="501"/>
      <c r="T44" s="192"/>
    </row>
    <row r="45" spans="7:29" x14ac:dyDescent="0.25">
      <c r="G45" s="491"/>
      <c r="H45" s="203"/>
      <c r="S45" s="501"/>
      <c r="T45" s="192"/>
    </row>
    <row r="46" spans="7:29" x14ac:dyDescent="0.25">
      <c r="G46" s="491"/>
      <c r="H46" s="203"/>
      <c r="S46" s="501"/>
      <c r="T46" s="192"/>
    </row>
    <row r="47" spans="7:29" x14ac:dyDescent="0.25">
      <c r="G47" s="491"/>
      <c r="H47" s="203"/>
      <c r="S47" s="501"/>
      <c r="T47" s="192"/>
    </row>
    <row r="48" spans="7:29" x14ac:dyDescent="0.25">
      <c r="G48" s="491"/>
      <c r="H48" s="203"/>
      <c r="S48" s="501"/>
      <c r="T48" s="192"/>
    </row>
    <row r="49" spans="7:29" x14ac:dyDescent="0.25">
      <c r="G49" s="491"/>
      <c r="H49" s="203"/>
      <c r="S49" s="501"/>
      <c r="T49" s="192"/>
    </row>
    <row r="50" spans="7:29" x14ac:dyDescent="0.25">
      <c r="G50" s="491"/>
      <c r="H50" s="203"/>
      <c r="S50" s="501"/>
      <c r="T50" s="192"/>
    </row>
    <row r="51" spans="7:29" x14ac:dyDescent="0.25">
      <c r="G51" s="491"/>
      <c r="H51" s="203"/>
      <c r="S51" s="501"/>
      <c r="T51" s="192"/>
    </row>
    <row r="52" spans="7:29" x14ac:dyDescent="0.25">
      <c r="G52" s="491"/>
      <c r="H52" s="203"/>
      <c r="S52" s="501"/>
      <c r="T52" s="192"/>
    </row>
    <row r="53" spans="7:29" x14ac:dyDescent="0.25">
      <c r="G53" s="491"/>
      <c r="H53" s="203"/>
      <c r="S53" s="501"/>
      <c r="T53" s="192"/>
    </row>
    <row r="54" spans="7:29" x14ac:dyDescent="0.25">
      <c r="G54" s="491"/>
      <c r="H54" s="203"/>
      <c r="S54" s="501"/>
      <c r="T54" s="192"/>
    </row>
    <row r="55" spans="7:29" x14ac:dyDescent="0.25">
      <c r="G55" s="491"/>
      <c r="H55" s="203"/>
      <c r="S55" s="501"/>
      <c r="T55" s="192"/>
    </row>
    <row r="56" spans="7:29" x14ac:dyDescent="0.25">
      <c r="G56" s="491"/>
      <c r="H56" s="203"/>
      <c r="L56" s="242"/>
      <c r="M56" s="233"/>
      <c r="N56" s="233"/>
      <c r="O56" s="233"/>
      <c r="P56" s="233"/>
      <c r="Q56" s="243"/>
      <c r="S56" s="501"/>
      <c r="T56" s="192"/>
    </row>
    <row r="57" spans="7:29" x14ac:dyDescent="0.25">
      <c r="G57" s="491"/>
      <c r="H57" s="203"/>
      <c r="L57" s="242"/>
      <c r="M57" s="233"/>
      <c r="N57" s="233"/>
      <c r="O57" s="233"/>
      <c r="P57" s="233"/>
      <c r="Q57" s="243"/>
      <c r="S57" s="501"/>
      <c r="T57" s="192"/>
    </row>
    <row r="58" spans="7:29" x14ac:dyDescent="0.25">
      <c r="G58" s="491"/>
      <c r="H58" s="203"/>
      <c r="L58" s="242"/>
      <c r="M58" s="233"/>
      <c r="N58" s="233"/>
      <c r="O58" s="233"/>
      <c r="P58" s="233"/>
      <c r="Q58" s="243"/>
      <c r="S58" s="501"/>
      <c r="T58" s="192"/>
    </row>
    <row r="59" spans="7:29" x14ac:dyDescent="0.25">
      <c r="G59" s="491"/>
      <c r="H59" s="203"/>
      <c r="S59" s="501"/>
      <c r="T59" s="192"/>
    </row>
    <row r="60" spans="7:29" x14ac:dyDescent="0.25">
      <c r="G60" s="204"/>
      <c r="H60" s="203"/>
    </row>
    <row r="64" spans="7:29" x14ac:dyDescent="0.25">
      <c r="L64" s="244"/>
      <c r="M64" s="203"/>
      <c r="N64" s="203"/>
      <c r="O64" s="203"/>
      <c r="P64" s="203"/>
      <c r="Q64" s="245"/>
      <c r="X64" s="250"/>
      <c r="Y64" s="192"/>
      <c r="Z64" s="192"/>
      <c r="AA64" s="192"/>
      <c r="AB64" s="192"/>
      <c r="AC64" s="251"/>
    </row>
    <row r="65" spans="7:29" x14ac:dyDescent="0.25">
      <c r="G65" s="205"/>
      <c r="H65" s="234"/>
      <c r="L65" s="240"/>
      <c r="M65" s="232"/>
      <c r="N65" s="232"/>
      <c r="O65" s="232"/>
      <c r="P65" s="232"/>
      <c r="Q65" s="241"/>
      <c r="T65" s="193"/>
      <c r="X65" s="248"/>
      <c r="Y65" s="236"/>
      <c r="Z65" s="236"/>
      <c r="AA65" s="236"/>
      <c r="AB65" s="236"/>
      <c r="AC65" s="249"/>
    </row>
    <row r="66" spans="7:29" x14ac:dyDescent="0.25">
      <c r="G66" s="202"/>
      <c r="H66" s="203"/>
      <c r="T66" s="192"/>
    </row>
    <row r="67" spans="7:29" x14ac:dyDescent="0.25">
      <c r="G67" s="202"/>
      <c r="H67" s="203"/>
      <c r="T67" s="192"/>
    </row>
    <row r="68" spans="7:29" x14ac:dyDescent="0.25">
      <c r="G68" s="202"/>
      <c r="H68" s="203"/>
      <c r="T68" s="192"/>
    </row>
    <row r="69" spans="7:29" x14ac:dyDescent="0.25">
      <c r="G69" s="202"/>
      <c r="H69" s="203"/>
      <c r="T69" s="192"/>
    </row>
    <row r="70" spans="7:29" x14ac:dyDescent="0.25">
      <c r="G70" s="202"/>
      <c r="H70" s="203"/>
      <c r="T70" s="192"/>
    </row>
    <row r="71" spans="7:29" x14ac:dyDescent="0.25">
      <c r="G71" s="202"/>
      <c r="H71" s="203"/>
      <c r="T71" s="192"/>
    </row>
    <row r="72" spans="7:29" x14ac:dyDescent="0.25">
      <c r="G72" s="202"/>
      <c r="H72" s="203"/>
      <c r="T72" s="192"/>
    </row>
    <row r="73" spans="7:29" x14ac:dyDescent="0.25">
      <c r="G73" s="202"/>
      <c r="H73" s="203"/>
      <c r="T73" s="192"/>
    </row>
    <row r="74" spans="7:29" x14ac:dyDescent="0.25">
      <c r="G74" s="202"/>
      <c r="H74" s="203"/>
      <c r="T74" s="192"/>
    </row>
    <row r="75" spans="7:29" x14ac:dyDescent="0.25">
      <c r="G75" s="202"/>
      <c r="H75" s="203"/>
      <c r="T75" s="192"/>
    </row>
    <row r="76" spans="7:29" x14ac:dyDescent="0.25">
      <c r="G76" s="202"/>
      <c r="H76" s="203"/>
      <c r="T76" s="192"/>
    </row>
    <row r="77" spans="7:29" x14ac:dyDescent="0.25">
      <c r="G77" s="202"/>
      <c r="H77" s="203"/>
      <c r="T77" s="192"/>
    </row>
    <row r="78" spans="7:29" x14ac:dyDescent="0.25">
      <c r="G78" s="202"/>
      <c r="H78" s="203"/>
      <c r="T78" s="192"/>
    </row>
    <row r="79" spans="7:29" x14ac:dyDescent="0.25">
      <c r="G79" s="202"/>
      <c r="H79" s="203"/>
      <c r="T79" s="192"/>
    </row>
    <row r="80" spans="7:29" x14ac:dyDescent="0.25">
      <c r="G80" s="202"/>
      <c r="H80" s="203"/>
      <c r="T80" s="192"/>
    </row>
    <row r="81" spans="7:20" x14ac:dyDescent="0.25">
      <c r="G81" s="202"/>
      <c r="H81" s="203"/>
      <c r="T81" s="192"/>
    </row>
    <row r="82" spans="7:20" x14ac:dyDescent="0.25">
      <c r="G82" s="202"/>
      <c r="H82" s="203"/>
      <c r="T82" s="192"/>
    </row>
    <row r="83" spans="7:20" x14ac:dyDescent="0.25">
      <c r="G83" s="202"/>
      <c r="H83" s="203"/>
      <c r="T83" s="192"/>
    </row>
    <row r="84" spans="7:20" x14ac:dyDescent="0.25">
      <c r="G84" s="202"/>
      <c r="H84" s="203"/>
      <c r="T84" s="192"/>
    </row>
    <row r="85" spans="7:20" x14ac:dyDescent="0.25">
      <c r="G85" s="202"/>
      <c r="H85" s="203"/>
      <c r="T85" s="192"/>
    </row>
    <row r="86" spans="7:20" x14ac:dyDescent="0.25">
      <c r="G86" s="202"/>
      <c r="H86" s="203"/>
      <c r="T86" s="192"/>
    </row>
  </sheetData>
  <mergeCells count="17">
    <mergeCell ref="G39:G59"/>
    <mergeCell ref="S1:AC1"/>
    <mergeCell ref="S9:W9"/>
    <mergeCell ref="S11:S31"/>
    <mergeCell ref="S39:S59"/>
    <mergeCell ref="AA9:AC9"/>
    <mergeCell ref="J33:J35"/>
    <mergeCell ref="K33:K35"/>
    <mergeCell ref="O9:Q9"/>
    <mergeCell ref="A1:E1"/>
    <mergeCell ref="G11:G31"/>
    <mergeCell ref="G33:G35"/>
    <mergeCell ref="H33:H35"/>
    <mergeCell ref="I33:I35"/>
    <mergeCell ref="G9:K9"/>
    <mergeCell ref="A5:E5"/>
    <mergeCell ref="G1:Q1"/>
  </mergeCells>
  <pageMargins left="1" right="1" top="1" bottom="1" header="0.5" footer="0.5"/>
  <pageSetup paperSize="9" fitToHeight="0" orientation="portrait" r:id="rId1"/>
  <headerFooter>
    <oddHeader>&amp;C&amp;"-,Bold Italic"&amp;20DATA SHEET</oddHeader>
    <oddFooter>&amp;LLOG SHEET - UKZN_PRG&amp;CPRG LAB MANUAL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zoomScale="40" zoomScaleNormal="40" workbookViewId="0">
      <selection activeCell="A26" sqref="A26:F31"/>
    </sheetView>
  </sheetViews>
  <sheetFormatPr defaultColWidth="9.140625" defaultRowHeight="15" x14ac:dyDescent="0.25"/>
  <cols>
    <col min="1" max="1" width="10.7109375" bestFit="1" customWidth="1"/>
    <col min="2" max="2" width="13.42578125" bestFit="1" customWidth="1"/>
    <col min="3" max="3" width="10.7109375" customWidth="1"/>
    <col min="4" max="4" width="12.5703125" customWidth="1"/>
    <col min="5" max="5" width="11.85546875" customWidth="1"/>
    <col min="6" max="6" width="16.28515625" customWidth="1"/>
    <col min="7" max="7" width="14.85546875" bestFit="1" customWidth="1"/>
    <col min="8" max="8" width="11.140625" customWidth="1"/>
    <col min="9" max="9" width="12.85546875" customWidth="1"/>
    <col min="10" max="10" width="14.7109375" customWidth="1"/>
    <col min="11" max="11" width="17" bestFit="1" customWidth="1"/>
    <col min="12" max="12" width="17" customWidth="1"/>
    <col min="13" max="13" width="11.28515625" bestFit="1" customWidth="1"/>
    <col min="14" max="14" width="14.42578125" bestFit="1" customWidth="1"/>
  </cols>
  <sheetData>
    <row r="1" spans="1:16" x14ac:dyDescent="0.25">
      <c r="A1" s="469" t="s">
        <v>15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</row>
    <row r="2" spans="1:16" x14ac:dyDescent="0.25">
      <c r="A2" s="469"/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</row>
    <row r="4" spans="1:16" ht="15.75" thickBot="1" x14ac:dyDescent="0.3"/>
    <row r="5" spans="1:16" s="111" customFormat="1" ht="18" customHeight="1" thickBot="1" x14ac:dyDescent="0.3">
      <c r="A5" s="113"/>
      <c r="B5" s="112" t="s">
        <v>2</v>
      </c>
      <c r="C5" s="33" t="s">
        <v>3</v>
      </c>
      <c r="D5" s="33" t="s">
        <v>9</v>
      </c>
      <c r="E5" s="363" t="s">
        <v>0</v>
      </c>
      <c r="F5" s="364" t="s">
        <v>10</v>
      </c>
      <c r="G5" s="34" t="s">
        <v>90</v>
      </c>
      <c r="H5" s="34" t="s">
        <v>91</v>
      </c>
      <c r="I5" s="370" t="s">
        <v>138</v>
      </c>
      <c r="J5" s="370" t="s">
        <v>139</v>
      </c>
      <c r="K5" s="371" t="s">
        <v>140</v>
      </c>
      <c r="L5" s="371" t="s">
        <v>148</v>
      </c>
      <c r="M5" s="370" t="s">
        <v>146</v>
      </c>
      <c r="N5" s="372" t="s">
        <v>147</v>
      </c>
    </row>
    <row r="6" spans="1:16" s="64" customFormat="1" x14ac:dyDescent="0.25">
      <c r="A6" s="384">
        <v>43318</v>
      </c>
      <c r="B6" s="517" t="s">
        <v>7</v>
      </c>
      <c r="C6" s="5" t="s">
        <v>4</v>
      </c>
      <c r="D6" s="511">
        <v>6000</v>
      </c>
      <c r="E6" s="531">
        <v>20</v>
      </c>
      <c r="F6" s="369">
        <f>'DEWATERING - RAW DATA'!I8-'DEWATERING - RAW DATA'!H8</f>
        <v>36.162199999999999</v>
      </c>
      <c r="G6" s="252">
        <f>'DEWATERING - RAW DATA'!I8-'DEWATERING - RAW DATA'!J8</f>
        <v>24.387300000000003</v>
      </c>
      <c r="H6" s="252">
        <f>'DEWATERING - RAW DATA'!J8-'DEWATERING - RAW DATA'!H8</f>
        <v>11.774899999999999</v>
      </c>
      <c r="I6" s="229">
        <f>G6/F6</f>
        <v>0.67438651409482842</v>
      </c>
      <c r="J6" s="229">
        <f>H6/F6</f>
        <v>0.3256134859051717</v>
      </c>
      <c r="K6" s="520">
        <f>AVERAGE(I6:I8)</f>
        <v>0.69602982392615464</v>
      </c>
      <c r="L6" s="52">
        <v>1.0023</v>
      </c>
      <c r="M6" s="539">
        <f>AVERAGE(L6:L8)</f>
        <v>1.0041</v>
      </c>
      <c r="N6" s="538">
        <f>STDEVP(L6:L8)</f>
        <v>1.2961481396816007E-3</v>
      </c>
    </row>
    <row r="7" spans="1:16" s="61" customFormat="1" x14ac:dyDescent="0.25">
      <c r="A7" s="385"/>
      <c r="B7" s="518"/>
      <c r="C7" s="7" t="s">
        <v>5</v>
      </c>
      <c r="D7" s="512"/>
      <c r="E7" s="532"/>
      <c r="F7" s="365">
        <f>'DEWATERING - RAW DATA'!I9-'DEWATERING - RAW DATA'!H9</f>
        <v>36.608999999999995</v>
      </c>
      <c r="G7" s="253">
        <f>'DEWATERING - RAW DATA'!I9-'DEWATERING - RAW DATA'!J9</f>
        <v>25.172199999999997</v>
      </c>
      <c r="H7" s="253">
        <f>'DEWATERING - RAW DATA'!J9-'DEWATERING - RAW DATA'!H9</f>
        <v>11.436800000000002</v>
      </c>
      <c r="I7" s="362">
        <f t="shared" ref="I7:I23" si="0">G7/F7</f>
        <v>0.68759594635198995</v>
      </c>
      <c r="J7" s="362">
        <f t="shared" ref="J7:J23" si="1">H7/F7</f>
        <v>0.31240405364801016</v>
      </c>
      <c r="K7" s="521"/>
      <c r="L7" s="253">
        <v>1.0046999999999999</v>
      </c>
      <c r="M7" s="524"/>
      <c r="N7" s="522"/>
    </row>
    <row r="8" spans="1:16" s="61" customFormat="1" x14ac:dyDescent="0.25">
      <c r="A8" s="385"/>
      <c r="B8" s="518"/>
      <c r="C8" s="7" t="s">
        <v>6</v>
      </c>
      <c r="D8" s="512"/>
      <c r="E8" s="532"/>
      <c r="F8" s="365">
        <f>'DEWATERING - RAW DATA'!I10-'DEWATERING - RAW DATA'!H10</f>
        <v>35.272899999999993</v>
      </c>
      <c r="G8" s="253">
        <f>'DEWATERING - RAW DATA'!I10-'DEWATERING - RAW DATA'!J10</f>
        <v>25.611899999999999</v>
      </c>
      <c r="H8" s="253">
        <f>'DEWATERING - RAW DATA'!J10-'DEWATERING - RAW DATA'!H10</f>
        <v>9.6609999999999978</v>
      </c>
      <c r="I8" s="362">
        <f t="shared" si="0"/>
        <v>0.72610701133164568</v>
      </c>
      <c r="J8" s="362">
        <f t="shared" si="1"/>
        <v>0.27389298866835443</v>
      </c>
      <c r="K8" s="521"/>
      <c r="L8" s="253">
        <v>1.0053000000000001</v>
      </c>
      <c r="M8" s="524"/>
      <c r="N8" s="522"/>
    </row>
    <row r="9" spans="1:16" s="61" customFormat="1" x14ac:dyDescent="0.25">
      <c r="A9" s="385"/>
      <c r="B9" s="518" t="s">
        <v>8</v>
      </c>
      <c r="C9" s="7" t="s">
        <v>4</v>
      </c>
      <c r="D9" s="512">
        <v>6000</v>
      </c>
      <c r="E9" s="532"/>
      <c r="F9" s="365">
        <f>'DEWATERING - RAW DATA'!I11-'DEWATERING - RAW DATA'!H11</f>
        <v>39.669299999999993</v>
      </c>
      <c r="G9" s="253">
        <f>'DEWATERING - RAW DATA'!I11-'DEWATERING - RAW DATA'!J11</f>
        <v>0.68119999999999692</v>
      </c>
      <c r="H9" s="253">
        <f>'DEWATERING - RAW DATA'!J11-'DEWATERING - RAW DATA'!H11</f>
        <v>38.988099999999996</v>
      </c>
      <c r="I9" s="362">
        <f t="shared" si="0"/>
        <v>1.7171969255822438E-2</v>
      </c>
      <c r="J9" s="362">
        <f t="shared" si="1"/>
        <v>0.98282803074417757</v>
      </c>
      <c r="K9" s="521">
        <f>AVERAGE(I9:I11)</f>
        <v>1.9812461697938048E-2</v>
      </c>
      <c r="L9" s="253">
        <v>0.96989999999999998</v>
      </c>
      <c r="M9" s="524">
        <f>AVERAGE(L9:L11)</f>
        <v>0.96989999999999998</v>
      </c>
      <c r="N9" s="522">
        <f>STDEVP(L9:L11)</f>
        <v>9.7979589711325401E-4</v>
      </c>
    </row>
    <row r="10" spans="1:16" s="61" customFormat="1" x14ac:dyDescent="0.25">
      <c r="A10" s="385"/>
      <c r="B10" s="518"/>
      <c r="C10" s="7" t="s">
        <v>5</v>
      </c>
      <c r="D10" s="512"/>
      <c r="E10" s="532"/>
      <c r="F10" s="365">
        <f>'DEWATERING - RAW DATA'!I12-'DEWATERING - RAW DATA'!H12</f>
        <v>39.953800000000001</v>
      </c>
      <c r="G10" s="253">
        <f>'DEWATERING - RAW DATA'!I12-'DEWATERING - RAW DATA'!J12</f>
        <v>0.92980000000000018</v>
      </c>
      <c r="H10" s="253">
        <f>'DEWATERING - RAW DATA'!J12-'DEWATERING - RAW DATA'!H12</f>
        <v>39.024000000000001</v>
      </c>
      <c r="I10" s="362">
        <f t="shared" si="0"/>
        <v>2.3271879020268414E-2</v>
      </c>
      <c r="J10" s="362">
        <f t="shared" si="1"/>
        <v>0.97672812097973161</v>
      </c>
      <c r="K10" s="521"/>
      <c r="L10" s="253">
        <v>0.97109999999999996</v>
      </c>
      <c r="M10" s="524"/>
      <c r="N10" s="522"/>
    </row>
    <row r="11" spans="1:16" s="61" customFormat="1" ht="15.75" thickBot="1" x14ac:dyDescent="0.3">
      <c r="A11" s="386"/>
      <c r="B11" s="519"/>
      <c r="C11" s="9" t="s">
        <v>6</v>
      </c>
      <c r="D11" s="513"/>
      <c r="E11" s="532"/>
      <c r="F11" s="365">
        <f>'DEWATERING - RAW DATA'!I13-'DEWATERING - RAW DATA'!H13</f>
        <v>40.150499999999994</v>
      </c>
      <c r="G11" s="253">
        <f>'DEWATERING - RAW DATA'!I13-'DEWATERING - RAW DATA'!J13</f>
        <v>0.76259999999999906</v>
      </c>
      <c r="H11" s="253">
        <f>'DEWATERING - RAW DATA'!J13-'DEWATERING - RAW DATA'!H13</f>
        <v>39.387900000000002</v>
      </c>
      <c r="I11" s="362">
        <f t="shared" si="0"/>
        <v>1.8993536817723294E-2</v>
      </c>
      <c r="J11" s="362">
        <f t="shared" si="1"/>
        <v>0.98100646318227691</v>
      </c>
      <c r="K11" s="521"/>
      <c r="L11" s="253">
        <v>0.96870000000000001</v>
      </c>
      <c r="M11" s="524"/>
      <c r="N11" s="522"/>
    </row>
    <row r="12" spans="1:16" s="64" customFormat="1" x14ac:dyDescent="0.25">
      <c r="A12" s="384">
        <v>43325</v>
      </c>
      <c r="B12" s="405" t="s">
        <v>7</v>
      </c>
      <c r="C12" s="29" t="s">
        <v>4</v>
      </c>
      <c r="D12" s="514">
        <v>8000</v>
      </c>
      <c r="E12" s="532"/>
      <c r="F12" s="366">
        <f>'DEWATERING - RAW DATA'!I14-'DEWATERING - RAW DATA'!H14</f>
        <v>36.544899999999998</v>
      </c>
      <c r="G12" s="254">
        <f>'DEWATERING - RAW DATA'!I14-'DEWATERING - RAW DATA'!J14</f>
        <v>22.7286</v>
      </c>
      <c r="H12" s="254">
        <f>'DEWATERING - RAW DATA'!J14-'DEWATERING - RAW DATA'!H14</f>
        <v>13.816300000000002</v>
      </c>
      <c r="I12" s="362">
        <f>G12/F12</f>
        <v>0.62193630301355318</v>
      </c>
      <c r="J12" s="362">
        <f t="shared" si="1"/>
        <v>0.37806369698644687</v>
      </c>
      <c r="K12" s="521">
        <f>AVERAGE(I12:I14)</f>
        <v>0.63649073926783728</v>
      </c>
      <c r="L12" s="254">
        <v>1.0269999999999999</v>
      </c>
      <c r="M12" s="524">
        <f t="shared" ref="M12" si="2">AVERAGE(L12:L14)</f>
        <v>1.0267666666666664</v>
      </c>
      <c r="N12" s="522">
        <f t="shared" ref="N12" si="3">STDEVP(L12:L14)</f>
        <v>3.3109246778237349E-3</v>
      </c>
    </row>
    <row r="13" spans="1:16" s="61" customFormat="1" x14ac:dyDescent="0.25">
      <c r="A13" s="385"/>
      <c r="B13" s="406"/>
      <c r="C13" s="25" t="s">
        <v>5</v>
      </c>
      <c r="D13" s="515"/>
      <c r="E13" s="532"/>
      <c r="F13" s="366">
        <f>'DEWATERING - RAW DATA'!I15-'DEWATERING - RAW DATA'!H15</f>
        <v>36.393900000000002</v>
      </c>
      <c r="G13" s="254">
        <f>'DEWATERING - RAW DATA'!I15-'DEWATERING - RAW DATA'!J15</f>
        <v>24.960999999999999</v>
      </c>
      <c r="H13" s="254">
        <f>'DEWATERING - RAW DATA'!J15-'DEWATERING - RAW DATA'!H15</f>
        <v>11.432900000000004</v>
      </c>
      <c r="I13" s="362">
        <f t="shared" si="0"/>
        <v>0.68585669576494956</v>
      </c>
      <c r="J13" s="362">
        <f t="shared" si="1"/>
        <v>0.31414330423505044</v>
      </c>
      <c r="K13" s="521"/>
      <c r="L13" s="254">
        <v>1.0306999999999999</v>
      </c>
      <c r="M13" s="524"/>
      <c r="N13" s="522"/>
    </row>
    <row r="14" spans="1:16" s="61" customFormat="1" x14ac:dyDescent="0.25">
      <c r="A14" s="385"/>
      <c r="B14" s="406"/>
      <c r="C14" s="25" t="s">
        <v>6</v>
      </c>
      <c r="D14" s="515"/>
      <c r="E14" s="532"/>
      <c r="F14" s="366">
        <f>'DEWATERING - RAW DATA'!I16-'DEWATERING - RAW DATA'!H16</f>
        <v>39.089599999999997</v>
      </c>
      <c r="G14" s="254">
        <f>'DEWATERING - RAW DATA'!I16-'DEWATERING - RAW DATA'!J16</f>
        <v>23.519399999999997</v>
      </c>
      <c r="H14" s="254">
        <f>'DEWATERING - RAW DATA'!J16-'DEWATERING - RAW DATA'!H16</f>
        <v>15.5702</v>
      </c>
      <c r="I14" s="362">
        <f t="shared" si="0"/>
        <v>0.6016792190250092</v>
      </c>
      <c r="J14" s="362">
        <f t="shared" si="1"/>
        <v>0.3983207809749908</v>
      </c>
      <c r="K14" s="521"/>
      <c r="L14" s="254">
        <v>1.0226</v>
      </c>
      <c r="M14" s="524"/>
      <c r="N14" s="522"/>
    </row>
    <row r="15" spans="1:16" s="61" customFormat="1" x14ac:dyDescent="0.25">
      <c r="A15" s="385"/>
      <c r="B15" s="406" t="s">
        <v>8</v>
      </c>
      <c r="C15" s="25" t="s">
        <v>4</v>
      </c>
      <c r="D15" s="515">
        <v>8000</v>
      </c>
      <c r="E15" s="532"/>
      <c r="F15" s="366">
        <f>'DEWATERING - RAW DATA'!I17-'DEWATERING - RAW DATA'!H17</f>
        <v>40.046100000000003</v>
      </c>
      <c r="G15" s="254">
        <f>'DEWATERING - RAW DATA'!I17-'DEWATERING - RAW DATA'!J17</f>
        <v>2.6277000000000044</v>
      </c>
      <c r="H15" s="254">
        <f>'DEWATERING - RAW DATA'!J17-'DEWATERING - RAW DATA'!H17</f>
        <v>37.418399999999998</v>
      </c>
      <c r="I15" s="362">
        <f t="shared" si="0"/>
        <v>6.5616876549776493E-2</v>
      </c>
      <c r="J15" s="362">
        <f t="shared" si="1"/>
        <v>0.93438312345022356</v>
      </c>
      <c r="K15" s="521">
        <f>AVERAGE(I15:I17)</f>
        <v>7.4483359470816454E-2</v>
      </c>
      <c r="L15" s="254">
        <v>0.99170000000000003</v>
      </c>
      <c r="M15" s="524">
        <f t="shared" ref="M15" si="4">AVERAGE(L15:L17)</f>
        <v>0.99330000000000007</v>
      </c>
      <c r="N15" s="522">
        <f t="shared" ref="N15" si="5">STDEVP(L15:L17)</f>
        <v>3.1496031496047205E-3</v>
      </c>
    </row>
    <row r="16" spans="1:16" s="61" customFormat="1" x14ac:dyDescent="0.25">
      <c r="A16" s="385"/>
      <c r="B16" s="406"/>
      <c r="C16" s="25" t="s">
        <v>5</v>
      </c>
      <c r="D16" s="515"/>
      <c r="E16" s="532"/>
      <c r="F16" s="366">
        <f>'DEWATERING - RAW DATA'!I18-'DEWATERING - RAW DATA'!H18</f>
        <v>40.079400000000007</v>
      </c>
      <c r="G16" s="254">
        <f>'DEWATERING - RAW DATA'!I18-'DEWATERING - RAW DATA'!J18</f>
        <v>3.0925000000000082</v>
      </c>
      <c r="H16" s="254">
        <f>'DEWATERING - RAW DATA'!J18-'DEWATERING - RAW DATA'!H18</f>
        <v>36.986899999999999</v>
      </c>
      <c r="I16" s="362">
        <f t="shared" si="0"/>
        <v>7.7159338712655567E-2</v>
      </c>
      <c r="J16" s="362">
        <f t="shared" si="1"/>
        <v>0.92284066128734443</v>
      </c>
      <c r="K16" s="521"/>
      <c r="L16" s="254">
        <v>0.99770000000000003</v>
      </c>
      <c r="M16" s="524"/>
      <c r="N16" s="522"/>
    </row>
    <row r="17" spans="1:14" s="61" customFormat="1" ht="15.75" thickBot="1" x14ac:dyDescent="0.3">
      <c r="A17" s="386"/>
      <c r="B17" s="407"/>
      <c r="C17" s="28" t="s">
        <v>6</v>
      </c>
      <c r="D17" s="516"/>
      <c r="E17" s="532"/>
      <c r="F17" s="366">
        <f>'DEWATERING - RAW DATA'!I19-'DEWATERING - RAW DATA'!H19</f>
        <v>39.954699999999995</v>
      </c>
      <c r="G17" s="254">
        <f>'DEWATERING - RAW DATA'!I19-'DEWATERING - RAW DATA'!J19</f>
        <v>3.2232999999999947</v>
      </c>
      <c r="H17" s="254">
        <f>'DEWATERING - RAW DATA'!J19-'DEWATERING - RAW DATA'!H19</f>
        <v>36.731400000000001</v>
      </c>
      <c r="I17" s="362">
        <f t="shared" si="0"/>
        <v>8.0673863150017275E-2</v>
      </c>
      <c r="J17" s="362">
        <f t="shared" si="1"/>
        <v>0.91932613684998277</v>
      </c>
      <c r="K17" s="521"/>
      <c r="L17" s="254">
        <v>0.99050000000000005</v>
      </c>
      <c r="M17" s="524"/>
      <c r="N17" s="522"/>
    </row>
    <row r="18" spans="1:14" s="64" customFormat="1" x14ac:dyDescent="0.25">
      <c r="A18" s="384">
        <v>43327</v>
      </c>
      <c r="B18" s="535" t="s">
        <v>7</v>
      </c>
      <c r="C18" s="18" t="s">
        <v>4</v>
      </c>
      <c r="D18" s="534">
        <v>10000</v>
      </c>
      <c r="E18" s="532"/>
      <c r="F18" s="367">
        <f>'DEWATERING - RAW DATA'!I20-'DEWATERING - RAW DATA'!H20</f>
        <v>40.025599999999997</v>
      </c>
      <c r="G18" s="257">
        <f>'DEWATERING - RAW DATA'!I20-'DEWATERING - RAW DATA'!J20</f>
        <v>28.667900000000003</v>
      </c>
      <c r="H18" s="257">
        <f>'DEWATERING - RAW DATA'!J20-'DEWATERING - RAW DATA'!H20</f>
        <v>11.357699999999998</v>
      </c>
      <c r="I18" s="362">
        <f t="shared" si="0"/>
        <v>0.71623910697153836</v>
      </c>
      <c r="J18" s="362">
        <f t="shared" si="1"/>
        <v>0.28376089302846175</v>
      </c>
      <c r="K18" s="521">
        <f>AVERAGE(I18:I20)</f>
        <v>0.72315284139559333</v>
      </c>
      <c r="L18" s="255">
        <v>1.0274000000000001</v>
      </c>
      <c r="M18" s="524">
        <f t="shared" ref="M18" si="6">AVERAGE(L18:L20)</f>
        <v>1.0276333333333334</v>
      </c>
      <c r="N18" s="522">
        <f t="shared" ref="N18" si="7">STDEVP(L18:L20)</f>
        <v>1.6006942938057334E-3</v>
      </c>
    </row>
    <row r="19" spans="1:14" s="61" customFormat="1" x14ac:dyDescent="0.25">
      <c r="A19" s="385"/>
      <c r="B19" s="536"/>
      <c r="C19" s="15" t="s">
        <v>5</v>
      </c>
      <c r="D19" s="529"/>
      <c r="E19" s="532"/>
      <c r="F19" s="367">
        <f>'DEWATERING - RAW DATA'!I21-'DEWATERING - RAW DATA'!H21</f>
        <v>38.820999999999998</v>
      </c>
      <c r="G19" s="257">
        <f>'DEWATERING - RAW DATA'!I21-'DEWATERING - RAW DATA'!J21</f>
        <v>28.332899999999995</v>
      </c>
      <c r="H19" s="257">
        <f>'DEWATERING - RAW DATA'!J21-'DEWATERING - RAW DATA'!H21</f>
        <v>10.488100000000003</v>
      </c>
      <c r="I19" s="362">
        <f t="shared" si="0"/>
        <v>0.72983436799670276</v>
      </c>
      <c r="J19" s="362">
        <f t="shared" si="1"/>
        <v>0.2701656320032973</v>
      </c>
      <c r="K19" s="521"/>
      <c r="L19" s="255">
        <v>1.0297000000000001</v>
      </c>
      <c r="M19" s="524"/>
      <c r="N19" s="522"/>
    </row>
    <row r="20" spans="1:14" s="61" customFormat="1" x14ac:dyDescent="0.25">
      <c r="A20" s="385"/>
      <c r="B20" s="536"/>
      <c r="C20" s="15" t="s">
        <v>6</v>
      </c>
      <c r="D20" s="529"/>
      <c r="E20" s="532"/>
      <c r="F20" s="367">
        <f>'DEWATERING - RAW DATA'!I22-'DEWATERING - RAW DATA'!H22</f>
        <v>38.440799999999996</v>
      </c>
      <c r="G20" s="257">
        <f>'DEWATERING - RAW DATA'!I22-'DEWATERING - RAW DATA'!J22</f>
        <v>27.807499999999997</v>
      </c>
      <c r="H20" s="257">
        <f>'DEWATERING - RAW DATA'!J22-'DEWATERING - RAW DATA'!H22</f>
        <v>10.633299999999998</v>
      </c>
      <c r="I20" s="362">
        <f t="shared" si="0"/>
        <v>0.72338504921853863</v>
      </c>
      <c r="J20" s="362">
        <f t="shared" si="1"/>
        <v>0.27661495078146137</v>
      </c>
      <c r="K20" s="521"/>
      <c r="L20" s="255">
        <v>1.0258</v>
      </c>
      <c r="M20" s="524"/>
      <c r="N20" s="522"/>
    </row>
    <row r="21" spans="1:14" s="61" customFormat="1" x14ac:dyDescent="0.25">
      <c r="A21" s="385"/>
      <c r="B21" s="536" t="s">
        <v>8</v>
      </c>
      <c r="C21" s="15" t="s">
        <v>4</v>
      </c>
      <c r="D21" s="529">
        <v>10000</v>
      </c>
      <c r="E21" s="532"/>
      <c r="F21" s="367">
        <f>'DEWATERING - RAW DATA'!I23-'DEWATERING - RAW DATA'!H23</f>
        <v>40.452599999999997</v>
      </c>
      <c r="G21" s="257">
        <f>'DEWATERING - RAW DATA'!I23-'DEWATERING - RAW DATA'!J23</f>
        <v>3.9409999999999954</v>
      </c>
      <c r="H21" s="257">
        <f>'DEWATERING - RAW DATA'!J23-'DEWATERING - RAW DATA'!H23</f>
        <v>36.511600000000001</v>
      </c>
      <c r="I21" s="362">
        <f t="shared" si="0"/>
        <v>9.7422662572986554E-2</v>
      </c>
      <c r="J21" s="362">
        <f t="shared" si="1"/>
        <v>0.9025773374270134</v>
      </c>
      <c r="K21" s="521">
        <f>AVERAGE(I21:I23)</f>
        <v>0.1272011484580817</v>
      </c>
      <c r="L21" s="255">
        <v>0.98509999999999998</v>
      </c>
      <c r="M21" s="524">
        <f>AVERAGE(L21:L23)</f>
        <v>0.9869</v>
      </c>
      <c r="N21" s="522">
        <f>STDEVP(L21:L23)</f>
        <v>1.275408431313949E-3</v>
      </c>
    </row>
    <row r="22" spans="1:14" s="61" customFormat="1" x14ac:dyDescent="0.25">
      <c r="A22" s="385"/>
      <c r="B22" s="536"/>
      <c r="C22" s="15" t="s">
        <v>5</v>
      </c>
      <c r="D22" s="529"/>
      <c r="E22" s="532"/>
      <c r="F22" s="367">
        <f>'DEWATERING - RAW DATA'!I24-'DEWATERING - RAW DATA'!H24</f>
        <v>40.624299999999991</v>
      </c>
      <c r="G22" s="257">
        <f>'DEWATERING - RAW DATA'!I24-'DEWATERING - RAW DATA'!J24</f>
        <v>5.5241999999999933</v>
      </c>
      <c r="H22" s="257">
        <f>'DEWATERING - RAW DATA'!J24-'DEWATERING - RAW DATA'!H24</f>
        <v>35.100099999999998</v>
      </c>
      <c r="I22" s="362">
        <f t="shared" si="0"/>
        <v>0.13598265077798249</v>
      </c>
      <c r="J22" s="362">
        <f t="shared" si="1"/>
        <v>0.86401734922201745</v>
      </c>
      <c r="K22" s="521"/>
      <c r="L22" s="255">
        <v>0.9879</v>
      </c>
      <c r="M22" s="524"/>
      <c r="N22" s="522"/>
    </row>
    <row r="23" spans="1:14" s="110" customFormat="1" ht="15.75" thickBot="1" x14ac:dyDescent="0.3">
      <c r="A23" s="386"/>
      <c r="B23" s="537"/>
      <c r="C23" s="19" t="s">
        <v>6</v>
      </c>
      <c r="D23" s="530"/>
      <c r="E23" s="533"/>
      <c r="F23" s="368">
        <f>'DEWATERING - RAW DATA'!I25-'DEWATERING - RAW DATA'!H25</f>
        <v>40.16109999999999</v>
      </c>
      <c r="G23" s="258">
        <f>'DEWATERING - RAW DATA'!I25-'DEWATERING - RAW DATA'!J25</f>
        <v>5.9517999999999915</v>
      </c>
      <c r="H23" s="258">
        <f>'DEWATERING - RAW DATA'!J25-'DEWATERING - RAW DATA'!H25</f>
        <v>34.209299999999999</v>
      </c>
      <c r="I23" s="230">
        <f t="shared" si="0"/>
        <v>0.14819813202327609</v>
      </c>
      <c r="J23" s="230">
        <f t="shared" si="1"/>
        <v>0.85180186797672397</v>
      </c>
      <c r="K23" s="528"/>
      <c r="L23" s="256">
        <v>0.98770000000000002</v>
      </c>
      <c r="M23" s="525"/>
      <c r="N23" s="523"/>
    </row>
    <row r="25" spans="1:14" ht="16.899999999999999" customHeight="1" x14ac:dyDescent="0.25"/>
    <row r="26" spans="1:14" ht="28.5" customHeight="1" x14ac:dyDescent="0.25">
      <c r="C26" s="374" t="s">
        <v>109</v>
      </c>
      <c r="D26" s="373" t="s">
        <v>149</v>
      </c>
      <c r="E26" s="373" t="s">
        <v>110</v>
      </c>
      <c r="F26" t="s">
        <v>153</v>
      </c>
    </row>
    <row r="27" spans="1:14" x14ac:dyDescent="0.25">
      <c r="A27" s="526" t="s">
        <v>150</v>
      </c>
      <c r="B27" t="s">
        <v>8</v>
      </c>
      <c r="C27">
        <f>M9</f>
        <v>0.96989999999999998</v>
      </c>
      <c r="D27">
        <f>M15</f>
        <v>0.99330000000000007</v>
      </c>
      <c r="E27">
        <f>M21</f>
        <v>0.9869</v>
      </c>
      <c r="F27">
        <f>AVERAGE(B34:B36)</f>
        <v>0.97653333333333325</v>
      </c>
    </row>
    <row r="28" spans="1:14" x14ac:dyDescent="0.25">
      <c r="A28" s="526"/>
      <c r="B28" t="s">
        <v>7</v>
      </c>
      <c r="C28">
        <f>M6</f>
        <v>1.0041</v>
      </c>
      <c r="D28">
        <f>M12</f>
        <v>1.0267666666666664</v>
      </c>
      <c r="E28">
        <f>M18</f>
        <v>1.0276333333333334</v>
      </c>
      <c r="F28">
        <f>AVERAGE(C34:C36)</f>
        <v>1.0012333333333334</v>
      </c>
    </row>
    <row r="30" spans="1:14" x14ac:dyDescent="0.25">
      <c r="A30" s="527" t="s">
        <v>151</v>
      </c>
      <c r="B30" t="s">
        <v>8</v>
      </c>
      <c r="C30">
        <f>N9</f>
        <v>9.7979589711325401E-4</v>
      </c>
      <c r="D30">
        <f>N15</f>
        <v>3.1496031496047205E-3</v>
      </c>
      <c r="E30">
        <f>N21</f>
        <v>1.275408431313949E-3</v>
      </c>
      <c r="F30">
        <f>STDEV(B34:B36)</f>
        <v>4.3293571501243919E-3</v>
      </c>
    </row>
    <row r="31" spans="1:14" x14ac:dyDescent="0.25">
      <c r="A31" s="527"/>
      <c r="B31" t="s">
        <v>7</v>
      </c>
      <c r="C31">
        <f>N6</f>
        <v>1.2961481396816007E-3</v>
      </c>
      <c r="D31">
        <f>N12</f>
        <v>3.3109246778237349E-3</v>
      </c>
      <c r="E31">
        <f>N18</f>
        <v>1.6006942938057334E-3</v>
      </c>
      <c r="F31">
        <f>STDEV(C34:C36)</f>
        <v>1.1547005383791244E-4</v>
      </c>
    </row>
    <row r="32" spans="1:14" x14ac:dyDescent="0.25">
      <c r="A32" s="2"/>
    </row>
    <row r="33" spans="1:3" x14ac:dyDescent="0.25">
      <c r="B33" t="s">
        <v>8</v>
      </c>
      <c r="C33" t="s">
        <v>7</v>
      </c>
    </row>
    <row r="34" spans="1:3" x14ac:dyDescent="0.25">
      <c r="A34" s="527" t="s">
        <v>152</v>
      </c>
      <c r="B34">
        <v>0.97970000000000002</v>
      </c>
      <c r="C34">
        <v>1.0013000000000001</v>
      </c>
    </row>
    <row r="35" spans="1:3" x14ac:dyDescent="0.25">
      <c r="A35" s="527"/>
      <c r="B35">
        <v>0.97160000000000002</v>
      </c>
      <c r="C35">
        <v>1.0013000000000001</v>
      </c>
    </row>
    <row r="36" spans="1:3" x14ac:dyDescent="0.25">
      <c r="A36" s="527"/>
      <c r="B36">
        <v>0.97829999999999995</v>
      </c>
      <c r="C36">
        <v>1.0011000000000001</v>
      </c>
    </row>
  </sheetData>
  <mergeCells count="38">
    <mergeCell ref="N9:N11"/>
    <mergeCell ref="N12:N14"/>
    <mergeCell ref="N15:N17"/>
    <mergeCell ref="M6:M8"/>
    <mergeCell ref="M9:M11"/>
    <mergeCell ref="M12:M14"/>
    <mergeCell ref="M15:M17"/>
    <mergeCell ref="A34:A36"/>
    <mergeCell ref="D21:D23"/>
    <mergeCell ref="E6:E23"/>
    <mergeCell ref="D18:D20"/>
    <mergeCell ref="A18:A23"/>
    <mergeCell ref="B18:B20"/>
    <mergeCell ref="B21:B23"/>
    <mergeCell ref="N21:N23"/>
    <mergeCell ref="M21:M23"/>
    <mergeCell ref="A27:A28"/>
    <mergeCell ref="A30:A31"/>
    <mergeCell ref="K18:K20"/>
    <mergeCell ref="M18:M20"/>
    <mergeCell ref="N18:N20"/>
    <mergeCell ref="K21:K23"/>
    <mergeCell ref="A1:P2"/>
    <mergeCell ref="D6:D8"/>
    <mergeCell ref="D9:D11"/>
    <mergeCell ref="D12:D14"/>
    <mergeCell ref="D15:D17"/>
    <mergeCell ref="A6:A11"/>
    <mergeCell ref="B6:B8"/>
    <mergeCell ref="B9:B11"/>
    <mergeCell ref="A12:A17"/>
    <mergeCell ref="B12:B14"/>
    <mergeCell ref="B15:B17"/>
    <mergeCell ref="K6:K8"/>
    <mergeCell ref="K9:K11"/>
    <mergeCell ref="K12:K14"/>
    <mergeCell ref="K15:K17"/>
    <mergeCell ref="N6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0"/>
  <sheetViews>
    <sheetView tabSelected="1" topLeftCell="AG1" zoomScale="70" zoomScaleNormal="70" workbookViewId="0">
      <selection activeCell="BA2" sqref="BA2"/>
    </sheetView>
  </sheetViews>
  <sheetFormatPr defaultColWidth="9.140625" defaultRowHeight="15" x14ac:dyDescent="0.25"/>
  <cols>
    <col min="1" max="1" width="14.140625" customWidth="1"/>
    <col min="2" max="2" width="15.5703125" customWidth="1"/>
    <col min="3" max="3" width="14.42578125" bestFit="1" customWidth="1"/>
    <col min="4" max="5" width="14.7109375" customWidth="1"/>
    <col min="6" max="6" width="4.28515625" customWidth="1"/>
    <col min="7" max="7" width="10.7109375" customWidth="1"/>
    <col min="8" max="9" width="14.7109375" customWidth="1"/>
    <col min="10" max="11" width="3.42578125" customWidth="1"/>
    <col min="12" max="12" width="11.28515625" style="140" customWidth="1"/>
    <col min="13" max="14" width="12.28515625" style="141" customWidth="1"/>
    <col min="15" max="15" width="12.5703125" style="141" customWidth="1"/>
    <col min="16" max="17" width="15.42578125" style="141" customWidth="1"/>
    <col min="18" max="18" width="16.140625" style="141" customWidth="1"/>
    <col min="19" max="19" width="11.140625" style="141" customWidth="1"/>
    <col min="20" max="20" width="16.140625" style="126" customWidth="1"/>
    <col min="21" max="21" width="4" style="62" customWidth="1"/>
    <col min="22" max="22" width="5.140625" style="62" customWidth="1"/>
    <col min="23" max="23" width="3.85546875" customWidth="1"/>
    <col min="24" max="24" width="14.42578125" style="143" customWidth="1"/>
    <col min="25" max="25" width="12.7109375" style="144" customWidth="1"/>
    <col min="26" max="26" width="12.85546875" style="144" customWidth="1"/>
    <col min="27" max="27" width="14.85546875" style="144" customWidth="1"/>
    <col min="28" max="28" width="15.28515625" style="144" customWidth="1"/>
    <col min="29" max="29" width="15.5703125" style="144" customWidth="1"/>
    <col min="30" max="30" width="14.85546875" style="144" customWidth="1"/>
    <col min="31" max="31" width="11.140625" style="144" customWidth="1"/>
    <col min="32" max="32" width="12.5703125" style="144" customWidth="1"/>
    <col min="34" max="34" width="16.28515625" customWidth="1"/>
    <col min="35" max="35" width="12.28515625" customWidth="1"/>
    <col min="36" max="36" width="23.7109375" customWidth="1"/>
    <col min="37" max="37" width="23.140625" customWidth="1"/>
    <col min="38" max="38" width="23.5703125" customWidth="1"/>
    <col min="39" max="39" width="24.28515625" customWidth="1"/>
    <col min="40" max="40" width="20.28515625" customWidth="1"/>
  </cols>
  <sheetData>
    <row r="1" spans="1:50" ht="15" customHeight="1" thickBot="1" x14ac:dyDescent="0.3">
      <c r="A1" s="470" t="s">
        <v>50</v>
      </c>
      <c r="B1" s="471"/>
      <c r="C1" s="471"/>
      <c r="D1" s="471"/>
      <c r="E1" s="472"/>
      <c r="F1" s="222"/>
      <c r="G1" s="222"/>
      <c r="H1" s="222"/>
      <c r="I1" s="222"/>
      <c r="L1" s="549" t="s">
        <v>98</v>
      </c>
      <c r="M1" s="550"/>
      <c r="N1" s="550"/>
      <c r="O1" s="550"/>
      <c r="P1" s="550"/>
      <c r="Q1" s="550"/>
      <c r="R1" s="550"/>
      <c r="S1" s="550"/>
      <c r="T1" s="551"/>
      <c r="U1" s="223"/>
      <c r="V1" s="223"/>
      <c r="X1" s="576" t="s">
        <v>99</v>
      </c>
      <c r="Y1" s="577"/>
      <c r="Z1" s="577"/>
      <c r="AA1" s="577"/>
      <c r="AB1" s="577"/>
      <c r="AC1" s="577"/>
      <c r="AD1" s="577"/>
      <c r="AE1" s="577"/>
      <c r="AF1" s="577"/>
    </row>
    <row r="2" spans="1:50" ht="28.5" customHeight="1" thickBot="1" x14ac:dyDescent="0.3">
      <c r="A2" s="99" t="s">
        <v>49</v>
      </c>
      <c r="B2" s="97" t="s">
        <v>48</v>
      </c>
      <c r="C2" s="98" t="s">
        <v>47</v>
      </c>
      <c r="D2" s="97" t="s">
        <v>46</v>
      </c>
      <c r="E2" s="96" t="s">
        <v>45</v>
      </c>
      <c r="F2" s="216"/>
      <c r="G2" s="216"/>
      <c r="H2" s="216"/>
      <c r="I2" s="216"/>
      <c r="L2" s="552"/>
      <c r="M2" s="553"/>
      <c r="N2" s="553"/>
      <c r="O2" s="553"/>
      <c r="P2" s="553"/>
      <c r="Q2" s="553"/>
      <c r="R2" s="553"/>
      <c r="S2" s="553"/>
      <c r="T2" s="554"/>
      <c r="U2" s="223"/>
      <c r="V2" s="223"/>
      <c r="X2" s="578"/>
      <c r="Y2" s="579"/>
      <c r="Z2" s="579"/>
      <c r="AA2" s="579"/>
      <c r="AB2" s="579"/>
      <c r="AC2" s="579"/>
      <c r="AD2" s="579"/>
      <c r="AE2" s="579"/>
      <c r="AF2" s="579"/>
    </row>
    <row r="3" spans="1:50" ht="15.75" hidden="1" thickBot="1" x14ac:dyDescent="0.3">
      <c r="A3" s="95" t="s">
        <v>44</v>
      </c>
      <c r="B3" s="93" t="s">
        <v>43</v>
      </c>
      <c r="C3" s="94" t="s">
        <v>42</v>
      </c>
      <c r="D3" s="93">
        <v>6</v>
      </c>
      <c r="E3" s="92" t="s">
        <v>41</v>
      </c>
      <c r="F3" s="216"/>
      <c r="G3" s="216"/>
      <c r="H3" s="216"/>
      <c r="I3" s="216"/>
    </row>
    <row r="4" spans="1:50" ht="24.75" customHeight="1" thickBot="1" x14ac:dyDescent="0.3">
      <c r="A4" s="91" t="s">
        <v>40</v>
      </c>
      <c r="B4" s="90" t="s">
        <v>89</v>
      </c>
      <c r="C4" s="109" t="s">
        <v>88</v>
      </c>
      <c r="D4" s="90"/>
      <c r="E4" s="89"/>
      <c r="F4" s="217"/>
      <c r="G4" s="217"/>
      <c r="H4" s="217"/>
      <c r="I4" s="228" t="s">
        <v>39</v>
      </c>
    </row>
    <row r="5" spans="1:50" ht="51" customHeight="1" thickBot="1" x14ac:dyDescent="0.3">
      <c r="A5" s="485"/>
      <c r="B5" s="486"/>
      <c r="C5" s="486"/>
      <c r="D5" s="486"/>
      <c r="E5" s="487"/>
      <c r="F5" s="218"/>
      <c r="G5" s="563" t="s">
        <v>117</v>
      </c>
      <c r="H5" s="290" t="s">
        <v>8</v>
      </c>
      <c r="I5" s="289">
        <f>AVERAGE('MC - RSLUDGE'!I33:J35)</f>
        <v>0.73870970987589113</v>
      </c>
      <c r="AJ5" s="225" t="s">
        <v>109</v>
      </c>
      <c r="AK5" s="226" t="s">
        <v>111</v>
      </c>
      <c r="AL5" s="227" t="s">
        <v>110</v>
      </c>
      <c r="AM5" s="227" t="s">
        <v>154</v>
      </c>
      <c r="AN5" s="307" t="s">
        <v>155</v>
      </c>
    </row>
    <row r="6" spans="1:50" ht="18" customHeight="1" thickBot="1" x14ac:dyDescent="0.3">
      <c r="A6" s="88" t="s">
        <v>38</v>
      </c>
      <c r="B6" s="87" t="s">
        <v>37</v>
      </c>
      <c r="C6" s="87" t="s">
        <v>36</v>
      </c>
      <c r="D6" s="86" t="s">
        <v>35</v>
      </c>
      <c r="E6" s="85" t="s">
        <v>34</v>
      </c>
      <c r="F6" s="219"/>
      <c r="G6" s="564"/>
      <c r="H6" s="292" t="s">
        <v>112</v>
      </c>
      <c r="I6" s="291">
        <f>AVERAGE('MC - RSLUDGE'!U33:W33)</f>
        <v>0.96367410550578869</v>
      </c>
      <c r="AH6" s="586" t="s">
        <v>157</v>
      </c>
      <c r="AI6" s="290" t="s">
        <v>8</v>
      </c>
      <c r="AJ6" s="295">
        <f>AE29</f>
        <v>0.70715033041301256</v>
      </c>
      <c r="AK6" s="296">
        <f>AE57</f>
        <v>0.64036406715292871</v>
      </c>
      <c r="AL6" s="297">
        <f>AE87</f>
        <v>0.68243286421011662</v>
      </c>
      <c r="AM6" s="297">
        <v>0.66930000000000001</v>
      </c>
      <c r="AN6" s="306">
        <f>I5</f>
        <v>0.73870970987589113</v>
      </c>
    </row>
    <row r="7" spans="1:50" ht="15.75" thickBot="1" x14ac:dyDescent="0.3">
      <c r="A7" s="84"/>
      <c r="B7" s="83">
        <v>105</v>
      </c>
      <c r="C7" s="83"/>
      <c r="D7" s="82"/>
      <c r="E7" s="81"/>
      <c r="F7" s="220"/>
      <c r="G7" s="220"/>
      <c r="H7" s="220"/>
      <c r="I7" s="220"/>
      <c r="AH7" s="587"/>
      <c r="AI7" s="292" t="s">
        <v>112</v>
      </c>
      <c r="AJ7" s="298">
        <f>S27</f>
        <v>0.8567874108390322</v>
      </c>
      <c r="AK7" s="299">
        <f>S58</f>
        <v>0.78518590132902832</v>
      </c>
      <c r="AL7" s="300">
        <f>S90</f>
        <v>0.7287970648708928</v>
      </c>
      <c r="AM7" s="300" t="s">
        <v>16</v>
      </c>
      <c r="AN7" s="301">
        <f>I6</f>
        <v>0.96367410550578869</v>
      </c>
    </row>
    <row r="8" spans="1:50" ht="15.75" thickBot="1" x14ac:dyDescent="0.3">
      <c r="A8" s="80"/>
      <c r="B8" s="79"/>
      <c r="C8" s="79"/>
      <c r="D8" s="78"/>
      <c r="E8" s="77"/>
      <c r="F8" s="220"/>
      <c r="G8" s="220"/>
      <c r="H8" s="220"/>
      <c r="I8" s="220"/>
    </row>
    <row r="9" spans="1:50" ht="15.75" thickBot="1" x14ac:dyDescent="0.3">
      <c r="A9" s="76"/>
      <c r="B9" s="108"/>
      <c r="C9" s="64"/>
      <c r="D9" s="64"/>
      <c r="E9" s="107"/>
      <c r="F9" s="61"/>
      <c r="G9" s="61"/>
      <c r="H9" s="61"/>
      <c r="I9" s="61"/>
      <c r="AH9" s="588" t="s">
        <v>161</v>
      </c>
      <c r="AI9" s="290" t="s">
        <v>8</v>
      </c>
      <c r="AJ9" s="302">
        <f>AF29</f>
        <v>3.9123533305128492E-3</v>
      </c>
      <c r="AK9" s="303">
        <f>AF57</f>
        <v>1.6848455755784374E-2</v>
      </c>
      <c r="AL9" s="303">
        <f>AF87</f>
        <v>1.6018013015055472E-2</v>
      </c>
      <c r="AM9" s="303">
        <v>1.4347938295564699E-3</v>
      </c>
      <c r="AN9" s="304">
        <f>'MC - RSLUDGE'!I36</f>
        <v>5.0282477348988497E-3</v>
      </c>
    </row>
    <row r="10" spans="1:50" ht="15.75" thickBot="1" x14ac:dyDescent="0.3">
      <c r="B10" s="540" t="s">
        <v>87</v>
      </c>
      <c r="C10" s="541"/>
      <c r="D10" s="541"/>
      <c r="E10" s="542"/>
      <c r="F10" s="218"/>
      <c r="G10" s="218"/>
      <c r="H10" s="218"/>
      <c r="I10" s="218"/>
      <c r="L10" s="495" t="s">
        <v>86</v>
      </c>
      <c r="M10" s="496"/>
      <c r="N10" s="496"/>
      <c r="O10" s="497"/>
      <c r="S10" s="561" t="s">
        <v>115</v>
      </c>
      <c r="T10" s="562"/>
      <c r="X10" s="482" t="s">
        <v>85</v>
      </c>
      <c r="Y10" s="483"/>
      <c r="Z10" s="483"/>
      <c r="AA10" s="484"/>
      <c r="AE10" s="597" t="s">
        <v>116</v>
      </c>
      <c r="AF10" s="598"/>
      <c r="AH10" s="589"/>
      <c r="AI10" s="292" t="s">
        <v>112</v>
      </c>
      <c r="AJ10" s="298">
        <f>T27</f>
        <v>8.9487728006141694E-3</v>
      </c>
      <c r="AK10" s="299">
        <f>T58</f>
        <v>9.9869623369858718E-3</v>
      </c>
      <c r="AL10" s="299">
        <f>T90</f>
        <v>9.7017327013889845E-3</v>
      </c>
      <c r="AM10" s="299" t="s">
        <v>16</v>
      </c>
      <c r="AN10" s="305">
        <f>'MC - RSLUDGE'!U34</f>
        <v>1.9129506441892482E-3</v>
      </c>
    </row>
    <row r="11" spans="1:50" ht="47.25" customHeight="1" thickBot="1" x14ac:dyDescent="0.3">
      <c r="A11" s="40"/>
      <c r="B11" s="74" t="s">
        <v>0</v>
      </c>
      <c r="C11" s="73" t="s">
        <v>70</v>
      </c>
      <c r="D11" s="73" t="s">
        <v>69</v>
      </c>
      <c r="E11" s="72" t="s">
        <v>58</v>
      </c>
      <c r="F11" s="221"/>
      <c r="G11" s="224"/>
      <c r="H11" s="224"/>
      <c r="I11" s="224"/>
      <c r="J11" s="555" t="s">
        <v>109</v>
      </c>
      <c r="K11" s="556"/>
      <c r="L11" s="319" t="s">
        <v>0</v>
      </c>
      <c r="M11" s="321" t="s">
        <v>84</v>
      </c>
      <c r="N11" s="321" t="s">
        <v>69</v>
      </c>
      <c r="O11" s="351" t="s">
        <v>58</v>
      </c>
      <c r="P11" s="352" t="s">
        <v>118</v>
      </c>
      <c r="Q11" s="321" t="s">
        <v>119</v>
      </c>
      <c r="R11" s="351" t="s">
        <v>120</v>
      </c>
      <c r="S11" s="320" t="s">
        <v>103</v>
      </c>
      <c r="T11" s="351" t="s">
        <v>144</v>
      </c>
      <c r="U11" s="221"/>
      <c r="V11" s="590" t="s">
        <v>109</v>
      </c>
      <c r="W11" s="591"/>
      <c r="X11" s="333" t="s">
        <v>0</v>
      </c>
      <c r="Y11" s="337" t="s">
        <v>72</v>
      </c>
      <c r="Z11" s="334" t="s">
        <v>61</v>
      </c>
      <c r="AA11" s="335" t="s">
        <v>60</v>
      </c>
      <c r="AB11" s="336" t="s">
        <v>118</v>
      </c>
      <c r="AC11" s="334" t="s">
        <v>119</v>
      </c>
      <c r="AD11" s="335" t="s">
        <v>120</v>
      </c>
      <c r="AE11" s="336" t="s">
        <v>103</v>
      </c>
      <c r="AF11" s="335" t="s">
        <v>145</v>
      </c>
    </row>
    <row r="12" spans="1:50" ht="15" customHeight="1" x14ac:dyDescent="0.25">
      <c r="A12" s="100"/>
      <c r="B12" s="103">
        <v>0</v>
      </c>
      <c r="C12" s="71">
        <v>1.5489999999999999</v>
      </c>
      <c r="D12" s="71">
        <v>1.5129999999999999</v>
      </c>
      <c r="E12" s="70">
        <v>1.5</v>
      </c>
      <c r="F12" s="62"/>
      <c r="G12" s="224"/>
      <c r="H12" s="224"/>
      <c r="I12" s="224"/>
      <c r="J12" s="557"/>
      <c r="K12" s="558"/>
      <c r="L12" s="353">
        <v>0</v>
      </c>
      <c r="M12" s="127">
        <v>1.5</v>
      </c>
      <c r="N12" s="116">
        <v>1.5109999999999999</v>
      </c>
      <c r="O12" s="260">
        <v>1.5</v>
      </c>
      <c r="P12" s="127">
        <f>($M$12-M12)/$M$12</f>
        <v>0</v>
      </c>
      <c r="Q12" s="116">
        <f>($N$12-N12)/$N$12</f>
        <v>0</v>
      </c>
      <c r="R12" s="260">
        <f>($O$12-O12)/$O$12</f>
        <v>0</v>
      </c>
      <c r="S12" s="127">
        <f>AVERAGE(P12:R12)</f>
        <v>0</v>
      </c>
      <c r="T12" s="117">
        <f>STDEVP(P12:R12)</f>
        <v>0</v>
      </c>
      <c r="V12" s="592"/>
      <c r="W12" s="593"/>
      <c r="X12" s="347">
        <v>0</v>
      </c>
      <c r="Y12" s="238">
        <v>1.552</v>
      </c>
      <c r="Z12" s="131">
        <v>1.544</v>
      </c>
      <c r="AA12" s="262">
        <v>1.5029999999999999</v>
      </c>
      <c r="AB12" s="238">
        <f>($Y$12-Y12)/$Y$12</f>
        <v>0</v>
      </c>
      <c r="AC12" s="131">
        <f>($Z$12-Z12)/$Z$12</f>
        <v>0</v>
      </c>
      <c r="AD12" s="262">
        <f>($AA$12-AA12)/$AA$12</f>
        <v>0</v>
      </c>
      <c r="AE12" s="238">
        <f>AVERAGE(AB12:AD12)</f>
        <v>0</v>
      </c>
      <c r="AF12" s="132">
        <f>STDEVP(AB12:AD12)</f>
        <v>0</v>
      </c>
    </row>
    <row r="13" spans="1:50" x14ac:dyDescent="0.25">
      <c r="A13" s="100"/>
      <c r="B13" s="102">
        <v>1</v>
      </c>
      <c r="C13" s="69">
        <v>1.4570000000000001</v>
      </c>
      <c r="D13" s="69"/>
      <c r="E13" s="68"/>
      <c r="F13" s="62"/>
      <c r="G13" s="224"/>
      <c r="H13" s="224"/>
      <c r="I13" s="224"/>
      <c r="J13" s="557"/>
      <c r="K13" s="558"/>
      <c r="L13" s="354">
        <v>1</v>
      </c>
      <c r="M13" s="215">
        <v>1.2529999999999999</v>
      </c>
      <c r="N13" s="120">
        <v>1.266</v>
      </c>
      <c r="O13" s="316">
        <v>1.3340000000000001</v>
      </c>
      <c r="P13" s="215">
        <f t="shared" ref="P13:P22" si="0">($M$12-M13)/$M$12</f>
        <v>0.16466666666666674</v>
      </c>
      <c r="Q13" s="120">
        <f t="shared" ref="Q13:Q25" si="1">($N$12-N13)/$N$12</f>
        <v>0.16214427531436129</v>
      </c>
      <c r="R13" s="316">
        <f t="shared" ref="R13:R27" si="2">($O$12-O13)/$O$12</f>
        <v>0.11066666666666662</v>
      </c>
      <c r="S13" s="215">
        <f t="shared" ref="S13:S28" si="3">AVERAGE(P13:R13)</f>
        <v>0.14582586954923155</v>
      </c>
      <c r="T13" s="121">
        <f t="shared" ref="T13:T28" si="4">STDEVP(P13:R13)</f>
        <v>2.488262814410316E-2</v>
      </c>
      <c r="V13" s="592"/>
      <c r="W13" s="593"/>
      <c r="X13" s="348">
        <v>1</v>
      </c>
      <c r="Y13" s="309">
        <v>1.347</v>
      </c>
      <c r="Z13" s="135">
        <v>1.236</v>
      </c>
      <c r="AA13" s="350">
        <v>1.234</v>
      </c>
      <c r="AB13" s="309">
        <f t="shared" ref="AB13:AB29" si="5">($Y$12-Y13)/$Y$12</f>
        <v>0.13208762886597941</v>
      </c>
      <c r="AC13" s="135">
        <f t="shared" ref="AC13:AC27" si="6">($Z$12-Z13)/$Z$12</f>
        <v>0.19948186528497411</v>
      </c>
      <c r="AD13" s="350">
        <f t="shared" ref="AD13:AD26" si="7">($AA$12-AA13)/$AA$12</f>
        <v>0.17897538256819689</v>
      </c>
      <c r="AE13" s="309">
        <f t="shared" ref="AE13:AE29" si="8">AVERAGE(AB13:AD13)</f>
        <v>0.17018162557305014</v>
      </c>
      <c r="AF13" s="136">
        <f t="shared" ref="AF13:AF29" si="9">STDEVP(AB13:AD13)</f>
        <v>2.8207485970833012E-2</v>
      </c>
    </row>
    <row r="14" spans="1:50" ht="15.75" thickBot="1" x14ac:dyDescent="0.3">
      <c r="A14" s="100"/>
      <c r="B14" s="101">
        <v>2</v>
      </c>
      <c r="C14" s="67">
        <v>1.33</v>
      </c>
      <c r="D14" s="67"/>
      <c r="E14" s="66"/>
      <c r="F14" s="62"/>
      <c r="G14" s="224"/>
      <c r="H14" s="224"/>
      <c r="I14" s="224"/>
      <c r="J14" s="557"/>
      <c r="K14" s="558"/>
      <c r="L14" s="354">
        <v>2</v>
      </c>
      <c r="M14" s="215">
        <v>1.028</v>
      </c>
      <c r="N14" s="120">
        <v>1.0609999999999999</v>
      </c>
      <c r="O14" s="316">
        <v>1.1779999999999999</v>
      </c>
      <c r="P14" s="215">
        <f t="shared" si="0"/>
        <v>0.31466666666666665</v>
      </c>
      <c r="Q14" s="120">
        <f t="shared" si="1"/>
        <v>0.29781601588352086</v>
      </c>
      <c r="R14" s="316">
        <f t="shared" si="2"/>
        <v>0.2146666666666667</v>
      </c>
      <c r="S14" s="215">
        <f t="shared" si="3"/>
        <v>0.27571644973895137</v>
      </c>
      <c r="T14" s="121">
        <f t="shared" si="4"/>
        <v>4.371340845273642E-2</v>
      </c>
      <c r="V14" s="592"/>
      <c r="W14" s="593"/>
      <c r="X14" s="348">
        <v>2</v>
      </c>
      <c r="Y14" s="309">
        <v>1.157</v>
      </c>
      <c r="Z14" s="135">
        <v>1.026</v>
      </c>
      <c r="AA14" s="350">
        <v>1.046</v>
      </c>
      <c r="AB14" s="309">
        <f t="shared" si="5"/>
        <v>0.2545103092783505</v>
      </c>
      <c r="AC14" s="135">
        <f t="shared" si="6"/>
        <v>0.33549222797927464</v>
      </c>
      <c r="AD14" s="350">
        <f t="shared" si="7"/>
        <v>0.30405854956753153</v>
      </c>
      <c r="AE14" s="309">
        <f t="shared" si="8"/>
        <v>0.29802036227505224</v>
      </c>
      <c r="AF14" s="136">
        <f t="shared" si="9"/>
        <v>3.3335292293654117E-2</v>
      </c>
    </row>
    <row r="15" spans="1:50" x14ac:dyDescent="0.25">
      <c r="A15" s="100"/>
      <c r="B15" s="103">
        <v>3</v>
      </c>
      <c r="C15" s="71">
        <v>1.208</v>
      </c>
      <c r="D15" s="71"/>
      <c r="E15" s="70"/>
      <c r="F15" s="62"/>
      <c r="G15" s="224"/>
      <c r="H15" s="224"/>
      <c r="I15" s="224"/>
      <c r="J15" s="557"/>
      <c r="K15" s="558"/>
      <c r="L15" s="354">
        <v>3</v>
      </c>
      <c r="M15" s="215">
        <v>0.85</v>
      </c>
      <c r="N15" s="120">
        <v>0.91500000000000004</v>
      </c>
      <c r="O15" s="316">
        <v>1.03</v>
      </c>
      <c r="P15" s="215">
        <f t="shared" si="0"/>
        <v>0.43333333333333335</v>
      </c>
      <c r="Q15" s="120">
        <f t="shared" si="1"/>
        <v>0.39444076770350756</v>
      </c>
      <c r="R15" s="316">
        <f t="shared" si="2"/>
        <v>0.3133333333333333</v>
      </c>
      <c r="S15" s="215">
        <f t="shared" si="3"/>
        <v>0.38036914479005807</v>
      </c>
      <c r="T15" s="121">
        <f t="shared" si="4"/>
        <v>4.9990051867438171E-2</v>
      </c>
      <c r="V15" s="592"/>
      <c r="W15" s="593"/>
      <c r="X15" s="348">
        <v>3</v>
      </c>
      <c r="Y15" s="309">
        <v>1.014</v>
      </c>
      <c r="Z15" s="135">
        <v>0.88500000000000001</v>
      </c>
      <c r="AA15" s="350">
        <v>0.91100000000000003</v>
      </c>
      <c r="AB15" s="309">
        <f t="shared" si="5"/>
        <v>0.34664948453608246</v>
      </c>
      <c r="AC15" s="135">
        <f t="shared" si="6"/>
        <v>0.42681347150259069</v>
      </c>
      <c r="AD15" s="350">
        <f t="shared" si="7"/>
        <v>0.39387890884896865</v>
      </c>
      <c r="AE15" s="309">
        <f t="shared" si="8"/>
        <v>0.3891139549625473</v>
      </c>
      <c r="AF15" s="136">
        <f t="shared" si="9"/>
        <v>3.2899795245020569E-2</v>
      </c>
    </row>
    <row r="16" spans="1:50" x14ac:dyDescent="0.25">
      <c r="A16" s="100"/>
      <c r="B16" s="102">
        <v>4</v>
      </c>
      <c r="C16" s="69">
        <v>1.0880000000000001</v>
      </c>
      <c r="D16" s="69"/>
      <c r="E16" s="68"/>
      <c r="F16" s="62"/>
      <c r="G16" s="224"/>
      <c r="H16" s="357"/>
      <c r="I16" s="224"/>
      <c r="J16" s="557"/>
      <c r="K16" s="558"/>
      <c r="L16" s="354">
        <v>4</v>
      </c>
      <c r="M16" s="215">
        <v>0.64900000000000002</v>
      </c>
      <c r="N16" s="120">
        <v>0.72899999999999998</v>
      </c>
      <c r="O16" s="316">
        <v>0.89</v>
      </c>
      <c r="P16" s="215">
        <f t="shared" si="0"/>
        <v>0.56733333333333336</v>
      </c>
      <c r="Q16" s="120">
        <f t="shared" si="1"/>
        <v>0.51753805426869626</v>
      </c>
      <c r="R16" s="316">
        <f t="shared" si="2"/>
        <v>0.40666666666666668</v>
      </c>
      <c r="S16" s="215">
        <f t="shared" si="3"/>
        <v>0.49717935142289882</v>
      </c>
      <c r="T16" s="121">
        <f t="shared" si="4"/>
        <v>6.715306908159871E-2</v>
      </c>
      <c r="V16" s="592"/>
      <c r="W16" s="593"/>
      <c r="X16" s="348">
        <v>4</v>
      </c>
      <c r="Y16" s="309">
        <v>0.91</v>
      </c>
      <c r="Z16" s="135">
        <v>0.78100000000000003</v>
      </c>
      <c r="AA16" s="350">
        <v>0.80900000000000005</v>
      </c>
      <c r="AB16" s="309">
        <f t="shared" si="5"/>
        <v>0.41365979381443296</v>
      </c>
      <c r="AC16" s="135">
        <f t="shared" si="6"/>
        <v>0.49417098445595853</v>
      </c>
      <c r="AD16" s="350">
        <f t="shared" si="7"/>
        <v>0.46174318030605449</v>
      </c>
      <c r="AE16" s="309">
        <f t="shared" si="8"/>
        <v>0.45652465285881533</v>
      </c>
      <c r="AF16" s="136">
        <f t="shared" si="9"/>
        <v>3.3075043221611568E-2</v>
      </c>
      <c r="AQ16" s="600" t="s">
        <v>158</v>
      </c>
      <c r="AR16" s="600"/>
      <c r="AS16" s="600"/>
      <c r="AT16" s="600"/>
      <c r="AU16" s="600"/>
      <c r="AV16" s="600"/>
      <c r="AW16" s="600"/>
      <c r="AX16" s="600"/>
    </row>
    <row r="17" spans="1:40" ht="15.75" thickBot="1" x14ac:dyDescent="0.3">
      <c r="A17" s="100"/>
      <c r="B17" s="101">
        <v>5</v>
      </c>
      <c r="C17" s="67">
        <v>0.97299999999999998</v>
      </c>
      <c r="D17" s="67"/>
      <c r="E17" s="66"/>
      <c r="F17" s="62"/>
      <c r="G17" s="224"/>
      <c r="H17" s="224"/>
      <c r="I17" s="224"/>
      <c r="J17" s="557"/>
      <c r="K17" s="558"/>
      <c r="L17" s="354">
        <v>5</v>
      </c>
      <c r="M17" s="215">
        <v>0.48399999999999999</v>
      </c>
      <c r="N17" s="120">
        <v>0.58399999999999996</v>
      </c>
      <c r="O17" s="316">
        <v>0.75</v>
      </c>
      <c r="P17" s="215">
        <f t="shared" si="0"/>
        <v>0.67733333333333334</v>
      </c>
      <c r="Q17" s="120">
        <f t="shared" si="1"/>
        <v>0.61350099272005298</v>
      </c>
      <c r="R17" s="316">
        <f t="shared" si="2"/>
        <v>0.5</v>
      </c>
      <c r="S17" s="215">
        <f t="shared" si="3"/>
        <v>0.59694477535112878</v>
      </c>
      <c r="T17" s="121">
        <f t="shared" si="4"/>
        <v>7.3336480362563392E-2</v>
      </c>
      <c r="V17" s="592"/>
      <c r="W17" s="593"/>
      <c r="X17" s="348">
        <v>5</v>
      </c>
      <c r="Y17" s="309">
        <v>0.82699999999999996</v>
      </c>
      <c r="Z17" s="135">
        <v>0.7</v>
      </c>
      <c r="AA17" s="350">
        <v>0.72799999999999998</v>
      </c>
      <c r="AB17" s="309">
        <f t="shared" si="5"/>
        <v>0.46713917525773202</v>
      </c>
      <c r="AC17" s="135">
        <f t="shared" si="6"/>
        <v>0.54663212435233166</v>
      </c>
      <c r="AD17" s="350">
        <f t="shared" si="7"/>
        <v>0.5156353958749168</v>
      </c>
      <c r="AE17" s="309">
        <f t="shared" si="8"/>
        <v>0.50980223182832685</v>
      </c>
      <c r="AF17" s="136">
        <f t="shared" si="9"/>
        <v>3.2713927625553973E-2</v>
      </c>
    </row>
    <row r="18" spans="1:40" x14ac:dyDescent="0.25">
      <c r="A18" s="100"/>
      <c r="B18" s="103">
        <v>6</v>
      </c>
      <c r="C18" s="71">
        <v>0.86</v>
      </c>
      <c r="D18" s="71"/>
      <c r="E18" s="70"/>
      <c r="F18" s="62"/>
      <c r="G18" s="224"/>
      <c r="H18" s="224"/>
      <c r="I18" s="224"/>
      <c r="J18" s="557"/>
      <c r="K18" s="558"/>
      <c r="L18" s="354">
        <v>6</v>
      </c>
      <c r="M18" s="215">
        <v>0.34799999999999998</v>
      </c>
      <c r="N18" s="120">
        <v>0.45700000000000002</v>
      </c>
      <c r="O18" s="316">
        <v>0.63800000000000001</v>
      </c>
      <c r="P18" s="215">
        <f t="shared" si="0"/>
        <v>0.76800000000000013</v>
      </c>
      <c r="Q18" s="120">
        <f t="shared" si="1"/>
        <v>0.69755129053606879</v>
      </c>
      <c r="R18" s="316">
        <f t="shared" si="2"/>
        <v>0.57466666666666666</v>
      </c>
      <c r="S18" s="215">
        <f t="shared" si="3"/>
        <v>0.68007265240091197</v>
      </c>
      <c r="T18" s="121">
        <f t="shared" si="4"/>
        <v>7.9889805514592474E-2</v>
      </c>
      <c r="V18" s="592"/>
      <c r="W18" s="593"/>
      <c r="X18" s="348">
        <v>6</v>
      </c>
      <c r="Y18" s="309">
        <v>0.755</v>
      </c>
      <c r="Z18" s="135">
        <v>0.63400000000000001</v>
      </c>
      <c r="AA18" s="350">
        <v>0.66</v>
      </c>
      <c r="AB18" s="309">
        <f t="shared" si="5"/>
        <v>0.51353092783505161</v>
      </c>
      <c r="AC18" s="135">
        <f t="shared" si="6"/>
        <v>0.5893782383419689</v>
      </c>
      <c r="AD18" s="350">
        <f t="shared" si="7"/>
        <v>0.560878243512974</v>
      </c>
      <c r="AE18" s="309">
        <f t="shared" si="8"/>
        <v>0.55459580322999813</v>
      </c>
      <c r="AF18" s="136">
        <f t="shared" si="9"/>
        <v>3.1281575191743453E-2</v>
      </c>
    </row>
    <row r="19" spans="1:40" x14ac:dyDescent="0.25">
      <c r="A19" s="100"/>
      <c r="B19" s="102">
        <v>7</v>
      </c>
      <c r="C19" s="69">
        <v>0.755</v>
      </c>
      <c r="D19" s="69"/>
      <c r="E19" s="68"/>
      <c r="F19" s="62"/>
      <c r="G19" s="224"/>
      <c r="H19" s="224"/>
      <c r="I19" s="224"/>
      <c r="J19" s="557"/>
      <c r="K19" s="558"/>
      <c r="L19" s="354">
        <v>7</v>
      </c>
      <c r="M19" s="215">
        <v>0.25600000000000001</v>
      </c>
      <c r="N19" s="120">
        <v>0.35599999999999998</v>
      </c>
      <c r="O19" s="316">
        <v>0.52900000000000003</v>
      </c>
      <c r="P19" s="215">
        <f t="shared" si="0"/>
        <v>0.82933333333333337</v>
      </c>
      <c r="Q19" s="120">
        <f t="shared" si="1"/>
        <v>0.76439444076770346</v>
      </c>
      <c r="R19" s="316">
        <f t="shared" si="2"/>
        <v>0.64733333333333332</v>
      </c>
      <c r="S19" s="215">
        <f t="shared" si="3"/>
        <v>0.74702036914478998</v>
      </c>
      <c r="T19" s="121">
        <f t="shared" si="4"/>
        <v>7.5309998333857972E-2</v>
      </c>
      <c r="V19" s="592"/>
      <c r="W19" s="593"/>
      <c r="X19" s="348">
        <v>7</v>
      </c>
      <c r="Y19" s="309">
        <v>0.69599999999999995</v>
      </c>
      <c r="Z19" s="135">
        <v>0.57999999999999996</v>
      </c>
      <c r="AA19" s="350">
        <v>0.59299999999999997</v>
      </c>
      <c r="AB19" s="309">
        <f t="shared" si="5"/>
        <v>0.55154639175257736</v>
      </c>
      <c r="AC19" s="135">
        <f t="shared" si="6"/>
        <v>0.62435233160621761</v>
      </c>
      <c r="AD19" s="350">
        <f t="shared" si="7"/>
        <v>0.60545575515635397</v>
      </c>
      <c r="AE19" s="309">
        <f t="shared" si="8"/>
        <v>0.59378482617171635</v>
      </c>
      <c r="AF19" s="136">
        <f t="shared" si="9"/>
        <v>3.0847303037340904E-2</v>
      </c>
      <c r="AH19" s="94"/>
      <c r="AI19" s="362"/>
      <c r="AJ19" s="94" t="s">
        <v>109</v>
      </c>
      <c r="AK19" s="94" t="s">
        <v>111</v>
      </c>
      <c r="AL19" s="94" t="s">
        <v>110</v>
      </c>
      <c r="AM19" s="94" t="s">
        <v>154</v>
      </c>
      <c r="AN19" s="94" t="s">
        <v>155</v>
      </c>
    </row>
    <row r="20" spans="1:40" ht="15.75" thickBot="1" x14ac:dyDescent="0.3">
      <c r="A20" s="100"/>
      <c r="B20" s="101">
        <v>8</v>
      </c>
      <c r="C20" s="67">
        <v>0.65300000000000002</v>
      </c>
      <c r="D20" s="67"/>
      <c r="E20" s="66"/>
      <c r="F20" s="62"/>
      <c r="G20" s="224"/>
      <c r="H20" s="224"/>
      <c r="I20" s="224"/>
      <c r="J20" s="557"/>
      <c r="K20" s="558"/>
      <c r="L20" s="354">
        <v>8</v>
      </c>
      <c r="M20" s="215">
        <v>0.216</v>
      </c>
      <c r="N20" s="120">
        <v>0.28399999999999997</v>
      </c>
      <c r="O20" s="316">
        <v>0.434</v>
      </c>
      <c r="P20" s="215">
        <f t="shared" si="0"/>
        <v>0.85599999999999998</v>
      </c>
      <c r="Q20" s="120">
        <f t="shared" si="1"/>
        <v>0.81204500330906682</v>
      </c>
      <c r="R20" s="316">
        <f t="shared" si="2"/>
        <v>0.71066666666666667</v>
      </c>
      <c r="S20" s="215">
        <f t="shared" si="3"/>
        <v>0.79290388999191119</v>
      </c>
      <c r="T20" s="121">
        <f t="shared" si="4"/>
        <v>6.0856284850509826E-2</v>
      </c>
      <c r="V20" s="592"/>
      <c r="W20" s="593"/>
      <c r="X20" s="348">
        <v>8</v>
      </c>
      <c r="Y20" s="309">
        <v>0.64200000000000002</v>
      </c>
      <c r="Z20" s="135">
        <v>0.35</v>
      </c>
      <c r="AA20" s="350">
        <v>0.53400000000000003</v>
      </c>
      <c r="AB20" s="309">
        <f t="shared" si="5"/>
        <v>0.58634020618556704</v>
      </c>
      <c r="AC20" s="135">
        <f t="shared" si="6"/>
        <v>0.77331606217616577</v>
      </c>
      <c r="AD20" s="350">
        <f t="shared" si="7"/>
        <v>0.64471057884231531</v>
      </c>
      <c r="AE20" s="309">
        <f t="shared" si="8"/>
        <v>0.66812228240134941</v>
      </c>
      <c r="AF20" s="136">
        <f t="shared" si="9"/>
        <v>7.8107078546084133E-2</v>
      </c>
      <c r="AH20" s="603" t="s">
        <v>156</v>
      </c>
      <c r="AI20" s="601" t="s">
        <v>8</v>
      </c>
      <c r="AJ20" s="601">
        <v>0.96989999999999998</v>
      </c>
      <c r="AK20" s="601">
        <v>0.99330000000000007</v>
      </c>
      <c r="AL20" s="601">
        <v>0.9869</v>
      </c>
      <c r="AM20" s="601">
        <v>0.94210000000000005</v>
      </c>
      <c r="AN20" s="601">
        <v>0.97653333333333325</v>
      </c>
    </row>
    <row r="21" spans="1:40" x14ac:dyDescent="0.25">
      <c r="A21" s="100"/>
      <c r="B21" s="103">
        <v>9</v>
      </c>
      <c r="C21" s="71">
        <v>0.55200000000000005</v>
      </c>
      <c r="D21" s="71"/>
      <c r="E21" s="70"/>
      <c r="F21" s="62"/>
      <c r="G21" s="224"/>
      <c r="H21" s="224"/>
      <c r="I21" s="224"/>
      <c r="J21" s="557"/>
      <c r="K21" s="558"/>
      <c r="L21" s="354">
        <v>9</v>
      </c>
      <c r="M21" s="215">
        <v>0.20399999999999999</v>
      </c>
      <c r="N21" s="120">
        <v>0.24</v>
      </c>
      <c r="O21" s="316">
        <v>0.35399999999999998</v>
      </c>
      <c r="P21" s="215">
        <f t="shared" si="0"/>
        <v>0.86399999999999999</v>
      </c>
      <c r="Q21" s="120">
        <f t="shared" si="1"/>
        <v>0.84116479152878887</v>
      </c>
      <c r="R21" s="316">
        <f t="shared" si="2"/>
        <v>0.7639999999999999</v>
      </c>
      <c r="S21" s="215">
        <f t="shared" si="3"/>
        <v>0.82305493050959633</v>
      </c>
      <c r="T21" s="121">
        <f t="shared" si="4"/>
        <v>4.2786098206472459E-2</v>
      </c>
      <c r="V21" s="592"/>
      <c r="W21" s="593"/>
      <c r="X21" s="348">
        <v>9</v>
      </c>
      <c r="Y21" s="309">
        <v>0.59499999999999997</v>
      </c>
      <c r="Z21" s="135">
        <v>0.502</v>
      </c>
      <c r="AA21" s="350">
        <v>0.49</v>
      </c>
      <c r="AB21" s="309">
        <f t="shared" si="5"/>
        <v>0.61662371134020622</v>
      </c>
      <c r="AC21" s="135">
        <f t="shared" si="6"/>
        <v>0.67487046632124348</v>
      </c>
      <c r="AD21" s="350">
        <f t="shared" si="7"/>
        <v>0.67398536260811703</v>
      </c>
      <c r="AE21" s="309">
        <f t="shared" si="8"/>
        <v>0.65515984675652217</v>
      </c>
      <c r="AF21" s="136">
        <f t="shared" si="9"/>
        <v>2.725155838680585E-2</v>
      </c>
      <c r="AH21" s="603"/>
      <c r="AI21" s="601" t="s">
        <v>7</v>
      </c>
      <c r="AJ21" s="601">
        <v>1</v>
      </c>
      <c r="AK21" s="601">
        <v>1</v>
      </c>
      <c r="AL21" s="601">
        <v>1</v>
      </c>
      <c r="AM21" s="601" t="s">
        <v>16</v>
      </c>
      <c r="AN21" s="601">
        <v>1</v>
      </c>
    </row>
    <row r="22" spans="1:40" x14ac:dyDescent="0.25">
      <c r="A22" s="100"/>
      <c r="B22" s="102">
        <v>10</v>
      </c>
      <c r="C22" s="69">
        <v>0.45100000000000001</v>
      </c>
      <c r="D22" s="69"/>
      <c r="E22" s="68"/>
      <c r="F22" s="62"/>
      <c r="G22" s="224"/>
      <c r="H22" s="224"/>
      <c r="I22" s="224"/>
      <c r="J22" s="557"/>
      <c r="K22" s="558"/>
      <c r="L22" s="354">
        <v>10</v>
      </c>
      <c r="M22" s="215">
        <v>0.20100000000000001</v>
      </c>
      <c r="N22" s="120">
        <v>0.22</v>
      </c>
      <c r="O22" s="316">
        <v>0.29499999999999998</v>
      </c>
      <c r="P22" s="215">
        <f t="shared" si="0"/>
        <v>0.86599999999999999</v>
      </c>
      <c r="Q22" s="120">
        <f t="shared" si="1"/>
        <v>0.85440105890138984</v>
      </c>
      <c r="R22" s="316">
        <f t="shared" si="2"/>
        <v>0.80333333333333334</v>
      </c>
      <c r="S22" s="215">
        <f t="shared" si="3"/>
        <v>0.84124479741157432</v>
      </c>
      <c r="T22" s="121">
        <f t="shared" si="4"/>
        <v>2.7222456294624088E-2</v>
      </c>
      <c r="V22" s="592"/>
      <c r="W22" s="593"/>
      <c r="X22" s="348">
        <v>10</v>
      </c>
      <c r="Y22" s="309">
        <v>0.52300000000000002</v>
      </c>
      <c r="Z22" s="135">
        <v>0.48</v>
      </c>
      <c r="AA22" s="350">
        <v>0.46100000000000002</v>
      </c>
      <c r="AB22" s="309">
        <f t="shared" si="5"/>
        <v>0.66301546391752575</v>
      </c>
      <c r="AC22" s="135">
        <f t="shared" si="6"/>
        <v>0.68911917098445596</v>
      </c>
      <c r="AD22" s="350">
        <f t="shared" si="7"/>
        <v>0.69328010645375904</v>
      </c>
      <c r="AE22" s="309">
        <f t="shared" si="8"/>
        <v>0.68180491378524677</v>
      </c>
      <c r="AF22" s="136">
        <f t="shared" si="9"/>
        <v>1.3394300174418255E-2</v>
      </c>
      <c r="AH22" s="604"/>
      <c r="AI22" s="602"/>
      <c r="AJ22" s="602"/>
      <c r="AK22" s="602"/>
      <c r="AL22" s="602"/>
      <c r="AM22" s="602"/>
      <c r="AN22" s="602"/>
    </row>
    <row r="23" spans="1:40" ht="15.75" thickBot="1" x14ac:dyDescent="0.3">
      <c r="A23" s="100"/>
      <c r="B23" s="101">
        <v>11</v>
      </c>
      <c r="C23" s="67">
        <v>0.35099999999999998</v>
      </c>
      <c r="D23" s="67"/>
      <c r="E23" s="66"/>
      <c r="F23" s="62"/>
      <c r="G23" s="224"/>
      <c r="H23" s="224"/>
      <c r="I23" s="224"/>
      <c r="J23" s="557"/>
      <c r="K23" s="558"/>
      <c r="L23" s="354">
        <v>11</v>
      </c>
      <c r="M23" s="215">
        <v>0.20100000000000001</v>
      </c>
      <c r="N23" s="120">
        <v>0.21299999999999999</v>
      </c>
      <c r="O23" s="316">
        <v>0.26200000000000001</v>
      </c>
      <c r="P23" s="346">
        <f t="shared" ref="P23:P28" si="10">P22</f>
        <v>0.86599999999999999</v>
      </c>
      <c r="Q23" s="120">
        <f t="shared" si="1"/>
        <v>0.85903375248180003</v>
      </c>
      <c r="R23" s="316">
        <f t="shared" si="2"/>
        <v>0.82533333333333336</v>
      </c>
      <c r="S23" s="215">
        <f t="shared" si="3"/>
        <v>0.85012236193837776</v>
      </c>
      <c r="T23" s="121">
        <f t="shared" si="4"/>
        <v>1.775770453460488E-2</v>
      </c>
      <c r="V23" s="592"/>
      <c r="W23" s="593"/>
      <c r="X23" s="348">
        <v>11</v>
      </c>
      <c r="Y23" s="309">
        <v>0.52300000000000002</v>
      </c>
      <c r="Z23" s="135">
        <v>0.46600000000000003</v>
      </c>
      <c r="AA23" s="350">
        <v>0.44600000000000001</v>
      </c>
      <c r="AB23" s="309">
        <f t="shared" si="5"/>
        <v>0.66301546391752575</v>
      </c>
      <c r="AC23" s="135">
        <f t="shared" si="6"/>
        <v>0.69818652849740936</v>
      </c>
      <c r="AD23" s="350">
        <f t="shared" si="7"/>
        <v>0.70326014637391887</v>
      </c>
      <c r="AE23" s="309">
        <f t="shared" si="8"/>
        <v>0.68815404626295129</v>
      </c>
      <c r="AF23" s="136">
        <f t="shared" si="9"/>
        <v>1.7895933268809353E-2</v>
      </c>
      <c r="AH23" s="603" t="s">
        <v>160</v>
      </c>
      <c r="AI23" s="601" t="s">
        <v>8</v>
      </c>
      <c r="AJ23" s="601">
        <v>9.7979589711325401E-4</v>
      </c>
      <c r="AK23" s="601">
        <v>3.1496031496047205E-3</v>
      </c>
      <c r="AL23" s="601">
        <v>1.275408431313949E-3</v>
      </c>
      <c r="AM23" s="601">
        <v>4.3588989435405302E-4</v>
      </c>
      <c r="AN23" s="601">
        <v>4.3293571501243919E-3</v>
      </c>
    </row>
    <row r="24" spans="1:40" x14ac:dyDescent="0.25">
      <c r="A24" s="100"/>
      <c r="B24" s="103">
        <v>12</v>
      </c>
      <c r="C24" s="71">
        <v>0.25</v>
      </c>
      <c r="D24" s="71"/>
      <c r="E24" s="70"/>
      <c r="F24" s="62"/>
      <c r="G24" s="224"/>
      <c r="H24" s="224"/>
      <c r="I24" s="224"/>
      <c r="J24" s="557"/>
      <c r="K24" s="558"/>
      <c r="L24" s="354">
        <v>12</v>
      </c>
      <c r="M24" s="215">
        <f>M22</f>
        <v>0.20100000000000001</v>
      </c>
      <c r="N24" s="120">
        <v>0.21199999999999999</v>
      </c>
      <c r="O24" s="316">
        <v>0.24399999999999999</v>
      </c>
      <c r="P24" s="346">
        <f t="shared" si="10"/>
        <v>0.86599999999999999</v>
      </c>
      <c r="Q24" s="120">
        <f t="shared" si="1"/>
        <v>0.85969556585043017</v>
      </c>
      <c r="R24" s="316">
        <f t="shared" si="2"/>
        <v>0.83733333333333337</v>
      </c>
      <c r="S24" s="215">
        <f t="shared" si="3"/>
        <v>0.85434296639458784</v>
      </c>
      <c r="T24" s="121">
        <f t="shared" si="4"/>
        <v>1.2299923716442483E-2</v>
      </c>
      <c r="V24" s="592"/>
      <c r="W24" s="593"/>
      <c r="X24" s="348">
        <v>12</v>
      </c>
      <c r="Y24" s="309">
        <v>0.499</v>
      </c>
      <c r="Z24" s="135">
        <v>0.45800000000000002</v>
      </c>
      <c r="AA24" s="350">
        <v>0.439</v>
      </c>
      <c r="AB24" s="309">
        <f t="shared" si="5"/>
        <v>0.67847938144329889</v>
      </c>
      <c r="AC24" s="135">
        <f t="shared" si="6"/>
        <v>0.70336787564766845</v>
      </c>
      <c r="AD24" s="350">
        <f t="shared" si="7"/>
        <v>0.70791749833665996</v>
      </c>
      <c r="AE24" s="309">
        <f t="shared" si="8"/>
        <v>0.69658825180920914</v>
      </c>
      <c r="AF24" s="136">
        <f t="shared" si="9"/>
        <v>1.2938911754859249E-2</v>
      </c>
      <c r="AH24" s="603"/>
      <c r="AI24" s="601" t="s">
        <v>7</v>
      </c>
      <c r="AJ24" s="601">
        <v>1.2961481396816007E-3</v>
      </c>
      <c r="AK24" s="601">
        <v>3.3109246778237349E-3</v>
      </c>
      <c r="AL24" s="601">
        <v>1.6006942938057334E-3</v>
      </c>
      <c r="AM24" s="601" t="s">
        <v>16</v>
      </c>
      <c r="AN24" s="601">
        <v>1.1547005383791244E-4</v>
      </c>
    </row>
    <row r="25" spans="1:40" x14ac:dyDescent="0.25">
      <c r="A25" s="100"/>
      <c r="B25" s="102">
        <v>13</v>
      </c>
      <c r="C25" s="69">
        <v>0.16800000000000001</v>
      </c>
      <c r="D25" s="69"/>
      <c r="E25" s="68"/>
      <c r="F25" s="62"/>
      <c r="G25" s="224"/>
      <c r="H25" s="224"/>
      <c r="I25" s="224"/>
      <c r="J25" s="557"/>
      <c r="K25" s="558"/>
      <c r="L25" s="354">
        <v>13</v>
      </c>
      <c r="M25" s="215">
        <f>M24</f>
        <v>0.20100000000000001</v>
      </c>
      <c r="N25" s="120">
        <v>0.21199999999999999</v>
      </c>
      <c r="O25" s="316">
        <v>0.23599999999999999</v>
      </c>
      <c r="P25" s="346">
        <f t="shared" si="10"/>
        <v>0.86599999999999999</v>
      </c>
      <c r="Q25" s="120">
        <f t="shared" si="1"/>
        <v>0.85969556585043017</v>
      </c>
      <c r="R25" s="316">
        <f t="shared" si="2"/>
        <v>0.84266666666666667</v>
      </c>
      <c r="S25" s="215">
        <f t="shared" si="3"/>
        <v>0.85612074417236561</v>
      </c>
      <c r="T25" s="121">
        <f t="shared" si="4"/>
        <v>9.8554764347402683E-3</v>
      </c>
      <c r="V25" s="592"/>
      <c r="W25" s="593"/>
      <c r="X25" s="348">
        <v>13</v>
      </c>
      <c r="Y25" s="309">
        <v>0.48299999999999998</v>
      </c>
      <c r="Z25" s="135">
        <v>0.45300000000000001</v>
      </c>
      <c r="AA25" s="350">
        <v>0.436</v>
      </c>
      <c r="AB25" s="309">
        <f t="shared" si="5"/>
        <v>0.68878865979381443</v>
      </c>
      <c r="AC25" s="135">
        <f t="shared" si="6"/>
        <v>0.70660621761658027</v>
      </c>
      <c r="AD25" s="350">
        <f t="shared" si="7"/>
        <v>0.70991350632069194</v>
      </c>
      <c r="AE25" s="309">
        <f t="shared" si="8"/>
        <v>0.70176946124369544</v>
      </c>
      <c r="AF25" s="136">
        <f t="shared" si="9"/>
        <v>9.2775874864827867E-3</v>
      </c>
      <c r="AH25" s="604"/>
      <c r="AI25" s="602"/>
      <c r="AJ25" s="602"/>
      <c r="AK25" s="602"/>
      <c r="AL25" s="602"/>
      <c r="AM25" s="602"/>
      <c r="AN25" s="602"/>
    </row>
    <row r="26" spans="1:40" ht="15.75" thickBot="1" x14ac:dyDescent="0.3">
      <c r="A26" s="100"/>
      <c r="B26" s="101">
        <v>14</v>
      </c>
      <c r="C26" s="67">
        <v>9.5000000000000001E-2</v>
      </c>
      <c r="D26" s="67"/>
      <c r="E26" s="66"/>
      <c r="F26" s="62"/>
      <c r="G26" s="224"/>
      <c r="H26" s="224"/>
      <c r="I26" s="224"/>
      <c r="J26" s="557"/>
      <c r="K26" s="558"/>
      <c r="L26" s="354">
        <v>14</v>
      </c>
      <c r="M26" s="215">
        <f>M24</f>
        <v>0.20100000000000001</v>
      </c>
      <c r="N26" s="120">
        <v>0.20100000000000001</v>
      </c>
      <c r="O26" s="316">
        <v>0.22900000000000001</v>
      </c>
      <c r="P26" s="346">
        <f t="shared" si="10"/>
        <v>0.86599999999999999</v>
      </c>
      <c r="Q26" s="318">
        <f>Q25</f>
        <v>0.85969556585043017</v>
      </c>
      <c r="R26" s="316">
        <f t="shared" si="2"/>
        <v>0.84733333333333327</v>
      </c>
      <c r="S26" s="215">
        <f t="shared" si="3"/>
        <v>0.85767629972792114</v>
      </c>
      <c r="T26" s="121">
        <f t="shared" si="4"/>
        <v>7.7532439604871663E-3</v>
      </c>
      <c r="V26" s="592"/>
      <c r="W26" s="593"/>
      <c r="X26" s="348">
        <v>14</v>
      </c>
      <c r="Y26" s="309">
        <v>0.47299999999999998</v>
      </c>
      <c r="Z26" s="135">
        <v>0.45100000000000001</v>
      </c>
      <c r="AA26" s="350">
        <v>0.435</v>
      </c>
      <c r="AB26" s="309">
        <f t="shared" si="5"/>
        <v>0.69523195876288668</v>
      </c>
      <c r="AC26" s="135">
        <f t="shared" si="6"/>
        <v>0.70790155440414504</v>
      </c>
      <c r="AD26" s="350">
        <f t="shared" si="7"/>
        <v>0.71057884231536916</v>
      </c>
      <c r="AE26" s="309">
        <f t="shared" si="8"/>
        <v>0.70457078516080029</v>
      </c>
      <c r="AF26" s="136">
        <f t="shared" si="9"/>
        <v>6.6933910940903899E-3</v>
      </c>
    </row>
    <row r="27" spans="1:40" x14ac:dyDescent="0.25">
      <c r="A27" s="100"/>
      <c r="B27" s="103">
        <v>15</v>
      </c>
      <c r="C27" s="71">
        <v>4.2999999999999997E-2</v>
      </c>
      <c r="D27" s="71"/>
      <c r="E27" s="70"/>
      <c r="F27" s="62"/>
      <c r="G27" s="224"/>
      <c r="H27" s="224"/>
      <c r="I27" s="224"/>
      <c r="J27" s="557"/>
      <c r="K27" s="558"/>
      <c r="L27" s="354">
        <v>15</v>
      </c>
      <c r="M27" s="215">
        <f>M26</f>
        <v>0.20100000000000001</v>
      </c>
      <c r="N27" s="120">
        <f>N25</f>
        <v>0.21199999999999999</v>
      </c>
      <c r="O27" s="316">
        <v>0.23300000000000001</v>
      </c>
      <c r="P27" s="346">
        <f t="shared" si="10"/>
        <v>0.86599999999999999</v>
      </c>
      <c r="Q27" s="318">
        <f>Q26</f>
        <v>0.85969556585043017</v>
      </c>
      <c r="R27" s="316">
        <f t="shared" si="2"/>
        <v>0.84466666666666657</v>
      </c>
      <c r="S27" s="215">
        <f t="shared" si="3"/>
        <v>0.8567874108390322</v>
      </c>
      <c r="T27" s="121">
        <f t="shared" si="4"/>
        <v>8.9487728006141694E-3</v>
      </c>
      <c r="V27" s="592"/>
      <c r="W27" s="593"/>
      <c r="X27" s="348">
        <v>15</v>
      </c>
      <c r="Y27" s="309">
        <v>0.46800000000000003</v>
      </c>
      <c r="Z27" s="135">
        <v>0.44900000000000001</v>
      </c>
      <c r="AA27" s="350">
        <v>0.435</v>
      </c>
      <c r="AB27" s="309">
        <f t="shared" si="5"/>
        <v>0.69845360824742275</v>
      </c>
      <c r="AC27" s="135">
        <f t="shared" si="6"/>
        <v>0.70919689119170981</v>
      </c>
      <c r="AD27" s="358">
        <f>AD26</f>
        <v>0.71057884231536916</v>
      </c>
      <c r="AE27" s="309">
        <f t="shared" si="8"/>
        <v>0.70607644725150054</v>
      </c>
      <c r="AF27" s="136">
        <f t="shared" si="9"/>
        <v>5.4196065717364555E-3</v>
      </c>
    </row>
    <row r="28" spans="1:40" x14ac:dyDescent="0.25">
      <c r="A28" s="100"/>
      <c r="B28" s="102">
        <v>16</v>
      </c>
      <c r="C28" s="69">
        <v>8.9999999999999993E-3</v>
      </c>
      <c r="D28" s="69"/>
      <c r="E28" s="68"/>
      <c r="F28" s="62"/>
      <c r="G28" s="224"/>
      <c r="H28" s="224"/>
      <c r="I28" s="224"/>
      <c r="J28" s="557"/>
      <c r="K28" s="558"/>
      <c r="L28" s="354">
        <v>16</v>
      </c>
      <c r="M28" s="215">
        <f>M27</f>
        <v>0.20100000000000001</v>
      </c>
      <c r="N28" s="120">
        <f>N25</f>
        <v>0.21199999999999999</v>
      </c>
      <c r="O28" s="316">
        <v>0.23200000000000001</v>
      </c>
      <c r="P28" s="359">
        <f t="shared" si="10"/>
        <v>0.86599999999999999</v>
      </c>
      <c r="Q28" s="312">
        <f>Q27</f>
        <v>0.85969556585043017</v>
      </c>
      <c r="R28" s="332">
        <f>R27</f>
        <v>0.84466666666666657</v>
      </c>
      <c r="S28" s="215">
        <f t="shared" si="3"/>
        <v>0.8567874108390322</v>
      </c>
      <c r="T28" s="121">
        <f t="shared" si="4"/>
        <v>8.9487728006141694E-3</v>
      </c>
      <c r="V28" s="592"/>
      <c r="W28" s="593"/>
      <c r="X28" s="348">
        <v>16</v>
      </c>
      <c r="Y28" s="309">
        <v>0.46400000000000002</v>
      </c>
      <c r="Z28" s="135">
        <v>0.44900000000000001</v>
      </c>
      <c r="AA28" s="350">
        <f>AA27</f>
        <v>0.435</v>
      </c>
      <c r="AB28" s="309">
        <f t="shared" si="5"/>
        <v>0.70103092783505161</v>
      </c>
      <c r="AC28" s="318">
        <f>AC27</f>
        <v>0.70919689119170981</v>
      </c>
      <c r="AD28" s="358">
        <f>AD27</f>
        <v>0.71057884231536916</v>
      </c>
      <c r="AE28" s="309">
        <f t="shared" si="8"/>
        <v>0.70693555378071016</v>
      </c>
      <c r="AF28" s="136">
        <f t="shared" si="9"/>
        <v>4.2131463219826776E-3</v>
      </c>
    </row>
    <row r="29" spans="1:40" ht="15.75" thickBot="1" x14ac:dyDescent="0.3">
      <c r="A29" s="100"/>
      <c r="B29" s="101">
        <v>17</v>
      </c>
      <c r="C29" s="67" t="s">
        <v>79</v>
      </c>
      <c r="D29" s="67" t="s">
        <v>78</v>
      </c>
      <c r="E29" s="66"/>
      <c r="F29" s="62"/>
      <c r="G29" s="224"/>
      <c r="H29" s="224"/>
      <c r="I29" s="224"/>
      <c r="J29" s="557"/>
      <c r="K29" s="558"/>
      <c r="L29" s="354">
        <v>17</v>
      </c>
      <c r="M29" s="215" t="s">
        <v>83</v>
      </c>
      <c r="N29" s="120" t="s">
        <v>83</v>
      </c>
      <c r="O29" s="316" t="s">
        <v>81</v>
      </c>
      <c r="P29" s="215"/>
      <c r="Q29" s="120"/>
      <c r="R29" s="316"/>
      <c r="S29" s="215"/>
      <c r="T29" s="121"/>
      <c r="V29" s="592"/>
      <c r="W29" s="593"/>
      <c r="X29" s="348">
        <v>17</v>
      </c>
      <c r="Y29" s="309">
        <v>0.46300000000000002</v>
      </c>
      <c r="Z29" s="135">
        <f>Z28</f>
        <v>0.44900000000000001</v>
      </c>
      <c r="AA29" s="350">
        <f>AA28</f>
        <v>0.435</v>
      </c>
      <c r="AB29" s="359">
        <f t="shared" si="5"/>
        <v>0.70167525773195871</v>
      </c>
      <c r="AC29" s="312">
        <f>AC28</f>
        <v>0.70919689119170981</v>
      </c>
      <c r="AD29" s="332">
        <f>AD28</f>
        <v>0.71057884231536916</v>
      </c>
      <c r="AE29" s="361">
        <f t="shared" si="8"/>
        <v>0.70715033041301256</v>
      </c>
      <c r="AF29" s="136">
        <f t="shared" si="9"/>
        <v>3.9123533305128492E-3</v>
      </c>
    </row>
    <row r="30" spans="1:40" x14ac:dyDescent="0.25">
      <c r="A30" s="100"/>
      <c r="B30" s="103">
        <v>18</v>
      </c>
      <c r="C30" s="71"/>
      <c r="D30" s="71"/>
      <c r="E30" s="70"/>
      <c r="F30" s="62"/>
      <c r="G30" s="224"/>
      <c r="H30" s="224"/>
      <c r="I30" s="224"/>
      <c r="J30" s="557"/>
      <c r="K30" s="558"/>
      <c r="L30" s="354">
        <v>18</v>
      </c>
      <c r="M30" s="215"/>
      <c r="N30" s="120"/>
      <c r="O30" s="316"/>
      <c r="P30" s="215"/>
      <c r="Q30" s="120"/>
      <c r="R30" s="316"/>
      <c r="S30" s="215"/>
      <c r="T30" s="121"/>
      <c r="V30" s="592"/>
      <c r="W30" s="593"/>
      <c r="X30" s="348">
        <v>18</v>
      </c>
      <c r="Y30" s="309"/>
      <c r="Z30" s="135" t="s">
        <v>80</v>
      </c>
      <c r="AA30" s="350" t="s">
        <v>82</v>
      </c>
      <c r="AB30" s="309"/>
      <c r="AC30" s="135"/>
      <c r="AD30" s="350"/>
      <c r="AE30" s="309" t="s">
        <v>105</v>
      </c>
      <c r="AF30" s="136"/>
    </row>
    <row r="31" spans="1:40" x14ac:dyDescent="0.25">
      <c r="A31" s="100"/>
      <c r="B31" s="102">
        <v>19</v>
      </c>
      <c r="C31" s="69"/>
      <c r="D31" s="69"/>
      <c r="E31" s="68"/>
      <c r="F31" s="62"/>
      <c r="G31" s="224"/>
      <c r="H31" s="224"/>
      <c r="I31" s="224"/>
      <c r="J31" s="557"/>
      <c r="K31" s="558"/>
      <c r="L31" s="354">
        <v>19</v>
      </c>
      <c r="M31" s="215"/>
      <c r="N31" s="120"/>
      <c r="O31" s="316"/>
      <c r="P31" s="215"/>
      <c r="Q31" s="120"/>
      <c r="R31" s="316"/>
      <c r="S31" s="215"/>
      <c r="T31" s="121"/>
      <c r="V31" s="592"/>
      <c r="W31" s="593"/>
      <c r="X31" s="348">
        <v>19</v>
      </c>
      <c r="Y31" s="309"/>
      <c r="Z31" s="135"/>
      <c r="AA31" s="350"/>
      <c r="AB31" s="309"/>
      <c r="AC31" s="135"/>
      <c r="AD31" s="350"/>
      <c r="AE31" s="309"/>
      <c r="AF31" s="136"/>
    </row>
    <row r="32" spans="1:40" ht="15.75" thickBot="1" x14ac:dyDescent="0.3">
      <c r="A32" s="100"/>
      <c r="B32" s="101">
        <v>20</v>
      </c>
      <c r="C32" s="67"/>
      <c r="D32" s="67"/>
      <c r="E32" s="66" t="s">
        <v>77</v>
      </c>
      <c r="F32" s="62"/>
      <c r="G32" s="224"/>
      <c r="H32" s="224"/>
      <c r="I32" s="224"/>
      <c r="J32" s="559"/>
      <c r="K32" s="560"/>
      <c r="L32" s="355">
        <v>20</v>
      </c>
      <c r="M32" s="128"/>
      <c r="N32" s="114"/>
      <c r="O32" s="261"/>
      <c r="P32" s="128"/>
      <c r="Q32" s="114"/>
      <c r="R32" s="261"/>
      <c r="S32" s="128"/>
      <c r="T32" s="115"/>
      <c r="V32" s="594"/>
      <c r="W32" s="595"/>
      <c r="X32" s="349">
        <v>20</v>
      </c>
      <c r="Y32" s="195"/>
      <c r="Z32" s="129"/>
      <c r="AA32" s="263"/>
      <c r="AB32" s="195"/>
      <c r="AC32" s="129"/>
      <c r="AD32" s="263"/>
      <c r="AE32" s="195"/>
      <c r="AF32" s="130"/>
    </row>
    <row r="33" spans="1:52" ht="15.75" thickBot="1" x14ac:dyDescent="0.3">
      <c r="A33" s="3"/>
      <c r="B33" s="106" t="s">
        <v>22</v>
      </c>
      <c r="C33" s="65">
        <v>0</v>
      </c>
      <c r="D33" s="65">
        <v>0</v>
      </c>
      <c r="E33" s="105">
        <v>0</v>
      </c>
      <c r="F33" s="62"/>
      <c r="G33" s="62"/>
      <c r="H33" s="62"/>
      <c r="I33" s="62"/>
      <c r="K33" s="4"/>
      <c r="L33" s="322" t="s">
        <v>22</v>
      </c>
      <c r="M33" s="323">
        <v>0.20100000000000001</v>
      </c>
      <c r="N33" s="323">
        <v>0.21199999999999999</v>
      </c>
      <c r="O33" s="324">
        <v>0.23200000000000001</v>
      </c>
      <c r="Q33" s="122"/>
      <c r="X33" s="338" t="s">
        <v>22</v>
      </c>
      <c r="Y33" s="339">
        <v>0.46300000000000002</v>
      </c>
      <c r="Z33" s="339">
        <v>0.44900000000000001</v>
      </c>
      <c r="AA33" s="340">
        <v>0.435</v>
      </c>
    </row>
    <row r="34" spans="1:52" x14ac:dyDescent="0.25">
      <c r="A34" s="100"/>
      <c r="B34" s="566" t="s">
        <v>21</v>
      </c>
      <c r="C34" s="569">
        <f>100*(C12-C33)/C12</f>
        <v>100.00000000000001</v>
      </c>
      <c r="D34" s="569">
        <f>100*(D12-D33)/D12</f>
        <v>100</v>
      </c>
      <c r="E34" s="569">
        <f>100*(E12-E33)/E12</f>
        <v>100</v>
      </c>
      <c r="F34" s="3"/>
      <c r="G34" s="3"/>
      <c r="H34" s="3"/>
      <c r="I34" s="3"/>
      <c r="K34" s="100"/>
      <c r="L34" s="543" t="s">
        <v>21</v>
      </c>
      <c r="M34" s="546">
        <f>(M12-M33)/M12</f>
        <v>0.86599999999999999</v>
      </c>
      <c r="N34" s="546">
        <f t="shared" ref="N34:O34" si="11">(N12-N33)/N12</f>
        <v>0.85969556585043017</v>
      </c>
      <c r="O34" s="546">
        <f t="shared" si="11"/>
        <v>0.84533333333333338</v>
      </c>
      <c r="Q34" s="123"/>
      <c r="X34" s="543" t="s">
        <v>21</v>
      </c>
      <c r="Y34" s="546">
        <f>(Y12-Y33)/Y12</f>
        <v>0.70167525773195871</v>
      </c>
      <c r="Z34" s="546">
        <f t="shared" ref="Z34:AA34" si="12">(Z12-Z33)/Z12</f>
        <v>0.70919689119170981</v>
      </c>
      <c r="AA34" s="546">
        <f t="shared" si="12"/>
        <v>0.71057884231536916</v>
      </c>
    </row>
    <row r="35" spans="1:52" x14ac:dyDescent="0.25">
      <c r="A35" s="100"/>
      <c r="B35" s="567"/>
      <c r="C35" s="570"/>
      <c r="D35" s="570"/>
      <c r="E35" s="570"/>
      <c r="F35" s="3"/>
      <c r="G35" s="3"/>
      <c r="H35" s="3"/>
      <c r="I35" s="3"/>
      <c r="K35" s="100"/>
      <c r="L35" s="544"/>
      <c r="M35" s="547"/>
      <c r="N35" s="547"/>
      <c r="O35" s="547"/>
      <c r="Q35" s="123"/>
      <c r="X35" s="544"/>
      <c r="Y35" s="547"/>
      <c r="Z35" s="547"/>
      <c r="AA35" s="547"/>
      <c r="AQ35" s="600" t="s">
        <v>159</v>
      </c>
      <c r="AR35" s="599"/>
      <c r="AS35" s="599"/>
      <c r="AT35" s="599"/>
      <c r="AU35" s="599"/>
      <c r="AV35" s="599"/>
      <c r="AW35" s="599"/>
      <c r="AX35" s="599"/>
      <c r="AY35" s="599"/>
      <c r="AZ35" s="599"/>
    </row>
    <row r="36" spans="1:52" ht="15.75" thickBot="1" x14ac:dyDescent="0.3">
      <c r="A36" s="100"/>
      <c r="B36" s="568"/>
      <c r="C36" s="571"/>
      <c r="D36" s="571"/>
      <c r="E36" s="571"/>
      <c r="F36" s="3"/>
      <c r="G36" s="3"/>
      <c r="H36" s="3"/>
      <c r="I36" s="3"/>
      <c r="K36" s="100"/>
      <c r="L36" s="545"/>
      <c r="M36" s="548"/>
      <c r="N36" s="548"/>
      <c r="O36" s="548"/>
      <c r="Q36" s="123"/>
      <c r="X36" s="545"/>
      <c r="Y36" s="548"/>
      <c r="Z36" s="548"/>
      <c r="AA36" s="548"/>
    </row>
    <row r="37" spans="1:52" x14ac:dyDescent="0.25">
      <c r="A37" s="63"/>
      <c r="B37" s="1"/>
      <c r="C37" s="62"/>
      <c r="D37" s="62"/>
      <c r="E37" s="62"/>
      <c r="F37" s="62"/>
      <c r="G37" s="62"/>
      <c r="H37" s="62"/>
      <c r="I37" s="62"/>
    </row>
    <row r="38" spans="1:52" x14ac:dyDescent="0.25">
      <c r="A38" s="63"/>
      <c r="B38" s="565" t="s">
        <v>76</v>
      </c>
      <c r="C38" s="565"/>
      <c r="D38" s="565"/>
      <c r="E38" s="565"/>
      <c r="F38" s="155"/>
      <c r="G38" s="155"/>
      <c r="H38" s="155"/>
      <c r="I38" s="184"/>
    </row>
    <row r="39" spans="1:52" x14ac:dyDescent="0.25">
      <c r="A39" s="63"/>
      <c r="B39" s="1"/>
      <c r="C39" s="62"/>
      <c r="D39" s="62"/>
      <c r="E39" s="62"/>
      <c r="F39" s="62"/>
      <c r="G39" s="62"/>
      <c r="H39" s="62"/>
      <c r="I39" s="62"/>
    </row>
    <row r="40" spans="1:52" x14ac:dyDescent="0.25">
      <c r="A40" s="63"/>
      <c r="B40" s="565" t="s">
        <v>75</v>
      </c>
      <c r="C40" s="565"/>
      <c r="D40" s="565"/>
      <c r="E40" s="565"/>
      <c r="F40" s="155"/>
      <c r="G40" s="155"/>
      <c r="H40" s="155"/>
      <c r="I40" s="184"/>
    </row>
    <row r="41" spans="1:52" ht="15.75" thickBot="1" x14ac:dyDescent="0.3">
      <c r="A41" s="63"/>
      <c r="B41" s="1"/>
      <c r="C41" s="62"/>
      <c r="D41" s="62"/>
      <c r="E41" s="62"/>
      <c r="F41" s="62"/>
      <c r="G41" s="62"/>
      <c r="H41" s="62"/>
      <c r="I41" s="62"/>
    </row>
    <row r="42" spans="1:52" ht="15.75" thickBot="1" x14ac:dyDescent="0.3">
      <c r="A42" s="63"/>
      <c r="B42" s="1"/>
      <c r="C42" s="62"/>
      <c r="D42" s="62"/>
      <c r="E42" s="62"/>
      <c r="F42" s="62"/>
      <c r="G42" s="62"/>
      <c r="H42" s="62"/>
      <c r="I42" s="62"/>
      <c r="L42" s="495" t="s">
        <v>74</v>
      </c>
      <c r="M42" s="496"/>
      <c r="N42" s="496"/>
      <c r="O42" s="497"/>
      <c r="X42" s="482" t="s">
        <v>73</v>
      </c>
      <c r="Y42" s="483"/>
      <c r="Z42" s="483"/>
      <c r="AA42" s="484"/>
    </row>
    <row r="43" spans="1:52" ht="43.5" customHeight="1" thickBot="1" x14ac:dyDescent="0.3">
      <c r="A43" s="63"/>
      <c r="B43" s="1"/>
      <c r="C43" s="62"/>
      <c r="D43" s="62"/>
      <c r="E43" s="62"/>
      <c r="F43" s="62"/>
      <c r="G43" s="62"/>
      <c r="H43" s="62"/>
      <c r="I43" s="62"/>
      <c r="J43" s="555" t="s">
        <v>111</v>
      </c>
      <c r="K43" s="556"/>
      <c r="L43" s="319" t="s">
        <v>0</v>
      </c>
      <c r="M43" s="320" t="s">
        <v>72</v>
      </c>
      <c r="N43" s="321" t="s">
        <v>61</v>
      </c>
      <c r="O43" s="351" t="s">
        <v>71</v>
      </c>
      <c r="P43" s="321" t="s">
        <v>100</v>
      </c>
      <c r="Q43" s="321" t="s">
        <v>101</v>
      </c>
      <c r="R43" s="351" t="s">
        <v>102</v>
      </c>
      <c r="S43" s="321" t="s">
        <v>103</v>
      </c>
      <c r="T43" s="351" t="s">
        <v>104</v>
      </c>
      <c r="U43" s="221"/>
      <c r="V43" s="590" t="s">
        <v>111</v>
      </c>
      <c r="W43" s="591"/>
      <c r="X43" s="333" t="s">
        <v>0</v>
      </c>
      <c r="Y43" s="334" t="s">
        <v>70</v>
      </c>
      <c r="Z43" s="334" t="s">
        <v>69</v>
      </c>
      <c r="AA43" s="335" t="s">
        <v>58</v>
      </c>
      <c r="AB43" s="336" t="s">
        <v>100</v>
      </c>
      <c r="AC43" s="334" t="s">
        <v>101</v>
      </c>
      <c r="AD43" s="335" t="s">
        <v>102</v>
      </c>
      <c r="AE43" s="337" t="s">
        <v>103</v>
      </c>
      <c r="AF43" s="335" t="s">
        <v>145</v>
      </c>
    </row>
    <row r="44" spans="1:52" x14ac:dyDescent="0.25">
      <c r="A44" s="63"/>
      <c r="B44" s="1"/>
      <c r="C44" s="62"/>
      <c r="D44" s="62"/>
      <c r="E44" s="62"/>
      <c r="F44" s="62"/>
      <c r="G44" s="62"/>
      <c r="H44" s="62"/>
      <c r="I44" s="62"/>
      <c r="J44" s="557"/>
      <c r="K44" s="558"/>
      <c r="L44" s="353">
        <v>0</v>
      </c>
      <c r="M44" s="127">
        <v>1.5329999999999999</v>
      </c>
      <c r="N44" s="116">
        <v>1.5429999999999999</v>
      </c>
      <c r="O44" s="117">
        <v>1.508</v>
      </c>
      <c r="P44" s="127">
        <f>($M$44-M44)/$M$44</f>
        <v>0</v>
      </c>
      <c r="Q44" s="125">
        <f>($N$44-N44)/$N$44</f>
        <v>0</v>
      </c>
      <c r="R44" s="117">
        <f>($O$44-O44)/$O$44</f>
        <v>0</v>
      </c>
      <c r="S44" s="127">
        <f>AVERAGE(P44,R44)</f>
        <v>0</v>
      </c>
      <c r="T44" s="117">
        <f>STDEVP(P44,R44)</f>
        <v>0</v>
      </c>
      <c r="V44" s="592"/>
      <c r="W44" s="593"/>
      <c r="X44" s="343">
        <v>0</v>
      </c>
      <c r="Y44" s="238">
        <v>1.5660000000000001</v>
      </c>
      <c r="Z44" s="131">
        <v>1.524</v>
      </c>
      <c r="AA44" s="262">
        <v>1.52</v>
      </c>
      <c r="AB44" s="238">
        <f>($Y$44-Y44)/$Y$44</f>
        <v>0</v>
      </c>
      <c r="AC44" s="131">
        <f>($Z$44-Z44)/$Z$44</f>
        <v>0</v>
      </c>
      <c r="AD44" s="132">
        <f>($AA$44-AA44)/$AA$44</f>
        <v>0</v>
      </c>
      <c r="AE44" s="238">
        <f>AVERAGE(AB44:AD44)</f>
        <v>0</v>
      </c>
      <c r="AF44" s="132">
        <f>STDEVP(AB44:AD44)</f>
        <v>0</v>
      </c>
    </row>
    <row r="45" spans="1:52" x14ac:dyDescent="0.25">
      <c r="A45" s="63"/>
      <c r="B45" s="1"/>
      <c r="C45" s="62"/>
      <c r="D45" s="62"/>
      <c r="E45" s="62"/>
      <c r="F45" s="62"/>
      <c r="G45" s="62"/>
      <c r="H45" s="62"/>
      <c r="I45" s="62"/>
      <c r="J45" s="557"/>
      <c r="K45" s="558"/>
      <c r="L45" s="354">
        <v>1</v>
      </c>
      <c r="M45" s="215">
        <v>1.2849999999999999</v>
      </c>
      <c r="N45" s="120">
        <v>1.325</v>
      </c>
      <c r="O45" s="121">
        <v>1.335</v>
      </c>
      <c r="P45" s="215">
        <f t="shared" ref="P45:P55" si="13">($M$44-M45)/$M$44</f>
        <v>0.16177429876060015</v>
      </c>
      <c r="Q45" s="310">
        <f t="shared" ref="Q45:Q52" si="14">($N$44-N45)/$N$44</f>
        <v>0.14128321451717432</v>
      </c>
      <c r="R45" s="121">
        <f t="shared" ref="R45:R58" si="15">($O$44-O45)/$O$44</f>
        <v>0.11472148541114061</v>
      </c>
      <c r="S45" s="215">
        <f t="shared" ref="S45:S58" si="16">AVERAGE(P45,R45)</f>
        <v>0.13824789208587038</v>
      </c>
      <c r="T45" s="121">
        <f t="shared" ref="T45:T58" si="17">STDEVP(P45,R45)</f>
        <v>2.3526406674729737E-2</v>
      </c>
      <c r="V45" s="592"/>
      <c r="W45" s="593"/>
      <c r="X45" s="341">
        <v>1</v>
      </c>
      <c r="Y45" s="309">
        <v>1.262</v>
      </c>
      <c r="Z45" s="135">
        <v>1.2809999999999999</v>
      </c>
      <c r="AA45" s="350">
        <v>1.2569999999999999</v>
      </c>
      <c r="AB45" s="309">
        <f t="shared" ref="AB45:AB55" si="18">($Y$44-Y45)/$Y$44</f>
        <v>0.19412515964240104</v>
      </c>
      <c r="AC45" s="135">
        <f t="shared" ref="AC45:AC57" si="19">($Z$44-Z45)/$Z$44</f>
        <v>0.15944881889763787</v>
      </c>
      <c r="AD45" s="136">
        <f t="shared" ref="AD45:AD57" si="20">($AA$44-AA45)/$AA$44</f>
        <v>0.17302631578947375</v>
      </c>
      <c r="AE45" s="309">
        <f t="shared" ref="AE45:AE56" si="21">AVERAGE(AB45:AD45)</f>
        <v>0.17553343144317091</v>
      </c>
      <c r="AF45" s="136">
        <f t="shared" ref="AF45:AF57" si="22">STDEVP(AB45:AD45)</f>
        <v>1.4267127100143892E-2</v>
      </c>
    </row>
    <row r="46" spans="1:52" x14ac:dyDescent="0.25">
      <c r="A46" s="63"/>
      <c r="B46" s="1"/>
      <c r="C46" s="62"/>
      <c r="D46" s="62"/>
      <c r="E46" s="62"/>
      <c r="F46" s="62"/>
      <c r="G46" s="62"/>
      <c r="H46" s="62"/>
      <c r="I46" s="62"/>
      <c r="J46" s="557"/>
      <c r="K46" s="558"/>
      <c r="L46" s="354">
        <v>2</v>
      </c>
      <c r="M46" s="215">
        <v>1.093</v>
      </c>
      <c r="N46" s="120">
        <v>1.2</v>
      </c>
      <c r="O46" s="121">
        <v>1.1910000000000001</v>
      </c>
      <c r="P46" s="215">
        <f t="shared" si="13"/>
        <v>0.28701891715590344</v>
      </c>
      <c r="Q46" s="310">
        <f t="shared" si="14"/>
        <v>0.22229423201555409</v>
      </c>
      <c r="R46" s="121">
        <f t="shared" si="15"/>
        <v>0.21021220159151191</v>
      </c>
      <c r="S46" s="215">
        <f t="shared" si="16"/>
        <v>0.24861555937370766</v>
      </c>
      <c r="T46" s="121">
        <f t="shared" si="17"/>
        <v>3.8403357782195759E-2</v>
      </c>
      <c r="V46" s="592"/>
      <c r="W46" s="593"/>
      <c r="X46" s="341">
        <v>2</v>
      </c>
      <c r="Y46" s="309">
        <v>1.0880000000000001</v>
      </c>
      <c r="Z46" s="135">
        <v>1.0960000000000001</v>
      </c>
      <c r="AA46" s="350">
        <v>1.085</v>
      </c>
      <c r="AB46" s="309">
        <f t="shared" si="18"/>
        <v>0.30523627075351212</v>
      </c>
      <c r="AC46" s="135">
        <f t="shared" si="19"/>
        <v>0.28083989501312329</v>
      </c>
      <c r="AD46" s="136">
        <f t="shared" si="20"/>
        <v>0.28618421052631582</v>
      </c>
      <c r="AE46" s="309">
        <f t="shared" si="21"/>
        <v>0.29075345876431707</v>
      </c>
      <c r="AF46" s="136">
        <f t="shared" si="22"/>
        <v>1.0470730933158912E-2</v>
      </c>
    </row>
    <row r="47" spans="1:52" x14ac:dyDescent="0.25">
      <c r="A47" s="63"/>
      <c r="B47" s="1"/>
      <c r="C47" s="62"/>
      <c r="D47" s="62"/>
      <c r="E47" s="62"/>
      <c r="F47" s="62"/>
      <c r="G47" s="62"/>
      <c r="H47" s="62"/>
      <c r="I47" s="62"/>
      <c r="J47" s="557"/>
      <c r="K47" s="558"/>
      <c r="L47" s="354">
        <v>3</v>
      </c>
      <c r="M47" s="215">
        <v>0.91500000000000004</v>
      </c>
      <c r="N47" s="120">
        <v>1.0389999999999999</v>
      </c>
      <c r="O47" s="121">
        <v>1.054</v>
      </c>
      <c r="P47" s="215">
        <f t="shared" si="13"/>
        <v>0.40313111545988251</v>
      </c>
      <c r="Q47" s="310">
        <f t="shared" si="14"/>
        <v>0.32663642255346731</v>
      </c>
      <c r="R47" s="121">
        <f t="shared" si="15"/>
        <v>0.30106100795755963</v>
      </c>
      <c r="S47" s="215">
        <f t="shared" si="16"/>
        <v>0.3520960617087211</v>
      </c>
      <c r="T47" s="121">
        <f t="shared" si="17"/>
        <v>5.1035053751161283E-2</v>
      </c>
      <c r="V47" s="592"/>
      <c r="W47" s="593"/>
      <c r="X47" s="341">
        <v>3</v>
      </c>
      <c r="Y47" s="309">
        <v>0.93799999999999994</v>
      </c>
      <c r="Z47" s="135">
        <v>0.95499999999999996</v>
      </c>
      <c r="AA47" s="350">
        <v>0.95299999999999996</v>
      </c>
      <c r="AB47" s="309">
        <f t="shared" si="18"/>
        <v>0.40102171136653902</v>
      </c>
      <c r="AC47" s="135">
        <f t="shared" si="19"/>
        <v>0.37335958005249348</v>
      </c>
      <c r="AD47" s="136">
        <f t="shared" si="20"/>
        <v>0.37302631578947371</v>
      </c>
      <c r="AE47" s="309">
        <f t="shared" si="21"/>
        <v>0.38246920240283538</v>
      </c>
      <c r="AF47" s="136">
        <f t="shared" si="22"/>
        <v>1.3119310396091174E-2</v>
      </c>
    </row>
    <row r="48" spans="1:52" x14ac:dyDescent="0.25">
      <c r="A48" s="61"/>
      <c r="B48" s="61"/>
      <c r="C48" s="61"/>
      <c r="D48" s="61"/>
      <c r="E48" s="62"/>
      <c r="F48" s="62"/>
      <c r="G48" s="62"/>
      <c r="H48" s="62"/>
      <c r="I48" s="62"/>
      <c r="J48" s="557"/>
      <c r="K48" s="558"/>
      <c r="L48" s="354">
        <v>4</v>
      </c>
      <c r="M48" s="215">
        <v>0.75600000000000001</v>
      </c>
      <c r="N48" s="120">
        <v>0.84799999999999998</v>
      </c>
      <c r="O48" s="121">
        <v>0.92100000000000004</v>
      </c>
      <c r="P48" s="215">
        <f t="shared" si="13"/>
        <v>0.50684931506849307</v>
      </c>
      <c r="Q48" s="310">
        <f t="shared" si="14"/>
        <v>0.45042125729099158</v>
      </c>
      <c r="R48" s="121">
        <f t="shared" si="15"/>
        <v>0.38925729442970819</v>
      </c>
      <c r="S48" s="215">
        <f t="shared" si="16"/>
        <v>0.44805330474910066</v>
      </c>
      <c r="T48" s="121">
        <f t="shared" si="17"/>
        <v>5.8796010319392196E-2</v>
      </c>
      <c r="V48" s="592"/>
      <c r="W48" s="593"/>
      <c r="X48" s="341">
        <v>4</v>
      </c>
      <c r="Y48" s="309">
        <v>0.83399999999999996</v>
      </c>
      <c r="Z48" s="135">
        <v>0.84399999999999997</v>
      </c>
      <c r="AA48" s="350">
        <v>0.84699999999999998</v>
      </c>
      <c r="AB48" s="309">
        <f t="shared" si="18"/>
        <v>0.46743295019157094</v>
      </c>
      <c r="AC48" s="135">
        <f t="shared" si="19"/>
        <v>0.4461942257217848</v>
      </c>
      <c r="AD48" s="136">
        <f t="shared" si="20"/>
        <v>0.44276315789473686</v>
      </c>
      <c r="AE48" s="309">
        <f t="shared" si="21"/>
        <v>0.45213011126936414</v>
      </c>
      <c r="AF48" s="136">
        <f t="shared" si="22"/>
        <v>1.091102549160573E-2</v>
      </c>
    </row>
    <row r="49" spans="1:32" x14ac:dyDescent="0.25">
      <c r="A49" s="61"/>
      <c r="B49" s="61"/>
      <c r="C49" s="61"/>
      <c r="D49" s="61"/>
      <c r="E49" s="61"/>
      <c r="F49" s="61"/>
      <c r="G49" s="61"/>
      <c r="H49" s="61"/>
      <c r="I49" s="61"/>
      <c r="J49" s="557"/>
      <c r="K49" s="558"/>
      <c r="L49" s="354">
        <v>5</v>
      </c>
      <c r="M49" s="215">
        <v>0.61699999999999999</v>
      </c>
      <c r="N49" s="120">
        <v>0.72499999999999998</v>
      </c>
      <c r="O49" s="121">
        <v>0.79800000000000004</v>
      </c>
      <c r="P49" s="215">
        <f t="shared" si="13"/>
        <v>0.59752120026092626</v>
      </c>
      <c r="Q49" s="310">
        <f t="shared" si="14"/>
        <v>0.53013609850939725</v>
      </c>
      <c r="R49" s="121">
        <f t="shared" si="15"/>
        <v>0.47082228116710872</v>
      </c>
      <c r="S49" s="215">
        <f t="shared" si="16"/>
        <v>0.53417174071401752</v>
      </c>
      <c r="T49" s="121">
        <f t="shared" si="17"/>
        <v>6.334945954690889E-2</v>
      </c>
      <c r="V49" s="592"/>
      <c r="W49" s="593"/>
      <c r="X49" s="341">
        <v>5</v>
      </c>
      <c r="Y49" s="309">
        <v>0.74199999999999999</v>
      </c>
      <c r="Z49" s="135">
        <v>0.754</v>
      </c>
      <c r="AA49" s="350">
        <v>0.76300000000000001</v>
      </c>
      <c r="AB49" s="309">
        <f t="shared" si="18"/>
        <v>0.5261813537675607</v>
      </c>
      <c r="AC49" s="135">
        <f t="shared" si="19"/>
        <v>0.50524934383202103</v>
      </c>
      <c r="AD49" s="136">
        <f t="shared" si="20"/>
        <v>0.49802631578947371</v>
      </c>
      <c r="AE49" s="309">
        <f t="shared" si="21"/>
        <v>0.50981900446301853</v>
      </c>
      <c r="AF49" s="136">
        <f t="shared" si="22"/>
        <v>1.1939790327548924E-2</v>
      </c>
    </row>
    <row r="50" spans="1:32" x14ac:dyDescent="0.25">
      <c r="J50" s="557"/>
      <c r="K50" s="558"/>
      <c r="L50" s="354">
        <v>6</v>
      </c>
      <c r="M50" s="215">
        <v>0.504</v>
      </c>
      <c r="N50" s="120">
        <v>0.61099999999999999</v>
      </c>
      <c r="O50" s="121">
        <v>0.68300000000000005</v>
      </c>
      <c r="P50" s="215">
        <f t="shared" si="13"/>
        <v>0.67123287671232879</v>
      </c>
      <c r="Q50" s="310">
        <f t="shared" si="14"/>
        <v>0.60401814646791963</v>
      </c>
      <c r="R50" s="121">
        <f t="shared" si="15"/>
        <v>0.54708222811671081</v>
      </c>
      <c r="S50" s="215">
        <f t="shared" si="16"/>
        <v>0.60915755241451985</v>
      </c>
      <c r="T50" s="121">
        <f t="shared" si="17"/>
        <v>6.2075324297808321E-2</v>
      </c>
      <c r="V50" s="592"/>
      <c r="W50" s="593"/>
      <c r="X50" s="341">
        <v>6</v>
      </c>
      <c r="Y50" s="309">
        <v>0.66900000000000004</v>
      </c>
      <c r="Z50" s="135">
        <v>0.68200000000000005</v>
      </c>
      <c r="AA50" s="350">
        <v>0.69699999999999995</v>
      </c>
      <c r="AB50" s="309">
        <f t="shared" si="18"/>
        <v>0.57279693486590033</v>
      </c>
      <c r="AC50" s="135">
        <f t="shared" si="19"/>
        <v>0.55249343832020992</v>
      </c>
      <c r="AD50" s="136">
        <f t="shared" si="20"/>
        <v>0.54144736842105268</v>
      </c>
      <c r="AE50" s="309">
        <f t="shared" si="21"/>
        <v>0.5555792472023876</v>
      </c>
      <c r="AF50" s="136">
        <f t="shared" si="22"/>
        <v>1.2983078510455439E-2</v>
      </c>
    </row>
    <row r="51" spans="1:32" x14ac:dyDescent="0.25">
      <c r="J51" s="557"/>
      <c r="K51" s="558"/>
      <c r="L51" s="354">
        <v>7</v>
      </c>
      <c r="M51" s="215">
        <v>0.41699999999999998</v>
      </c>
      <c r="N51" s="120">
        <v>0.753</v>
      </c>
      <c r="O51" s="121">
        <v>0.57799999999999996</v>
      </c>
      <c r="P51" s="215">
        <f t="shared" si="13"/>
        <v>0.72798434442270055</v>
      </c>
      <c r="Q51" s="310">
        <f t="shared" si="14"/>
        <v>0.51198963058976021</v>
      </c>
      <c r="R51" s="121">
        <f t="shared" si="15"/>
        <v>0.61671087533156499</v>
      </c>
      <c r="S51" s="215">
        <f t="shared" si="16"/>
        <v>0.67234760987713282</v>
      </c>
      <c r="T51" s="121">
        <f t="shared" si="17"/>
        <v>5.5636734545567779E-2</v>
      </c>
      <c r="V51" s="592"/>
      <c r="W51" s="593"/>
      <c r="X51" s="341">
        <v>7</v>
      </c>
      <c r="Y51" s="309">
        <v>0.64300000000000002</v>
      </c>
      <c r="Z51" s="135">
        <v>0.627</v>
      </c>
      <c r="AA51" s="350">
        <v>0.64900000000000002</v>
      </c>
      <c r="AB51" s="309">
        <f t="shared" si="18"/>
        <v>0.58939974457215838</v>
      </c>
      <c r="AC51" s="135">
        <f t="shared" si="19"/>
        <v>0.58858267716535428</v>
      </c>
      <c r="AD51" s="136">
        <f t="shared" si="20"/>
        <v>0.57302631578947372</v>
      </c>
      <c r="AE51" s="309">
        <f t="shared" si="21"/>
        <v>0.58366957917566209</v>
      </c>
      <c r="AF51" s="136">
        <f t="shared" si="22"/>
        <v>7.5333123045864085E-3</v>
      </c>
    </row>
    <row r="52" spans="1:32" x14ac:dyDescent="0.25">
      <c r="J52" s="557"/>
      <c r="K52" s="558"/>
      <c r="L52" s="354">
        <v>8</v>
      </c>
      <c r="M52" s="215">
        <v>0.35799999999999998</v>
      </c>
      <c r="N52" s="120">
        <v>0.65900000000000003</v>
      </c>
      <c r="O52" s="121">
        <v>0.48899999999999999</v>
      </c>
      <c r="P52" s="215">
        <f t="shared" si="13"/>
        <v>0.76647097195042391</v>
      </c>
      <c r="Q52" s="310">
        <f t="shared" si="14"/>
        <v>0.57290991574854178</v>
      </c>
      <c r="R52" s="121">
        <f t="shared" si="15"/>
        <v>0.67572944297082238</v>
      </c>
      <c r="S52" s="215">
        <f t="shared" si="16"/>
        <v>0.7211002074606232</v>
      </c>
      <c r="T52" s="121">
        <f t="shared" si="17"/>
        <v>4.537076448980077E-2</v>
      </c>
      <c r="V52" s="592"/>
      <c r="W52" s="593"/>
      <c r="X52" s="341">
        <v>8</v>
      </c>
      <c r="Y52" s="309">
        <v>0.58299999999999996</v>
      </c>
      <c r="Z52" s="135">
        <v>0.58899999999999997</v>
      </c>
      <c r="AA52" s="350">
        <v>0.61699999999999999</v>
      </c>
      <c r="AB52" s="309">
        <f t="shared" si="18"/>
        <v>0.6277139208173691</v>
      </c>
      <c r="AC52" s="135">
        <f t="shared" si="19"/>
        <v>0.61351706036745413</v>
      </c>
      <c r="AD52" s="136">
        <f t="shared" si="20"/>
        <v>0.59407894736842104</v>
      </c>
      <c r="AE52" s="309">
        <f t="shared" si="21"/>
        <v>0.61176997618441475</v>
      </c>
      <c r="AF52" s="136">
        <f t="shared" si="22"/>
        <v>1.3786879924644058E-2</v>
      </c>
    </row>
    <row r="53" spans="1:32" x14ac:dyDescent="0.25">
      <c r="J53" s="557"/>
      <c r="K53" s="558"/>
      <c r="L53" s="354">
        <v>9</v>
      </c>
      <c r="M53" s="215">
        <v>0.32800000000000001</v>
      </c>
      <c r="N53" s="356">
        <f>N52</f>
        <v>0.65900000000000003</v>
      </c>
      <c r="O53" s="121">
        <v>0.41399999999999998</v>
      </c>
      <c r="P53" s="215">
        <f t="shared" si="13"/>
        <v>0.78604044357469005</v>
      </c>
      <c r="Q53" s="317">
        <f>Q52</f>
        <v>0.57290991574854178</v>
      </c>
      <c r="R53" s="121">
        <f t="shared" si="15"/>
        <v>0.72546419098143244</v>
      </c>
      <c r="S53" s="215">
        <f t="shared" si="16"/>
        <v>0.75575231727806125</v>
      </c>
      <c r="T53" s="121">
        <f t="shared" si="17"/>
        <v>3.0288126296628803E-2</v>
      </c>
      <c r="V53" s="592"/>
      <c r="W53" s="593"/>
      <c r="X53" s="341">
        <v>9</v>
      </c>
      <c r="Y53" s="309">
        <v>0.57599999999999996</v>
      </c>
      <c r="Z53" s="135">
        <v>0.56699999999999995</v>
      </c>
      <c r="AA53" s="350">
        <v>0.59799999999999998</v>
      </c>
      <c r="AB53" s="309">
        <f t="shared" si="18"/>
        <v>0.63218390804597702</v>
      </c>
      <c r="AC53" s="135">
        <f t="shared" si="19"/>
        <v>0.62795275590551181</v>
      </c>
      <c r="AD53" s="136">
        <f t="shared" si="20"/>
        <v>0.60657894736842111</v>
      </c>
      <c r="AE53" s="309">
        <f t="shared" si="21"/>
        <v>0.62223853710663668</v>
      </c>
      <c r="AF53" s="136">
        <f t="shared" si="22"/>
        <v>1.1206924204433014E-2</v>
      </c>
    </row>
    <row r="54" spans="1:32" x14ac:dyDescent="0.25">
      <c r="J54" s="557"/>
      <c r="K54" s="558"/>
      <c r="L54" s="354">
        <v>10</v>
      </c>
      <c r="M54" s="215">
        <v>0.317</v>
      </c>
      <c r="N54" s="120">
        <f>N52</f>
        <v>0.65900000000000003</v>
      </c>
      <c r="O54" s="121">
        <v>0.36499999999999999</v>
      </c>
      <c r="P54" s="215">
        <f t="shared" si="13"/>
        <v>0.7932159165035878</v>
      </c>
      <c r="Q54" s="317">
        <f>Q53</f>
        <v>0.57290991574854178</v>
      </c>
      <c r="R54" s="121">
        <f t="shared" si="15"/>
        <v>0.75795755968169765</v>
      </c>
      <c r="S54" s="215">
        <f t="shared" si="16"/>
        <v>0.77558673809264267</v>
      </c>
      <c r="T54" s="121">
        <f t="shared" si="17"/>
        <v>1.7629178410945079E-2</v>
      </c>
      <c r="V54" s="592"/>
      <c r="W54" s="593"/>
      <c r="X54" s="341">
        <v>10</v>
      </c>
      <c r="Y54" s="309">
        <v>0.55800000000000005</v>
      </c>
      <c r="Z54" s="135">
        <v>0.55600000000000005</v>
      </c>
      <c r="AA54" s="350">
        <v>0.58699999999999997</v>
      </c>
      <c r="AB54" s="309">
        <f t="shared" si="18"/>
        <v>0.64367816091954022</v>
      </c>
      <c r="AC54" s="135">
        <f t="shared" si="19"/>
        <v>0.6351706036745407</v>
      </c>
      <c r="AD54" s="136">
        <f t="shared" si="20"/>
        <v>0.6138157894736842</v>
      </c>
      <c r="AE54" s="309">
        <f t="shared" si="21"/>
        <v>0.630888184689255</v>
      </c>
      <c r="AF54" s="136">
        <f t="shared" si="22"/>
        <v>1.2561704803800066E-2</v>
      </c>
    </row>
    <row r="55" spans="1:32" x14ac:dyDescent="0.25">
      <c r="J55" s="557"/>
      <c r="K55" s="558"/>
      <c r="L55" s="354">
        <v>11</v>
      </c>
      <c r="M55" s="215">
        <v>0.314</v>
      </c>
      <c r="N55" s="120">
        <f>N52</f>
        <v>0.65900000000000003</v>
      </c>
      <c r="O55" s="121">
        <v>0.34599999999999997</v>
      </c>
      <c r="P55" s="215">
        <f t="shared" si="13"/>
        <v>0.79517286366601425</v>
      </c>
      <c r="Q55" s="317">
        <f>Q54</f>
        <v>0.57290991574854178</v>
      </c>
      <c r="R55" s="121">
        <f t="shared" si="15"/>
        <v>0.77055702917771873</v>
      </c>
      <c r="S55" s="215">
        <f t="shared" si="16"/>
        <v>0.78286494642186644</v>
      </c>
      <c r="T55" s="121">
        <f t="shared" si="17"/>
        <v>1.2307917244147759E-2</v>
      </c>
      <c r="V55" s="592"/>
      <c r="W55" s="593"/>
      <c r="X55" s="341">
        <v>11</v>
      </c>
      <c r="Y55" s="309">
        <v>0.53200000000000003</v>
      </c>
      <c r="Z55" s="135">
        <v>0.55100000000000005</v>
      </c>
      <c r="AA55" s="350">
        <v>0.58299999999999996</v>
      </c>
      <c r="AB55" s="309">
        <f t="shared" si="18"/>
        <v>0.66028097062579816</v>
      </c>
      <c r="AC55" s="135">
        <f t="shared" si="19"/>
        <v>0.63845144356955374</v>
      </c>
      <c r="AD55" s="136">
        <f t="shared" si="20"/>
        <v>0.61644736842105263</v>
      </c>
      <c r="AE55" s="309">
        <f t="shared" si="21"/>
        <v>0.63839326087213488</v>
      </c>
      <c r="AF55" s="136">
        <f t="shared" si="22"/>
        <v>1.7895040457822892E-2</v>
      </c>
    </row>
    <row r="56" spans="1:32" x14ac:dyDescent="0.25">
      <c r="J56" s="557"/>
      <c r="K56" s="558"/>
      <c r="L56" s="354">
        <v>12</v>
      </c>
      <c r="M56" s="215">
        <v>0.314</v>
      </c>
      <c r="N56" s="120">
        <f t="shared" ref="N56" si="23">N54</f>
        <v>0.65900000000000003</v>
      </c>
      <c r="O56" s="121">
        <v>0.33600000000000002</v>
      </c>
      <c r="P56" s="346">
        <f>P55</f>
        <v>0.79517286366601425</v>
      </c>
      <c r="Q56" s="317">
        <f>Q54</f>
        <v>0.57290991574854178</v>
      </c>
      <c r="R56" s="121">
        <f t="shared" si="15"/>
        <v>0.77718832891246681</v>
      </c>
      <c r="S56" s="215">
        <f t="shared" si="16"/>
        <v>0.78618059628924053</v>
      </c>
      <c r="T56" s="121">
        <f t="shared" si="17"/>
        <v>8.9922673767737216E-3</v>
      </c>
      <c r="V56" s="592"/>
      <c r="W56" s="593"/>
      <c r="X56" s="341">
        <v>12</v>
      </c>
      <c r="Y56" s="309">
        <v>0.53600000000000003</v>
      </c>
      <c r="Z56" s="135">
        <v>0.54800000000000004</v>
      </c>
      <c r="AA56" s="350">
        <v>0.57999999999999996</v>
      </c>
      <c r="AB56" s="346">
        <f>AB55</f>
        <v>0.66028097062579816</v>
      </c>
      <c r="AC56" s="135">
        <f t="shared" si="19"/>
        <v>0.64041994750656162</v>
      </c>
      <c r="AD56" s="136">
        <f t="shared" si="20"/>
        <v>0.61842105263157898</v>
      </c>
      <c r="AE56" s="309">
        <f t="shared" si="21"/>
        <v>0.63970732358797966</v>
      </c>
      <c r="AF56" s="136">
        <f t="shared" si="22"/>
        <v>1.7096667477565913E-2</v>
      </c>
    </row>
    <row r="57" spans="1:32" x14ac:dyDescent="0.25">
      <c r="J57" s="557"/>
      <c r="K57" s="558"/>
      <c r="L57" s="354">
        <v>13</v>
      </c>
      <c r="M57" s="215">
        <f>M56</f>
        <v>0.314</v>
      </c>
      <c r="N57" s="120">
        <f t="shared" ref="N57" si="24">N54</f>
        <v>0.65900000000000003</v>
      </c>
      <c r="O57" s="121">
        <v>0.32500000000000001</v>
      </c>
      <c r="P57" s="346">
        <f>P56</f>
        <v>0.79517286366601425</v>
      </c>
      <c r="Q57" s="317">
        <f>Q54</f>
        <v>0.57290991574854178</v>
      </c>
      <c r="R57" s="121">
        <f t="shared" si="15"/>
        <v>0.78448275862068972</v>
      </c>
      <c r="S57" s="215">
        <f t="shared" si="16"/>
        <v>0.78982781114335199</v>
      </c>
      <c r="T57" s="121">
        <f t="shared" si="17"/>
        <v>5.3450525226622636E-3</v>
      </c>
      <c r="V57" s="592"/>
      <c r="W57" s="593"/>
      <c r="X57" s="341">
        <v>13</v>
      </c>
      <c r="Y57" s="309">
        <f>+Y56</f>
        <v>0.53600000000000003</v>
      </c>
      <c r="Z57" s="135">
        <v>0.54600000000000004</v>
      </c>
      <c r="AA57" s="350">
        <v>0.57899999999999996</v>
      </c>
      <c r="AB57" s="359">
        <f>AB56</f>
        <v>0.66028097062579816</v>
      </c>
      <c r="AC57" s="312">
        <f t="shared" si="19"/>
        <v>0.6417322834645669</v>
      </c>
      <c r="AD57" s="315">
        <f t="shared" si="20"/>
        <v>0.61907894736842106</v>
      </c>
      <c r="AE57" s="309">
        <f>AVERAGE(AB57:AD57)</f>
        <v>0.64036406715292871</v>
      </c>
      <c r="AF57" s="136">
        <f t="shared" si="22"/>
        <v>1.6848455755784374E-2</v>
      </c>
    </row>
    <row r="58" spans="1:32" x14ac:dyDescent="0.25">
      <c r="J58" s="557"/>
      <c r="K58" s="558"/>
      <c r="L58" s="354">
        <v>14</v>
      </c>
      <c r="M58" s="215">
        <v>0.314</v>
      </c>
      <c r="N58" s="120">
        <f t="shared" ref="N58" si="25">N56</f>
        <v>0.65900000000000003</v>
      </c>
      <c r="O58" s="121">
        <v>0.33900000000000002</v>
      </c>
      <c r="P58" s="359">
        <f>P57</f>
        <v>0.79517286366601425</v>
      </c>
      <c r="Q58" s="311">
        <f>Q54</f>
        <v>0.57290991574854178</v>
      </c>
      <c r="R58" s="315">
        <f t="shared" si="15"/>
        <v>0.77519893899204251</v>
      </c>
      <c r="S58" s="215">
        <f t="shared" si="16"/>
        <v>0.78518590132902832</v>
      </c>
      <c r="T58" s="121">
        <f t="shared" si="17"/>
        <v>9.9869623369858718E-3</v>
      </c>
      <c r="V58" s="592"/>
      <c r="W58" s="593"/>
      <c r="X58" s="341">
        <v>14</v>
      </c>
      <c r="Y58" s="309" t="s">
        <v>67</v>
      </c>
      <c r="Z58" s="135" t="s">
        <v>66</v>
      </c>
      <c r="AA58" s="350"/>
      <c r="AB58" s="309"/>
      <c r="AC58" s="135"/>
      <c r="AD58" s="136"/>
      <c r="AE58" s="309" t="s">
        <v>107</v>
      </c>
      <c r="AF58" s="136"/>
    </row>
    <row r="59" spans="1:32" x14ac:dyDescent="0.25">
      <c r="J59" s="557"/>
      <c r="K59" s="558"/>
      <c r="L59" s="354">
        <v>15</v>
      </c>
      <c r="M59" s="215" t="s">
        <v>68</v>
      </c>
      <c r="N59" s="120"/>
      <c r="O59" s="121"/>
      <c r="P59" s="215"/>
      <c r="Q59" s="120"/>
      <c r="R59" s="121"/>
      <c r="S59" s="215" t="s">
        <v>106</v>
      </c>
      <c r="T59" s="121"/>
      <c r="V59" s="592"/>
      <c r="W59" s="593"/>
      <c r="X59" s="341">
        <v>15</v>
      </c>
      <c r="Y59" s="309"/>
      <c r="Z59" s="135"/>
      <c r="AA59" s="350"/>
      <c r="AB59" s="309"/>
      <c r="AC59" s="135"/>
      <c r="AD59" s="136"/>
      <c r="AE59" s="309"/>
      <c r="AF59" s="136"/>
    </row>
    <row r="60" spans="1:32" x14ac:dyDescent="0.25">
      <c r="J60" s="557"/>
      <c r="K60" s="558"/>
      <c r="L60" s="354">
        <v>16</v>
      </c>
      <c r="M60" s="215"/>
      <c r="N60" s="120"/>
      <c r="O60" s="121"/>
      <c r="P60" s="215"/>
      <c r="Q60" s="120"/>
      <c r="R60" s="121"/>
      <c r="S60" s="215"/>
      <c r="T60" s="121"/>
      <c r="V60" s="592"/>
      <c r="W60" s="593"/>
      <c r="X60" s="341">
        <v>16</v>
      </c>
      <c r="Y60" s="309"/>
      <c r="Z60" s="135"/>
      <c r="AA60" s="350"/>
      <c r="AB60" s="309"/>
      <c r="AC60" s="135"/>
      <c r="AD60" s="136"/>
      <c r="AE60" s="309"/>
      <c r="AF60" s="136"/>
    </row>
    <row r="61" spans="1:32" x14ac:dyDescent="0.25">
      <c r="J61" s="557"/>
      <c r="K61" s="558"/>
      <c r="L61" s="354">
        <v>17</v>
      </c>
      <c r="M61" s="215"/>
      <c r="N61" s="120"/>
      <c r="O61" s="121"/>
      <c r="P61" s="215"/>
      <c r="Q61" s="120"/>
      <c r="R61" s="121"/>
      <c r="S61" s="215"/>
      <c r="T61" s="121"/>
      <c r="V61" s="592"/>
      <c r="W61" s="593"/>
      <c r="X61" s="341">
        <v>17</v>
      </c>
      <c r="Y61" s="309"/>
      <c r="Z61" s="135"/>
      <c r="AA61" s="350"/>
      <c r="AB61" s="309"/>
      <c r="AC61" s="135"/>
      <c r="AD61" s="136"/>
      <c r="AE61" s="309"/>
      <c r="AF61" s="136"/>
    </row>
    <row r="62" spans="1:32" x14ac:dyDescent="0.25">
      <c r="J62" s="557"/>
      <c r="K62" s="558"/>
      <c r="L62" s="354">
        <v>18</v>
      </c>
      <c r="M62" s="215"/>
      <c r="N62" s="120"/>
      <c r="O62" s="121"/>
      <c r="P62" s="215"/>
      <c r="Q62" s="120"/>
      <c r="R62" s="121"/>
      <c r="S62" s="215"/>
      <c r="T62" s="121"/>
      <c r="V62" s="592"/>
      <c r="W62" s="593"/>
      <c r="X62" s="341">
        <v>18</v>
      </c>
      <c r="Y62" s="309"/>
      <c r="Z62" s="135"/>
      <c r="AA62" s="350"/>
      <c r="AB62" s="309"/>
      <c r="AC62" s="135"/>
      <c r="AD62" s="136"/>
      <c r="AE62" s="309"/>
      <c r="AF62" s="136"/>
    </row>
    <row r="63" spans="1:32" x14ac:dyDescent="0.25">
      <c r="J63" s="557"/>
      <c r="K63" s="558"/>
      <c r="L63" s="354">
        <v>19</v>
      </c>
      <c r="M63" s="215"/>
      <c r="N63" s="120"/>
      <c r="O63" s="121"/>
      <c r="P63" s="215"/>
      <c r="Q63" s="120"/>
      <c r="R63" s="121"/>
      <c r="S63" s="215"/>
      <c r="T63" s="121"/>
      <c r="V63" s="592"/>
      <c r="W63" s="593"/>
      <c r="X63" s="341">
        <v>19</v>
      </c>
      <c r="Y63" s="309"/>
      <c r="Z63" s="135"/>
      <c r="AA63" s="350"/>
      <c r="AB63" s="309"/>
      <c r="AC63" s="135"/>
      <c r="AD63" s="136"/>
      <c r="AE63" s="309"/>
      <c r="AF63" s="136"/>
    </row>
    <row r="64" spans="1:32" ht="15.75" thickBot="1" x14ac:dyDescent="0.3">
      <c r="J64" s="559"/>
      <c r="K64" s="560"/>
      <c r="L64" s="355">
        <v>20</v>
      </c>
      <c r="M64" s="128"/>
      <c r="N64" s="114"/>
      <c r="O64" s="115"/>
      <c r="P64" s="128"/>
      <c r="Q64" s="114"/>
      <c r="R64" s="115"/>
      <c r="S64" s="128"/>
      <c r="T64" s="115"/>
      <c r="V64" s="594"/>
      <c r="W64" s="595"/>
      <c r="X64" s="342">
        <v>20</v>
      </c>
      <c r="Y64" s="195"/>
      <c r="Z64" s="129"/>
      <c r="AA64" s="263"/>
      <c r="AB64" s="195"/>
      <c r="AC64" s="129"/>
      <c r="AD64" s="130"/>
      <c r="AE64" s="195"/>
      <c r="AF64" s="130"/>
    </row>
    <row r="65" spans="10:32" ht="15.75" thickBot="1" x14ac:dyDescent="0.3">
      <c r="L65" s="322" t="s">
        <v>22</v>
      </c>
      <c r="M65" s="323">
        <v>0.314</v>
      </c>
      <c r="N65" s="323">
        <v>0.65900000000000003</v>
      </c>
      <c r="O65" s="324">
        <v>0.33900000000000002</v>
      </c>
      <c r="Q65" s="122"/>
      <c r="X65" s="338" t="s">
        <v>22</v>
      </c>
      <c r="Y65" s="339">
        <v>0.53600000000000003</v>
      </c>
      <c r="Z65" s="339">
        <v>0.54600000000000004</v>
      </c>
      <c r="AA65" s="340">
        <v>0.57899999999999996</v>
      </c>
    </row>
    <row r="66" spans="10:32" x14ac:dyDescent="0.25">
      <c r="L66" s="543" t="s">
        <v>21</v>
      </c>
      <c r="M66" s="546">
        <f>(M44-M65)/M44</f>
        <v>0.79517286366601425</v>
      </c>
      <c r="N66" s="580">
        <f t="shared" ref="N66:O66" si="26">(N44-N65)/N44</f>
        <v>0.57290991574854178</v>
      </c>
      <c r="O66" s="546">
        <f t="shared" si="26"/>
        <v>0.77519893899204251</v>
      </c>
      <c r="Q66" s="123"/>
      <c r="X66" s="543" t="s">
        <v>21</v>
      </c>
      <c r="Y66" s="546">
        <f>(Y44-Y65)/Y44</f>
        <v>0.65772669220945079</v>
      </c>
      <c r="Z66" s="546">
        <f t="shared" ref="Z66:AA66" si="27">(Z44-Z65)/Z44</f>
        <v>0.6417322834645669</v>
      </c>
      <c r="AA66" s="546">
        <f t="shared" si="27"/>
        <v>0.61907894736842106</v>
      </c>
    </row>
    <row r="67" spans="10:32" x14ac:dyDescent="0.25">
      <c r="L67" s="544"/>
      <c r="M67" s="547"/>
      <c r="N67" s="581"/>
      <c r="O67" s="547"/>
      <c r="Q67" s="123"/>
      <c r="X67" s="544"/>
      <c r="Y67" s="547"/>
      <c r="Z67" s="547"/>
      <c r="AA67" s="547"/>
    </row>
    <row r="68" spans="10:32" ht="15.75" thickBot="1" x14ac:dyDescent="0.3">
      <c r="L68" s="545"/>
      <c r="M68" s="548"/>
      <c r="N68" s="582"/>
      <c r="O68" s="548"/>
      <c r="Q68" s="123"/>
      <c r="X68" s="545"/>
      <c r="Y68" s="548"/>
      <c r="Z68" s="548"/>
      <c r="AA68" s="548"/>
    </row>
    <row r="69" spans="10:32" ht="75" x14ac:dyDescent="0.25">
      <c r="L69" s="142"/>
      <c r="M69" s="122"/>
      <c r="N69" s="104" t="s">
        <v>65</v>
      </c>
      <c r="O69" s="122"/>
      <c r="Q69" s="123"/>
      <c r="X69" s="146"/>
      <c r="Y69" s="139"/>
      <c r="Z69" s="139"/>
      <c r="AA69" s="139"/>
    </row>
    <row r="71" spans="10:32" ht="15.75" thickBot="1" x14ac:dyDescent="0.3"/>
    <row r="72" spans="10:32" ht="15.75" thickBot="1" x14ac:dyDescent="0.3">
      <c r="L72" s="573" t="s">
        <v>64</v>
      </c>
      <c r="M72" s="574"/>
      <c r="N72" s="574"/>
      <c r="O72" s="575"/>
      <c r="X72" s="482" t="s">
        <v>63</v>
      </c>
      <c r="Y72" s="483"/>
      <c r="Z72" s="483"/>
      <c r="AA72" s="484"/>
    </row>
    <row r="73" spans="10:32" ht="44.25" customHeight="1" thickBot="1" x14ac:dyDescent="0.3">
      <c r="J73" s="555" t="s">
        <v>110</v>
      </c>
      <c r="K73" s="572"/>
      <c r="L73" s="149" t="s">
        <v>0</v>
      </c>
      <c r="M73" s="270" t="s">
        <v>62</v>
      </c>
      <c r="N73" s="150" t="s">
        <v>61</v>
      </c>
      <c r="O73" s="151" t="s">
        <v>60</v>
      </c>
      <c r="P73" s="270" t="s">
        <v>100</v>
      </c>
      <c r="Q73" s="150" t="s">
        <v>101</v>
      </c>
      <c r="R73" s="151" t="s">
        <v>102</v>
      </c>
      <c r="S73" s="313" t="s">
        <v>103</v>
      </c>
      <c r="T73" s="314" t="s">
        <v>104</v>
      </c>
      <c r="U73" s="221"/>
      <c r="V73" s="590" t="s">
        <v>110</v>
      </c>
      <c r="W73" s="596"/>
      <c r="X73" s="333" t="s">
        <v>0</v>
      </c>
      <c r="Y73" s="337" t="s">
        <v>57</v>
      </c>
      <c r="Z73" s="334" t="s">
        <v>59</v>
      </c>
      <c r="AA73" s="335" t="s">
        <v>58</v>
      </c>
      <c r="AB73" s="336" t="s">
        <v>123</v>
      </c>
      <c r="AC73" s="334" t="s">
        <v>121</v>
      </c>
      <c r="AD73" s="335" t="s">
        <v>122</v>
      </c>
      <c r="AE73" s="265" t="s">
        <v>103</v>
      </c>
      <c r="AF73" s="148" t="s">
        <v>145</v>
      </c>
    </row>
    <row r="74" spans="10:32" x14ac:dyDescent="0.25">
      <c r="J74" s="557"/>
      <c r="K74" s="558"/>
      <c r="L74" s="326">
        <v>0</v>
      </c>
      <c r="M74" s="329">
        <v>1.417</v>
      </c>
      <c r="N74" s="124">
        <v>1.377</v>
      </c>
      <c r="O74" s="325">
        <v>1.363</v>
      </c>
      <c r="P74" s="330">
        <f>($M$74-M74)/$M$74</f>
        <v>0</v>
      </c>
      <c r="Q74" s="124">
        <f>($N$74-N74)/$N$74</f>
        <v>0</v>
      </c>
      <c r="R74" s="325">
        <f>($O$74-O74)/$O$74</f>
        <v>0</v>
      </c>
      <c r="S74" s="215">
        <f>AVERAGE(Q74:R74)</f>
        <v>0</v>
      </c>
      <c r="T74" s="121">
        <f>STDEV(Q74:R74)</f>
        <v>0</v>
      </c>
      <c r="V74" s="592"/>
      <c r="W74" s="593"/>
      <c r="X74" s="343">
        <v>0</v>
      </c>
      <c r="Y74" s="344">
        <v>1.508</v>
      </c>
      <c r="Z74" s="131">
        <v>1.5069999999999999</v>
      </c>
      <c r="AA74" s="262">
        <v>1.5009999999999999</v>
      </c>
      <c r="AB74" s="238">
        <v>0</v>
      </c>
      <c r="AC74" s="131">
        <f>($Z$74-Z74)/$Z$74</f>
        <v>0</v>
      </c>
      <c r="AD74" s="132">
        <f>($AA$74-AA74)/$AA$74</f>
        <v>0</v>
      </c>
      <c r="AE74" s="344">
        <f>AVERAGE(AB74:AD74)</f>
        <v>0</v>
      </c>
      <c r="AF74" s="132">
        <f>STDEVP(AB74:AD74)</f>
        <v>0</v>
      </c>
    </row>
    <row r="75" spans="10:32" x14ac:dyDescent="0.25">
      <c r="J75" s="557"/>
      <c r="K75" s="558"/>
      <c r="L75" s="327">
        <v>1</v>
      </c>
      <c r="M75" s="215">
        <v>1.075</v>
      </c>
      <c r="N75" s="120">
        <v>1.23</v>
      </c>
      <c r="O75" s="121">
        <v>1.2</v>
      </c>
      <c r="P75" s="330">
        <f t="shared" ref="P75:P90" si="28">($M$74-M75)/$M$74</f>
        <v>0.24135497529992947</v>
      </c>
      <c r="Q75" s="124">
        <f t="shared" ref="Q75:Q89" si="29">($N$74-N75)/$N$74</f>
        <v>0.1067538126361656</v>
      </c>
      <c r="R75" s="325">
        <f t="shared" ref="R75:R85" si="30">($O$74-O75)/$O$74</f>
        <v>0.11958914159941308</v>
      </c>
      <c r="S75" s="215">
        <f t="shared" ref="S75:S90" si="31">AVERAGE(Q75:R75)</f>
        <v>0.11317147711778934</v>
      </c>
      <c r="T75" s="121">
        <f t="shared" ref="T75:T90" si="32">STDEV(Q75:R75)</f>
        <v>9.0759481486723977E-3</v>
      </c>
      <c r="V75" s="592"/>
      <c r="W75" s="593"/>
      <c r="X75" s="341">
        <v>1</v>
      </c>
      <c r="Y75" s="308">
        <f>$Y$74*(1-AB75)</f>
        <v>1.245608</v>
      </c>
      <c r="Z75" s="135">
        <v>1.1259999999999999</v>
      </c>
      <c r="AA75" s="350">
        <v>1.2130000000000001</v>
      </c>
      <c r="AB75" s="309">
        <v>0.17399999999999999</v>
      </c>
      <c r="AC75" s="135">
        <f t="shared" ref="AC75:AC85" si="33">($Z$74-Z75)/$Z$74</f>
        <v>0.25282017252820177</v>
      </c>
      <c r="AD75" s="136">
        <f t="shared" ref="AD75:AD84" si="34">($AA$74-AA75)/$AA$74</f>
        <v>0.19187208527648222</v>
      </c>
      <c r="AE75" s="308">
        <f t="shared" ref="AE75:AE87" si="35">AVERAGE(AB75:AD75)</f>
        <v>0.20623075260156132</v>
      </c>
      <c r="AF75" s="136">
        <f t="shared" ref="AF75:AF87" si="36">STDEVP(AB75:AD75)</f>
        <v>3.3741995543220812E-2</v>
      </c>
    </row>
    <row r="76" spans="10:32" x14ac:dyDescent="0.25">
      <c r="J76" s="557"/>
      <c r="K76" s="558"/>
      <c r="L76" s="327">
        <v>2</v>
      </c>
      <c r="M76" s="215">
        <v>0.97299999999999998</v>
      </c>
      <c r="N76" s="120">
        <v>1.101</v>
      </c>
      <c r="O76" s="121">
        <v>1.054</v>
      </c>
      <c r="P76" s="330">
        <f t="shared" si="28"/>
        <v>0.31333803810868033</v>
      </c>
      <c r="Q76" s="124">
        <f t="shared" si="29"/>
        <v>0.20043572984749458</v>
      </c>
      <c r="R76" s="325">
        <f t="shared" si="30"/>
        <v>0.22670579603815111</v>
      </c>
      <c r="S76" s="215">
        <f t="shared" si="31"/>
        <v>0.21357076294282284</v>
      </c>
      <c r="T76" s="121">
        <f t="shared" si="32"/>
        <v>1.8575741945632687E-2</v>
      </c>
      <c r="V76" s="592"/>
      <c r="W76" s="593"/>
      <c r="X76" s="341">
        <v>2</v>
      </c>
      <c r="Y76" s="308">
        <f t="shared" ref="Y76:Y87" si="37">$Y$74*(1-AB76)</f>
        <v>1.0033176399999999</v>
      </c>
      <c r="Z76" s="135">
        <v>0.90300000000000002</v>
      </c>
      <c r="AA76" s="350">
        <v>1.0029999999999999</v>
      </c>
      <c r="AB76" s="309">
        <v>0.33467000000000002</v>
      </c>
      <c r="AC76" s="135">
        <f t="shared" si="33"/>
        <v>0.4007962840079628</v>
      </c>
      <c r="AD76" s="136">
        <f t="shared" si="34"/>
        <v>0.33177881412391741</v>
      </c>
      <c r="AE76" s="308">
        <f t="shared" si="35"/>
        <v>0.35574836604396004</v>
      </c>
      <c r="AF76" s="136">
        <f t="shared" si="36"/>
        <v>3.1875548869639399E-2</v>
      </c>
    </row>
    <row r="77" spans="10:32" x14ac:dyDescent="0.25">
      <c r="J77" s="557"/>
      <c r="K77" s="558"/>
      <c r="L77" s="327">
        <v>3</v>
      </c>
      <c r="M77" s="215">
        <f>M76</f>
        <v>0.97299999999999998</v>
      </c>
      <c r="N77" s="120">
        <v>0.98299999999999998</v>
      </c>
      <c r="O77" s="121">
        <v>0.91600000000000004</v>
      </c>
      <c r="P77" s="330">
        <f t="shared" si="28"/>
        <v>0.31333803810868033</v>
      </c>
      <c r="Q77" s="124">
        <f t="shared" si="29"/>
        <v>0.2861292665214234</v>
      </c>
      <c r="R77" s="325">
        <f t="shared" si="30"/>
        <v>0.3279530447542186</v>
      </c>
      <c r="S77" s="215">
        <f t="shared" si="31"/>
        <v>0.30704115563782097</v>
      </c>
      <c r="T77" s="121">
        <f t="shared" si="32"/>
        <v>2.9573877203251806E-2</v>
      </c>
      <c r="V77" s="592"/>
      <c r="W77" s="593"/>
      <c r="X77" s="341">
        <v>3</v>
      </c>
      <c r="Y77" s="308">
        <f t="shared" si="37"/>
        <v>0.84399743999999999</v>
      </c>
      <c r="Z77" s="135">
        <v>0.75600000000000001</v>
      </c>
      <c r="AA77" s="350">
        <v>0.85499999999999998</v>
      </c>
      <c r="AB77" s="309">
        <v>0.44031999999999999</v>
      </c>
      <c r="AC77" s="135">
        <f t="shared" si="33"/>
        <v>0.49834107498341074</v>
      </c>
      <c r="AD77" s="136">
        <f t="shared" si="34"/>
        <v>0.430379746835443</v>
      </c>
      <c r="AE77" s="308">
        <f t="shared" si="35"/>
        <v>0.45634694060628461</v>
      </c>
      <c r="AF77" s="136">
        <f t="shared" si="36"/>
        <v>2.9970348121734901E-2</v>
      </c>
    </row>
    <row r="78" spans="10:32" x14ac:dyDescent="0.25">
      <c r="J78" s="557"/>
      <c r="K78" s="558"/>
      <c r="L78" s="327">
        <v>4</v>
      </c>
      <c r="M78" s="215">
        <f>M77</f>
        <v>0.97299999999999998</v>
      </c>
      <c r="N78" s="120">
        <v>0.88</v>
      </c>
      <c r="O78" s="121">
        <v>0.80800000000000005</v>
      </c>
      <c r="P78" s="330">
        <f t="shared" si="28"/>
        <v>0.31333803810868033</v>
      </c>
      <c r="Q78" s="124">
        <f t="shared" si="29"/>
        <v>0.3609295570079884</v>
      </c>
      <c r="R78" s="325">
        <f t="shared" si="30"/>
        <v>0.40719002201027144</v>
      </c>
      <c r="S78" s="215">
        <f t="shared" si="31"/>
        <v>0.38405978950912989</v>
      </c>
      <c r="T78" s="121">
        <f t="shared" si="32"/>
        <v>3.2711088503957292E-2</v>
      </c>
      <c r="V78" s="592"/>
      <c r="W78" s="593"/>
      <c r="X78" s="341">
        <v>4</v>
      </c>
      <c r="Y78" s="308">
        <f t="shared" si="37"/>
        <v>0.73299356000000004</v>
      </c>
      <c r="Z78" s="135">
        <v>0.65100000000000002</v>
      </c>
      <c r="AA78" s="350">
        <v>0.748</v>
      </c>
      <c r="AB78" s="309">
        <v>0.51393</v>
      </c>
      <c r="AC78" s="135">
        <f t="shared" si="33"/>
        <v>0.56801592568015924</v>
      </c>
      <c r="AD78" s="136">
        <f t="shared" si="34"/>
        <v>0.50166555629580278</v>
      </c>
      <c r="AE78" s="308">
        <f t="shared" si="35"/>
        <v>0.52787049399198738</v>
      </c>
      <c r="AF78" s="136">
        <f t="shared" si="36"/>
        <v>2.8825288768898893E-2</v>
      </c>
    </row>
    <row r="79" spans="10:32" x14ac:dyDescent="0.25">
      <c r="J79" s="557"/>
      <c r="K79" s="558"/>
      <c r="L79" s="327">
        <v>5</v>
      </c>
      <c r="M79" s="215">
        <f t="shared" ref="M79:M90" si="38">M78</f>
        <v>0.97299999999999998</v>
      </c>
      <c r="N79" s="120">
        <v>0.78400000000000003</v>
      </c>
      <c r="O79" s="121">
        <v>0.67500000000000004</v>
      </c>
      <c r="P79" s="330">
        <f t="shared" si="28"/>
        <v>0.31333803810868033</v>
      </c>
      <c r="Q79" s="124">
        <f t="shared" si="29"/>
        <v>0.43064633260711688</v>
      </c>
      <c r="R79" s="325">
        <f t="shared" si="30"/>
        <v>0.5047688921496698</v>
      </c>
      <c r="S79" s="215">
        <f t="shared" si="31"/>
        <v>0.46770761237839331</v>
      </c>
      <c r="T79" s="121">
        <f t="shared" si="32"/>
        <v>5.2412564491442812E-2</v>
      </c>
      <c r="V79" s="592"/>
      <c r="W79" s="593"/>
      <c r="X79" s="341">
        <v>5</v>
      </c>
      <c r="Y79" s="308">
        <f t="shared" si="37"/>
        <v>0.65005355999999992</v>
      </c>
      <c r="Z79" s="135">
        <v>0.57499999999999996</v>
      </c>
      <c r="AA79" s="350">
        <v>0.66200000000000003</v>
      </c>
      <c r="AB79" s="309">
        <v>0.56893000000000005</v>
      </c>
      <c r="AC79" s="135">
        <f t="shared" si="33"/>
        <v>0.61844724618447244</v>
      </c>
      <c r="AD79" s="136">
        <f t="shared" si="34"/>
        <v>0.55896069287141903</v>
      </c>
      <c r="AE79" s="308">
        <f t="shared" si="35"/>
        <v>0.5821126463519638</v>
      </c>
      <c r="AF79" s="136">
        <f t="shared" si="36"/>
        <v>2.601280620383474E-2</v>
      </c>
    </row>
    <row r="80" spans="10:32" x14ac:dyDescent="0.25">
      <c r="J80" s="557"/>
      <c r="K80" s="558"/>
      <c r="L80" s="327">
        <v>6</v>
      </c>
      <c r="M80" s="215">
        <f t="shared" si="38"/>
        <v>0.97299999999999998</v>
      </c>
      <c r="N80" s="120">
        <v>0.60899999999999999</v>
      </c>
      <c r="O80" s="121">
        <v>0.56999999999999995</v>
      </c>
      <c r="P80" s="330">
        <f t="shared" si="28"/>
        <v>0.31333803810868033</v>
      </c>
      <c r="Q80" s="124">
        <f t="shared" si="29"/>
        <v>0.55773420479302838</v>
      </c>
      <c r="R80" s="325">
        <f t="shared" si="30"/>
        <v>0.58180484225972129</v>
      </c>
      <c r="S80" s="215">
        <f t="shared" si="31"/>
        <v>0.56976952352637489</v>
      </c>
      <c r="T80" s="121">
        <f t="shared" si="32"/>
        <v>1.7020510980181539E-2</v>
      </c>
      <c r="V80" s="592"/>
      <c r="W80" s="593"/>
      <c r="X80" s="341">
        <v>6</v>
      </c>
      <c r="Y80" s="308">
        <f t="shared" si="37"/>
        <v>0.590005</v>
      </c>
      <c r="Z80" s="135">
        <v>0.52</v>
      </c>
      <c r="AA80" s="350">
        <v>0.59499999999999997</v>
      </c>
      <c r="AB80" s="309">
        <v>0.60875000000000001</v>
      </c>
      <c r="AC80" s="135">
        <f t="shared" si="33"/>
        <v>0.6549435965494359</v>
      </c>
      <c r="AD80" s="136">
        <f t="shared" si="34"/>
        <v>0.60359760159893405</v>
      </c>
      <c r="AE80" s="308">
        <f t="shared" si="35"/>
        <v>0.62243039938278999</v>
      </c>
      <c r="AF80" s="136">
        <f t="shared" si="36"/>
        <v>2.3086327769464485E-2</v>
      </c>
    </row>
    <row r="81" spans="10:32" x14ac:dyDescent="0.25">
      <c r="J81" s="557"/>
      <c r="K81" s="558"/>
      <c r="L81" s="327">
        <v>7</v>
      </c>
      <c r="M81" s="215">
        <f t="shared" si="38"/>
        <v>0.97299999999999998</v>
      </c>
      <c r="N81" s="120">
        <v>0.55200000000000005</v>
      </c>
      <c r="O81" s="121">
        <v>0.48799999999999999</v>
      </c>
      <c r="P81" s="330">
        <f t="shared" si="28"/>
        <v>0.31333803810868033</v>
      </c>
      <c r="Q81" s="124">
        <f t="shared" si="29"/>
        <v>0.59912854030501084</v>
      </c>
      <c r="R81" s="325">
        <f t="shared" si="30"/>
        <v>0.64196625091709469</v>
      </c>
      <c r="S81" s="215">
        <f t="shared" si="31"/>
        <v>0.62054739561105277</v>
      </c>
      <c r="T81" s="121">
        <f t="shared" si="32"/>
        <v>3.0290835664311424E-2</v>
      </c>
      <c r="V81" s="592"/>
      <c r="W81" s="593"/>
      <c r="X81" s="341">
        <v>7</v>
      </c>
      <c r="Y81" s="308">
        <f t="shared" si="37"/>
        <v>0.53999972000000007</v>
      </c>
      <c r="Z81" s="135">
        <v>0.48699999999999999</v>
      </c>
      <c r="AA81" s="350">
        <v>0.54700000000000004</v>
      </c>
      <c r="AB81" s="309">
        <v>0.64190999999999998</v>
      </c>
      <c r="AC81" s="135">
        <f t="shared" si="33"/>
        <v>0.67684140676841409</v>
      </c>
      <c r="AD81" s="136">
        <f t="shared" si="34"/>
        <v>0.63557628247834774</v>
      </c>
      <c r="AE81" s="308">
        <f>AVERAGE(AB81:AD81)</f>
        <v>0.6514425630822539</v>
      </c>
      <c r="AF81" s="136">
        <f t="shared" si="36"/>
        <v>1.8144878797363536E-2</v>
      </c>
    </row>
    <row r="82" spans="10:32" x14ac:dyDescent="0.25">
      <c r="J82" s="557"/>
      <c r="K82" s="558"/>
      <c r="L82" s="327">
        <v>8</v>
      </c>
      <c r="M82" s="215">
        <f t="shared" si="38"/>
        <v>0.97299999999999998</v>
      </c>
      <c r="N82" s="120"/>
      <c r="O82" s="121">
        <v>0.42299999999999999</v>
      </c>
      <c r="P82" s="330">
        <f t="shared" si="28"/>
        <v>0.31333803810868033</v>
      </c>
      <c r="Q82" s="124"/>
      <c r="R82" s="325">
        <f t="shared" si="30"/>
        <v>0.68965517241379304</v>
      </c>
      <c r="S82" s="215">
        <f t="shared" si="31"/>
        <v>0.68965517241379304</v>
      </c>
      <c r="T82" s="121"/>
      <c r="V82" s="592"/>
      <c r="W82" s="593"/>
      <c r="X82" s="341">
        <v>8</v>
      </c>
      <c r="Y82" s="308">
        <f t="shared" si="37"/>
        <v>0.51199616000000003</v>
      </c>
      <c r="Z82" s="135">
        <v>0.47</v>
      </c>
      <c r="AA82" s="350">
        <v>0.52400000000000002</v>
      </c>
      <c r="AB82" s="309">
        <v>0.66047999999999996</v>
      </c>
      <c r="AC82" s="135">
        <f t="shared" si="33"/>
        <v>0.68812209688122095</v>
      </c>
      <c r="AD82" s="136">
        <f t="shared" si="34"/>
        <v>0.65089940039973349</v>
      </c>
      <c r="AE82" s="308">
        <f t="shared" si="35"/>
        <v>0.6665004990936515</v>
      </c>
      <c r="AF82" s="136">
        <f t="shared" si="36"/>
        <v>1.5781151000285727E-2</v>
      </c>
    </row>
    <row r="83" spans="10:32" x14ac:dyDescent="0.25">
      <c r="J83" s="557"/>
      <c r="K83" s="558"/>
      <c r="L83" s="327">
        <v>9</v>
      </c>
      <c r="M83" s="215">
        <f t="shared" si="38"/>
        <v>0.97299999999999998</v>
      </c>
      <c r="N83" s="120">
        <v>0.48899999999999999</v>
      </c>
      <c r="O83" s="121">
        <v>0.38</v>
      </c>
      <c r="P83" s="330">
        <f t="shared" si="28"/>
        <v>0.31333803810868033</v>
      </c>
      <c r="Q83" s="124">
        <f t="shared" si="29"/>
        <v>0.644880174291939</v>
      </c>
      <c r="R83" s="325">
        <f t="shared" si="30"/>
        <v>0.72120322817314741</v>
      </c>
      <c r="S83" s="215">
        <f t="shared" si="31"/>
        <v>0.68304170123254315</v>
      </c>
      <c r="T83" s="121">
        <f t="shared" si="32"/>
        <v>5.3968548960268717E-2</v>
      </c>
      <c r="V83" s="592"/>
      <c r="W83" s="593"/>
      <c r="X83" s="341">
        <v>9</v>
      </c>
      <c r="Y83" s="308">
        <f t="shared" si="37"/>
        <v>0.49100480000000002</v>
      </c>
      <c r="Z83" s="135">
        <v>0.46200000000000002</v>
      </c>
      <c r="AA83" s="350">
        <v>0.51500000000000001</v>
      </c>
      <c r="AB83" s="309">
        <v>0.6744</v>
      </c>
      <c r="AC83" s="135">
        <f t="shared" si="33"/>
        <v>0.69343065693430661</v>
      </c>
      <c r="AD83" s="136">
        <f t="shared" si="34"/>
        <v>0.65689540306462357</v>
      </c>
      <c r="AE83" s="308">
        <f t="shared" si="35"/>
        <v>0.67490868666630999</v>
      </c>
      <c r="AF83" s="136">
        <f t="shared" si="36"/>
        <v>1.491979145126608E-2</v>
      </c>
    </row>
    <row r="84" spans="10:32" x14ac:dyDescent="0.25">
      <c r="J84" s="557"/>
      <c r="K84" s="558"/>
      <c r="L84" s="327">
        <v>10</v>
      </c>
      <c r="M84" s="215">
        <f t="shared" si="38"/>
        <v>0.97299999999999998</v>
      </c>
      <c r="N84" s="120">
        <v>0.45300000000000001</v>
      </c>
      <c r="O84" s="121">
        <v>0.379</v>
      </c>
      <c r="P84" s="330">
        <f t="shared" si="28"/>
        <v>0.31333803810868033</v>
      </c>
      <c r="Q84" s="124">
        <f t="shared" si="29"/>
        <v>0.67102396514161211</v>
      </c>
      <c r="R84" s="325">
        <f t="shared" si="30"/>
        <v>0.72193690388848131</v>
      </c>
      <c r="S84" s="215">
        <f t="shared" si="31"/>
        <v>0.69648043451504671</v>
      </c>
      <c r="T84" s="121">
        <f t="shared" si="32"/>
        <v>3.6000884238046531E-2</v>
      </c>
      <c r="V84" s="592"/>
      <c r="W84" s="593"/>
      <c r="X84" s="341">
        <v>10</v>
      </c>
      <c r="Y84" s="308">
        <f t="shared" si="37"/>
        <v>0.47900112000000006</v>
      </c>
      <c r="Z84" s="135">
        <v>0.45900000000000002</v>
      </c>
      <c r="AA84" s="350">
        <v>0.51100000000000001</v>
      </c>
      <c r="AB84" s="309">
        <v>0.68235999999999997</v>
      </c>
      <c r="AC84" s="135">
        <f t="shared" si="33"/>
        <v>0.69542136695421364</v>
      </c>
      <c r="AD84" s="136">
        <f t="shared" si="34"/>
        <v>0.65956029313790798</v>
      </c>
      <c r="AE84" s="308">
        <f t="shared" si="35"/>
        <v>0.67911388669737383</v>
      </c>
      <c r="AF84" s="136">
        <f t="shared" si="36"/>
        <v>1.4819066378481143E-2</v>
      </c>
    </row>
    <row r="85" spans="10:32" x14ac:dyDescent="0.25">
      <c r="J85" s="557"/>
      <c r="K85" s="558"/>
      <c r="L85" s="327">
        <v>11</v>
      </c>
      <c r="M85" s="215">
        <f t="shared" si="38"/>
        <v>0.97299999999999998</v>
      </c>
      <c r="N85" s="120">
        <v>0.13</v>
      </c>
      <c r="O85" s="121">
        <v>0.379</v>
      </c>
      <c r="P85" s="330">
        <f t="shared" si="28"/>
        <v>0.31333803810868033</v>
      </c>
      <c r="Q85" s="124">
        <f t="shared" si="29"/>
        <v>0.90559186637618005</v>
      </c>
      <c r="R85" s="325">
        <f t="shared" si="30"/>
        <v>0.72193690388848131</v>
      </c>
      <c r="S85" s="215">
        <f t="shared" si="31"/>
        <v>0.81376438513233063</v>
      </c>
      <c r="T85" s="121">
        <f t="shared" si="32"/>
        <v>0.12986366937361304</v>
      </c>
      <c r="V85" s="592"/>
      <c r="W85" s="593"/>
      <c r="X85" s="341">
        <v>11</v>
      </c>
      <c r="Y85" s="308">
        <f t="shared" si="37"/>
        <v>0.47299928000000008</v>
      </c>
      <c r="Z85" s="135">
        <v>0.45600000000000002</v>
      </c>
      <c r="AA85" s="350">
        <v>0.51</v>
      </c>
      <c r="AB85" s="309">
        <v>0.68633999999999995</v>
      </c>
      <c r="AC85" s="135">
        <f t="shared" si="33"/>
        <v>0.69741207697412078</v>
      </c>
      <c r="AD85" s="136">
        <f>($AA$74-AA85)/$AA$74</f>
        <v>0.66022651565622914</v>
      </c>
      <c r="AE85" s="308">
        <f t="shared" si="35"/>
        <v>0.68132619754344992</v>
      </c>
      <c r="AF85" s="136">
        <f t="shared" si="36"/>
        <v>1.5589422780348E-2</v>
      </c>
    </row>
    <row r="86" spans="10:32" x14ac:dyDescent="0.25">
      <c r="J86" s="557"/>
      <c r="K86" s="558"/>
      <c r="L86" s="327">
        <v>12</v>
      </c>
      <c r="M86" s="215">
        <f t="shared" si="38"/>
        <v>0.97299999999999998</v>
      </c>
      <c r="N86" s="120">
        <v>0.39500000000000002</v>
      </c>
      <c r="O86" s="121">
        <v>0.379</v>
      </c>
      <c r="P86" s="330">
        <f t="shared" si="28"/>
        <v>0.31333803810868033</v>
      </c>
      <c r="Q86" s="124">
        <f t="shared" si="29"/>
        <v>0.71314451706608573</v>
      </c>
      <c r="R86" s="331">
        <f>R85</f>
        <v>0.72193690388848131</v>
      </c>
      <c r="S86" s="215">
        <f t="shared" si="31"/>
        <v>0.71754071047728352</v>
      </c>
      <c r="T86" s="121">
        <f t="shared" si="32"/>
        <v>6.2171563449311563E-3</v>
      </c>
      <c r="V86" s="592"/>
      <c r="W86" s="593"/>
      <c r="X86" s="341">
        <v>12</v>
      </c>
      <c r="Y86" s="308">
        <f t="shared" si="37"/>
        <v>0.46999836</v>
      </c>
      <c r="Z86" s="135">
        <v>0.45600000000000002</v>
      </c>
      <c r="AA86" s="350">
        <v>0.50900000000000001</v>
      </c>
      <c r="AB86" s="309">
        <v>0.68833</v>
      </c>
      <c r="AC86" s="318">
        <f>AC85</f>
        <v>0.69741207697412078</v>
      </c>
      <c r="AD86" s="331">
        <f>AD85</f>
        <v>0.66022651565622914</v>
      </c>
      <c r="AE86" s="308">
        <f t="shared" si="35"/>
        <v>0.68198953087678327</v>
      </c>
      <c r="AF86" s="136">
        <f t="shared" si="36"/>
        <v>1.5829143041839376E-2</v>
      </c>
    </row>
    <row r="87" spans="10:32" x14ac:dyDescent="0.25">
      <c r="J87" s="557"/>
      <c r="K87" s="558"/>
      <c r="L87" s="327">
        <v>13</v>
      </c>
      <c r="M87" s="215">
        <f t="shared" si="38"/>
        <v>0.97299999999999998</v>
      </c>
      <c r="N87" s="120">
        <v>0.38100000000000001</v>
      </c>
      <c r="O87" s="121">
        <v>0.379</v>
      </c>
      <c r="P87" s="330">
        <f t="shared" si="28"/>
        <v>0.31333803810868033</v>
      </c>
      <c r="Q87" s="124">
        <f t="shared" si="29"/>
        <v>0.72331154684095855</v>
      </c>
      <c r="R87" s="331">
        <f>R86</f>
        <v>0.72193690388848131</v>
      </c>
      <c r="S87" s="215">
        <f t="shared" si="31"/>
        <v>0.72262422536471993</v>
      </c>
      <c r="T87" s="121">
        <f t="shared" si="32"/>
        <v>9.7201935340695709E-4</v>
      </c>
      <c r="V87" s="592"/>
      <c r="W87" s="593"/>
      <c r="X87" s="341">
        <v>13</v>
      </c>
      <c r="Y87" s="308">
        <f t="shared" si="37"/>
        <v>0.46799271999999992</v>
      </c>
      <c r="Z87" s="135">
        <v>0.45600000000000002</v>
      </c>
      <c r="AA87" s="350">
        <v>0.50900000000000001</v>
      </c>
      <c r="AB87" s="359">
        <v>0.68966000000000005</v>
      </c>
      <c r="AC87" s="312">
        <f>AC86</f>
        <v>0.69741207697412078</v>
      </c>
      <c r="AD87" s="315">
        <f>AD86</f>
        <v>0.66022651565622914</v>
      </c>
      <c r="AE87" s="308">
        <f t="shared" si="35"/>
        <v>0.68243286421011662</v>
      </c>
      <c r="AF87" s="136">
        <f t="shared" si="36"/>
        <v>1.6018013015055472E-2</v>
      </c>
    </row>
    <row r="88" spans="10:32" x14ac:dyDescent="0.25">
      <c r="J88" s="557"/>
      <c r="K88" s="558"/>
      <c r="L88" s="327">
        <v>14</v>
      </c>
      <c r="M88" s="215">
        <f t="shared" si="38"/>
        <v>0.97299999999999998</v>
      </c>
      <c r="N88" s="120">
        <v>0.372</v>
      </c>
      <c r="O88" s="121">
        <v>0.379</v>
      </c>
      <c r="P88" s="330">
        <f t="shared" si="28"/>
        <v>0.31333803810868033</v>
      </c>
      <c r="Q88" s="124">
        <f t="shared" si="29"/>
        <v>0.72984749455337683</v>
      </c>
      <c r="R88" s="331">
        <f>R87</f>
        <v>0.72193690388848131</v>
      </c>
      <c r="S88" s="215">
        <f t="shared" si="31"/>
        <v>0.72589219922092907</v>
      </c>
      <c r="T88" s="121">
        <f t="shared" si="32"/>
        <v>5.593632302338624E-3</v>
      </c>
      <c r="V88" s="592"/>
      <c r="W88" s="593"/>
      <c r="X88" s="341">
        <v>14</v>
      </c>
      <c r="Y88" s="308"/>
      <c r="Z88" s="135" t="s">
        <v>54</v>
      </c>
      <c r="AA88" s="350" t="s">
        <v>53</v>
      </c>
      <c r="AB88" s="309"/>
      <c r="AC88" s="135"/>
      <c r="AD88" s="136"/>
      <c r="AE88" s="308" t="s">
        <v>105</v>
      </c>
      <c r="AF88" s="136"/>
    </row>
    <row r="89" spans="10:32" x14ac:dyDescent="0.25">
      <c r="J89" s="557"/>
      <c r="K89" s="558"/>
      <c r="L89" s="327">
        <v>15</v>
      </c>
      <c r="M89" s="215">
        <f t="shared" si="38"/>
        <v>0.97299999999999998</v>
      </c>
      <c r="N89" s="120">
        <v>0.36599999999999999</v>
      </c>
      <c r="O89" s="121">
        <v>0.379</v>
      </c>
      <c r="P89" s="330">
        <f t="shared" si="28"/>
        <v>0.31333803810868033</v>
      </c>
      <c r="Q89" s="124">
        <f t="shared" si="29"/>
        <v>0.73420479302832253</v>
      </c>
      <c r="R89" s="331">
        <f>R88</f>
        <v>0.72193690388848131</v>
      </c>
      <c r="S89" s="215">
        <f t="shared" si="31"/>
        <v>0.72807084845840198</v>
      </c>
      <c r="T89" s="121">
        <f t="shared" si="32"/>
        <v>8.6747076016265336E-3</v>
      </c>
      <c r="V89" s="592"/>
      <c r="W89" s="593"/>
      <c r="X89" s="341">
        <v>15</v>
      </c>
      <c r="Y89" s="308"/>
      <c r="Z89" s="135"/>
      <c r="AA89" s="350"/>
      <c r="AB89" s="309"/>
      <c r="AC89" s="135"/>
      <c r="AD89" s="136"/>
      <c r="AE89" s="308"/>
      <c r="AF89" s="136"/>
    </row>
    <row r="90" spans="10:32" x14ac:dyDescent="0.25">
      <c r="J90" s="557"/>
      <c r="K90" s="558"/>
      <c r="L90" s="327">
        <v>16</v>
      </c>
      <c r="M90" s="215">
        <f t="shared" si="38"/>
        <v>0.97299999999999998</v>
      </c>
      <c r="N90" s="120">
        <v>0.36399999999999999</v>
      </c>
      <c r="O90" s="121">
        <v>0.379</v>
      </c>
      <c r="P90" s="360">
        <f t="shared" si="28"/>
        <v>0.31333803810868033</v>
      </c>
      <c r="Q90" s="294">
        <f t="shared" ref="Q90" si="39">($N$74-N90)/$N$74</f>
        <v>0.73565722585330418</v>
      </c>
      <c r="R90" s="315">
        <f>R89</f>
        <v>0.72193690388848131</v>
      </c>
      <c r="S90" s="215">
        <f t="shared" si="31"/>
        <v>0.7287970648708928</v>
      </c>
      <c r="T90" s="121">
        <f t="shared" si="32"/>
        <v>9.7017327013889845E-3</v>
      </c>
      <c r="V90" s="592"/>
      <c r="W90" s="593"/>
      <c r="X90" s="341">
        <v>16</v>
      </c>
      <c r="Y90" s="308"/>
      <c r="Z90" s="135"/>
      <c r="AA90" s="350"/>
      <c r="AB90" s="309"/>
      <c r="AC90" s="135"/>
      <c r="AD90" s="136"/>
      <c r="AE90" s="308"/>
      <c r="AF90" s="136"/>
    </row>
    <row r="91" spans="10:32" x14ac:dyDescent="0.25">
      <c r="J91" s="557"/>
      <c r="K91" s="558"/>
      <c r="L91" s="327">
        <v>17</v>
      </c>
      <c r="M91" s="215" t="s">
        <v>56</v>
      </c>
      <c r="N91" s="120" t="s">
        <v>52</v>
      </c>
      <c r="O91" s="121" t="s">
        <v>55</v>
      </c>
      <c r="P91" s="215"/>
      <c r="Q91" s="120"/>
      <c r="R91" s="121"/>
      <c r="S91" s="215" t="s">
        <v>108</v>
      </c>
      <c r="T91" s="121"/>
      <c r="V91" s="592"/>
      <c r="W91" s="593"/>
      <c r="X91" s="341">
        <v>17</v>
      </c>
      <c r="Y91" s="308"/>
      <c r="Z91" s="135"/>
      <c r="AA91" s="350"/>
      <c r="AB91" s="309"/>
      <c r="AC91" s="135"/>
      <c r="AD91" s="136"/>
      <c r="AE91" s="308"/>
      <c r="AF91" s="136"/>
    </row>
    <row r="92" spans="10:32" x14ac:dyDescent="0.25">
      <c r="J92" s="557"/>
      <c r="K92" s="558"/>
      <c r="L92" s="327">
        <v>18</v>
      </c>
      <c r="M92" s="215"/>
      <c r="N92" s="120"/>
      <c r="O92" s="121"/>
      <c r="P92" s="215"/>
      <c r="Q92" s="120"/>
      <c r="R92" s="121"/>
      <c r="S92" s="215"/>
      <c r="T92" s="121"/>
      <c r="V92" s="592"/>
      <c r="W92" s="593"/>
      <c r="X92" s="341">
        <v>18</v>
      </c>
      <c r="Y92" s="308"/>
      <c r="Z92" s="135"/>
      <c r="AA92" s="350"/>
      <c r="AB92" s="309"/>
      <c r="AC92" s="135"/>
      <c r="AD92" s="136"/>
      <c r="AE92" s="308"/>
      <c r="AF92" s="136"/>
    </row>
    <row r="93" spans="10:32" x14ac:dyDescent="0.25">
      <c r="J93" s="557"/>
      <c r="K93" s="558"/>
      <c r="L93" s="327">
        <v>19</v>
      </c>
      <c r="M93" s="215"/>
      <c r="N93" s="120"/>
      <c r="O93" s="121"/>
      <c r="P93" s="215"/>
      <c r="Q93" s="120"/>
      <c r="R93" s="121"/>
      <c r="S93" s="215"/>
      <c r="T93" s="121"/>
      <c r="V93" s="592"/>
      <c r="W93" s="593"/>
      <c r="X93" s="341">
        <v>19</v>
      </c>
      <c r="Y93" s="308"/>
      <c r="Z93" s="135"/>
      <c r="AA93" s="350"/>
      <c r="AB93" s="309"/>
      <c r="AC93" s="135"/>
      <c r="AD93" s="136"/>
      <c r="AE93" s="308"/>
      <c r="AF93" s="136"/>
    </row>
    <row r="94" spans="10:32" ht="15.75" thickBot="1" x14ac:dyDescent="0.3">
      <c r="J94" s="559"/>
      <c r="K94" s="560"/>
      <c r="L94" s="328">
        <v>20</v>
      </c>
      <c r="M94" s="128"/>
      <c r="N94" s="114"/>
      <c r="O94" s="115"/>
      <c r="P94" s="128"/>
      <c r="Q94" s="114"/>
      <c r="R94" s="115"/>
      <c r="S94" s="128"/>
      <c r="T94" s="115"/>
      <c r="V94" s="594"/>
      <c r="W94" s="595"/>
      <c r="X94" s="342">
        <v>20</v>
      </c>
      <c r="Y94" s="345"/>
      <c r="Z94" s="129"/>
      <c r="AA94" s="263"/>
      <c r="AB94" s="195"/>
      <c r="AC94" s="129"/>
      <c r="AD94" s="130"/>
      <c r="AE94" s="345"/>
      <c r="AF94" s="130"/>
    </row>
    <row r="95" spans="10:32" ht="15.75" thickBot="1" x14ac:dyDescent="0.3">
      <c r="L95" s="322" t="s">
        <v>22</v>
      </c>
      <c r="M95" s="323">
        <v>0.97299999999999998</v>
      </c>
      <c r="N95" s="323">
        <v>0.36399999999999999</v>
      </c>
      <c r="O95" s="324">
        <v>0.379</v>
      </c>
      <c r="Q95" s="122"/>
      <c r="X95" s="338" t="s">
        <v>22</v>
      </c>
      <c r="Y95" s="339">
        <v>0.46800000000000003</v>
      </c>
      <c r="Z95" s="339">
        <v>0.45600000000000002</v>
      </c>
      <c r="AA95" s="340">
        <v>0.50900000000000001</v>
      </c>
    </row>
    <row r="96" spans="10:32" x14ac:dyDescent="0.25">
      <c r="L96" s="543" t="s">
        <v>21</v>
      </c>
      <c r="M96" s="580">
        <f>(M74-M95)/M74</f>
        <v>0.31333803810868033</v>
      </c>
      <c r="N96" s="583">
        <f t="shared" ref="N96:O96" si="40">(N74-N95)/N74</f>
        <v>0.73565722585330418</v>
      </c>
      <c r="O96" s="583">
        <f t="shared" si="40"/>
        <v>0.72193690388848131</v>
      </c>
      <c r="Q96" s="123"/>
      <c r="X96" s="543" t="s">
        <v>21</v>
      </c>
      <c r="Y96" s="546">
        <f>(Y74-Y95)/Y74</f>
        <v>0.68965517241379315</v>
      </c>
      <c r="Z96" s="546">
        <f t="shared" ref="Z96:AA96" si="41">(Z74-Z95)/Z74</f>
        <v>0.69741207697412078</v>
      </c>
      <c r="AA96" s="546">
        <f t="shared" si="41"/>
        <v>0.6608927381745503</v>
      </c>
    </row>
    <row r="97" spans="12:27" x14ac:dyDescent="0.25">
      <c r="L97" s="544"/>
      <c r="M97" s="581"/>
      <c r="N97" s="584"/>
      <c r="O97" s="584"/>
      <c r="Q97" s="123"/>
      <c r="X97" s="544"/>
      <c r="Y97" s="547"/>
      <c r="Z97" s="547"/>
      <c r="AA97" s="547"/>
    </row>
    <row r="98" spans="12:27" ht="15.75" thickBot="1" x14ac:dyDescent="0.3">
      <c r="L98" s="545"/>
      <c r="M98" s="582"/>
      <c r="N98" s="585"/>
      <c r="O98" s="585"/>
      <c r="Q98" s="123"/>
      <c r="X98" s="545"/>
      <c r="Y98" s="548"/>
      <c r="Z98" s="548"/>
      <c r="AA98" s="548"/>
    </row>
    <row r="100" spans="12:27" ht="45" x14ac:dyDescent="0.25">
      <c r="M100" s="104" t="s">
        <v>51</v>
      </c>
    </row>
  </sheetData>
  <mergeCells count="54">
    <mergeCell ref="AQ16:AX16"/>
    <mergeCell ref="AQ35:AZ35"/>
    <mergeCell ref="AH6:AH7"/>
    <mergeCell ref="AH9:AH10"/>
    <mergeCell ref="V11:W32"/>
    <mergeCell ref="V43:W64"/>
    <mergeCell ref="V73:W94"/>
    <mergeCell ref="AE10:AF10"/>
    <mergeCell ref="X1:AF2"/>
    <mergeCell ref="X72:AA72"/>
    <mergeCell ref="L96:L98"/>
    <mergeCell ref="M96:M98"/>
    <mergeCell ref="N96:N98"/>
    <mergeCell ref="O96:O98"/>
    <mergeCell ref="AA34:AA36"/>
    <mergeCell ref="X96:X98"/>
    <mergeCell ref="Y96:Y98"/>
    <mergeCell ref="L10:O10"/>
    <mergeCell ref="X10:AA10"/>
    <mergeCell ref="L42:O42"/>
    <mergeCell ref="X42:AA42"/>
    <mergeCell ref="L66:L68"/>
    <mergeCell ref="M66:M68"/>
    <mergeCell ref="N66:N68"/>
    <mergeCell ref="Z96:Z98"/>
    <mergeCell ref="AA96:AA98"/>
    <mergeCell ref="Z66:Z68"/>
    <mergeCell ref="AA66:AA68"/>
    <mergeCell ref="L72:O72"/>
    <mergeCell ref="X66:X68"/>
    <mergeCell ref="Y66:Y68"/>
    <mergeCell ref="J73:K94"/>
    <mergeCell ref="X34:X36"/>
    <mergeCell ref="Y34:Y36"/>
    <mergeCell ref="Z34:Z36"/>
    <mergeCell ref="N34:N36"/>
    <mergeCell ref="O34:O36"/>
    <mergeCell ref="J43:K64"/>
    <mergeCell ref="O66:O68"/>
    <mergeCell ref="B38:E38"/>
    <mergeCell ref="B40:E40"/>
    <mergeCell ref="B34:B36"/>
    <mergeCell ref="C34:C36"/>
    <mergeCell ref="D34:D36"/>
    <mergeCell ref="E34:E36"/>
    <mergeCell ref="A1:E1"/>
    <mergeCell ref="A5:E5"/>
    <mergeCell ref="B10:E10"/>
    <mergeCell ref="L34:L36"/>
    <mergeCell ref="M34:M36"/>
    <mergeCell ref="L1:T2"/>
    <mergeCell ref="J11:K32"/>
    <mergeCell ref="S10:T10"/>
    <mergeCell ref="G5:G6"/>
  </mergeCells>
  <pageMargins left="1" right="1" top="1" bottom="1" header="0.5" footer="0.5"/>
  <pageSetup paperSize="9" fitToHeight="0" orientation="portrait" r:id="rId1"/>
  <headerFooter>
    <oddHeader>&amp;C&amp;"-,Bold Italic"&amp;20DATA SHEET</oddHeader>
    <oddFooter>&amp;LLOG SHEET - UKZN_PRG&amp;CPRG LAB MANUAL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DEWATERING - RAW DATA</vt:lpstr>
      <vt:lpstr>MC - RSLUDGE</vt:lpstr>
      <vt:lpstr>RESULTS CENTRI</vt:lpstr>
      <vt:lpstr>Moisture content&amp;Water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2020-08-20T15:39:39Z</dcterms:modified>
</cp:coreProperties>
</file>