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Journal Articles - 2026\4 - Feni and Shaluwa\"/>
    </mc:Choice>
  </mc:AlternateContent>
  <bookViews>
    <workbookView xWindow="0" yWindow="0" windowWidth="19200" windowHeight="7840" tabRatio="885" activeTab="1"/>
  </bookViews>
  <sheets>
    <sheet name="Summary" sheetId="14" r:id="rId1"/>
    <sheet name="Bwaise I" sheetId="13" r:id="rId2"/>
    <sheet name="Bukoto I" sheetId="12" r:id="rId3"/>
    <sheet name="Ggaba" sheetId="11" r:id="rId4"/>
    <sheet name="All_data" sheetId="1" r:id="rId5"/>
    <sheet name="Codes" sheetId="3" r:id="rId6"/>
    <sheet name="Encoded Data" sheetId="2" r:id="rId7"/>
    <sheet name="Q&amp;Qs" sheetId="4" r:id="rId8"/>
    <sheet name="Factors" sheetId="5" r:id="rId9"/>
    <sheet name="Correlation-Excel" sheetId="6" r:id="rId10"/>
    <sheet name="Correlation-Python" sheetId="10" r:id="rId11"/>
    <sheet name="Generation-Model performance" sheetId="9" r:id="rId12"/>
    <sheet name="Volume-Model performance" sheetId="8" r:id="rId13"/>
    <sheet name="Stakeholders" sheetId="7" r:id="rId1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14" l="1"/>
  <c r="AJ38" i="12"/>
  <c r="AD38" i="12"/>
  <c r="Z38" i="12"/>
  <c r="Y38" i="12"/>
  <c r="X38" i="12"/>
  <c r="W38" i="12"/>
  <c r="G38" i="12"/>
  <c r="AH36" i="12"/>
  <c r="AI36" i="12" s="1"/>
  <c r="W36" i="12"/>
  <c r="AH35" i="12"/>
  <c r="AI35" i="12" s="1"/>
  <c r="AK34" i="12"/>
  <c r="AH34" i="12"/>
  <c r="AI34" i="12" s="1"/>
  <c r="AG34" i="12"/>
  <c r="AG33" i="12"/>
  <c r="AK33" i="12" s="1"/>
  <c r="AH32" i="12"/>
  <c r="AI32" i="12" s="1"/>
  <c r="AH31" i="12"/>
  <c r="AI31" i="12" s="1"/>
  <c r="AH30" i="12"/>
  <c r="AI30" i="12" s="1"/>
  <c r="AC30" i="12"/>
  <c r="AB30" i="12"/>
  <c r="AA30" i="12"/>
  <c r="AH29" i="12"/>
  <c r="AI29" i="12" s="1"/>
  <c r="AA29" i="12"/>
  <c r="AI28" i="12"/>
  <c r="AH28" i="12"/>
  <c r="AH27" i="12"/>
  <c r="AI27" i="12" s="1"/>
  <c r="AF27" i="12"/>
  <c r="AA27" i="12"/>
  <c r="AH26" i="12"/>
  <c r="AI26" i="12" s="1"/>
  <c r="AE26" i="12"/>
  <c r="AC26" i="12"/>
  <c r="AB26" i="12"/>
  <c r="AA26" i="12"/>
  <c r="Z26" i="12"/>
  <c r="AI25" i="12"/>
  <c r="AH25" i="12"/>
  <c r="AC25" i="12"/>
  <c r="AB25" i="12"/>
  <c r="AH24" i="12"/>
  <c r="AI24" i="12" s="1"/>
  <c r="AC24" i="12"/>
  <c r="W24" i="12"/>
  <c r="AH23" i="12"/>
  <c r="AI23" i="12" s="1"/>
  <c r="AB23" i="12"/>
  <c r="AA23" i="12"/>
  <c r="AC22" i="12"/>
  <c r="W22" i="12"/>
  <c r="AG22" i="12" s="1"/>
  <c r="AH21" i="12"/>
  <c r="AI21" i="12" s="1"/>
  <c r="AC21" i="12"/>
  <c r="AI20" i="12"/>
  <c r="AH20" i="12"/>
  <c r="AC20" i="12"/>
  <c r="AB20" i="12"/>
  <c r="AH19" i="12"/>
  <c r="AI19" i="12" s="1"/>
  <c r="AH18" i="12"/>
  <c r="AI18" i="12" s="1"/>
  <c r="AE18" i="12"/>
  <c r="AC18" i="12"/>
  <c r="AB18" i="12"/>
  <c r="AA18" i="12"/>
  <c r="Z18" i="12"/>
  <c r="W18" i="12"/>
  <c r="AH17" i="12"/>
  <c r="AI17" i="12" s="1"/>
  <c r="AC17" i="12"/>
  <c r="AB17" i="12"/>
  <c r="AA17" i="12"/>
  <c r="W17" i="12"/>
  <c r="AI16" i="12"/>
  <c r="AH16" i="12"/>
  <c r="AH15" i="12"/>
  <c r="AI15" i="12" s="1"/>
  <c r="AI14" i="12"/>
  <c r="AH14" i="12"/>
  <c r="AC14" i="12"/>
  <c r="AB14" i="12"/>
  <c r="AA14" i="12"/>
  <c r="Z14" i="12"/>
  <c r="AH13" i="12"/>
  <c r="AI13" i="12" s="1"/>
  <c r="AF13" i="12"/>
  <c r="AC13" i="12"/>
  <c r="AB13" i="12"/>
  <c r="AA13" i="12"/>
  <c r="Z13" i="12"/>
  <c r="Y13" i="12"/>
  <c r="W13" i="12"/>
  <c r="AH12" i="12"/>
  <c r="AI12" i="12" s="1"/>
  <c r="AF12" i="12"/>
  <c r="AC12" i="12"/>
  <c r="AA12" i="12"/>
  <c r="W12" i="12"/>
  <c r="AI11" i="12"/>
  <c r="AH11" i="12"/>
  <c r="AF11" i="12"/>
  <c r="AB11" i="12"/>
  <c r="AA11" i="12"/>
  <c r="AG10" i="12"/>
  <c r="AK10" i="12" s="1"/>
  <c r="AH9" i="12"/>
  <c r="AI9" i="12" s="1"/>
  <c r="AH8" i="12"/>
  <c r="AI8" i="12" s="1"/>
  <c r="AE8" i="12"/>
  <c r="AE38" i="12" s="1"/>
  <c r="AC8" i="12"/>
  <c r="AB8" i="12"/>
  <c r="AH7" i="12"/>
  <c r="AI7" i="12" s="1"/>
  <c r="AC7" i="12"/>
  <c r="AB7" i="12"/>
  <c r="AA7" i="12"/>
  <c r="AH6" i="12"/>
  <c r="AI6" i="12" s="1"/>
  <c r="AF6" i="12"/>
  <c r="AC6" i="12"/>
  <c r="AB6" i="12"/>
  <c r="AB38" i="12" s="1"/>
  <c r="AA6" i="12"/>
  <c r="AA38" i="12" s="1"/>
  <c r="X6" i="12"/>
  <c r="A6" i="12"/>
  <c r="A7" i="12" s="1"/>
  <c r="A8" i="12" s="1"/>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I5" i="12"/>
  <c r="AH5" i="12"/>
  <c r="AF5" i="12"/>
  <c r="AF38" i="12" s="1"/>
  <c r="AC5" i="12"/>
  <c r="AC38" i="12" s="1"/>
  <c r="AB5" i="12"/>
  <c r="AA5" i="12"/>
  <c r="AF45" i="13"/>
  <c r="AD45" i="13"/>
  <c r="G45" i="13"/>
  <c r="AJ44" i="13"/>
  <c r="AA43" i="13"/>
  <c r="W43" i="13"/>
  <c r="AG43" i="13" s="1"/>
  <c r="AG42" i="13"/>
  <c r="AH42" i="13" s="1"/>
  <c r="AI42" i="13" s="1"/>
  <c r="AF42" i="13"/>
  <c r="AC42" i="13"/>
  <c r="AB42" i="13"/>
  <c r="Z42" i="13"/>
  <c r="W42" i="13"/>
  <c r="AC41" i="13"/>
  <c r="AB41" i="13"/>
  <c r="AA41" i="13"/>
  <c r="AG41" i="13" s="1"/>
  <c r="AE40" i="13"/>
  <c r="AC40" i="13"/>
  <c r="AB40" i="13"/>
  <c r="AA40" i="13"/>
  <c r="Z40" i="13"/>
  <c r="Y40" i="13"/>
  <c r="W40" i="13"/>
  <c r="AG40" i="13" s="1"/>
  <c r="AC39" i="13"/>
  <c r="AB39" i="13"/>
  <c r="AA39" i="13"/>
  <c r="Z39" i="13"/>
  <c r="AG39" i="13" s="1"/>
  <c r="AC38" i="13"/>
  <c r="AG38" i="13" s="1"/>
  <c r="AC37" i="13"/>
  <c r="AB37" i="13"/>
  <c r="AA37" i="13"/>
  <c r="AG37" i="13" s="1"/>
  <c r="AB36" i="13"/>
  <c r="AG36" i="13" s="1"/>
  <c r="AA36" i="13"/>
  <c r="AC35" i="13"/>
  <c r="AB35" i="13"/>
  <c r="AA35" i="13"/>
  <c r="AG35" i="13" s="1"/>
  <c r="AG34" i="13"/>
  <c r="AH34" i="13" s="1"/>
  <c r="AI34" i="13" s="1"/>
  <c r="AE34" i="13"/>
  <c r="AC34" i="13"/>
  <c r="AB34" i="13"/>
  <c r="AA34" i="13"/>
  <c r="AB33" i="13"/>
  <c r="AA33" i="13"/>
  <c r="Z33" i="13"/>
  <c r="AG33" i="13" s="1"/>
  <c r="AF32" i="13"/>
  <c r="AC32" i="13"/>
  <c r="AB32" i="13"/>
  <c r="AG32" i="13" s="1"/>
  <c r="AG31" i="13"/>
  <c r="AH31" i="13" s="1"/>
  <c r="AI31" i="13" s="1"/>
  <c r="AF30" i="13"/>
  <c r="AE30" i="13"/>
  <c r="AC30" i="13"/>
  <c r="AB30" i="13"/>
  <c r="AA30" i="13"/>
  <c r="AG30" i="13" s="1"/>
  <c r="AC29" i="13"/>
  <c r="AG29" i="13" s="1"/>
  <c r="AB29" i="13"/>
  <c r="Z29" i="13"/>
  <c r="AB28" i="13"/>
  <c r="W28" i="13"/>
  <c r="AG28" i="13" s="1"/>
  <c r="AG27" i="13"/>
  <c r="AK27" i="13" s="1"/>
  <c r="AC27" i="13"/>
  <c r="AB27" i="13"/>
  <c r="AA27" i="13"/>
  <c r="W27" i="13"/>
  <c r="AC26" i="13"/>
  <c r="AB26" i="13"/>
  <c r="AA26" i="13"/>
  <c r="Z26" i="13"/>
  <c r="AG26" i="13" s="1"/>
  <c r="AF25" i="13"/>
  <c r="AB25" i="13"/>
  <c r="AA25" i="13"/>
  <c r="Z25" i="13"/>
  <c r="AG25" i="13" s="1"/>
  <c r="AG24" i="13"/>
  <c r="AH24" i="13" s="1"/>
  <c r="AI24" i="13" s="1"/>
  <c r="AC24" i="13"/>
  <c r="AB24" i="13"/>
  <c r="AA24" i="13"/>
  <c r="W24" i="13"/>
  <c r="AF23" i="13"/>
  <c r="AC23" i="13"/>
  <c r="AB23" i="13"/>
  <c r="Z23" i="13"/>
  <c r="AG23" i="13" s="1"/>
  <c r="AF22" i="13"/>
  <c r="AC22" i="13"/>
  <c r="AB22" i="13"/>
  <c r="AA22" i="13"/>
  <c r="X22" i="13"/>
  <c r="W22" i="13"/>
  <c r="AG22" i="13" s="1"/>
  <c r="AK21" i="13"/>
  <c r="AG21" i="13"/>
  <c r="AH21" i="13" s="1"/>
  <c r="AI21" i="13" s="1"/>
  <c r="W21" i="13"/>
  <c r="AF20" i="13"/>
  <c r="AB20" i="13"/>
  <c r="AG20" i="13" s="1"/>
  <c r="AC19" i="13"/>
  <c r="AB19" i="13"/>
  <c r="Z19" i="13"/>
  <c r="AG19" i="13" s="1"/>
  <c r="AF18" i="13"/>
  <c r="AC18" i="13"/>
  <c r="AB18" i="13"/>
  <c r="AA18" i="13"/>
  <c r="AG18" i="13" s="1"/>
  <c r="Z18" i="13"/>
  <c r="Y18" i="13"/>
  <c r="AC17" i="13"/>
  <c r="AB17" i="13"/>
  <c r="W17" i="13"/>
  <c r="AG17" i="13" s="1"/>
  <c r="AF16" i="13"/>
  <c r="AG16" i="13" s="1"/>
  <c r="Z16" i="13"/>
  <c r="AA15" i="13"/>
  <c r="Z15" i="13"/>
  <c r="W15" i="13"/>
  <c r="AG15" i="13" s="1"/>
  <c r="AF14" i="13"/>
  <c r="AC14" i="13"/>
  <c r="AA14" i="13"/>
  <c r="AG14" i="13" s="1"/>
  <c r="AB13" i="13"/>
  <c r="AG13" i="13" s="1"/>
  <c r="AF12" i="13"/>
  <c r="AE12" i="13"/>
  <c r="AE45" i="13" s="1"/>
  <c r="AA12" i="13"/>
  <c r="Z12" i="13"/>
  <c r="AG12" i="13" s="1"/>
  <c r="W11" i="13"/>
  <c r="AG11" i="13" s="1"/>
  <c r="AF10" i="13"/>
  <c r="AC10" i="13"/>
  <c r="AB10" i="13"/>
  <c r="AA10" i="13"/>
  <c r="Z10" i="13"/>
  <c r="W10" i="13"/>
  <c r="W45" i="13" s="1"/>
  <c r="AK9" i="13"/>
  <c r="AH9" i="13"/>
  <c r="AI9" i="13" s="1"/>
  <c r="AG9" i="13"/>
  <c r="AF8" i="13"/>
  <c r="AC8" i="13"/>
  <c r="AB8" i="13"/>
  <c r="AA8" i="13"/>
  <c r="Z8" i="13"/>
  <c r="Y8" i="13"/>
  <c r="Y45" i="13" s="1"/>
  <c r="X8" i="13"/>
  <c r="AG8" i="13" s="1"/>
  <c r="W8" i="13"/>
  <c r="AG7" i="13"/>
  <c r="AK7" i="13" s="1"/>
  <c r="AC6" i="13"/>
  <c r="AB6" i="13"/>
  <c r="AA6" i="13"/>
  <c r="AG6" i="13" s="1"/>
  <c r="Z6" i="13"/>
  <c r="W6" i="13"/>
  <c r="AK5" i="13"/>
  <c r="AF5" i="13"/>
  <c r="AC5" i="13"/>
  <c r="AC45" i="13" s="1"/>
  <c r="AB5" i="13"/>
  <c r="AB45" i="13" s="1"/>
  <c r="AA5" i="13"/>
  <c r="AA45" i="13" s="1"/>
  <c r="Z5" i="13"/>
  <c r="Z45" i="13" s="1"/>
  <c r="X5" i="13"/>
  <c r="AG5" i="13" s="1"/>
  <c r="AH5" i="13" s="1"/>
  <c r="AI5" i="13" s="1"/>
  <c r="W5" i="13"/>
  <c r="D26" i="14"/>
  <c r="C26" i="14"/>
  <c r="B26" i="14"/>
  <c r="J14" i="14"/>
  <c r="I14" i="14"/>
  <c r="H14" i="14"/>
  <c r="AF38" i="11"/>
  <c r="AE38" i="11"/>
  <c r="AB38" i="11"/>
  <c r="Z38" i="11"/>
  <c r="Y38" i="11"/>
  <c r="X38" i="11"/>
  <c r="G38" i="11"/>
  <c r="AJ37" i="11"/>
  <c r="W36" i="11"/>
  <c r="AG36" i="11" s="1"/>
  <c r="AD35" i="11"/>
  <c r="AC35" i="11"/>
  <c r="AC38" i="11" s="1"/>
  <c r="AA35" i="11"/>
  <c r="AG35" i="11" s="1"/>
  <c r="W34" i="11"/>
  <c r="AG34" i="11" s="1"/>
  <c r="AG33" i="11"/>
  <c r="AK33" i="11" s="1"/>
  <c r="AG32" i="11"/>
  <c r="AK32" i="11" s="1"/>
  <c r="AK31" i="11"/>
  <c r="AG31" i="11"/>
  <c r="AH31" i="11" s="1"/>
  <c r="AI31" i="11" s="1"/>
  <c r="AG30" i="11"/>
  <c r="AK30" i="11" s="1"/>
  <c r="AK29" i="11"/>
  <c r="AH29" i="11"/>
  <c r="AI29" i="11" s="1"/>
  <c r="AG29" i="11"/>
  <c r="AG28" i="11"/>
  <c r="AK28" i="11" s="1"/>
  <c r="AG27" i="11"/>
  <c r="AH27" i="11" s="1"/>
  <c r="AI27" i="11" s="1"/>
  <c r="AK26" i="11"/>
  <c r="AG26" i="11"/>
  <c r="AH26" i="11" s="1"/>
  <c r="AI26" i="11" s="1"/>
  <c r="AG25" i="11"/>
  <c r="AK25" i="11" s="1"/>
  <c r="AK24" i="11"/>
  <c r="AI24" i="11"/>
  <c r="AH24" i="11"/>
  <c r="AG24" i="11"/>
  <c r="W23" i="11"/>
  <c r="AG23" i="11" s="1"/>
  <c r="AK22" i="11"/>
  <c r="AH22" i="11"/>
  <c r="AI22" i="11" s="1"/>
  <c r="AG22" i="11"/>
  <c r="AG21" i="11"/>
  <c r="AK21" i="11" s="1"/>
  <c r="W21" i="11"/>
  <c r="AG20" i="11"/>
  <c r="AK20" i="11" s="1"/>
  <c r="W20" i="11"/>
  <c r="AG19" i="11"/>
  <c r="AK19" i="11" s="1"/>
  <c r="W19" i="11"/>
  <c r="AG18" i="11"/>
  <c r="AK18" i="11" s="1"/>
  <c r="AD18" i="11"/>
  <c r="AD38" i="11" s="1"/>
  <c r="AC18" i="11"/>
  <c r="AA18" i="11"/>
  <c r="AG17" i="11"/>
  <c r="AK17" i="11" s="1"/>
  <c r="AK16" i="11"/>
  <c r="AH16" i="11"/>
  <c r="AI16" i="11" s="1"/>
  <c r="AG16" i="11"/>
  <c r="AG15" i="11"/>
  <c r="AK15" i="11" s="1"/>
  <c r="AG14" i="11"/>
  <c r="AH14" i="11" s="1"/>
  <c r="AI14" i="11" s="1"/>
  <c r="AK13" i="11"/>
  <c r="AG13" i="11"/>
  <c r="AH13" i="11" s="1"/>
  <c r="AI13" i="11" s="1"/>
  <c r="AG12" i="11"/>
  <c r="AK12" i="11" s="1"/>
  <c r="AK11" i="11"/>
  <c r="AI11" i="11"/>
  <c r="AH11" i="11"/>
  <c r="AG11" i="11"/>
  <c r="AH10" i="11"/>
  <c r="AI10" i="11" s="1"/>
  <c r="AG10" i="11"/>
  <c r="AK10" i="11" s="1"/>
  <c r="AG9" i="11"/>
  <c r="AH9" i="11" s="1"/>
  <c r="AI9" i="11" s="1"/>
  <c r="AG8" i="11"/>
  <c r="AK8" i="11" s="1"/>
  <c r="AG7" i="11"/>
  <c r="AK7" i="11" s="1"/>
  <c r="W6" i="11"/>
  <c r="AG6" i="11" s="1"/>
  <c r="W5" i="11"/>
  <c r="AG5" i="11" s="1"/>
  <c r="A5" i="1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H22" i="12" l="1"/>
  <c r="AI22" i="12" s="1"/>
  <c r="AK22" i="12"/>
  <c r="AK38" i="12"/>
  <c r="U38" i="12"/>
  <c r="AA39" i="12" s="1"/>
  <c r="X39" i="12"/>
  <c r="AC39" i="12"/>
  <c r="Y39" i="12"/>
  <c r="AD39" i="12"/>
  <c r="AH10" i="12"/>
  <c r="AI10" i="12" s="1"/>
  <c r="AH33" i="12"/>
  <c r="AI33" i="12" s="1"/>
  <c r="AK8" i="13"/>
  <c r="AH8" i="13"/>
  <c r="AI8" i="13" s="1"/>
  <c r="AK40" i="13"/>
  <c r="AH40" i="13"/>
  <c r="AI40" i="13" s="1"/>
  <c r="AH19" i="13"/>
  <c r="AI19" i="13" s="1"/>
  <c r="AK19" i="13"/>
  <c r="AK28" i="13"/>
  <c r="AH28" i="13"/>
  <c r="AI28" i="13" s="1"/>
  <c r="AK15" i="13"/>
  <c r="AH15" i="13"/>
  <c r="AI15" i="13" s="1"/>
  <c r="AH11" i="13"/>
  <c r="AI11" i="13" s="1"/>
  <c r="AK11" i="13"/>
  <c r="AK33" i="13"/>
  <c r="AH33" i="13"/>
  <c r="AI33" i="13" s="1"/>
  <c r="AH16" i="13"/>
  <c r="AI16" i="13" s="1"/>
  <c r="AK16" i="13"/>
  <c r="AK26" i="13"/>
  <c r="AH26" i="13"/>
  <c r="AI26" i="13" s="1"/>
  <c r="AK37" i="13"/>
  <c r="AH37" i="13"/>
  <c r="AI37" i="13" s="1"/>
  <c r="AK43" i="13"/>
  <c r="AH43" i="13"/>
  <c r="AI43" i="13" s="1"/>
  <c r="AK25" i="13"/>
  <c r="AH25" i="13"/>
  <c r="AI25" i="13" s="1"/>
  <c r="AK36" i="13"/>
  <c r="AH36" i="13"/>
  <c r="AI36" i="13" s="1"/>
  <c r="AK17" i="13"/>
  <c r="AH17" i="13"/>
  <c r="AI17" i="13" s="1"/>
  <c r="AH6" i="13"/>
  <c r="AI6" i="13" s="1"/>
  <c r="AK6" i="13"/>
  <c r="AK29" i="13"/>
  <c r="AH29" i="13"/>
  <c r="AI29" i="13" s="1"/>
  <c r="AK23" i="13"/>
  <c r="AH23" i="13"/>
  <c r="AI23" i="13" s="1"/>
  <c r="AK20" i="13"/>
  <c r="AH20" i="13"/>
  <c r="AI20" i="13" s="1"/>
  <c r="AH30" i="13"/>
  <c r="AI30" i="13" s="1"/>
  <c r="AK30" i="13"/>
  <c r="AK35" i="13"/>
  <c r="AH35" i="13"/>
  <c r="AI35" i="13" s="1"/>
  <c r="AH13" i="13"/>
  <c r="AI13" i="13" s="1"/>
  <c r="AK13" i="13"/>
  <c r="AK38" i="13"/>
  <c r="AH38" i="13"/>
  <c r="AI38" i="13" s="1"/>
  <c r="AH41" i="13"/>
  <c r="AI41" i="13" s="1"/>
  <c r="AK41" i="13"/>
  <c r="AH12" i="13"/>
  <c r="AI12" i="13" s="1"/>
  <c r="AK12" i="13"/>
  <c r="AH14" i="13"/>
  <c r="AI14" i="13" s="1"/>
  <c r="AK14" i="13"/>
  <c r="AH39" i="13"/>
  <c r="AI39" i="13" s="1"/>
  <c r="AK39" i="13"/>
  <c r="AH32" i="13"/>
  <c r="AI32" i="13" s="1"/>
  <c r="AK32" i="13"/>
  <c r="AK18" i="13"/>
  <c r="AH18" i="13"/>
  <c r="AI18" i="13" s="1"/>
  <c r="AK22" i="13"/>
  <c r="AH22" i="13"/>
  <c r="AI22" i="13" s="1"/>
  <c r="AK34" i="13"/>
  <c r="AK31" i="13"/>
  <c r="X45" i="13"/>
  <c r="AK24" i="13"/>
  <c r="AH7" i="13"/>
  <c r="AI7" i="13" s="1"/>
  <c r="AG10" i="13"/>
  <c r="AH27" i="13"/>
  <c r="AI27" i="13" s="1"/>
  <c r="AK42" i="13"/>
  <c r="AH35" i="11"/>
  <c r="AI35" i="11" s="1"/>
  <c r="AK35" i="11"/>
  <c r="AH23" i="11"/>
  <c r="AI23" i="11" s="1"/>
  <c r="AK23" i="11"/>
  <c r="AK36" i="11"/>
  <c r="AH36" i="11"/>
  <c r="AI36" i="11" s="1"/>
  <c r="AG37" i="11"/>
  <c r="AK5" i="11"/>
  <c r="AK37" i="11" s="1"/>
  <c r="AH5" i="11"/>
  <c r="AH6" i="11"/>
  <c r="AI6" i="11" s="1"/>
  <c r="AK6" i="11"/>
  <c r="AH34" i="11"/>
  <c r="AI34" i="11" s="1"/>
  <c r="AK34" i="11"/>
  <c r="AH20" i="11"/>
  <c r="AI20" i="11" s="1"/>
  <c r="AH18" i="11"/>
  <c r="AI18" i="11" s="1"/>
  <c r="W38" i="11"/>
  <c r="AH7" i="11"/>
  <c r="AI7" i="11" s="1"/>
  <c r="AK9" i="11"/>
  <c r="AH32" i="11"/>
  <c r="AI32" i="11" s="1"/>
  <c r="AH12" i="11"/>
  <c r="AI12" i="11" s="1"/>
  <c r="AK14" i="11"/>
  <c r="AH25" i="11"/>
  <c r="AI25" i="11" s="1"/>
  <c r="AK27" i="11"/>
  <c r="AH17" i="11"/>
  <c r="AI17" i="11" s="1"/>
  <c r="AH30" i="11"/>
  <c r="AI30" i="11" s="1"/>
  <c r="AA38" i="11"/>
  <c r="AH15" i="11"/>
  <c r="AI15" i="11" s="1"/>
  <c r="AH19" i="11"/>
  <c r="AI19" i="11" s="1"/>
  <c r="AH21" i="11"/>
  <c r="AI21" i="11" s="1"/>
  <c r="AH28" i="11"/>
  <c r="AI28" i="11" s="1"/>
  <c r="AH8" i="11"/>
  <c r="AI8" i="11" s="1"/>
  <c r="AH33" i="11"/>
  <c r="AI33" i="11" s="1"/>
  <c r="Z39" i="12" l="1"/>
  <c r="AB39" i="12"/>
  <c r="AE39" i="12"/>
  <c r="W39" i="12"/>
  <c r="AF39" i="12"/>
  <c r="AI44" i="13"/>
  <c r="U45" i="13"/>
  <c r="AK10" i="13"/>
  <c r="AK44" i="13" s="1"/>
  <c r="AH10" i="13"/>
  <c r="AI10" i="13" s="1"/>
  <c r="U38" i="11"/>
  <c r="AA39" i="11"/>
  <c r="AH37" i="11"/>
  <c r="AI5" i="11"/>
  <c r="AI37" i="11" s="1"/>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4"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4"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4"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4" i="2"/>
  <c r="AC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4"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4"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4" i="2"/>
  <c r="U39" i="12" l="1"/>
  <c r="AD46" i="13"/>
  <c r="AA46" i="13"/>
  <c r="AC46" i="13"/>
  <c r="AB46" i="13"/>
  <c r="Z46" i="13"/>
  <c r="AE46" i="13"/>
  <c r="Y46" i="13"/>
  <c r="AF46" i="13"/>
  <c r="W46" i="13"/>
  <c r="U46" i="13" s="1"/>
  <c r="X46" i="13"/>
  <c r="AE39" i="11"/>
  <c r="AB39" i="11"/>
  <c r="X39" i="11"/>
  <c r="Z39" i="11"/>
  <c r="Y39" i="11"/>
  <c r="AF39" i="11"/>
  <c r="AD39" i="11"/>
  <c r="AC39" i="11"/>
  <c r="W39" i="11"/>
  <c r="U39" i="11" s="1"/>
  <c r="AG105" i="1"/>
  <c r="AK105" i="1" s="1"/>
  <c r="W105" i="1"/>
  <c r="AD104" i="1"/>
  <c r="AC104" i="1"/>
  <c r="AG104" i="1" s="1"/>
  <c r="AA104" i="1"/>
  <c r="W103" i="1"/>
  <c r="AG103" i="1" s="1"/>
  <c r="AG102" i="1"/>
  <c r="AH102" i="1" s="1"/>
  <c r="AI102" i="1" s="1"/>
  <c r="AG101" i="1"/>
  <c r="AK101" i="1" s="1"/>
  <c r="AG100" i="1"/>
  <c r="AK100" i="1" s="1"/>
  <c r="AK99" i="1"/>
  <c r="AG99" i="1"/>
  <c r="AH99" i="1" s="1"/>
  <c r="AI99" i="1" s="1"/>
  <c r="AK98" i="1"/>
  <c r="AG98" i="1"/>
  <c r="AH98" i="1" s="1"/>
  <c r="AI98" i="1" s="1"/>
  <c r="AK97" i="1"/>
  <c r="AH97" i="1"/>
  <c r="AI97" i="1" s="1"/>
  <c r="AG97" i="1"/>
  <c r="AK96" i="1"/>
  <c r="AH96" i="1"/>
  <c r="AI96" i="1" s="1"/>
  <c r="AG96" i="1"/>
  <c r="AG95" i="1"/>
  <c r="AK95" i="1" s="1"/>
  <c r="AG94" i="1"/>
  <c r="AK94" i="1" s="1"/>
  <c r="AG93" i="1"/>
  <c r="AK93" i="1" s="1"/>
  <c r="W92" i="1"/>
  <c r="AG92" i="1" s="1"/>
  <c r="AK91" i="1"/>
  <c r="AG91" i="1"/>
  <c r="AH91" i="1" s="1"/>
  <c r="AI91" i="1" s="1"/>
  <c r="W90" i="1"/>
  <c r="AG90" i="1" s="1"/>
  <c r="W89" i="1"/>
  <c r="AG89" i="1" s="1"/>
  <c r="W88" i="1"/>
  <c r="AG88" i="1" s="1"/>
  <c r="AD87" i="1"/>
  <c r="AC87" i="1"/>
  <c r="AA87" i="1"/>
  <c r="AG87" i="1" s="1"/>
  <c r="AK86" i="1"/>
  <c r="AG86" i="1"/>
  <c r="AH86" i="1" s="1"/>
  <c r="AI86" i="1" s="1"/>
  <c r="AK85" i="1"/>
  <c r="AH85" i="1"/>
  <c r="AI85" i="1" s="1"/>
  <c r="AG85" i="1"/>
  <c r="AK84" i="1"/>
  <c r="AH84" i="1"/>
  <c r="AI84" i="1" s="1"/>
  <c r="AG84" i="1"/>
  <c r="AK83" i="1"/>
  <c r="AH83" i="1"/>
  <c r="AI83" i="1" s="1"/>
  <c r="AG83" i="1"/>
  <c r="AG82" i="1"/>
  <c r="AH82" i="1" s="1"/>
  <c r="AI82" i="1" s="1"/>
  <c r="AG81" i="1"/>
  <c r="AK81" i="1" s="1"/>
  <c r="AG80" i="1"/>
  <c r="AK80" i="1" s="1"/>
  <c r="AK79" i="1"/>
  <c r="AG79" i="1"/>
  <c r="AH79" i="1" s="1"/>
  <c r="AI79" i="1" s="1"/>
  <c r="AK78" i="1"/>
  <c r="AG78" i="1"/>
  <c r="AH78" i="1" s="1"/>
  <c r="AI78" i="1" s="1"/>
  <c r="AG77" i="1"/>
  <c r="AK77" i="1" s="1"/>
  <c r="AG76" i="1"/>
  <c r="AK76" i="1" s="1"/>
  <c r="W75" i="1"/>
  <c r="AG75" i="1" s="1"/>
  <c r="W74" i="1"/>
  <c r="AG74" i="1" s="1"/>
  <c r="AI73" i="1"/>
  <c r="AH73" i="1"/>
  <c r="W73" i="1"/>
  <c r="AI72" i="1"/>
  <c r="AH72" i="1"/>
  <c r="AG71" i="1"/>
  <c r="AK71" i="1" s="1"/>
  <c r="AK70" i="1"/>
  <c r="AG70" i="1"/>
  <c r="AH70" i="1" s="1"/>
  <c r="AI70" i="1" s="1"/>
  <c r="AH69" i="1"/>
  <c r="AI69" i="1" s="1"/>
  <c r="AH68" i="1"/>
  <c r="AI68" i="1" s="1"/>
  <c r="AH67" i="1"/>
  <c r="AI67" i="1" s="1"/>
  <c r="AC67" i="1"/>
  <c r="AB67" i="1"/>
  <c r="AA67" i="1"/>
  <c r="AH66" i="1"/>
  <c r="AI66" i="1" s="1"/>
  <c r="AA66" i="1"/>
  <c r="AH65" i="1"/>
  <c r="AI65" i="1" s="1"/>
  <c r="AI64" i="1"/>
  <c r="AH64" i="1"/>
  <c r="AF64" i="1"/>
  <c r="AA64" i="1"/>
  <c r="AH63" i="1"/>
  <c r="AI63" i="1" s="1"/>
  <c r="AE63" i="1"/>
  <c r="AC63" i="1"/>
  <c r="AB63" i="1"/>
  <c r="AA63" i="1"/>
  <c r="Z63" i="1"/>
  <c r="AI62" i="1"/>
  <c r="AH62" i="1"/>
  <c r="AC62" i="1"/>
  <c r="AB62" i="1"/>
  <c r="AH61" i="1"/>
  <c r="AI61" i="1" s="1"/>
  <c r="AC61" i="1"/>
  <c r="W61" i="1"/>
  <c r="AH60" i="1"/>
  <c r="AI60" i="1" s="1"/>
  <c r="AB60" i="1"/>
  <c r="AA60" i="1"/>
  <c r="AC59" i="1"/>
  <c r="W59" i="1"/>
  <c r="AG59" i="1" s="1"/>
  <c r="AH58" i="1"/>
  <c r="AI58" i="1" s="1"/>
  <c r="AC58" i="1"/>
  <c r="AH57" i="1"/>
  <c r="AI57" i="1" s="1"/>
  <c r="AC57" i="1"/>
  <c r="AB57" i="1"/>
  <c r="AH56" i="1"/>
  <c r="AI56" i="1" s="1"/>
  <c r="AH55" i="1"/>
  <c r="AI55" i="1" s="1"/>
  <c r="AE55" i="1"/>
  <c r="AC55" i="1"/>
  <c r="AB55" i="1"/>
  <c r="AA55" i="1"/>
  <c r="Z55" i="1"/>
  <c r="W55" i="1"/>
  <c r="AH54" i="1"/>
  <c r="AI54" i="1" s="1"/>
  <c r="AC54" i="1"/>
  <c r="AB54" i="1"/>
  <c r="AA54" i="1"/>
  <c r="W54" i="1"/>
  <c r="AH53" i="1"/>
  <c r="AI53" i="1" s="1"/>
  <c r="AH52" i="1"/>
  <c r="AI52" i="1" s="1"/>
  <c r="AH51" i="1"/>
  <c r="AI51" i="1" s="1"/>
  <c r="AC51" i="1"/>
  <c r="AB51" i="1"/>
  <c r="AA51" i="1"/>
  <c r="Z51" i="1"/>
  <c r="AI50" i="1"/>
  <c r="AH50" i="1"/>
  <c r="AF50" i="1"/>
  <c r="AC50" i="1"/>
  <c r="AB50" i="1"/>
  <c r="AA50" i="1"/>
  <c r="Z50" i="1"/>
  <c r="Y50" i="1"/>
  <c r="W50" i="1"/>
  <c r="AH49" i="1"/>
  <c r="AI49" i="1" s="1"/>
  <c r="AF49" i="1"/>
  <c r="AC49" i="1"/>
  <c r="AA49" i="1"/>
  <c r="W49" i="1"/>
  <c r="AH48" i="1"/>
  <c r="AI48" i="1" s="1"/>
  <c r="AF48" i="1"/>
  <c r="AB48" i="1"/>
  <c r="AA48" i="1"/>
  <c r="AG47" i="1"/>
  <c r="AK47" i="1" s="1"/>
  <c r="AH46" i="1"/>
  <c r="AI46" i="1" s="1"/>
  <c r="AH45" i="1"/>
  <c r="AI45" i="1" s="1"/>
  <c r="AE45" i="1"/>
  <c r="AC45" i="1"/>
  <c r="AB45" i="1"/>
  <c r="AH44" i="1"/>
  <c r="AI44" i="1" s="1"/>
  <c r="AC44" i="1"/>
  <c r="AB44" i="1"/>
  <c r="AA44" i="1"/>
  <c r="AH43" i="1"/>
  <c r="AI43" i="1" s="1"/>
  <c r="AF43" i="1"/>
  <c r="AC43" i="1"/>
  <c r="AB43" i="1"/>
  <c r="AA43" i="1"/>
  <c r="X43" i="1"/>
  <c r="AH42" i="1"/>
  <c r="AI42" i="1" s="1"/>
  <c r="AF42" i="1"/>
  <c r="AC42" i="1"/>
  <c r="AB42" i="1"/>
  <c r="AA42" i="1"/>
  <c r="AA41" i="1"/>
  <c r="W41" i="1"/>
  <c r="AG41" i="1" s="1"/>
  <c r="AF40" i="1"/>
  <c r="AC40" i="1"/>
  <c r="AG40" i="1" s="1"/>
  <c r="AB40" i="1"/>
  <c r="Z40" i="1"/>
  <c r="W40" i="1"/>
  <c r="AC39" i="1"/>
  <c r="AB39" i="1"/>
  <c r="AA39" i="1"/>
  <c r="AG39" i="1" s="1"/>
  <c r="AE38" i="1"/>
  <c r="AC38" i="1"/>
  <c r="AB38" i="1"/>
  <c r="AA38" i="1"/>
  <c r="Z38" i="1"/>
  <c r="Y38" i="1"/>
  <c r="W38" i="1"/>
  <c r="AG38" i="1" s="1"/>
  <c r="AC37" i="1"/>
  <c r="AB37" i="1"/>
  <c r="AA37" i="1"/>
  <c r="Z37" i="1"/>
  <c r="AG37" i="1" s="1"/>
  <c r="AC36" i="1"/>
  <c r="AG36" i="1" s="1"/>
  <c r="AC35" i="1"/>
  <c r="AB35" i="1"/>
  <c r="AA35" i="1"/>
  <c r="AG35" i="1" s="1"/>
  <c r="AB34" i="1"/>
  <c r="AA34" i="1"/>
  <c r="AG34" i="1" s="1"/>
  <c r="AC33" i="1"/>
  <c r="AB33" i="1"/>
  <c r="AA33" i="1"/>
  <c r="AG33" i="1" s="1"/>
  <c r="AE32" i="1"/>
  <c r="AC32" i="1"/>
  <c r="AG32" i="1" s="1"/>
  <c r="AB32" i="1"/>
  <c r="AA32" i="1"/>
  <c r="AB31" i="1"/>
  <c r="AA31" i="1"/>
  <c r="Z31" i="1"/>
  <c r="AG31" i="1" s="1"/>
  <c r="AF30" i="1"/>
  <c r="AC30" i="1"/>
  <c r="AB30" i="1"/>
  <c r="AG30" i="1" s="1"/>
  <c r="AH29" i="1"/>
  <c r="AI29" i="1" s="1"/>
  <c r="AG29" i="1"/>
  <c r="AK29" i="1" s="1"/>
  <c r="AG28" i="1"/>
  <c r="AK28" i="1" s="1"/>
  <c r="AF28" i="1"/>
  <c r="AE28" i="1"/>
  <c r="AC28" i="1"/>
  <c r="AB28" i="1"/>
  <c r="AA28" i="1"/>
  <c r="AC27" i="1"/>
  <c r="AB27" i="1"/>
  <c r="Z27" i="1"/>
  <c r="AG27" i="1" s="1"/>
  <c r="AB26" i="1"/>
  <c r="W26" i="1"/>
  <c r="AG26" i="1" s="1"/>
  <c r="AC25" i="1"/>
  <c r="AB25" i="1"/>
  <c r="AG25" i="1" s="1"/>
  <c r="AA25" i="1"/>
  <c r="W25" i="1"/>
  <c r="AC24" i="1"/>
  <c r="AB24" i="1"/>
  <c r="AA24" i="1"/>
  <c r="Z24" i="1"/>
  <c r="AG24" i="1" s="1"/>
  <c r="AF23" i="1"/>
  <c r="AB23" i="1"/>
  <c r="AA23" i="1"/>
  <c r="Z23" i="1"/>
  <c r="AG23" i="1" s="1"/>
  <c r="AC22" i="1"/>
  <c r="AB22" i="1"/>
  <c r="AG22" i="1" s="1"/>
  <c r="AA22" i="1"/>
  <c r="W22" i="1"/>
  <c r="AF21" i="1"/>
  <c r="AC21" i="1"/>
  <c r="AB21" i="1"/>
  <c r="Z21" i="1"/>
  <c r="AG21" i="1" s="1"/>
  <c r="AF20" i="1"/>
  <c r="AC20" i="1"/>
  <c r="AB20" i="1"/>
  <c r="AA20" i="1"/>
  <c r="X20" i="1"/>
  <c r="W20" i="1"/>
  <c r="AG20" i="1" s="1"/>
  <c r="AG19" i="1"/>
  <c r="AH19" i="1" s="1"/>
  <c r="AI19" i="1" s="1"/>
  <c r="W19" i="1"/>
  <c r="AF18" i="1"/>
  <c r="AB18" i="1"/>
  <c r="AG18" i="1" s="1"/>
  <c r="AC17" i="1"/>
  <c r="AG17" i="1" s="1"/>
  <c r="AB17" i="1"/>
  <c r="Z17" i="1"/>
  <c r="AF16" i="1"/>
  <c r="AC16" i="1"/>
  <c r="AB16" i="1"/>
  <c r="AA16" i="1"/>
  <c r="Z16" i="1"/>
  <c r="Y16" i="1"/>
  <c r="AG16" i="1" s="1"/>
  <c r="AC15" i="1"/>
  <c r="AB15" i="1"/>
  <c r="W15" i="1"/>
  <c r="AG15" i="1" s="1"/>
  <c r="AF14" i="1"/>
  <c r="AG14" i="1" s="1"/>
  <c r="Z14" i="1"/>
  <c r="AA13" i="1"/>
  <c r="Z13" i="1"/>
  <c r="W13" i="1"/>
  <c r="AG13" i="1" s="1"/>
  <c r="AG12" i="1"/>
  <c r="AK12" i="1" s="1"/>
  <c r="AF12" i="1"/>
  <c r="AC12" i="1"/>
  <c r="AA12" i="1"/>
  <c r="AG11" i="1"/>
  <c r="AH11" i="1" s="1"/>
  <c r="AI11" i="1" s="1"/>
  <c r="AB11" i="1"/>
  <c r="AG10" i="1"/>
  <c r="AH10" i="1" s="1"/>
  <c r="AI10" i="1" s="1"/>
  <c r="AF10" i="1"/>
  <c r="AE10" i="1"/>
  <c r="AA10" i="1"/>
  <c r="Z10" i="1"/>
  <c r="W9" i="1"/>
  <c r="AG9" i="1" s="1"/>
  <c r="AF8" i="1"/>
  <c r="AC8" i="1"/>
  <c r="AB8" i="1"/>
  <c r="AA8" i="1"/>
  <c r="Z8" i="1"/>
  <c r="W8" i="1"/>
  <c r="AG8" i="1" s="1"/>
  <c r="AG7" i="1"/>
  <c r="AH7" i="1" s="1"/>
  <c r="AI7" i="1" s="1"/>
  <c r="AF6" i="1"/>
  <c r="AC6" i="1"/>
  <c r="AB6" i="1"/>
  <c r="AA6" i="1"/>
  <c r="Z6" i="1"/>
  <c r="Y6" i="1"/>
  <c r="X6" i="1"/>
  <c r="W6" i="1"/>
  <c r="AG6" i="1" s="1"/>
  <c r="AK5" i="1"/>
  <c r="AG5" i="1"/>
  <c r="AH5" i="1" s="1"/>
  <c r="AI5" i="1" s="1"/>
  <c r="AC4" i="1"/>
  <c r="AB4" i="1"/>
  <c r="AA4" i="1"/>
  <c r="Z4" i="1"/>
  <c r="W4" i="1"/>
  <c r="AG4" i="1" s="1"/>
  <c r="AK3" i="1"/>
  <c r="AF3" i="1"/>
  <c r="AC3" i="1"/>
  <c r="AB3" i="1"/>
  <c r="AA3" i="1"/>
  <c r="Z3" i="1"/>
  <c r="X3" i="1"/>
  <c r="W3" i="1"/>
  <c r="AG3" i="1" s="1"/>
  <c r="AH3" i="1" s="1"/>
  <c r="AI3" i="1" s="1"/>
  <c r="AK87" i="1" l="1"/>
  <c r="AH87" i="1"/>
  <c r="AI87" i="1" s="1"/>
  <c r="AK74" i="1"/>
  <c r="AH74" i="1"/>
  <c r="AI74" i="1" s="1"/>
  <c r="AK103" i="1"/>
  <c r="AH103" i="1"/>
  <c r="AI103" i="1" s="1"/>
  <c r="AH92" i="1"/>
  <c r="AI92" i="1" s="1"/>
  <c r="AK92" i="1"/>
  <c r="AK75" i="1"/>
  <c r="AH75" i="1"/>
  <c r="AI75" i="1" s="1"/>
  <c r="AH88" i="1"/>
  <c r="AI88" i="1" s="1"/>
  <c r="AK88" i="1"/>
  <c r="AK104" i="1"/>
  <c r="AH104" i="1"/>
  <c r="AI104" i="1" s="1"/>
  <c r="AK89" i="1"/>
  <c r="AH89" i="1"/>
  <c r="AI89" i="1" s="1"/>
  <c r="AH90" i="1"/>
  <c r="AI90" i="1" s="1"/>
  <c r="AK90" i="1"/>
  <c r="AH77" i="1"/>
  <c r="AI77" i="1" s="1"/>
  <c r="AH95" i="1"/>
  <c r="AI95" i="1" s="1"/>
  <c r="AH100" i="1"/>
  <c r="AI100" i="1" s="1"/>
  <c r="AK102" i="1"/>
  <c r="AH80" i="1"/>
  <c r="AI80" i="1" s="1"/>
  <c r="AK82" i="1"/>
  <c r="AH93" i="1"/>
  <c r="AI93" i="1" s="1"/>
  <c r="AH101" i="1"/>
  <c r="AI101" i="1" s="1"/>
  <c r="AH105" i="1"/>
  <c r="AI105" i="1" s="1"/>
  <c r="AH76" i="1"/>
  <c r="AI76" i="1" s="1"/>
  <c r="AH81" i="1"/>
  <c r="AI81" i="1" s="1"/>
  <c r="AH94" i="1"/>
  <c r="AI94" i="1" s="1"/>
  <c r="AK59" i="1"/>
  <c r="AH59" i="1"/>
  <c r="AI59" i="1" s="1"/>
  <c r="AH71" i="1"/>
  <c r="AI71" i="1" s="1"/>
  <c r="AH47" i="1"/>
  <c r="AI47" i="1" s="1"/>
  <c r="AK21" i="1"/>
  <c r="AH21" i="1"/>
  <c r="AI21" i="1" s="1"/>
  <c r="AK15" i="1"/>
  <c r="AH15" i="1"/>
  <c r="AI15" i="1" s="1"/>
  <c r="AK24" i="1"/>
  <c r="AH24" i="1"/>
  <c r="AI24" i="1" s="1"/>
  <c r="AK17" i="1"/>
  <c r="AH17" i="1"/>
  <c r="AI17" i="1" s="1"/>
  <c r="AK32" i="1"/>
  <c r="AH32" i="1"/>
  <c r="AI32" i="1" s="1"/>
  <c r="AH14" i="1"/>
  <c r="AI14" i="1" s="1"/>
  <c r="AK14" i="1"/>
  <c r="AH38" i="1"/>
  <c r="AI38" i="1" s="1"/>
  <c r="AK38" i="1"/>
  <c r="AK31" i="1"/>
  <c r="AH31" i="1"/>
  <c r="AI31" i="1" s="1"/>
  <c r="AK18" i="1"/>
  <c r="AH18" i="1"/>
  <c r="AI18" i="1" s="1"/>
  <c r="AH20" i="1"/>
  <c r="AI20" i="1" s="1"/>
  <c r="AK20" i="1"/>
  <c r="AH23" i="1"/>
  <c r="AI23" i="1" s="1"/>
  <c r="AK23" i="1"/>
  <c r="AK40" i="1"/>
  <c r="AH40" i="1"/>
  <c r="AI40" i="1" s="1"/>
  <c r="AH35" i="1"/>
  <c r="AI35" i="1" s="1"/>
  <c r="AK35" i="1"/>
  <c r="AH8" i="1"/>
  <c r="AI8" i="1" s="1"/>
  <c r="AK8" i="1"/>
  <c r="AH39" i="1"/>
  <c r="AI39" i="1" s="1"/>
  <c r="AK39" i="1"/>
  <c r="AK16" i="1"/>
  <c r="AH16" i="1"/>
  <c r="AI16" i="1" s="1"/>
  <c r="AK22" i="1"/>
  <c r="AH22" i="1"/>
  <c r="AI22" i="1" s="1"/>
  <c r="AH33" i="1"/>
  <c r="AI33" i="1" s="1"/>
  <c r="AK33" i="1"/>
  <c r="AK13" i="1"/>
  <c r="AH13" i="1"/>
  <c r="AI13" i="1" s="1"/>
  <c r="AK27" i="1"/>
  <c r="AH27" i="1"/>
  <c r="AI27" i="1" s="1"/>
  <c r="AK34" i="1"/>
  <c r="AH34" i="1"/>
  <c r="AI34" i="1" s="1"/>
  <c r="AK36" i="1"/>
  <c r="AH36" i="1"/>
  <c r="AI36" i="1" s="1"/>
  <c r="AH37" i="1"/>
  <c r="AI37" i="1" s="1"/>
  <c r="AK37" i="1"/>
  <c r="AH6" i="1"/>
  <c r="AI6" i="1" s="1"/>
  <c r="AK6" i="1"/>
  <c r="AK25" i="1"/>
  <c r="AH25" i="1"/>
  <c r="AI25" i="1" s="1"/>
  <c r="AK26" i="1"/>
  <c r="AH26" i="1"/>
  <c r="AI26" i="1" s="1"/>
  <c r="AH9" i="1"/>
  <c r="AI9" i="1" s="1"/>
  <c r="AK9" i="1"/>
  <c r="AH30" i="1"/>
  <c r="AI30" i="1" s="1"/>
  <c r="AK30" i="1"/>
  <c r="AK4" i="1"/>
  <c r="AH4" i="1"/>
  <c r="AI4" i="1" s="1"/>
  <c r="AK41" i="1"/>
  <c r="AH41" i="1"/>
  <c r="AI41" i="1" s="1"/>
  <c r="AK19" i="1"/>
  <c r="AH28" i="1"/>
  <c r="AI28" i="1" s="1"/>
  <c r="AK10" i="1"/>
  <c r="AK7" i="1"/>
  <c r="AH12" i="1"/>
  <c r="AI12" i="1" s="1"/>
  <c r="AK11" i="1"/>
  <c r="AI38" i="12"/>
</calcChain>
</file>

<file path=xl/sharedStrings.xml><?xml version="1.0" encoding="utf-8"?>
<sst xmlns="http://schemas.openxmlformats.org/spreadsheetml/2006/main" count="5085" uniqueCount="382">
  <si>
    <t>No.</t>
  </si>
  <si>
    <t>Household ID</t>
  </si>
  <si>
    <t>Division</t>
  </si>
  <si>
    <t>Parish</t>
  </si>
  <si>
    <t>Zone</t>
  </si>
  <si>
    <t>Socio-economic factors (from proposal)</t>
  </si>
  <si>
    <t>Other household charactristics investigated</t>
  </si>
  <si>
    <t>Housing facilities</t>
  </si>
  <si>
    <t>Amount of olid waste collected over 7days (kg)</t>
  </si>
  <si>
    <t>Total waste generated(kg)</t>
  </si>
  <si>
    <t>Generation per day (kg/day)</t>
  </si>
  <si>
    <t>Per Capita Generation(kg/day)</t>
  </si>
  <si>
    <t>Volume(L)</t>
  </si>
  <si>
    <t>Density(kg/L)</t>
  </si>
  <si>
    <t>Income level</t>
  </si>
  <si>
    <t>Number of occupants</t>
  </si>
  <si>
    <t>Age of household head</t>
  </si>
  <si>
    <t>Gender of Household head</t>
  </si>
  <si>
    <t>Education level of Household head</t>
  </si>
  <si>
    <t>Profession of Household head</t>
  </si>
  <si>
    <t>Monthly income</t>
  </si>
  <si>
    <t>Respondent</t>
  </si>
  <si>
    <t>Period of Stay in the area</t>
  </si>
  <si>
    <t>Type of occupancy</t>
  </si>
  <si>
    <t>Quality of Housing</t>
  </si>
  <si>
    <t>Roof material</t>
  </si>
  <si>
    <t>Wall material</t>
  </si>
  <si>
    <t>Floor Material</t>
  </si>
  <si>
    <t>Access to clean Water</t>
  </si>
  <si>
    <t>Sanitation Facilities</t>
  </si>
  <si>
    <t>Condition of access road</t>
  </si>
  <si>
    <t>Food Waste</t>
  </si>
  <si>
    <t>Garden and Yard wastes</t>
  </si>
  <si>
    <t>Wood</t>
  </si>
  <si>
    <t>Textiles</t>
  </si>
  <si>
    <t>Paper and pulp</t>
  </si>
  <si>
    <t>Polythene Bags</t>
  </si>
  <si>
    <t>Plastics and Rubber</t>
  </si>
  <si>
    <t>Glass</t>
  </si>
  <si>
    <t>Metals</t>
  </si>
  <si>
    <t>Others</t>
  </si>
  <si>
    <t>Household_1</t>
  </si>
  <si>
    <t>Kawenpe Division</t>
  </si>
  <si>
    <t>Bwaise I</t>
  </si>
  <si>
    <t>Lubagge</t>
  </si>
  <si>
    <t>low-income</t>
  </si>
  <si>
    <t>18-35 years</t>
  </si>
  <si>
    <t>Male</t>
  </si>
  <si>
    <t>Secondary</t>
  </si>
  <si>
    <t>Business</t>
  </si>
  <si>
    <t>&lt;500,000</t>
  </si>
  <si>
    <t>Spouse</t>
  </si>
  <si>
    <t>1-3 years</t>
  </si>
  <si>
    <t>Rented</t>
  </si>
  <si>
    <t>Bungalow</t>
  </si>
  <si>
    <t>Iron Sheets/titles</t>
  </si>
  <si>
    <t>Bricks</t>
  </si>
  <si>
    <t>Cemented</t>
  </si>
  <si>
    <t>Yard Tap</t>
  </si>
  <si>
    <t xml:space="preserve">Shared Facilities </t>
  </si>
  <si>
    <t>unpaved</t>
  </si>
  <si>
    <t>Household_2</t>
  </si>
  <si>
    <t>36-60 years</t>
  </si>
  <si>
    <t>Illiterate</t>
  </si>
  <si>
    <t>500,000 - 1,000,000</t>
  </si>
  <si>
    <t>Son/Daughter</t>
  </si>
  <si>
    <t>&gt; 5 years</t>
  </si>
  <si>
    <t>Occupied by owner</t>
  </si>
  <si>
    <t>Tiles</t>
  </si>
  <si>
    <t>Not Shared Facilities</t>
  </si>
  <si>
    <t>Household_3</t>
  </si>
  <si>
    <t>Female</t>
  </si>
  <si>
    <t>Household head</t>
  </si>
  <si>
    <t>Household_5</t>
  </si>
  <si>
    <t>Bubajjwe</t>
  </si>
  <si>
    <t>&gt;60 years</t>
  </si>
  <si>
    <t>Retired</t>
  </si>
  <si>
    <t>Household_6</t>
  </si>
  <si>
    <t>Tertiary</t>
  </si>
  <si>
    <t>Private Employee</t>
  </si>
  <si>
    <t>Temporary</t>
  </si>
  <si>
    <t>House connection</t>
  </si>
  <si>
    <t>Household_7</t>
  </si>
  <si>
    <t>Primary</t>
  </si>
  <si>
    <t>Stand pipe</t>
  </si>
  <si>
    <t>Household_8</t>
  </si>
  <si>
    <t>Household_9</t>
  </si>
  <si>
    <t>3-5 years</t>
  </si>
  <si>
    <t>Household_10</t>
  </si>
  <si>
    <t>Household_11</t>
  </si>
  <si>
    <t>Household_12</t>
  </si>
  <si>
    <t>Household_14</t>
  </si>
  <si>
    <t>Bishop Mukwaya</t>
  </si>
  <si>
    <t>Housewife</t>
  </si>
  <si>
    <t>Household_15</t>
  </si>
  <si>
    <t>Household_16</t>
  </si>
  <si>
    <t>Household_17</t>
  </si>
  <si>
    <t>Household_18</t>
  </si>
  <si>
    <t>Mud/poles</t>
  </si>
  <si>
    <t>Mud</t>
  </si>
  <si>
    <t>Household_19</t>
  </si>
  <si>
    <t>Household_21</t>
  </si>
  <si>
    <t>Lule</t>
  </si>
  <si>
    <t>Government Employee</t>
  </si>
  <si>
    <t>1,000,000 - 3,000,000</t>
  </si>
  <si>
    <t>Household_22</t>
  </si>
  <si>
    <t>Unpaved</t>
  </si>
  <si>
    <t>Household_23</t>
  </si>
  <si>
    <t>Household_25</t>
  </si>
  <si>
    <t>Household_26</t>
  </si>
  <si>
    <t>Household_27</t>
  </si>
  <si>
    <t>Household_28</t>
  </si>
  <si>
    <t>Household_31</t>
  </si>
  <si>
    <t>Household_32</t>
  </si>
  <si>
    <t>Household_35</t>
  </si>
  <si>
    <t>Household_36</t>
  </si>
  <si>
    <t>Household_39</t>
  </si>
  <si>
    <t>Kiyaga</t>
  </si>
  <si>
    <t>Household_41</t>
  </si>
  <si>
    <t>Household_44</t>
  </si>
  <si>
    <t>Kulumba</t>
  </si>
  <si>
    <t>Household_45</t>
  </si>
  <si>
    <t>Household_46</t>
  </si>
  <si>
    <t>Household_47</t>
  </si>
  <si>
    <t>Household_48</t>
  </si>
  <si>
    <t>Household_51</t>
  </si>
  <si>
    <t>Household_52</t>
  </si>
  <si>
    <t>Household_53</t>
  </si>
  <si>
    <t>Household_54</t>
  </si>
  <si>
    <t>bricks</t>
  </si>
  <si>
    <t>Nakawa</t>
  </si>
  <si>
    <t>Bukoto 1</t>
  </si>
  <si>
    <t>Ssemwogerere</t>
  </si>
  <si>
    <t>Middle-Income</t>
  </si>
  <si>
    <t>Household Head</t>
  </si>
  <si>
    <t>Occupied by Owner</t>
  </si>
  <si>
    <t>Household Connetion</t>
  </si>
  <si>
    <t>Household_4</t>
  </si>
  <si>
    <t>&lt; 1 year</t>
  </si>
  <si>
    <t>Public Standpipe</t>
  </si>
  <si>
    <t>Unpaced</t>
  </si>
  <si>
    <t>Household_13</t>
  </si>
  <si>
    <t>Household_20</t>
  </si>
  <si>
    <t>&gt; 60 years</t>
  </si>
  <si>
    <t>Mukalazi</t>
  </si>
  <si>
    <t>Household_29</t>
  </si>
  <si>
    <t>Household_30</t>
  </si>
  <si>
    <t>Household_33</t>
  </si>
  <si>
    <t>Busness</t>
  </si>
  <si>
    <t>Household_34</t>
  </si>
  <si>
    <t>Household_37</t>
  </si>
  <si>
    <t>Household_42</t>
  </si>
  <si>
    <t>Household_43</t>
  </si>
  <si>
    <t>Makindye Division</t>
  </si>
  <si>
    <t>Ggaba</t>
  </si>
  <si>
    <t>Nsubuga Godioz</t>
  </si>
  <si>
    <t>High-Income</t>
  </si>
  <si>
    <t>&gt;3,000,000</t>
  </si>
  <si>
    <t>Story Building</t>
  </si>
  <si>
    <t>House Connection</t>
  </si>
  <si>
    <t>Not Shared Faciltiies</t>
  </si>
  <si>
    <t>Paved</t>
  </si>
  <si>
    <t>Concrete Blocks</t>
  </si>
  <si>
    <t>2..674</t>
  </si>
  <si>
    <t>Household_24</t>
  </si>
  <si>
    <t>Blocks</t>
  </si>
  <si>
    <t>Household_38</t>
  </si>
  <si>
    <t>Household_40</t>
  </si>
  <si>
    <t>Household_49</t>
  </si>
  <si>
    <t>Household_50</t>
  </si>
  <si>
    <t>Household_55</t>
  </si>
  <si>
    <t>Household_56</t>
  </si>
  <si>
    <t>Household_57</t>
  </si>
  <si>
    <t>Household_58</t>
  </si>
  <si>
    <t>Household_59</t>
  </si>
  <si>
    <t>Household_60</t>
  </si>
  <si>
    <t>Household_61</t>
  </si>
  <si>
    <t>Household_62</t>
  </si>
  <si>
    <t>Household_63</t>
  </si>
  <si>
    <t>Household_64</t>
  </si>
  <si>
    <t>Household_65</t>
  </si>
  <si>
    <t>Household_66</t>
  </si>
  <si>
    <t>Household_67</t>
  </si>
  <si>
    <t>Household_68</t>
  </si>
  <si>
    <t>Household_69</t>
  </si>
  <si>
    <t>Household_70</t>
  </si>
  <si>
    <t>Household_71</t>
  </si>
  <si>
    <t>Household_72</t>
  </si>
  <si>
    <t>Household_73</t>
  </si>
  <si>
    <t>Household_74</t>
  </si>
  <si>
    <t>Household_75</t>
  </si>
  <si>
    <t>Household_76</t>
  </si>
  <si>
    <t>Household_77</t>
  </si>
  <si>
    <t>Household_78</t>
  </si>
  <si>
    <t>Household_79</t>
  </si>
  <si>
    <t>Household_80</t>
  </si>
  <si>
    <t>Household_81</t>
  </si>
  <si>
    <t>Household_82</t>
  </si>
  <si>
    <t>Household_83</t>
  </si>
  <si>
    <t>Household_84</t>
  </si>
  <si>
    <t>Household_85</t>
  </si>
  <si>
    <t>Household_86</t>
  </si>
  <si>
    <t>Household_87</t>
  </si>
  <si>
    <t>Household_88</t>
  </si>
  <si>
    <t>Household_89</t>
  </si>
  <si>
    <t>Household_90</t>
  </si>
  <si>
    <t>Household_91</t>
  </si>
  <si>
    <t>Household_92</t>
  </si>
  <si>
    <t>Household_93</t>
  </si>
  <si>
    <t>Household_94</t>
  </si>
  <si>
    <t>Household_95</t>
  </si>
  <si>
    <t>Household_96</t>
  </si>
  <si>
    <t>Household_97</t>
  </si>
  <si>
    <t>Household_98</t>
  </si>
  <si>
    <t>Household_99</t>
  </si>
  <si>
    <t>Household_100</t>
  </si>
  <si>
    <t>Household_101</t>
  </si>
  <si>
    <t>Household_102</t>
  </si>
  <si>
    <t>Household_103</t>
  </si>
  <si>
    <t>Number</t>
  </si>
  <si>
    <t>Income Level</t>
  </si>
  <si>
    <t>High income</t>
  </si>
  <si>
    <t>Middle income</t>
  </si>
  <si>
    <t>Low income</t>
  </si>
  <si>
    <t>Age of Household head</t>
  </si>
  <si>
    <t>&lt;18</t>
  </si>
  <si>
    <t>18 - 35</t>
  </si>
  <si>
    <t>35 - 60</t>
  </si>
  <si>
    <t>&gt;60</t>
  </si>
  <si>
    <t xml:space="preserve">Private employee </t>
  </si>
  <si>
    <t xml:space="preserve">Business </t>
  </si>
  <si>
    <t xml:space="preserve">Student </t>
  </si>
  <si>
    <t xml:space="preserve">Housewife </t>
  </si>
  <si>
    <t>Government employee</t>
  </si>
  <si>
    <t>&gt;3000000</t>
  </si>
  <si>
    <t>Step child</t>
  </si>
  <si>
    <t>Grand child</t>
  </si>
  <si>
    <t>Sister/brother</t>
  </si>
  <si>
    <t>Niece/nephew</t>
  </si>
  <si>
    <t>Other relative</t>
  </si>
  <si>
    <t>&lt; 1 years</t>
  </si>
  <si>
    <t>1 - 3 years</t>
  </si>
  <si>
    <t>3 - 5 years</t>
  </si>
  <si>
    <t>Type of Occupancy</t>
  </si>
  <si>
    <t>Story building</t>
  </si>
  <si>
    <t>Roof Material</t>
  </si>
  <si>
    <t>Iron sheets/tiles</t>
  </si>
  <si>
    <t>Mudpoles</t>
  </si>
  <si>
    <t>House connections</t>
  </si>
  <si>
    <t>Yard tap</t>
  </si>
  <si>
    <t>Shared Facilities</t>
  </si>
  <si>
    <t>Not shared Facilities</t>
  </si>
  <si>
    <t>Nakawa Division</t>
  </si>
  <si>
    <t>Kawempe Division</t>
  </si>
  <si>
    <t>Variable</t>
  </si>
  <si>
    <t>Categories</t>
  </si>
  <si>
    <t>N/A</t>
  </si>
  <si>
    <t>Num. code</t>
  </si>
  <si>
    <t>illiterate</t>
  </si>
  <si>
    <t>Area</t>
  </si>
  <si>
    <t>Bukoto I</t>
  </si>
  <si>
    <t>Average Total waste generated(kg)</t>
  </si>
  <si>
    <t>Average Generation per day (kg/day)</t>
  </si>
  <si>
    <t>Average Per Capita Generation(kg/day)</t>
  </si>
  <si>
    <t>Average Number of Occupants</t>
  </si>
  <si>
    <t>&lt;18 years</t>
  </si>
  <si>
    <t>tertiary</t>
  </si>
  <si>
    <t>Private employee</t>
  </si>
  <si>
    <t>Average Houshold number</t>
  </si>
  <si>
    <t>Stakeholder group</t>
  </si>
  <si>
    <t>Institution</t>
  </si>
  <si>
    <t>Position</t>
  </si>
  <si>
    <t>Name</t>
  </si>
  <si>
    <t>Contact</t>
  </si>
  <si>
    <t>Public sector</t>
  </si>
  <si>
    <t>KCCA</t>
  </si>
  <si>
    <t>NEMA</t>
  </si>
  <si>
    <t>Municipal waste collectors</t>
  </si>
  <si>
    <t>Private sector</t>
  </si>
  <si>
    <t>Homekln</t>
  </si>
  <si>
    <t>Bin it</t>
  </si>
  <si>
    <t>A recylcing company</t>
  </si>
  <si>
    <t>Sanitary Landfill</t>
  </si>
  <si>
    <t>Civil society</t>
  </si>
  <si>
    <t>LCI</t>
  </si>
  <si>
    <t>LCII</t>
  </si>
  <si>
    <t>Academia</t>
  </si>
  <si>
    <t>Researchers</t>
  </si>
  <si>
    <t>Lecturers</t>
  </si>
  <si>
    <t>Published authors</t>
  </si>
  <si>
    <t>active in SWM</t>
  </si>
  <si>
    <t>Operator</t>
  </si>
  <si>
    <t>CBO</t>
  </si>
  <si>
    <t>Prof. Charles Niwagaba</t>
  </si>
  <si>
    <t>Dr. Swaib Semiyaga</t>
  </si>
  <si>
    <t>Model Name</t>
  </si>
  <si>
    <t>MSE</t>
  </si>
  <si>
    <t>MAE</t>
  </si>
  <si>
    <t xml:space="preserve">R^2 </t>
  </si>
  <si>
    <t>RMSE</t>
  </si>
  <si>
    <t>Adjusted R^2</t>
  </si>
  <si>
    <t>MSLE</t>
  </si>
  <si>
    <t>Explained Variance</t>
  </si>
  <si>
    <t>Median Absolute error</t>
  </si>
  <si>
    <t>Maximum error</t>
  </si>
  <si>
    <t>Linear Regression</t>
  </si>
  <si>
    <t>Reidge Regression</t>
  </si>
  <si>
    <t>Lasso Regression</t>
  </si>
  <si>
    <t>ElasticNet Regression</t>
  </si>
  <si>
    <t>Polynomial Regression</t>
  </si>
  <si>
    <t>Decision tree Regression</t>
  </si>
  <si>
    <t>Random Forest regression</t>
  </si>
  <si>
    <t>SVR</t>
  </si>
  <si>
    <t>Gradient Boosting regression</t>
  </si>
  <si>
    <t>KNN regression</t>
  </si>
  <si>
    <t>Performance of regression algorithms on prediction of volume of solid waste generated</t>
  </si>
  <si>
    <t>Results on Volume predictions
### Model Selection Explanation:
1. **MSE / RMSE (Lower is Better)**  
   - Measures squared error between true and predicted values.
   - Best for minimizing large errors.
   - Best model: 'Decision Tree Regression' (Lowest RMSE).
2. **MAE (Lower is Better)**  
   - Measures absolute differences, less sensitive to outliers.
   - Best model: 'KNN Regression' (Lowest MAE).
3. **R² Score (Higher is Better)**  
   - Measures proportion of variance explained.
   - Best model: 'Decision Tree Regression' (Highest R² Score).
4. **Adjusted R² (Higher is Better)**  
   - Accounts for number of predictors.
   - Best model: 'Decision Tree Regression' (Highest Adjusted R²).
5. **MSLE (Lower is Better)**  
   - Penalizes under-predictions.
   - Best model: 'KNN Regression' (Lowest MSLE).
6. **Explained Variance (Higher is Better)**  
   - Measures overall variance explained.
   - Best model: 'Decision Tree Regression' (Highest Explained Variance).
7. **Max Error (Lower is Better)**  
   - Measures worst-case error.
   - Best model: 'Decision Tree Regression' (Lowest Max Error).</t>
  </si>
  <si>
    <t>Performance of regression models on the predictions of amount of solid waste generated per day</t>
  </si>
  <si>
    <t xml:space="preserve">
### Model Selection Explanation:
1. **MSE / RMSE (Lower is Better)**  
   - Measures the average squared error between true and predicted values.
   - Best for minimizing large errors.
   - The best model here is 'KNN Regression' (Lowest RMSE).
2. **MAE (Lower is Better)**  
   - Measures average absolute differences, less sensitive to outliers.
   - Best model for stable, error-minimizing predictions is 'KNN Regression' (Lowest MAE).
3. **R² Score (Higher is Better)**  
   - Measures proportion of variance explained by the model.
   - A high R² suggests a strong predictive model.
   - The best model is 'KNN Regression' (Highest R² Score).
4. **Adjusted R² (Higher is Better)**  
   - Accounts for number of predictors.
   - Preferred when comparing models with different numbers of features.
   - Best model: 'KNN Regression' (Highest Adjusted R²).
5. **MSLE (Lower is Better)**  
   - Penalizes under-predictions more.
   - Good for non-negative, exponentially distributed data.
   - Best model: 'SVR' (Lowest MSLE).
6. **Explained Variance (Higher is Better)**  
   - Similar to R² but does not penalize overfitting.
   - Best model: 'KNN Regression' (Highest Explained Variance).
7. **Max Error (Lower is Better)**  
   - Measures worst-case error.
   - Best for applications needing strict error bounds.
   - Best model: 'ElasticNet Regression' (Lowest Max Error).</t>
  </si>
  <si>
    <t>Solid waste Characterisation in Selected Households in Ggaba</t>
  </si>
  <si>
    <t>For Ggaba, the number of households that were required were 32. Bin bags were supplied to 40 households between 19th February and 1st Match, 32  households complied and the data collected using the survey questionaires for the 32 households is shown in the table below.</t>
  </si>
  <si>
    <t>Per Capita Generation (kg/day)</t>
  </si>
  <si>
    <t>Density (kg/L)</t>
  </si>
  <si>
    <t>Tertairy</t>
  </si>
  <si>
    <t>1,000,000-3,000,000</t>
  </si>
  <si>
    <t>Daughter</t>
  </si>
  <si>
    <t>Avergae Household size</t>
  </si>
  <si>
    <t>SUM</t>
  </si>
  <si>
    <t>PERCENTAGE</t>
  </si>
  <si>
    <t>AVERAGE</t>
  </si>
  <si>
    <t>Summary of results</t>
  </si>
  <si>
    <t>1.0.</t>
  </si>
  <si>
    <t>Per Capita per day generation (kg/person/day)</t>
  </si>
  <si>
    <t>Solid waste composition</t>
  </si>
  <si>
    <t>Average</t>
  </si>
  <si>
    <t>2.0.</t>
  </si>
  <si>
    <t>Average volume of solid waste (litres)</t>
  </si>
  <si>
    <t>3.0.</t>
  </si>
  <si>
    <t>Average density (kg/L)</t>
  </si>
  <si>
    <t>4.0.</t>
  </si>
  <si>
    <t>Total</t>
  </si>
  <si>
    <t>NB: Others included mostly Ash and Pampers</t>
  </si>
  <si>
    <t>Bwaise I (low-income)</t>
  </si>
  <si>
    <t>Bukoto I (middle income)</t>
  </si>
  <si>
    <t>Ggaba (high income)</t>
  </si>
  <si>
    <t>Density</t>
  </si>
  <si>
    <t>Households Pariticipation</t>
  </si>
  <si>
    <t>Average volume (litres)</t>
  </si>
  <si>
    <t>Total Number of Households</t>
  </si>
  <si>
    <t>Number of Households that complied</t>
  </si>
  <si>
    <t>Response rate</t>
  </si>
  <si>
    <t>Solid waste Quantification</t>
  </si>
  <si>
    <t>Solid waste Characterisation in Selected Households in Bwaise I</t>
  </si>
  <si>
    <t>For Bwaise 1, the number of households that were required were 48. Bin bags were supplied to 55 households between 14th and 25th January, though only 39 households complied and the data collected using the survey questionaires for the 39 households is shown in the table below.</t>
  </si>
  <si>
    <t>500,000 - 1,000,001</t>
  </si>
  <si>
    <t>&lt;1 year</t>
  </si>
  <si>
    <t xml:space="preserve">shared Facilities </t>
  </si>
  <si>
    <t>Avearge Household size</t>
  </si>
  <si>
    <t>Solid waste Characterisation in Selected Households in Bukoto 1</t>
  </si>
  <si>
    <t>For Bukoto 1, the number of households that were required were 38. Bin bags were supplied to 44 households between 29th January and 5th February, though only 32 households complied and the data collected using the survey questionaires for the 32 households is shown in the table below.</t>
  </si>
  <si>
    <t>Amount of Solid waste collected over 7days (kg)</t>
  </si>
  <si>
    <t>Total waste generated (kg)</t>
  </si>
  <si>
    <t>Volume (L)</t>
  </si>
  <si>
    <t>Number of Occupants</t>
  </si>
  <si>
    <t>Garden and Yard  Wastes</t>
  </si>
  <si>
    <t>500,0000-1,000,000</t>
  </si>
  <si>
    <t>Iron Sheets</t>
  </si>
  <si>
    <t>Not Shared</t>
  </si>
  <si>
    <t>IIIiterate</t>
  </si>
  <si>
    <t>less than 500,000</t>
  </si>
  <si>
    <t>Shared</t>
  </si>
  <si>
    <t>Secondray</t>
  </si>
  <si>
    <t>500,000-1,000,000</t>
  </si>
  <si>
    <t>less than  ayear</t>
  </si>
  <si>
    <t>Household__9</t>
  </si>
  <si>
    <t>Househols_16</t>
  </si>
  <si>
    <t>Niece</t>
  </si>
  <si>
    <t>500,000-1,0000,000</t>
  </si>
  <si>
    <t>500,000-1,000-000</t>
  </si>
  <si>
    <t>500,000-1,00,000</t>
  </si>
  <si>
    <t>Son</t>
  </si>
  <si>
    <r>
      <t xml:space="preserve">The following graphs were obtained in Data analysis in Python, the Python code is accessible by this link </t>
    </r>
    <r>
      <rPr>
        <u/>
        <sz val="11"/>
        <color theme="1"/>
        <rFont val="Calibri"/>
        <family val="2"/>
        <scheme val="minor"/>
      </rPr>
      <t>https://colab.research.google.com/drive/1-JWl_DJ-el63VjnbIV-C8QRAaCmVCPGl?usp=sharing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</si>
</sst>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
    <numFmt numFmtId="165" formatCode="#,##0.000"/>
    <numFmt numFmtId="166" formatCode="0.0000"/>
    <numFmt numFmtId="167" formatCode="#,##0.0"/>
    <numFmt numFmtId="168" formatCode="0.0%"/>
  </numFmts>
  <fonts count="19" x14ac:knownFonts="1">
    <font>
      <sz val="11"/>
      <color theme="1"/>
      <name val="Calibri"/>
      <family val="2"/>
      <scheme val="minor"/>
    </font>
    <font>
      <b/>
      <sz val="14"/>
      <color theme="1"/>
      <name val="Times New Roman"/>
      <family val="1"/>
    </font>
    <font>
      <sz val="12"/>
      <color theme="1"/>
      <name val="Times New Roman"/>
      <family val="1"/>
    </font>
    <font>
      <b/>
      <sz val="12"/>
      <color theme="1"/>
      <name val="Times New Roman"/>
      <family val="1"/>
    </font>
    <font>
      <sz val="12"/>
      <name val="Times New Roman"/>
      <family val="1"/>
    </font>
    <font>
      <sz val="12"/>
      <color rgb="FF000000"/>
      <name val="Times New Roman"/>
      <family val="1"/>
    </font>
    <font>
      <sz val="12"/>
      <color rgb="FF404040"/>
      <name val="Times New Roman"/>
      <family val="1"/>
    </font>
    <font>
      <sz val="8"/>
      <name val="Calibri"/>
      <family val="2"/>
      <scheme val="minor"/>
    </font>
    <font>
      <sz val="11"/>
      <color theme="1"/>
      <name val="Times New Roman"/>
      <family val="1"/>
    </font>
    <font>
      <b/>
      <sz val="11"/>
      <color theme="1"/>
      <name val="Times New Roman"/>
      <family val="1"/>
    </font>
    <font>
      <b/>
      <sz val="11"/>
      <color theme="1"/>
      <name val="Calibri"/>
      <family val="2"/>
      <scheme val="minor"/>
    </font>
    <font>
      <sz val="11"/>
      <color theme="1"/>
      <name val="Calibri"/>
      <family val="2"/>
      <scheme val="minor"/>
    </font>
    <font>
      <b/>
      <sz val="24"/>
      <color theme="1"/>
      <name val="Times New Roman"/>
      <family val="1"/>
    </font>
    <font>
      <b/>
      <sz val="48"/>
      <color theme="1"/>
      <name val="Times New Roman"/>
      <family val="1"/>
    </font>
    <font>
      <sz val="16"/>
      <color theme="1"/>
      <name val="Times New Roman"/>
      <family val="1"/>
    </font>
    <font>
      <sz val="20"/>
      <color theme="1"/>
      <name val="Times New Roman"/>
      <family val="1"/>
    </font>
    <font>
      <b/>
      <sz val="36"/>
      <color theme="1"/>
      <name val="Times New Roman"/>
      <family val="1"/>
    </font>
    <font>
      <sz val="14"/>
      <color theme="1"/>
      <name val="Times New Roman"/>
      <family val="1"/>
    </font>
    <font>
      <u/>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right style="thin">
        <color theme="2"/>
      </right>
      <top/>
      <bottom style="thin">
        <color theme="2"/>
      </bottom>
      <diagonal/>
    </border>
    <border>
      <left style="thin">
        <color theme="2"/>
      </left>
      <right style="thin">
        <color theme="2"/>
      </right>
      <top/>
      <bottom style="thin">
        <color theme="2"/>
      </bottom>
      <diagonal/>
    </border>
    <border>
      <left style="thin">
        <color theme="2"/>
      </left>
      <right/>
      <top/>
      <bottom style="thin">
        <color them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s>
  <cellStyleXfs count="2">
    <xf numFmtId="0" fontId="0" fillId="0" borderId="0"/>
    <xf numFmtId="9" fontId="11" fillId="0" borderId="0" applyFont="0" applyFill="0" applyBorder="0" applyAlignment="0" applyProtection="0"/>
  </cellStyleXfs>
  <cellXfs count="253">
    <xf numFmtId="0" fontId="0" fillId="0" borderId="0" xfId="0"/>
    <xf numFmtId="0" fontId="1" fillId="0" borderId="1" xfId="0" applyFont="1" applyBorder="1" applyAlignment="1">
      <alignment horizontal="justify" vertical="center"/>
    </xf>
    <xf numFmtId="0" fontId="1"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justify" vertical="center"/>
    </xf>
    <xf numFmtId="0" fontId="2" fillId="0" borderId="1" xfId="0" applyFont="1" applyBorder="1" applyAlignment="1">
      <alignment horizontal="justify" vertical="center"/>
    </xf>
    <xf numFmtId="165" fontId="2" fillId="0" borderId="1" xfId="0" applyNumberFormat="1" applyFont="1" applyBorder="1" applyAlignment="1">
      <alignment horizontal="left"/>
    </xf>
    <xf numFmtId="165" fontId="2" fillId="2" borderId="1" xfId="0" applyNumberFormat="1" applyFont="1" applyFill="1" applyBorder="1" applyAlignment="1">
      <alignment horizontal="left"/>
    </xf>
    <xf numFmtId="0" fontId="2" fillId="2" borderId="1" xfId="0" applyFont="1" applyFill="1" applyBorder="1" applyAlignment="1">
      <alignment horizontal="justify" vertical="center"/>
    </xf>
    <xf numFmtId="165" fontId="2" fillId="0" borderId="1" xfId="0" applyNumberFormat="1" applyFont="1" applyBorder="1" applyAlignment="1">
      <alignment horizontal="left" wrapText="1"/>
    </xf>
    <xf numFmtId="165" fontId="4" fillId="0" borderId="1" xfId="0" applyNumberFormat="1" applyFont="1" applyBorder="1" applyAlignment="1">
      <alignment horizontal="left"/>
    </xf>
    <xf numFmtId="165" fontId="4" fillId="2" borderId="1" xfId="0" applyNumberFormat="1" applyFont="1" applyFill="1" applyBorder="1" applyAlignment="1">
      <alignment horizontal="left" wrapText="1"/>
    </xf>
    <xf numFmtId="165" fontId="4" fillId="2" borderId="1" xfId="0" applyNumberFormat="1" applyFont="1" applyFill="1" applyBorder="1" applyAlignment="1">
      <alignment horizontal="left"/>
    </xf>
    <xf numFmtId="0" fontId="2" fillId="0" borderId="2" xfId="0" applyFont="1" applyBorder="1" applyAlignment="1">
      <alignment horizontal="justify" vertical="center"/>
    </xf>
    <xf numFmtId="0" fontId="2" fillId="2" borderId="2" xfId="0" applyFont="1" applyFill="1" applyBorder="1" applyAlignment="1">
      <alignment horizontal="justify" vertical="center"/>
    </xf>
    <xf numFmtId="165" fontId="2" fillId="0" borderId="0" xfId="0" applyNumberFormat="1" applyFont="1" applyAlignment="1">
      <alignment horizontal="left"/>
    </xf>
    <xf numFmtId="165" fontId="2" fillId="0" borderId="2" xfId="0" applyNumberFormat="1" applyFont="1" applyBorder="1" applyAlignment="1">
      <alignment horizontal="left"/>
    </xf>
    <xf numFmtId="165" fontId="2" fillId="0" borderId="3" xfId="0" applyNumberFormat="1" applyFont="1" applyBorder="1" applyAlignment="1">
      <alignment horizontal="left"/>
    </xf>
    <xf numFmtId="165" fontId="2" fillId="2" borderId="2" xfId="0" applyNumberFormat="1" applyFont="1" applyFill="1" applyBorder="1" applyAlignment="1">
      <alignment horizontal="left"/>
    </xf>
    <xf numFmtId="165" fontId="2" fillId="0" borderId="4" xfId="0" applyNumberFormat="1" applyFont="1" applyBorder="1" applyAlignment="1">
      <alignment horizontal="left"/>
    </xf>
    <xf numFmtId="165" fontId="2" fillId="0" borderId="5" xfId="0" applyNumberFormat="1" applyFont="1" applyBorder="1" applyAlignment="1">
      <alignment horizontal="left"/>
    </xf>
    <xf numFmtId="0" fontId="2" fillId="0" borderId="6" xfId="0" applyFont="1" applyBorder="1" applyAlignment="1">
      <alignment horizontal="justify" vertical="center"/>
    </xf>
    <xf numFmtId="0" fontId="2" fillId="2" borderId="6" xfId="0" applyFont="1" applyFill="1" applyBorder="1" applyAlignment="1">
      <alignment horizontal="justify" vertical="center"/>
    </xf>
    <xf numFmtId="165" fontId="2" fillId="0" borderId="6" xfId="0" applyNumberFormat="1" applyFont="1" applyBorder="1" applyAlignment="1">
      <alignment horizontal="left"/>
    </xf>
    <xf numFmtId="165" fontId="2" fillId="2" borderId="6" xfId="0" applyNumberFormat="1" applyFont="1" applyFill="1" applyBorder="1" applyAlignment="1">
      <alignment horizontal="left"/>
    </xf>
    <xf numFmtId="0" fontId="1" fillId="0" borderId="1" xfId="0" applyFont="1" applyBorder="1"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1" fontId="2" fillId="0" borderId="1" xfId="0" applyNumberFormat="1" applyFont="1" applyBorder="1" applyAlignment="1">
      <alignment horizontal="left" vertical="center"/>
    </xf>
    <xf numFmtId="0" fontId="2" fillId="2" borderId="1" xfId="0" applyFont="1" applyFill="1" applyBorder="1" applyAlignment="1">
      <alignment horizontal="left" vertical="center"/>
    </xf>
    <xf numFmtId="2" fontId="2" fillId="0" borderId="1" xfId="0" applyNumberFormat="1" applyFont="1" applyBorder="1" applyAlignment="1">
      <alignment horizontal="left" vertical="center"/>
    </xf>
    <xf numFmtId="164" fontId="2" fillId="0" borderId="1" xfId="0" applyNumberFormat="1" applyFont="1" applyBorder="1" applyAlignment="1">
      <alignment horizontal="left" vertical="center"/>
    </xf>
    <xf numFmtId="2" fontId="5" fillId="3" borderId="1" xfId="0" applyNumberFormat="1" applyFont="1" applyFill="1" applyBorder="1" applyAlignment="1">
      <alignment horizontal="left" vertical="center"/>
    </xf>
    <xf numFmtId="2" fontId="2" fillId="2" borderId="1" xfId="0" applyNumberFormat="1" applyFont="1" applyFill="1" applyBorder="1" applyAlignment="1">
      <alignment horizontal="left" vertical="center"/>
    </xf>
    <xf numFmtId="0" fontId="5" fillId="0" borderId="1" xfId="0" applyFont="1" applyBorder="1" applyAlignment="1">
      <alignment horizontal="left" vertical="center"/>
    </xf>
    <xf numFmtId="164" fontId="2" fillId="2" borderId="1" xfId="0" applyNumberFormat="1" applyFont="1" applyFill="1" applyBorder="1" applyAlignment="1">
      <alignment horizontal="left" vertical="center"/>
    </xf>
    <xf numFmtId="0" fontId="5" fillId="3" borderId="1" xfId="0" applyFont="1" applyFill="1" applyBorder="1" applyAlignment="1">
      <alignment horizontal="left" vertical="center"/>
    </xf>
    <xf numFmtId="2" fontId="2" fillId="0" borderId="1" xfId="0" applyNumberFormat="1" applyFont="1" applyBorder="1" applyAlignment="1">
      <alignment horizontal="left" vertical="center" wrapText="1"/>
    </xf>
    <xf numFmtId="2" fontId="5" fillId="0" borderId="1" xfId="0" applyNumberFormat="1" applyFont="1" applyBorder="1" applyAlignment="1">
      <alignment horizontal="left" vertical="center"/>
    </xf>
    <xf numFmtId="2" fontId="4" fillId="0" borderId="1" xfId="0" applyNumberFormat="1" applyFont="1" applyBorder="1" applyAlignment="1">
      <alignment horizontal="left" vertical="center"/>
    </xf>
    <xf numFmtId="164" fontId="5" fillId="3" borderId="1" xfId="0" applyNumberFormat="1" applyFont="1" applyFill="1" applyBorder="1" applyAlignment="1">
      <alignment horizontal="left" vertical="center"/>
    </xf>
    <xf numFmtId="165" fontId="4" fillId="0" borderId="1" xfId="0" applyNumberFormat="1" applyFont="1" applyBorder="1" applyAlignment="1">
      <alignment horizontal="left" wrapText="1"/>
    </xf>
    <xf numFmtId="0" fontId="2" fillId="0" borderId="0" xfId="0" applyFont="1" applyAlignment="1">
      <alignment horizontal="left"/>
    </xf>
    <xf numFmtId="0" fontId="6" fillId="0" borderId="1" xfId="0" applyFont="1" applyBorder="1" applyAlignment="1">
      <alignment horizontal="left"/>
    </xf>
    <xf numFmtId="165" fontId="2" fillId="0" borderId="1" xfId="0" applyNumberFormat="1" applyFont="1" applyBorder="1" applyAlignment="1">
      <alignment horizontal="left" vertical="center"/>
    </xf>
    <xf numFmtId="0" fontId="6" fillId="0" borderId="0" xfId="0" applyFont="1" applyAlignment="1">
      <alignment horizontal="left"/>
    </xf>
    <xf numFmtId="0" fontId="8" fillId="0" borderId="0" xfId="0" applyFont="1"/>
    <xf numFmtId="0" fontId="8" fillId="0" borderId="0" xfId="0" applyFont="1" applyAlignment="1">
      <alignment horizontal="center"/>
    </xf>
    <xf numFmtId="0" fontId="1" fillId="0" borderId="4" xfId="0" applyFont="1" applyBorder="1" applyAlignment="1">
      <alignment horizontal="center" vertical="center" wrapText="1"/>
    </xf>
    <xf numFmtId="3" fontId="8" fillId="0" borderId="0" xfId="0" applyNumberFormat="1" applyFont="1"/>
    <xf numFmtId="16" fontId="8" fillId="0" borderId="0" xfId="0" applyNumberFormat="1" applyFont="1"/>
    <xf numFmtId="0" fontId="8" fillId="0" borderId="0" xfId="0" applyFont="1" applyAlignment="1">
      <alignment horizontal="left" vertical="top"/>
    </xf>
    <xf numFmtId="0" fontId="9" fillId="0" borderId="0" xfId="0" applyFont="1" applyAlignment="1">
      <alignment horizontal="left" vertical="top"/>
    </xf>
    <xf numFmtId="0" fontId="9" fillId="0" borderId="0" xfId="0" applyFont="1"/>
    <xf numFmtId="164" fontId="8" fillId="0" borderId="0" xfId="0" applyNumberFormat="1" applyFont="1"/>
    <xf numFmtId="165" fontId="8" fillId="0" borderId="0" xfId="0" applyNumberFormat="1" applyFont="1" applyAlignment="1">
      <alignment horizontal="center"/>
    </xf>
    <xf numFmtId="1" fontId="8" fillId="0" borderId="0" xfId="0" applyNumberFormat="1" applyFont="1" applyAlignment="1">
      <alignment horizontal="center"/>
    </xf>
    <xf numFmtId="2" fontId="8" fillId="0" borderId="0" xfId="0" applyNumberFormat="1" applyFont="1" applyAlignment="1">
      <alignment horizontal="center"/>
    </xf>
    <xf numFmtId="164" fontId="8" fillId="0" borderId="0" xfId="0" applyNumberFormat="1" applyFont="1" applyAlignment="1">
      <alignment horizontal="center"/>
    </xf>
    <xf numFmtId="0" fontId="2" fillId="0" borderId="1" xfId="0" applyFont="1" applyBorder="1" applyAlignment="1">
      <alignment horizontal="left"/>
    </xf>
    <xf numFmtId="0" fontId="2" fillId="0" borderId="2" xfId="0" applyFont="1" applyBorder="1" applyAlignment="1">
      <alignment horizontal="left" vertical="center"/>
    </xf>
    <xf numFmtId="0" fontId="2" fillId="2" borderId="2" xfId="0" applyFont="1" applyFill="1" applyBorder="1" applyAlignment="1">
      <alignment horizontal="left" vertical="center"/>
    </xf>
    <xf numFmtId="0" fontId="0" fillId="0" borderId="0" xfId="0" applyAlignment="1">
      <alignment horizontal="left"/>
    </xf>
    <xf numFmtId="0" fontId="0" fillId="0" borderId="0" xfId="0" applyAlignment="1">
      <alignment horizontal="center"/>
    </xf>
    <xf numFmtId="0" fontId="0" fillId="0" borderId="0" xfId="0"/>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164" fontId="1" fillId="0" borderId="1" xfId="0" applyNumberFormat="1" applyFont="1" applyBorder="1" applyAlignment="1">
      <alignment horizontal="center" vertical="center" wrapText="1"/>
    </xf>
    <xf numFmtId="0" fontId="3" fillId="0" borderId="1" xfId="0" applyFont="1" applyBorder="1" applyAlignment="1">
      <alignment horizontal="justify" vertical="center"/>
    </xf>
    <xf numFmtId="0" fontId="2" fillId="2" borderId="1" xfId="0" applyFont="1" applyFill="1" applyBorder="1" applyAlignment="1">
      <alignment horizontal="justify" vertical="center"/>
    </xf>
    <xf numFmtId="0" fontId="2" fillId="2" borderId="6" xfId="0" applyFont="1" applyFill="1" applyBorder="1" applyAlignment="1">
      <alignment horizontal="justify" vertical="center"/>
    </xf>
    <xf numFmtId="0" fontId="2" fillId="2" borderId="1" xfId="0" applyFont="1" applyFill="1" applyBorder="1" applyAlignment="1">
      <alignment horizontal="left" vertical="center"/>
    </xf>
    <xf numFmtId="0" fontId="8" fillId="0" borderId="0" xfId="0" applyFont="1"/>
    <xf numFmtId="0" fontId="8" fillId="0" borderId="0" xfId="0" applyFont="1" applyAlignment="1">
      <alignment horizontal="center"/>
    </xf>
    <xf numFmtId="0" fontId="0" fillId="0" borderId="0" xfId="0" applyAlignment="1">
      <alignment horizontal="center"/>
    </xf>
    <xf numFmtId="10" fontId="0" fillId="0" borderId="0" xfId="0" applyNumberFormat="1"/>
    <xf numFmtId="166" fontId="8" fillId="0" borderId="0" xfId="0" applyNumberFormat="1" applyFont="1"/>
    <xf numFmtId="0" fontId="0" fillId="0" borderId="1" xfId="0" applyBorder="1"/>
    <xf numFmtId="0" fontId="1" fillId="0" borderId="1" xfId="0" applyFont="1" applyBorder="1" applyAlignment="1">
      <alignment horizontal="justify" vertical="center"/>
    </xf>
    <xf numFmtId="0" fontId="1" fillId="0" borderId="1" xfId="0" applyFont="1" applyBorder="1" applyAlignment="1">
      <alignment horizontal="center" vertical="center" wrapText="1"/>
    </xf>
    <xf numFmtId="0" fontId="10" fillId="0" borderId="0" xfId="0" applyFont="1"/>
    <xf numFmtId="0" fontId="9" fillId="0" borderId="1" xfId="0" applyFont="1" applyBorder="1"/>
    <xf numFmtId="0" fontId="8" fillId="0" borderId="1" xfId="0" applyFont="1" applyBorder="1"/>
    <xf numFmtId="0" fontId="8" fillId="0" borderId="0" xfId="0" applyFont="1" applyBorder="1"/>
    <xf numFmtId="0" fontId="9" fillId="0" borderId="0" xfId="0" applyFont="1" applyBorder="1"/>
    <xf numFmtId="0" fontId="3" fillId="0" borderId="1" xfId="0" applyFont="1" applyBorder="1" applyAlignment="1">
      <alignment horizontal="center" vertical="center" wrapText="1"/>
    </xf>
    <xf numFmtId="0" fontId="2" fillId="0" borderId="0" xfId="0" applyFont="1"/>
    <xf numFmtId="167" fontId="2" fillId="0" borderId="1" xfId="0" applyNumberFormat="1" applyFont="1" applyBorder="1"/>
    <xf numFmtId="0" fontId="3" fillId="0" borderId="1" xfId="0" applyFont="1" applyBorder="1"/>
    <xf numFmtId="9" fontId="2" fillId="0" borderId="1" xfId="0" applyNumberFormat="1" applyFont="1" applyBorder="1"/>
    <xf numFmtId="10" fontId="3" fillId="0" borderId="1" xfId="0" applyNumberFormat="1" applyFont="1" applyBorder="1" applyAlignment="1">
      <alignment horizontal="left"/>
    </xf>
    <xf numFmtId="0" fontId="3" fillId="0" borderId="0" xfId="0" applyFont="1"/>
    <xf numFmtId="0" fontId="8" fillId="0" borderId="1" xfId="0" applyFont="1" applyBorder="1" applyAlignment="1">
      <alignment wrapText="1"/>
    </xf>
    <xf numFmtId="164" fontId="8" fillId="0" borderId="1" xfId="0" applyNumberFormat="1" applyFont="1" applyBorder="1"/>
    <xf numFmtId="0" fontId="8" fillId="0" borderId="12" xfId="0" applyFont="1" applyBorder="1"/>
    <xf numFmtId="0" fontId="8" fillId="0" borderId="1" xfId="0" applyFont="1" applyBorder="1" applyAlignment="1">
      <alignment horizontal="left"/>
    </xf>
    <xf numFmtId="2" fontId="8" fillId="0" borderId="1" xfId="0" applyNumberFormat="1" applyFont="1" applyBorder="1"/>
    <xf numFmtId="0" fontId="2" fillId="0" borderId="13" xfId="0" applyFont="1" applyBorder="1" applyAlignment="1">
      <alignment horizontal="left" wrapText="1"/>
    </xf>
    <xf numFmtId="168" fontId="8" fillId="0" borderId="1" xfId="0" applyNumberFormat="1" applyFont="1" applyBorder="1" applyAlignment="1">
      <alignment horizontal="right"/>
    </xf>
    <xf numFmtId="10" fontId="8" fillId="0" borderId="1" xfId="0" applyNumberFormat="1" applyFont="1" applyBorder="1"/>
    <xf numFmtId="10" fontId="8" fillId="0" borderId="14" xfId="0" applyNumberFormat="1" applyFont="1" applyBorder="1"/>
    <xf numFmtId="168" fontId="8" fillId="0" borderId="15" xfId="0" applyNumberFormat="1" applyFont="1" applyBorder="1" applyAlignment="1">
      <alignment horizontal="right"/>
    </xf>
    <xf numFmtId="0" fontId="2" fillId="0" borderId="1" xfId="0" applyFont="1" applyBorder="1" applyAlignment="1">
      <alignment horizontal="left" wrapText="1"/>
    </xf>
    <xf numFmtId="0" fontId="3" fillId="0" borderId="17" xfId="0" applyFont="1" applyBorder="1" applyAlignment="1">
      <alignment horizontal="left" wrapText="1"/>
    </xf>
    <xf numFmtId="168" fontId="8" fillId="0" borderId="18" xfId="0" applyNumberFormat="1" applyFont="1" applyBorder="1"/>
    <xf numFmtId="168" fontId="8" fillId="0" borderId="19" xfId="0" applyNumberFormat="1" applyFont="1" applyBorder="1"/>
    <xf numFmtId="168" fontId="8" fillId="0" borderId="20" xfId="0" applyNumberFormat="1" applyFont="1" applyBorder="1"/>
    <xf numFmtId="168" fontId="8" fillId="0" borderId="1" xfId="0" applyNumberFormat="1" applyFont="1" applyBorder="1"/>
    <xf numFmtId="0" fontId="9" fillId="0" borderId="10" xfId="0" applyFont="1" applyBorder="1" applyAlignment="1">
      <alignment wrapText="1"/>
    </xf>
    <xf numFmtId="0" fontId="9" fillId="0" borderId="10" xfId="0" applyFont="1" applyBorder="1" applyAlignment="1">
      <alignment horizontal="center" wrapText="1"/>
    </xf>
    <xf numFmtId="0" fontId="9" fillId="0" borderId="11" xfId="0" applyFont="1" applyBorder="1" applyAlignment="1">
      <alignment horizontal="center" wrapText="1"/>
    </xf>
    <xf numFmtId="0" fontId="9" fillId="0" borderId="22" xfId="0" applyFont="1" applyBorder="1" applyAlignment="1">
      <alignment wrapText="1"/>
    </xf>
    <xf numFmtId="0" fontId="9" fillId="0" borderId="0" xfId="0" applyFont="1" applyAlignment="1">
      <alignment wrapText="1"/>
    </xf>
    <xf numFmtId="0" fontId="9" fillId="0" borderId="0" xfId="0" applyFont="1" applyAlignment="1">
      <alignment horizontal="center" wrapText="1"/>
    </xf>
    <xf numFmtId="0" fontId="9" fillId="0" borderId="23" xfId="0" applyFont="1" applyBorder="1" applyAlignment="1">
      <alignment horizontal="center" wrapText="1"/>
    </xf>
    <xf numFmtId="0" fontId="9" fillId="0" borderId="13" xfId="0" applyFont="1" applyBorder="1" applyAlignment="1">
      <alignment horizontal="left"/>
    </xf>
    <xf numFmtId="0" fontId="9" fillId="0" borderId="1" xfId="0" applyFont="1" applyBorder="1" applyAlignment="1">
      <alignment horizontal="center"/>
    </xf>
    <xf numFmtId="0" fontId="9" fillId="0" borderId="14" xfId="0" applyFont="1" applyBorder="1" applyAlignment="1">
      <alignment horizontal="center"/>
    </xf>
    <xf numFmtId="0" fontId="8" fillId="0" borderId="13" xfId="0" applyFont="1" applyBorder="1" applyAlignment="1">
      <alignment horizontal="center"/>
    </xf>
    <xf numFmtId="2" fontId="8" fillId="0" borderId="1" xfId="0" applyNumberFormat="1" applyFont="1" applyBorder="1" applyAlignment="1">
      <alignment horizontal="right"/>
    </xf>
    <xf numFmtId="2" fontId="8" fillId="0" borderId="14" xfId="0" applyNumberFormat="1" applyFont="1" applyBorder="1"/>
    <xf numFmtId="0" fontId="8" fillId="0" borderId="9" xfId="0" applyFont="1" applyBorder="1"/>
    <xf numFmtId="0" fontId="8" fillId="0" borderId="10" xfId="0" applyFont="1" applyBorder="1"/>
    <xf numFmtId="0" fontId="8" fillId="0" borderId="11" xfId="0" applyFont="1" applyBorder="1"/>
    <xf numFmtId="0" fontId="8" fillId="0" borderId="17" xfId="0" applyFont="1" applyBorder="1"/>
    <xf numFmtId="2" fontId="8" fillId="0" borderId="18" xfId="0" applyNumberFormat="1" applyFont="1" applyBorder="1"/>
    <xf numFmtId="4" fontId="2" fillId="0" borderId="18" xfId="0" applyNumberFormat="1" applyFont="1" applyBorder="1" applyAlignment="1">
      <alignment wrapText="1"/>
    </xf>
    <xf numFmtId="164" fontId="8" fillId="0" borderId="19" xfId="0" applyNumberFormat="1" applyFont="1" applyBorder="1"/>
    <xf numFmtId="0" fontId="8" fillId="0" borderId="13" xfId="0" applyFont="1" applyBorder="1"/>
    <xf numFmtId="0" fontId="8" fillId="0" borderId="14" xfId="0" applyFont="1" applyBorder="1"/>
    <xf numFmtId="0" fontId="8" fillId="0" borderId="17" xfId="0" applyFont="1" applyBorder="1" applyAlignment="1">
      <alignment wrapText="1"/>
    </xf>
    <xf numFmtId="165" fontId="0" fillId="0" borderId="18" xfId="0" applyNumberFormat="1" applyBorder="1"/>
    <xf numFmtId="165" fontId="8" fillId="0" borderId="26" xfId="0" applyNumberFormat="1" applyFont="1" applyBorder="1"/>
    <xf numFmtId="0" fontId="3" fillId="2" borderId="1" xfId="0" applyFont="1" applyFill="1" applyBorder="1" applyAlignment="1">
      <alignment horizontal="justify" vertical="center"/>
    </xf>
    <xf numFmtId="0" fontId="3" fillId="2" borderId="2" xfId="0" applyFont="1" applyFill="1" applyBorder="1" applyAlignment="1">
      <alignment horizontal="justify" vertical="center"/>
    </xf>
    <xf numFmtId="0" fontId="3" fillId="2" borderId="6" xfId="0" applyFont="1" applyFill="1" applyBorder="1" applyAlignment="1">
      <alignment horizontal="justify" vertical="center"/>
    </xf>
    <xf numFmtId="165" fontId="2" fillId="0" borderId="1" xfId="0" applyNumberFormat="1" applyFont="1" applyBorder="1"/>
    <xf numFmtId="9" fontId="2" fillId="0" borderId="1" xfId="1" applyFont="1" applyBorder="1"/>
    <xf numFmtId="168" fontId="3" fillId="0" borderId="1" xfId="0" applyNumberFormat="1" applyFont="1" applyBorder="1" applyAlignment="1">
      <alignment horizontal="left"/>
    </xf>
    <xf numFmtId="0" fontId="0" fillId="2" borderId="0" xfId="0" applyFill="1" applyAlignment="1">
      <alignment horizontal="left"/>
    </xf>
    <xf numFmtId="164" fontId="0" fillId="0" borderId="0" xfId="0" applyNumberFormat="1" applyAlignment="1">
      <alignment horizontal="left"/>
    </xf>
    <xf numFmtId="0" fontId="3" fillId="0" borderId="1" xfId="0" applyFont="1" applyBorder="1" applyAlignment="1">
      <alignment horizontal="left" vertical="center" wrapText="1"/>
    </xf>
    <xf numFmtId="0" fontId="3" fillId="2" borderId="1" xfId="0" applyFont="1" applyFill="1" applyBorder="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2" fillId="2" borderId="0" xfId="0" applyFont="1" applyFill="1" applyAlignment="1">
      <alignment horizontal="left" vertical="center"/>
    </xf>
    <xf numFmtId="2" fontId="2" fillId="0" borderId="2" xfId="0" applyNumberFormat="1" applyFont="1" applyBorder="1" applyAlignment="1">
      <alignment horizontal="left" vertical="center"/>
    </xf>
    <xf numFmtId="164" fontId="2" fillId="0" borderId="2" xfId="0" applyNumberFormat="1" applyFont="1" applyBorder="1" applyAlignment="1">
      <alignment horizontal="left" vertical="center"/>
    </xf>
    <xf numFmtId="2" fontId="5" fillId="3" borderId="2" xfId="0" applyNumberFormat="1" applyFont="1" applyFill="1" applyBorder="1" applyAlignment="1">
      <alignment horizontal="left" vertical="center"/>
    </xf>
    <xf numFmtId="2" fontId="2" fillId="2" borderId="2" xfId="0" applyNumberFormat="1" applyFont="1" applyFill="1" applyBorder="1" applyAlignment="1">
      <alignment horizontal="left" vertical="center"/>
    </xf>
    <xf numFmtId="0" fontId="5" fillId="0" borderId="2" xfId="0" applyFont="1" applyBorder="1" applyAlignment="1">
      <alignment horizontal="left" vertical="center"/>
    </xf>
    <xf numFmtId="0" fontId="2" fillId="2" borderId="37" xfId="0" applyFont="1" applyFill="1" applyBorder="1" applyAlignment="1">
      <alignment horizontal="justify" vertical="center"/>
    </xf>
    <xf numFmtId="0" fontId="2" fillId="0" borderId="37" xfId="0" applyFont="1" applyBorder="1" applyAlignment="1">
      <alignment horizontal="justify" vertical="center"/>
    </xf>
    <xf numFmtId="0" fontId="2" fillId="2" borderId="38" xfId="0" applyFont="1" applyFill="1" applyBorder="1" applyAlignment="1">
      <alignment horizontal="justify" vertical="center"/>
    </xf>
    <xf numFmtId="0" fontId="2" fillId="2" borderId="39" xfId="0" applyFont="1" applyFill="1" applyBorder="1" applyAlignment="1">
      <alignment horizontal="justify" vertical="center"/>
    </xf>
    <xf numFmtId="0" fontId="2" fillId="2" borderId="40" xfId="0" applyFont="1" applyFill="1" applyBorder="1" applyAlignment="1">
      <alignment horizontal="justify" vertical="center"/>
    </xf>
    <xf numFmtId="0" fontId="2" fillId="2" borderId="41" xfId="0" applyFont="1" applyFill="1" applyBorder="1" applyAlignment="1">
      <alignment horizontal="justify" vertical="center"/>
    </xf>
    <xf numFmtId="0" fontId="3" fillId="2" borderId="1" xfId="0" applyFont="1" applyFill="1" applyBorder="1" applyAlignment="1">
      <alignment horizontal="left"/>
    </xf>
    <xf numFmtId="0" fontId="2" fillId="2" borderId="42" xfId="0" applyFont="1" applyFill="1" applyBorder="1" applyAlignment="1">
      <alignment horizontal="justify" vertical="center"/>
    </xf>
    <xf numFmtId="0" fontId="2" fillId="0" borderId="42" xfId="0" applyFont="1" applyBorder="1" applyAlignment="1">
      <alignment horizontal="justify" vertical="center"/>
    </xf>
    <xf numFmtId="0" fontId="2" fillId="2" borderId="43" xfId="0" applyFont="1" applyFill="1" applyBorder="1" applyAlignment="1">
      <alignment horizontal="justify" vertical="center"/>
    </xf>
    <xf numFmtId="0" fontId="2" fillId="2" borderId="44" xfId="0" applyFont="1" applyFill="1" applyBorder="1" applyAlignment="1">
      <alignment horizontal="justify" vertical="center"/>
    </xf>
    <xf numFmtId="0" fontId="2" fillId="2" borderId="45" xfId="0" applyFont="1" applyFill="1" applyBorder="1" applyAlignment="1">
      <alignment horizontal="justify" vertical="center"/>
    </xf>
    <xf numFmtId="0" fontId="2" fillId="2" borderId="46" xfId="0" applyFont="1" applyFill="1" applyBorder="1" applyAlignment="1">
      <alignment horizontal="justify" vertical="center"/>
    </xf>
    <xf numFmtId="9" fontId="2" fillId="2" borderId="1" xfId="0" applyNumberFormat="1" applyFont="1" applyFill="1" applyBorder="1" applyAlignment="1">
      <alignment horizontal="justify" vertical="center"/>
    </xf>
    <xf numFmtId="0" fontId="3" fillId="0" borderId="5" xfId="0" applyFont="1" applyBorder="1" applyAlignment="1">
      <alignment horizontal="center" wrapText="1"/>
    </xf>
    <xf numFmtId="0" fontId="3" fillId="0" borderId="4" xfId="0" applyFont="1" applyBorder="1" applyAlignment="1">
      <alignment horizontal="center" wrapText="1"/>
    </xf>
    <xf numFmtId="0" fontId="9" fillId="0" borderId="30" xfId="0" applyFont="1" applyBorder="1" applyAlignment="1">
      <alignment horizontal="center"/>
    </xf>
    <xf numFmtId="0" fontId="9" fillId="0" borderId="28" xfId="0" applyFont="1" applyBorder="1" applyAlignment="1">
      <alignment horizontal="center"/>
    </xf>
    <xf numFmtId="0" fontId="9" fillId="0" borderId="31" xfId="0" applyFont="1" applyBorder="1" applyAlignment="1">
      <alignment horizontal="center"/>
    </xf>
    <xf numFmtId="0" fontId="9" fillId="0" borderId="32" xfId="0" applyFont="1" applyBorder="1" applyAlignment="1">
      <alignment horizontal="center"/>
    </xf>
    <xf numFmtId="0" fontId="9" fillId="0" borderId="33" xfId="0" applyFont="1" applyBorder="1" applyAlignment="1">
      <alignment horizontal="center"/>
    </xf>
    <xf numFmtId="0" fontId="9" fillId="0" borderId="34" xfId="0" applyFont="1" applyBorder="1" applyAlignment="1">
      <alignment horizontal="center"/>
    </xf>
    <xf numFmtId="0" fontId="9" fillId="0" borderId="24" xfId="0" applyFont="1" applyBorder="1" applyAlignment="1">
      <alignment horizontal="center"/>
    </xf>
    <xf numFmtId="0" fontId="9" fillId="0" borderId="7" xfId="0" applyFont="1" applyBorder="1" applyAlignment="1">
      <alignment horizontal="center"/>
    </xf>
    <xf numFmtId="0" fontId="9" fillId="0" borderId="25" xfId="0" applyFont="1" applyBorder="1" applyAlignment="1">
      <alignment horizontal="center"/>
    </xf>
    <xf numFmtId="0" fontId="1" fillId="0" borderId="5" xfId="0" applyFont="1" applyBorder="1" applyAlignment="1">
      <alignment horizontal="center"/>
    </xf>
    <xf numFmtId="0" fontId="1" fillId="0" borderId="7" xfId="0" applyFont="1" applyBorder="1" applyAlignment="1">
      <alignment horizontal="center"/>
    </xf>
    <xf numFmtId="0" fontId="1" fillId="0" borderId="4" xfId="0" applyFont="1" applyBorder="1" applyAlignment="1">
      <alignment horizontal="center"/>
    </xf>
    <xf numFmtId="0" fontId="9" fillId="0" borderId="5" xfId="0" applyFont="1" applyBorder="1" applyAlignment="1">
      <alignment horizontal="center"/>
    </xf>
    <xf numFmtId="0" fontId="9" fillId="0" borderId="4" xfId="0" applyFont="1" applyBorder="1" applyAlignment="1">
      <alignment horizontal="center"/>
    </xf>
    <xf numFmtId="0" fontId="8" fillId="0" borderId="6" xfId="0" applyFont="1" applyBorder="1" applyAlignment="1">
      <alignment horizontal="center"/>
    </xf>
    <xf numFmtId="0" fontId="8" fillId="0" borderId="16" xfId="0" applyFont="1" applyBorder="1" applyAlignment="1">
      <alignment horizontal="center"/>
    </xf>
    <xf numFmtId="0" fontId="8" fillId="0" borderId="2" xfId="0" applyFont="1" applyBorder="1" applyAlignment="1">
      <alignment horizontal="center"/>
    </xf>
    <xf numFmtId="0" fontId="8" fillId="0" borderId="27" xfId="0" applyFont="1" applyBorder="1" applyAlignment="1">
      <alignment horizontal="center"/>
    </xf>
    <xf numFmtId="0" fontId="8" fillId="0" borderId="28" xfId="0" applyFont="1" applyBorder="1" applyAlignment="1">
      <alignment horizontal="center"/>
    </xf>
    <xf numFmtId="0" fontId="8" fillId="0" borderId="29" xfId="0" applyFont="1" applyBorder="1" applyAlignment="1">
      <alignment horizontal="center"/>
    </xf>
    <xf numFmtId="0" fontId="8" fillId="0" borderId="5" xfId="0" applyFont="1" applyBorder="1" applyAlignment="1">
      <alignment horizontal="center"/>
    </xf>
    <xf numFmtId="0" fontId="8" fillId="0" borderId="7" xfId="0" applyFont="1" applyBorder="1" applyAlignment="1">
      <alignment horizontal="center"/>
    </xf>
    <xf numFmtId="0" fontId="8" fillId="0" borderId="4" xfId="0" applyFont="1" applyBorder="1" applyAlignment="1">
      <alignment horizontal="center"/>
    </xf>
    <xf numFmtId="0" fontId="3" fillId="0" borderId="1" xfId="0" applyFont="1" applyBorder="1" applyAlignment="1">
      <alignment horizontal="center" wrapText="1"/>
    </xf>
    <xf numFmtId="2" fontId="3" fillId="0" borderId="1" xfId="0" applyNumberFormat="1" applyFont="1" applyBorder="1" applyAlignment="1">
      <alignment horizontal="center"/>
    </xf>
    <xf numFmtId="0" fontId="2" fillId="0" borderId="5" xfId="0" applyFont="1" applyBorder="1" applyAlignment="1">
      <alignment horizontal="center"/>
    </xf>
    <xf numFmtId="0" fontId="2" fillId="0" borderId="7" xfId="0" applyFont="1" applyBorder="1" applyAlignment="1">
      <alignment horizontal="center"/>
    </xf>
    <xf numFmtId="0" fontId="2" fillId="0" borderId="4" xfId="0" applyFont="1" applyBorder="1" applyAlignment="1">
      <alignment horizontal="center"/>
    </xf>
    <xf numFmtId="0" fontId="2" fillId="0" borderId="35" xfId="0" applyFont="1" applyBorder="1" applyAlignment="1">
      <alignment horizontal="center"/>
    </xf>
    <xf numFmtId="0" fontId="2" fillId="0" borderId="36" xfId="0" applyFont="1" applyBorder="1" applyAlignment="1">
      <alignment horizontal="center"/>
    </xf>
    <xf numFmtId="0" fontId="2" fillId="0" borderId="21" xfId="0" applyFont="1" applyBorder="1" applyAlignment="1">
      <alignment horizontal="center"/>
    </xf>
    <xf numFmtId="165" fontId="2" fillId="2" borderId="1" xfId="0" applyNumberFormat="1" applyFont="1" applyFill="1" applyBorder="1" applyAlignment="1">
      <alignment horizontal="center"/>
    </xf>
    <xf numFmtId="165" fontId="3" fillId="2" borderId="6" xfId="0" applyNumberFormat="1" applyFont="1" applyFill="1" applyBorder="1" applyAlignment="1">
      <alignment horizontal="center"/>
    </xf>
    <xf numFmtId="165" fontId="3" fillId="2" borderId="16" xfId="0" applyNumberFormat="1" applyFont="1" applyFill="1" applyBorder="1" applyAlignment="1">
      <alignment horizontal="center"/>
    </xf>
    <xf numFmtId="165" fontId="3" fillId="2" borderId="2" xfId="0" applyNumberFormat="1" applyFont="1" applyFill="1" applyBorder="1" applyAlignment="1">
      <alignment horizontal="center"/>
    </xf>
    <xf numFmtId="0" fontId="1" fillId="0" borderId="1" xfId="0" applyFont="1" applyBorder="1" applyAlignment="1">
      <alignment horizontal="center" vertical="center" wrapText="1"/>
    </xf>
    <xf numFmtId="165" fontId="3" fillId="2" borderId="1" xfId="0" applyNumberFormat="1" applyFont="1" applyFill="1" applyBorder="1" applyAlignment="1">
      <alignment horizontal="center"/>
    </xf>
    <xf numFmtId="164" fontId="1" fillId="0" borderId="1" xfId="0" applyNumberFormat="1" applyFont="1" applyBorder="1" applyAlignment="1">
      <alignment horizontal="center" vertical="center" wrapText="1"/>
    </xf>
    <xf numFmtId="0" fontId="13" fillId="0" borderId="1" xfId="0" applyFont="1" applyBorder="1" applyAlignment="1">
      <alignment horizontal="center"/>
    </xf>
    <xf numFmtId="0" fontId="14" fillId="0" borderId="1" xfId="0" applyFont="1" applyBorder="1" applyAlignment="1">
      <alignment horizontal="left"/>
    </xf>
    <xf numFmtId="0" fontId="15" fillId="0" borderId="1" xfId="0" applyFont="1" applyBorder="1" applyAlignment="1">
      <alignment horizontal="left"/>
    </xf>
    <xf numFmtId="0" fontId="1" fillId="0" borderId="1" xfId="0" applyFont="1" applyBorder="1" applyAlignment="1">
      <alignment horizontal="justify"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wrapText="1"/>
    </xf>
    <xf numFmtId="165" fontId="3" fillId="0" borderId="1" xfId="0" applyNumberFormat="1" applyFont="1" applyBorder="1" applyAlignment="1">
      <alignment horizontal="center"/>
    </xf>
    <xf numFmtId="165" fontId="2" fillId="0" borderId="5" xfId="0" applyNumberFormat="1" applyFont="1" applyBorder="1" applyAlignment="1">
      <alignment horizontal="center"/>
    </xf>
    <xf numFmtId="165" fontId="2" fillId="0" borderId="7" xfId="0" applyNumberFormat="1" applyFont="1" applyBorder="1" applyAlignment="1">
      <alignment horizontal="center"/>
    </xf>
    <xf numFmtId="165" fontId="2" fillId="0" borderId="4" xfId="0" applyNumberFormat="1" applyFont="1" applyBorder="1" applyAlignment="1">
      <alignment horizontal="center"/>
    </xf>
    <xf numFmtId="0" fontId="3" fillId="0" borderId="1" xfId="0" applyFont="1" applyBorder="1" applyAlignment="1">
      <alignment horizontal="center" vertical="center" wrapText="1"/>
    </xf>
    <xf numFmtId="1" fontId="3" fillId="0" borderId="1" xfId="0" applyNumberFormat="1" applyFont="1" applyBorder="1" applyAlignment="1">
      <alignment horizontal="center"/>
    </xf>
    <xf numFmtId="165" fontId="3" fillId="2" borderId="1" xfId="0" applyNumberFormat="1" applyFont="1" applyFill="1" applyBorder="1" applyAlignment="1">
      <alignment horizontal="center" wrapText="1"/>
    </xf>
    <xf numFmtId="164" fontId="3" fillId="0" borderId="1" xfId="0" applyNumberFormat="1" applyFont="1" applyBorder="1" applyAlignment="1">
      <alignment horizontal="left" vertical="center" wrapText="1"/>
    </xf>
    <xf numFmtId="0" fontId="16" fillId="0" borderId="1" xfId="0" applyFont="1" applyBorder="1" applyAlignment="1">
      <alignment horizontal="center"/>
    </xf>
    <xf numFmtId="0" fontId="3" fillId="0" borderId="1" xfId="0" applyFont="1" applyBorder="1" applyAlignment="1">
      <alignment horizontal="center"/>
    </xf>
    <xf numFmtId="0" fontId="17" fillId="0" borderId="1" xfId="0" applyFont="1" applyBorder="1" applyAlignment="1">
      <alignment horizontal="left"/>
    </xf>
    <xf numFmtId="0" fontId="3" fillId="0" borderId="1" xfId="0" applyFont="1" applyBorder="1" applyAlignment="1">
      <alignment horizontal="justify" vertical="center"/>
    </xf>
    <xf numFmtId="0" fontId="3" fillId="0" borderId="1" xfId="0" applyFont="1" applyBorder="1" applyAlignment="1">
      <alignment horizontal="center" vertical="center"/>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168" fontId="3" fillId="0" borderId="5" xfId="0" applyNumberFormat="1" applyFont="1" applyBorder="1" applyAlignment="1">
      <alignment horizontal="center"/>
    </xf>
    <xf numFmtId="168" fontId="3" fillId="0" borderId="7" xfId="0" applyNumberFormat="1" applyFont="1" applyBorder="1" applyAlignment="1">
      <alignment horizontal="center"/>
    </xf>
    <xf numFmtId="168" fontId="3" fillId="0" borderId="4" xfId="0" applyNumberFormat="1" applyFont="1" applyBorder="1" applyAlignment="1">
      <alignment horizontal="center"/>
    </xf>
    <xf numFmtId="164" fontId="3" fillId="0" borderId="1" xfId="0" applyNumberFormat="1" applyFont="1" applyBorder="1" applyAlignment="1">
      <alignment horizontal="center" vertical="center" wrapText="1"/>
    </xf>
    <xf numFmtId="0" fontId="12" fillId="0" borderId="1" xfId="0" applyFont="1" applyBorder="1" applyAlignment="1">
      <alignment horizontal="center"/>
    </xf>
    <xf numFmtId="0" fontId="2" fillId="0" borderId="1" xfId="0" applyFont="1" applyBorder="1" applyAlignment="1">
      <alignment horizontal="left"/>
    </xf>
    <xf numFmtId="0" fontId="8" fillId="0" borderId="0" xfId="0" applyFont="1" applyAlignment="1">
      <alignment horizontal="left" vertical="top" wrapText="1"/>
    </xf>
    <xf numFmtId="0" fontId="8" fillId="0" borderId="0" xfId="0" applyFont="1" applyAlignment="1">
      <alignment horizontal="center" vertical="top" wrapText="1"/>
    </xf>
    <xf numFmtId="0" fontId="8" fillId="0" borderId="0" xfId="0" applyFont="1" applyAlignment="1">
      <alignment horizontal="center"/>
    </xf>
    <xf numFmtId="0" fontId="9" fillId="0" borderId="0" xfId="0" applyFont="1" applyAlignment="1">
      <alignment horizontal="center"/>
    </xf>
    <xf numFmtId="0" fontId="8" fillId="0" borderId="0" xfId="0" applyFont="1" applyAlignment="1">
      <alignment horizontal="left" vertical="top"/>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left" vertical="center"/>
    </xf>
    <xf numFmtId="0" fontId="1" fillId="0" borderId="6"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xf>
    <xf numFmtId="0" fontId="1" fillId="0" borderId="4" xfId="0" applyFont="1" applyBorder="1" applyAlignment="1">
      <alignment horizontal="center" vertical="center"/>
    </xf>
    <xf numFmtId="0" fontId="0" fillId="0" borderId="0" xfId="0" applyAlignment="1">
      <alignment horizontal="center"/>
    </xf>
    <xf numFmtId="0" fontId="8" fillId="0" borderId="1" xfId="0" applyFont="1" applyBorder="1" applyAlignment="1">
      <alignment horizontal="center"/>
    </xf>
    <xf numFmtId="0" fontId="0" fillId="0" borderId="8" xfId="0" applyBorder="1" applyAlignment="1">
      <alignment horizontal="center"/>
    </xf>
    <xf numFmtId="0" fontId="0" fillId="0" borderId="0" xfId="0" applyAlignment="1">
      <alignment horizontal="left" vertical="top"/>
    </xf>
    <xf numFmtId="0" fontId="0" fillId="0" borderId="0" xfId="0" applyAlignment="1">
      <alignment horizontal="left" vertical="top" wrapText="1"/>
    </xf>
    <xf numFmtId="0" fontId="8" fillId="0" borderId="0" xfId="0" applyFont="1" applyBorder="1" applyAlignment="1">
      <alignment horizontal="left" vertical="top" wrapText="1"/>
    </xf>
    <xf numFmtId="0" fontId="8" fillId="0" borderId="0" xfId="0" applyFont="1" applyBorder="1" applyAlignment="1">
      <alignment horizontal="left" vertical="top"/>
    </xf>
    <xf numFmtId="0" fontId="9" fillId="0" borderId="0" xfId="0" applyFont="1" applyAlignment="1">
      <alignment horizontal="lef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Average amount of Solid waste categories Generated in the three study areas</a:t>
            </a:r>
            <a:endParaRPr lang="en-UG">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'Q&amp;Qs'!$A$2</c:f>
              <c:strCache>
                <c:ptCount val="1"/>
                <c:pt idx="0">
                  <c:v>Bwaise I</c:v>
                </c:pt>
              </c:strCache>
            </c:strRef>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extLst>
                <c:ext xmlns:c15="http://schemas.microsoft.com/office/drawing/2012/chart" uri="{02D57815-91ED-43cb-92C2-25804820EDAC}">
                  <c15:fullRef>
                    <c15:sqref>('Q&amp;Qs'!$B$1,'Q&amp;Qs'!$G$1:$P$1)</c15:sqref>
                  </c15:fullRef>
                </c:ext>
              </c:extLst>
              <c:f>'Q&amp;Qs'!$G$1:$P$1</c:f>
              <c:strCache>
                <c:ptCount val="10"/>
                <c:pt idx="0">
                  <c:v>Food Waste</c:v>
                </c:pt>
                <c:pt idx="1">
                  <c:v>Garden and Yard wastes</c:v>
                </c:pt>
                <c:pt idx="2">
                  <c:v>Wood</c:v>
                </c:pt>
                <c:pt idx="3">
                  <c:v>Textiles</c:v>
                </c:pt>
                <c:pt idx="4">
                  <c:v>Paper and pulp</c:v>
                </c:pt>
                <c:pt idx="5">
                  <c:v>Polythene Bags</c:v>
                </c:pt>
                <c:pt idx="6">
                  <c:v>Plastics and Rubber</c:v>
                </c:pt>
                <c:pt idx="7">
                  <c:v>Glass</c:v>
                </c:pt>
                <c:pt idx="8">
                  <c:v>Metals</c:v>
                </c:pt>
                <c:pt idx="9">
                  <c:v>Others</c:v>
                </c:pt>
              </c:strCache>
            </c:strRef>
          </c:cat>
          <c:val>
            <c:numRef>
              <c:extLst>
                <c:ext xmlns:c15="http://schemas.microsoft.com/office/drawing/2012/chart" uri="{02D57815-91ED-43cb-92C2-25804820EDAC}">
                  <c15:fullRef>
                    <c15:sqref>('Q&amp;Qs'!$B$2,'Q&amp;Qs'!$G$2:$P$2)</c15:sqref>
                  </c15:fullRef>
                </c:ext>
              </c:extLst>
              <c:f>'Q&amp;Qs'!$G$2:$P$2</c:f>
              <c:numCache>
                <c:formatCode>0.00%</c:formatCode>
                <c:ptCount val="10"/>
                <c:pt idx="0">
                  <c:v>0.75384049353129368</c:v>
                </c:pt>
                <c:pt idx="1">
                  <c:v>4.1556958010677589E-2</c:v>
                </c:pt>
                <c:pt idx="2">
                  <c:v>5.7615837742743122E-4</c:v>
                </c:pt>
                <c:pt idx="3">
                  <c:v>1.563624869301506E-2</c:v>
                </c:pt>
                <c:pt idx="4">
                  <c:v>1.1516909522797766E-2</c:v>
                </c:pt>
                <c:pt idx="5">
                  <c:v>8.2199527494812949E-2</c:v>
                </c:pt>
                <c:pt idx="6">
                  <c:v>5.5780245713890529E-2</c:v>
                </c:pt>
                <c:pt idx="7">
                  <c:v>8.3240763863175155E-5</c:v>
                </c:pt>
                <c:pt idx="8">
                  <c:v>1.3333951054751213E-3</c:v>
                </c:pt>
                <c:pt idx="9">
                  <c:v>3.5275876379791703E-2</c:v>
                </c:pt>
              </c:numCache>
            </c:numRef>
          </c:val>
          <c:extLst>
            <c:ext xmlns:c16="http://schemas.microsoft.com/office/drawing/2014/chart" uri="{C3380CC4-5D6E-409C-BE32-E72D297353CC}">
              <c16:uniqueId val="{00000000-5070-4FC6-9517-774C8C18C683}"/>
            </c:ext>
          </c:extLst>
        </c:ser>
        <c:ser>
          <c:idx val="1"/>
          <c:order val="1"/>
          <c:tx>
            <c:strRef>
              <c:f>'Q&amp;Qs'!$A$3</c:f>
              <c:strCache>
                <c:ptCount val="1"/>
                <c:pt idx="0">
                  <c:v>Bukoto I</c:v>
                </c:pt>
              </c:strCache>
            </c:strRef>
          </c:tx>
          <c:spPr>
            <a:solidFill>
              <a:schemeClr val="accent2"/>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extLst>
                <c:ext xmlns:c15="http://schemas.microsoft.com/office/drawing/2012/chart" uri="{02D57815-91ED-43cb-92C2-25804820EDAC}">
                  <c15:fullRef>
                    <c15:sqref>('Q&amp;Qs'!$B$1,'Q&amp;Qs'!$G$1:$P$1)</c15:sqref>
                  </c15:fullRef>
                </c:ext>
              </c:extLst>
              <c:f>'Q&amp;Qs'!$G$1:$P$1</c:f>
              <c:strCache>
                <c:ptCount val="10"/>
                <c:pt idx="0">
                  <c:v>Food Waste</c:v>
                </c:pt>
                <c:pt idx="1">
                  <c:v>Garden and Yard wastes</c:v>
                </c:pt>
                <c:pt idx="2">
                  <c:v>Wood</c:v>
                </c:pt>
                <c:pt idx="3">
                  <c:v>Textiles</c:v>
                </c:pt>
                <c:pt idx="4">
                  <c:v>Paper and pulp</c:v>
                </c:pt>
                <c:pt idx="5">
                  <c:v>Polythene Bags</c:v>
                </c:pt>
                <c:pt idx="6">
                  <c:v>Plastics and Rubber</c:v>
                </c:pt>
                <c:pt idx="7">
                  <c:v>Glass</c:v>
                </c:pt>
                <c:pt idx="8">
                  <c:v>Metals</c:v>
                </c:pt>
                <c:pt idx="9">
                  <c:v>Others</c:v>
                </c:pt>
              </c:strCache>
            </c:strRef>
          </c:cat>
          <c:val>
            <c:numRef>
              <c:extLst>
                <c:ext xmlns:c15="http://schemas.microsoft.com/office/drawing/2012/chart" uri="{02D57815-91ED-43cb-92C2-25804820EDAC}">
                  <c15:fullRef>
                    <c15:sqref>('Q&amp;Qs'!$B$3,'Q&amp;Qs'!$G$3:$P$3)</c15:sqref>
                  </c15:fullRef>
                </c:ext>
              </c:extLst>
              <c:f>'Q&amp;Qs'!$G$3:$P$3</c:f>
              <c:numCache>
                <c:formatCode>0.00%</c:formatCode>
                <c:ptCount val="10"/>
                <c:pt idx="0">
                  <c:v>0.81011138567583652</c:v>
                </c:pt>
                <c:pt idx="1">
                  <c:v>2.1119092812743444E-2</c:v>
                </c:pt>
                <c:pt idx="2">
                  <c:v>6.4505401765005063E-4</c:v>
                </c:pt>
                <c:pt idx="3">
                  <c:v>1.7432925164858247E-2</c:v>
                </c:pt>
                <c:pt idx="4">
                  <c:v>3.1535980402284371E-2</c:v>
                </c:pt>
                <c:pt idx="5">
                  <c:v>4.2402560365808258E-2</c:v>
                </c:pt>
                <c:pt idx="6">
                  <c:v>2.7603715672564616E-2</c:v>
                </c:pt>
                <c:pt idx="7">
                  <c:v>2.8928352309953182E-3</c:v>
                </c:pt>
                <c:pt idx="8">
                  <c:v>5.7806243704109405E-3</c:v>
                </c:pt>
                <c:pt idx="9">
                  <c:v>7.6865174557293442E-2</c:v>
                </c:pt>
              </c:numCache>
            </c:numRef>
          </c:val>
          <c:extLst>
            <c:ext xmlns:c16="http://schemas.microsoft.com/office/drawing/2014/chart" uri="{C3380CC4-5D6E-409C-BE32-E72D297353CC}">
              <c16:uniqueId val="{00000001-5070-4FC6-9517-774C8C18C683}"/>
            </c:ext>
          </c:extLst>
        </c:ser>
        <c:ser>
          <c:idx val="2"/>
          <c:order val="2"/>
          <c:tx>
            <c:strRef>
              <c:f>'Q&amp;Qs'!$A$4</c:f>
              <c:strCache>
                <c:ptCount val="1"/>
                <c:pt idx="0">
                  <c:v>Ggaba</c:v>
                </c:pt>
              </c:strCache>
            </c:strRef>
          </c:tx>
          <c:spPr>
            <a:solidFill>
              <a:schemeClr val="accent3"/>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extLst>
                <c:ext xmlns:c15="http://schemas.microsoft.com/office/drawing/2012/chart" uri="{02D57815-91ED-43cb-92C2-25804820EDAC}">
                  <c15:fullRef>
                    <c15:sqref>('Q&amp;Qs'!$B$1,'Q&amp;Qs'!$G$1:$P$1)</c15:sqref>
                  </c15:fullRef>
                </c:ext>
              </c:extLst>
              <c:f>'Q&amp;Qs'!$G$1:$P$1</c:f>
              <c:strCache>
                <c:ptCount val="10"/>
                <c:pt idx="0">
                  <c:v>Food Waste</c:v>
                </c:pt>
                <c:pt idx="1">
                  <c:v>Garden and Yard wastes</c:v>
                </c:pt>
                <c:pt idx="2">
                  <c:v>Wood</c:v>
                </c:pt>
                <c:pt idx="3">
                  <c:v>Textiles</c:v>
                </c:pt>
                <c:pt idx="4">
                  <c:v>Paper and pulp</c:v>
                </c:pt>
                <c:pt idx="5">
                  <c:v>Polythene Bags</c:v>
                </c:pt>
                <c:pt idx="6">
                  <c:v>Plastics and Rubber</c:v>
                </c:pt>
                <c:pt idx="7">
                  <c:v>Glass</c:v>
                </c:pt>
                <c:pt idx="8">
                  <c:v>Metals</c:v>
                </c:pt>
                <c:pt idx="9">
                  <c:v>Others</c:v>
                </c:pt>
              </c:strCache>
            </c:strRef>
          </c:cat>
          <c:val>
            <c:numRef>
              <c:extLst>
                <c:ext xmlns:c15="http://schemas.microsoft.com/office/drawing/2012/chart" uri="{02D57815-91ED-43cb-92C2-25804820EDAC}">
                  <c15:fullRef>
                    <c15:sqref>('Q&amp;Qs'!$B$4,'Q&amp;Qs'!$G$4:$P$4)</c15:sqref>
                  </c15:fullRef>
                </c:ext>
              </c:extLst>
              <c:f>'Q&amp;Qs'!$G$4:$P$4</c:f>
              <c:numCache>
                <c:formatCode>0.00%</c:formatCode>
                <c:ptCount val="10"/>
                <c:pt idx="0">
                  <c:v>0.7440790289457766</c:v>
                </c:pt>
                <c:pt idx="1">
                  <c:v>0.1005464409936459</c:v>
                </c:pt>
                <c:pt idx="2">
                  <c:v>1.9638648860958374E-3</c:v>
                </c:pt>
                <c:pt idx="3">
                  <c:v>3.2444666713861482E-3</c:v>
                </c:pt>
                <c:pt idx="4">
                  <c:v>1.8546505740801571E-2</c:v>
                </c:pt>
                <c:pt idx="5">
                  <c:v>2.7888498086958261E-2</c:v>
                </c:pt>
                <c:pt idx="6">
                  <c:v>3.6591409340807471E-2</c:v>
                </c:pt>
                <c:pt idx="7">
                  <c:v>7.7952421765939287E-4</c:v>
                </c:pt>
                <c:pt idx="8">
                  <c:v>7.3135283989537257E-3</c:v>
                </c:pt>
                <c:pt idx="9">
                  <c:v>6.0437540280912132E-2</c:v>
                </c:pt>
              </c:numCache>
            </c:numRef>
          </c:val>
          <c:extLst>
            <c:ext xmlns:c16="http://schemas.microsoft.com/office/drawing/2014/chart" uri="{C3380CC4-5D6E-409C-BE32-E72D297353CC}">
              <c16:uniqueId val="{00000002-5070-4FC6-9517-774C8C18C683}"/>
            </c:ext>
          </c:extLst>
        </c:ser>
        <c:dLbls>
          <c:showLegendKey val="0"/>
          <c:showVal val="0"/>
          <c:showCatName val="0"/>
          <c:showSerName val="0"/>
          <c:showPercent val="0"/>
          <c:showBubbleSize val="0"/>
        </c:dLbls>
        <c:gapWidth val="150"/>
        <c:overlap val="100"/>
        <c:axId val="332279200"/>
        <c:axId val="332280864"/>
      </c:barChart>
      <c:catAx>
        <c:axId val="33227920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Categories</a:t>
                </a:r>
                <a:r>
                  <a:rPr lang="en-US" baseline="0"/>
                  <a:t> of Solid waste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280864"/>
        <c:crosses val="autoZero"/>
        <c:auto val="1"/>
        <c:lblAlgn val="ctr"/>
        <c:lblOffset val="100"/>
        <c:noMultiLvlLbl val="0"/>
      </c:catAx>
      <c:valAx>
        <c:axId val="33228086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Percentages of solid waste</a:t>
                </a:r>
                <a:r>
                  <a:rPr lang="en-US" baseline="0"/>
                  <a:t> in th three study areas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279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total Solid waste Generated</a:t>
            </a:r>
            <a:r>
              <a:rPr lang="en-US" baseline="0"/>
              <a:t> and Volume in the three study areas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'Q&amp;Qs'!$B$1</c:f>
              <c:strCache>
                <c:ptCount val="1"/>
                <c:pt idx="0">
                  <c:v>Average Total waste generated(kg)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'Q&amp;Qs'!$A$2:$A$4</c:f>
              <c:strCache>
                <c:ptCount val="3"/>
                <c:pt idx="0">
                  <c:v>Bwaise I</c:v>
                </c:pt>
                <c:pt idx="1">
                  <c:v>Bukoto I</c:v>
                </c:pt>
                <c:pt idx="2">
                  <c:v>Ggaba</c:v>
                </c:pt>
              </c:strCache>
            </c:strRef>
          </c:cat>
          <c:val>
            <c:numRef>
              <c:f>'Q&amp;Qs'!$B$2:$B$4</c:f>
              <c:numCache>
                <c:formatCode>0.0000</c:formatCode>
                <c:ptCount val="3"/>
                <c:pt idx="0" formatCode="0.000">
                  <c:v>12.983179487179488</c:v>
                </c:pt>
                <c:pt idx="1">
                  <c:v>13.277200000000001</c:v>
                </c:pt>
                <c:pt idx="2">
                  <c:v>37.441862499999992</c:v>
                </c:pt>
              </c:numCache>
            </c:numRef>
          </c:val>
          <c:extLst>
            <c:ext xmlns:c16="http://schemas.microsoft.com/office/drawing/2014/chart" uri="{C3380CC4-5D6E-409C-BE32-E72D297353CC}">
              <c16:uniqueId val="{00000000-98EB-4A45-9B6F-30C513983382}"/>
            </c:ext>
          </c:extLst>
        </c:ser>
        <c:ser>
          <c:idx val="1"/>
          <c:order val="1"/>
          <c:tx>
            <c:strRef>
              <c:f>'Q&amp;Qs'!$E$1</c:f>
              <c:strCache>
                <c:ptCount val="1"/>
                <c:pt idx="0">
                  <c:v>Volume(L)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'Q&amp;Qs'!$A$2:$A$4</c:f>
              <c:strCache>
                <c:ptCount val="3"/>
                <c:pt idx="0">
                  <c:v>Bwaise I</c:v>
                </c:pt>
                <c:pt idx="1">
                  <c:v>Bukoto I</c:v>
                </c:pt>
                <c:pt idx="2">
                  <c:v>Ggaba</c:v>
                </c:pt>
              </c:strCache>
            </c:strRef>
          </c:cat>
          <c:val>
            <c:numRef>
              <c:f>'Q&amp;Qs'!$E$2:$E$4</c:f>
              <c:numCache>
                <c:formatCode>0.0000</c:formatCode>
                <c:ptCount val="3"/>
                <c:pt idx="0" formatCode="0.000">
                  <c:v>39.435897435897438</c:v>
                </c:pt>
                <c:pt idx="1">
                  <c:v>31.4375</c:v>
                </c:pt>
                <c:pt idx="2" formatCode="0.000">
                  <c:v>119.6875</c:v>
                </c:pt>
              </c:numCache>
            </c:numRef>
          </c:val>
          <c:extLst>
            <c:ext xmlns:c16="http://schemas.microsoft.com/office/drawing/2014/chart" uri="{C3380CC4-5D6E-409C-BE32-E72D297353CC}">
              <c16:uniqueId val="{00000001-98EB-4A45-9B6F-30C513983382}"/>
            </c:ext>
          </c:extLst>
        </c:ser>
        <c:dLbls>
          <c:showLegendKey val="0"/>
          <c:showVal val="1"/>
          <c:showCatName val="0"/>
          <c:showSerName val="0"/>
          <c:showPercent val="0"/>
          <c:showBubbleSize val="0"/>
        </c:dLbls>
        <c:gapWidth val="219"/>
        <c:overlap val="-27"/>
        <c:axId val="662919376"/>
        <c:axId val="662917296"/>
        <c:extLst>
          <c:ext xmlns:c15="http://schemas.microsoft.com/office/drawing/2012/chart" uri="{02D57815-91ED-43cb-92C2-25804820EDAC}">
            <c15:filteredBarSeries>
              <c15:ser>
                <c:idx val="2"/>
                <c:order val="2"/>
                <c:tx>
                  <c:strRef>
                    <c:extLst>
                      <c:ext uri="{02D57815-91ED-43cb-92C2-25804820EDAC}">
                        <c15:formulaRef>
                          <c15:sqref>'Q&amp;Qs'!$F$1</c15:sqref>
                        </c15:formulaRef>
                      </c:ext>
                    </c:extLst>
                    <c:strCache>
                      <c:ptCount val="1"/>
                      <c:pt idx="0">
                        <c:v>Density(kg/L)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extLst>
                      <c:ext uri="{02D57815-91ED-43cb-92C2-25804820EDAC}">
                        <c15:formulaRef>
                          <c15:sqref>'Q&amp;Qs'!$A$2:$A$4</c15:sqref>
                        </c15:formulaRef>
                      </c:ext>
                    </c:extLst>
                    <c:strCache>
                      <c:ptCount val="3"/>
                      <c:pt idx="0">
                        <c:v>Bwaise I</c:v>
                      </c:pt>
                      <c:pt idx="1">
                        <c:v>Bukoto I</c:v>
                      </c:pt>
                      <c:pt idx="2">
                        <c:v>Ggaba</c:v>
                      </c:pt>
                    </c:strCache>
                  </c:strRef>
                </c:cat>
                <c:val>
                  <c:numRef>
                    <c:extLst>
                      <c:ext uri="{02D57815-91ED-43cb-92C2-25804820EDAC}">
                        <c15:formulaRef>
                          <c15:sqref>'Q&amp;Qs'!$F$2:$F$4</c15:sqref>
                        </c15:formulaRef>
                      </c:ext>
                    </c:extLst>
                    <c:numCache>
                      <c:formatCode>0.0000</c:formatCode>
                      <c:ptCount val="3"/>
                      <c:pt idx="0" formatCode="0.000">
                        <c:v>0.36811795614608123</c:v>
                      </c:pt>
                      <c:pt idx="1">
                        <c:v>0.57128682725694457</c:v>
                      </c:pt>
                      <c:pt idx="2">
                        <c:v>0.3249940710764137</c:v>
                      </c:pt>
                    </c:numCache>
                  </c:numRef>
                </c:val>
                <c:extLst>
                  <c:ext xmlns:c16="http://schemas.microsoft.com/office/drawing/2014/chart" uri="{C3380CC4-5D6E-409C-BE32-E72D297353CC}">
                    <c16:uniqueId val="{00000002-98EB-4A45-9B6F-30C513983382}"/>
                  </c:ext>
                </c:extLst>
              </c15:ser>
            </c15:filteredBarSeries>
          </c:ext>
        </c:extLst>
      </c:barChart>
      <c:catAx>
        <c:axId val="66291937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17296"/>
        <c:crosses val="autoZero"/>
        <c:auto val="1"/>
        <c:lblAlgn val="ctr"/>
        <c:lblOffset val="100"/>
        <c:noMultiLvlLbl val="0"/>
      </c:catAx>
      <c:valAx>
        <c:axId val="6629172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1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Average per capita waste Generated and density in the three study areas</a:t>
            </a:r>
            <a:endParaRPr lang="en-UG">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'Q&amp;Qs'!$D$1</c:f>
              <c:strCache>
                <c:ptCount val="1"/>
                <c:pt idx="0">
                  <c:v>Average Per Capita Generation(kg/day)</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errBars>
            <c:errBarType val="both"/>
            <c:errValType val="stdErr"/>
            <c:noEndCap val="0"/>
            <c:spPr>
              <a:noFill/>
              <a:ln w="9525" cap="flat" cmpd="sng" algn="ctr">
                <a:solidFill>
                  <a:schemeClr val="tx1">
                    <a:lumMod val="65000"/>
                    <a:lumOff val="35000"/>
                  </a:schemeClr>
                </a:solidFill>
                <a:round/>
              </a:ln>
              <a:effectLst/>
            </c:spPr>
          </c:errBars>
          <c:cat>
            <c:strRef>
              <c:f>'Q&amp;Qs'!$A$2:$A$4</c:f>
              <c:strCache>
                <c:ptCount val="3"/>
                <c:pt idx="0">
                  <c:v>Bwaise I</c:v>
                </c:pt>
                <c:pt idx="1">
                  <c:v>Bukoto I</c:v>
                </c:pt>
                <c:pt idx="2">
                  <c:v>Ggaba</c:v>
                </c:pt>
              </c:strCache>
            </c:strRef>
          </c:cat>
          <c:val>
            <c:numRef>
              <c:f>'Q&amp;Qs'!$D$2:$D$4</c:f>
              <c:numCache>
                <c:formatCode>0.0000</c:formatCode>
                <c:ptCount val="3"/>
                <c:pt idx="0" formatCode="0.000">
                  <c:v>0.42662958271886847</c:v>
                </c:pt>
                <c:pt idx="1">
                  <c:v>0.5275594316893425</c:v>
                </c:pt>
                <c:pt idx="2">
                  <c:v>0.97940562641723372</c:v>
                </c:pt>
              </c:numCache>
            </c:numRef>
          </c:val>
          <c:extLst>
            <c:ext xmlns:c16="http://schemas.microsoft.com/office/drawing/2014/chart" uri="{C3380CC4-5D6E-409C-BE32-E72D297353CC}">
              <c16:uniqueId val="{00000000-BAE4-44F8-A9CC-85EEE1920324}"/>
            </c:ext>
          </c:extLst>
        </c:ser>
        <c:ser>
          <c:idx val="1"/>
          <c:order val="1"/>
          <c:tx>
            <c:strRef>
              <c:f>'Q&amp;Qs'!$F$1</c:f>
              <c:strCache>
                <c:ptCount val="1"/>
                <c:pt idx="0">
                  <c:v>Density(kg/L)</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errBars>
            <c:errBarType val="both"/>
            <c:errValType val="stdErr"/>
            <c:noEndCap val="0"/>
            <c:spPr>
              <a:noFill/>
              <a:ln w="9525" cap="flat" cmpd="sng" algn="ctr">
                <a:solidFill>
                  <a:schemeClr val="tx1">
                    <a:lumMod val="65000"/>
                    <a:lumOff val="35000"/>
                  </a:schemeClr>
                </a:solidFill>
                <a:round/>
              </a:ln>
              <a:effectLst/>
            </c:spPr>
          </c:errBars>
          <c:cat>
            <c:strRef>
              <c:f>'Q&amp;Qs'!$A$2:$A$4</c:f>
              <c:strCache>
                <c:ptCount val="3"/>
                <c:pt idx="0">
                  <c:v>Bwaise I</c:v>
                </c:pt>
                <c:pt idx="1">
                  <c:v>Bukoto I</c:v>
                </c:pt>
                <c:pt idx="2">
                  <c:v>Ggaba</c:v>
                </c:pt>
              </c:strCache>
            </c:strRef>
          </c:cat>
          <c:val>
            <c:numRef>
              <c:f>'Q&amp;Qs'!$F$2:$F$4</c:f>
              <c:numCache>
                <c:formatCode>0.0000</c:formatCode>
                <c:ptCount val="3"/>
                <c:pt idx="0" formatCode="0.000">
                  <c:v>0.36811795614608123</c:v>
                </c:pt>
                <c:pt idx="1">
                  <c:v>0.57128682725694457</c:v>
                </c:pt>
                <c:pt idx="2">
                  <c:v>0.3249940710764137</c:v>
                </c:pt>
              </c:numCache>
            </c:numRef>
          </c:val>
          <c:extLst>
            <c:ext xmlns:c16="http://schemas.microsoft.com/office/drawing/2014/chart" uri="{C3380CC4-5D6E-409C-BE32-E72D297353CC}">
              <c16:uniqueId val="{00000001-BAE4-44F8-A9CC-85EEE1920324}"/>
            </c:ext>
          </c:extLst>
        </c:ser>
        <c:dLbls>
          <c:showLegendKey val="0"/>
          <c:showVal val="0"/>
          <c:showCatName val="0"/>
          <c:showSerName val="0"/>
          <c:showPercent val="0"/>
          <c:showBubbleSize val="0"/>
        </c:dLbls>
        <c:gapWidth val="182"/>
        <c:axId val="708433504"/>
        <c:axId val="708432256"/>
      </c:barChart>
      <c:catAx>
        <c:axId val="7084335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Study Areas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432256"/>
        <c:crosses val="autoZero"/>
        <c:auto val="1"/>
        <c:lblAlgn val="ctr"/>
        <c:lblOffset val="100"/>
        <c:noMultiLvlLbl val="0"/>
      </c:catAx>
      <c:valAx>
        <c:axId val="70843225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per capita waste generation and Density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433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'Encoded Data'!$AW$1</c:f>
              <c:strCache>
                <c:ptCount val="1"/>
                <c:pt idx="0">
                  <c:v>Total waste generated(kg)</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'Encoded Data'!$B$2:$B$106</c:f>
              <c:strCache>
                <c:ptCount val="105"/>
                <c:pt idx="2">
                  <c:v>Household_1</c:v>
                </c:pt>
                <c:pt idx="3">
                  <c:v>Household_2</c:v>
                </c:pt>
                <c:pt idx="4">
                  <c:v>Household_3</c:v>
                </c:pt>
                <c:pt idx="5">
                  <c:v>Household_4</c:v>
                </c:pt>
                <c:pt idx="6">
                  <c:v>Household_5</c:v>
                </c:pt>
                <c:pt idx="7">
                  <c:v>Household_6</c:v>
                </c:pt>
                <c:pt idx="8">
                  <c:v>Household_7</c:v>
                </c:pt>
                <c:pt idx="9">
                  <c:v>Household_8</c:v>
                </c:pt>
                <c:pt idx="10">
                  <c:v>Household_9</c:v>
                </c:pt>
                <c:pt idx="11">
                  <c:v>Household_10</c:v>
                </c:pt>
                <c:pt idx="12">
                  <c:v>Household_11</c:v>
                </c:pt>
                <c:pt idx="13">
                  <c:v>Household_12</c:v>
                </c:pt>
                <c:pt idx="14">
                  <c:v>Household_13</c:v>
                </c:pt>
                <c:pt idx="15">
                  <c:v>Household_14</c:v>
                </c:pt>
                <c:pt idx="16">
                  <c:v>Household_15</c:v>
                </c:pt>
                <c:pt idx="17">
                  <c:v>Household_16</c:v>
                </c:pt>
                <c:pt idx="18">
                  <c:v>Household_17</c:v>
                </c:pt>
                <c:pt idx="19">
                  <c:v>Household_18</c:v>
                </c:pt>
                <c:pt idx="20">
                  <c:v>Household_19</c:v>
                </c:pt>
                <c:pt idx="21">
                  <c:v>Household_20</c:v>
                </c:pt>
                <c:pt idx="22">
                  <c:v>Household_21</c:v>
                </c:pt>
                <c:pt idx="23">
                  <c:v>Household_22</c:v>
                </c:pt>
                <c:pt idx="24">
                  <c:v>Household_23</c:v>
                </c:pt>
                <c:pt idx="25">
                  <c:v>Household_24</c:v>
                </c:pt>
                <c:pt idx="26">
                  <c:v>Household_25</c:v>
                </c:pt>
                <c:pt idx="27">
                  <c:v>Household_26</c:v>
                </c:pt>
                <c:pt idx="28">
                  <c:v>Household_27</c:v>
                </c:pt>
                <c:pt idx="29">
                  <c:v>Household_28</c:v>
                </c:pt>
                <c:pt idx="30">
                  <c:v>Household_29</c:v>
                </c:pt>
                <c:pt idx="31">
                  <c:v>Household_30</c:v>
                </c:pt>
                <c:pt idx="32">
                  <c:v>Household_31</c:v>
                </c:pt>
                <c:pt idx="33">
                  <c:v>Household_32</c:v>
                </c:pt>
                <c:pt idx="34">
                  <c:v>Household_33</c:v>
                </c:pt>
                <c:pt idx="35">
                  <c:v>Household_34</c:v>
                </c:pt>
                <c:pt idx="36">
                  <c:v>Household_35</c:v>
                </c:pt>
                <c:pt idx="37">
                  <c:v>Household_36</c:v>
                </c:pt>
                <c:pt idx="38">
                  <c:v>Household_37</c:v>
                </c:pt>
                <c:pt idx="39">
                  <c:v>Household_38</c:v>
                </c:pt>
                <c:pt idx="40">
                  <c:v>Household_39</c:v>
                </c:pt>
                <c:pt idx="41">
                  <c:v>Household_40</c:v>
                </c:pt>
                <c:pt idx="42">
                  <c:v>Household_41</c:v>
                </c:pt>
                <c:pt idx="43">
                  <c:v>Household_42</c:v>
                </c:pt>
                <c:pt idx="44">
                  <c:v>Household_43</c:v>
                </c:pt>
                <c:pt idx="45">
                  <c:v>Household_44</c:v>
                </c:pt>
                <c:pt idx="46">
                  <c:v>Household_45</c:v>
                </c:pt>
                <c:pt idx="47">
                  <c:v>Household_46</c:v>
                </c:pt>
                <c:pt idx="48">
                  <c:v>Household_47</c:v>
                </c:pt>
                <c:pt idx="49">
                  <c:v>Household_48</c:v>
                </c:pt>
                <c:pt idx="50">
                  <c:v>Household_49</c:v>
                </c:pt>
                <c:pt idx="51">
                  <c:v>Household_50</c:v>
                </c:pt>
                <c:pt idx="52">
                  <c:v>Household_51</c:v>
                </c:pt>
                <c:pt idx="53">
                  <c:v>Household_52</c:v>
                </c:pt>
                <c:pt idx="54">
                  <c:v>Household_53</c:v>
                </c:pt>
                <c:pt idx="55">
                  <c:v>Household_54</c:v>
                </c:pt>
                <c:pt idx="56">
                  <c:v>Household_55</c:v>
                </c:pt>
                <c:pt idx="57">
                  <c:v>Household_56</c:v>
                </c:pt>
                <c:pt idx="58">
                  <c:v>Household_57</c:v>
                </c:pt>
                <c:pt idx="59">
                  <c:v>Household_58</c:v>
                </c:pt>
                <c:pt idx="60">
                  <c:v>Household_59</c:v>
                </c:pt>
                <c:pt idx="61">
                  <c:v>Household_60</c:v>
                </c:pt>
                <c:pt idx="62">
                  <c:v>Household_61</c:v>
                </c:pt>
                <c:pt idx="63">
                  <c:v>Household_62</c:v>
                </c:pt>
                <c:pt idx="64">
                  <c:v>Household_63</c:v>
                </c:pt>
                <c:pt idx="65">
                  <c:v>Household_64</c:v>
                </c:pt>
                <c:pt idx="66">
                  <c:v>Household_65</c:v>
                </c:pt>
                <c:pt idx="67">
                  <c:v>Household_66</c:v>
                </c:pt>
                <c:pt idx="68">
                  <c:v>Household_67</c:v>
                </c:pt>
                <c:pt idx="69">
                  <c:v>Household_68</c:v>
                </c:pt>
                <c:pt idx="70">
                  <c:v>Household_69</c:v>
                </c:pt>
                <c:pt idx="71">
                  <c:v>Household_70</c:v>
                </c:pt>
                <c:pt idx="72">
                  <c:v>Household_71</c:v>
                </c:pt>
                <c:pt idx="73">
                  <c:v>Household_72</c:v>
                </c:pt>
                <c:pt idx="74">
                  <c:v>Household_73</c:v>
                </c:pt>
                <c:pt idx="75">
                  <c:v>Household_74</c:v>
                </c:pt>
                <c:pt idx="76">
                  <c:v>Household_75</c:v>
                </c:pt>
                <c:pt idx="77">
                  <c:v>Household_76</c:v>
                </c:pt>
                <c:pt idx="78">
                  <c:v>Household_77</c:v>
                </c:pt>
                <c:pt idx="79">
                  <c:v>Household_78</c:v>
                </c:pt>
                <c:pt idx="80">
                  <c:v>Household_79</c:v>
                </c:pt>
                <c:pt idx="81">
                  <c:v>Household_80</c:v>
                </c:pt>
                <c:pt idx="82">
                  <c:v>Household_81</c:v>
                </c:pt>
                <c:pt idx="83">
                  <c:v>Household_82</c:v>
                </c:pt>
                <c:pt idx="84">
                  <c:v>Household_83</c:v>
                </c:pt>
                <c:pt idx="85">
                  <c:v>Household_84</c:v>
                </c:pt>
                <c:pt idx="86">
                  <c:v>Household_85</c:v>
                </c:pt>
                <c:pt idx="87">
                  <c:v>Household_86</c:v>
                </c:pt>
                <c:pt idx="88">
                  <c:v>Household_87</c:v>
                </c:pt>
                <c:pt idx="89">
                  <c:v>Household_88</c:v>
                </c:pt>
                <c:pt idx="90">
                  <c:v>Household_89</c:v>
                </c:pt>
                <c:pt idx="91">
                  <c:v>Household_90</c:v>
                </c:pt>
                <c:pt idx="92">
                  <c:v>Household_91</c:v>
                </c:pt>
                <c:pt idx="93">
                  <c:v>Household_92</c:v>
                </c:pt>
                <c:pt idx="94">
                  <c:v>Household_93</c:v>
                </c:pt>
                <c:pt idx="95">
                  <c:v>Household_94</c:v>
                </c:pt>
                <c:pt idx="96">
                  <c:v>Household_95</c:v>
                </c:pt>
                <c:pt idx="97">
                  <c:v>Household_96</c:v>
                </c:pt>
                <c:pt idx="98">
                  <c:v>Household_97</c:v>
                </c:pt>
                <c:pt idx="99">
                  <c:v>Household_98</c:v>
                </c:pt>
                <c:pt idx="100">
                  <c:v>Household_99</c:v>
                </c:pt>
                <c:pt idx="101">
                  <c:v>Household_100</c:v>
                </c:pt>
                <c:pt idx="102">
                  <c:v>Household_101</c:v>
                </c:pt>
                <c:pt idx="103">
                  <c:v>Household_102</c:v>
                </c:pt>
                <c:pt idx="104">
                  <c:v>Household_103</c:v>
                </c:pt>
              </c:strCache>
            </c:strRef>
          </c:cat>
          <c:val>
            <c:numRef>
              <c:f>'Encoded Data'!$AW$2:$AW$106</c:f>
              <c:numCache>
                <c:formatCode>General</c:formatCode>
                <c:ptCount val="105"/>
                <c:pt idx="2" formatCode="#,##0.000">
                  <c:v>7.3240000000000007</c:v>
                </c:pt>
                <c:pt idx="3" formatCode="#,##0.000">
                  <c:v>13.126000000000001</c:v>
                </c:pt>
                <c:pt idx="4" formatCode="#,##0.000">
                  <c:v>4.5599999999999996</c:v>
                </c:pt>
                <c:pt idx="5" formatCode="#,##0.000">
                  <c:v>19.569999999999997</c:v>
                </c:pt>
                <c:pt idx="6" formatCode="#,##0.000">
                  <c:v>4.0699999999999994</c:v>
                </c:pt>
                <c:pt idx="7" formatCode="#,##0.000">
                  <c:v>1.1209999999999998</c:v>
                </c:pt>
                <c:pt idx="8" formatCode="#,##0.000">
                  <c:v>33.900000000000006</c:v>
                </c:pt>
                <c:pt idx="9" formatCode="#,##0.000">
                  <c:v>10.299999999999999</c:v>
                </c:pt>
                <c:pt idx="10" formatCode="#,##0.000">
                  <c:v>11.548</c:v>
                </c:pt>
                <c:pt idx="11" formatCode="#,##0.000">
                  <c:v>10.570000000000002</c:v>
                </c:pt>
                <c:pt idx="12" formatCode="#,##0.000">
                  <c:v>6.7650000000000006</c:v>
                </c:pt>
                <c:pt idx="13" formatCode="#,##0.000">
                  <c:v>8.9329999999999998</c:v>
                </c:pt>
                <c:pt idx="14" formatCode="#,##0.000">
                  <c:v>2.15</c:v>
                </c:pt>
                <c:pt idx="15" formatCode="#,##0.000">
                  <c:v>11.551</c:v>
                </c:pt>
                <c:pt idx="16" formatCode="#,##0.000">
                  <c:v>21.556000000000001</c:v>
                </c:pt>
                <c:pt idx="17" formatCode="#,##0.000">
                  <c:v>5.202</c:v>
                </c:pt>
                <c:pt idx="18" formatCode="#,##0.000">
                  <c:v>37.28</c:v>
                </c:pt>
                <c:pt idx="19" formatCode="#,##0.000">
                  <c:v>24.934000000000001</c:v>
                </c:pt>
                <c:pt idx="20" formatCode="#,##0.000">
                  <c:v>14.866999999999999</c:v>
                </c:pt>
                <c:pt idx="21" formatCode="#,##0.000">
                  <c:v>19.464999999999996</c:v>
                </c:pt>
                <c:pt idx="22" formatCode="#,##0.000">
                  <c:v>5.734</c:v>
                </c:pt>
                <c:pt idx="23" formatCode="#,##0.000">
                  <c:v>14.203999999999999</c:v>
                </c:pt>
                <c:pt idx="24" formatCode="#,##0.000">
                  <c:v>0.34199999999999997</c:v>
                </c:pt>
                <c:pt idx="25" formatCode="#,##0.000">
                  <c:v>0.78499999999999992</c:v>
                </c:pt>
                <c:pt idx="26" formatCode="#,##0.000">
                  <c:v>7.9349999999999996</c:v>
                </c:pt>
                <c:pt idx="27" formatCode="#,##0.000">
                  <c:v>14.608000000000002</c:v>
                </c:pt>
                <c:pt idx="28" formatCode="#,##0.000">
                  <c:v>44</c:v>
                </c:pt>
                <c:pt idx="29" formatCode="#,##0.000">
                  <c:v>7.3579999999999997</c:v>
                </c:pt>
                <c:pt idx="30" formatCode="#,##0.000">
                  <c:v>8.0310000000000006</c:v>
                </c:pt>
                <c:pt idx="31" formatCode="#,##0.000">
                  <c:v>1.895</c:v>
                </c:pt>
                <c:pt idx="32" formatCode="#,##0.000">
                  <c:v>8.8859999999999992</c:v>
                </c:pt>
                <c:pt idx="33" formatCode="#,##0.000">
                  <c:v>4.1709999999999994</c:v>
                </c:pt>
                <c:pt idx="34" formatCode="#,##0.000">
                  <c:v>19.978999999999999</c:v>
                </c:pt>
                <c:pt idx="35" formatCode="#,##0.000">
                  <c:v>40.300000000000004</c:v>
                </c:pt>
                <c:pt idx="36" formatCode="#,##0.000">
                  <c:v>16.407999999999998</c:v>
                </c:pt>
                <c:pt idx="37" formatCode="#,##0.000">
                  <c:v>26.658999999999995</c:v>
                </c:pt>
                <c:pt idx="38" formatCode="#,##0.000">
                  <c:v>5.9270000000000005</c:v>
                </c:pt>
                <c:pt idx="39" formatCode="#,##0.000">
                  <c:v>2.3839999999999999</c:v>
                </c:pt>
                <c:pt idx="40" formatCode="#,##0.000">
                  <c:v>7.9460000000000006</c:v>
                </c:pt>
                <c:pt idx="41" formatCode="0.00">
                  <c:v>16.84</c:v>
                </c:pt>
                <c:pt idx="42" formatCode="0.00">
                  <c:v>6.21</c:v>
                </c:pt>
                <c:pt idx="43" formatCode="0.00">
                  <c:v>20.02</c:v>
                </c:pt>
                <c:pt idx="44" formatCode="0.00">
                  <c:v>5.49</c:v>
                </c:pt>
                <c:pt idx="45" formatCode="0.00">
                  <c:v>18.510000000000002</c:v>
                </c:pt>
                <c:pt idx="46" formatCode="0.00">
                  <c:v>8.0380000000000003</c:v>
                </c:pt>
                <c:pt idx="47" formatCode="0.00">
                  <c:v>9.82</c:v>
                </c:pt>
                <c:pt idx="48" formatCode="0.00">
                  <c:v>2.63</c:v>
                </c:pt>
                <c:pt idx="49" formatCode="0.00">
                  <c:v>8.17</c:v>
                </c:pt>
                <c:pt idx="50" formatCode="0.00">
                  <c:v>20.77</c:v>
                </c:pt>
                <c:pt idx="51" formatCode="0.00">
                  <c:v>37.99</c:v>
                </c:pt>
                <c:pt idx="52" formatCode="0.00">
                  <c:v>22.26</c:v>
                </c:pt>
                <c:pt idx="53" formatCode="0.00">
                  <c:v>45.478999999999999</c:v>
                </c:pt>
                <c:pt idx="54" formatCode="0.00">
                  <c:v>13.718400000000001</c:v>
                </c:pt>
                <c:pt idx="55" formatCode="0.00">
                  <c:v>8.0190000000000001</c:v>
                </c:pt>
                <c:pt idx="56" formatCode="0.00">
                  <c:v>22.622</c:v>
                </c:pt>
                <c:pt idx="57" formatCode="0.00">
                  <c:v>7.4740000000000002</c:v>
                </c:pt>
                <c:pt idx="58" formatCode="0.00">
                  <c:v>6.0650000000000004</c:v>
                </c:pt>
                <c:pt idx="59" formatCode="0.00">
                  <c:v>3.379</c:v>
                </c:pt>
                <c:pt idx="60" formatCode="0.00">
                  <c:v>5.2469999999999999</c:v>
                </c:pt>
                <c:pt idx="61" formatCode="0.00">
                  <c:v>7.67</c:v>
                </c:pt>
                <c:pt idx="62" formatCode="0.00">
                  <c:v>8.41</c:v>
                </c:pt>
                <c:pt idx="63" formatCode="0.00">
                  <c:v>5.6619999999999999</c:v>
                </c:pt>
                <c:pt idx="64" formatCode="0.00">
                  <c:v>6.42</c:v>
                </c:pt>
                <c:pt idx="65" formatCode="0.00">
                  <c:v>2.6880000000000002</c:v>
                </c:pt>
                <c:pt idx="66" formatCode="0.00">
                  <c:v>4.8339999999999996</c:v>
                </c:pt>
                <c:pt idx="67" formatCode="0.00">
                  <c:v>2.5209999999999999</c:v>
                </c:pt>
                <c:pt idx="68" formatCode="0.00">
                  <c:v>18.498000000000001</c:v>
                </c:pt>
                <c:pt idx="69" formatCode="0.00">
                  <c:v>12.589</c:v>
                </c:pt>
                <c:pt idx="70" formatCode="0.00">
                  <c:v>12.908000000000001</c:v>
                </c:pt>
                <c:pt idx="71" formatCode="0.00">
                  <c:v>27.375</c:v>
                </c:pt>
                <c:pt idx="72" formatCode="0.00">
                  <c:v>26.544</c:v>
                </c:pt>
                <c:pt idx="73" formatCode="#,##0.000">
                  <c:v>49.980000000000004</c:v>
                </c:pt>
                <c:pt idx="74" formatCode="#,##0.000">
                  <c:v>46.984000000000002</c:v>
                </c:pt>
                <c:pt idx="75" formatCode="#,##0.000">
                  <c:v>22.5</c:v>
                </c:pt>
                <c:pt idx="76" formatCode="#,##0.000">
                  <c:v>11.558</c:v>
                </c:pt>
                <c:pt idx="77" formatCode="#,##0.000">
                  <c:v>21.1</c:v>
                </c:pt>
                <c:pt idx="78" formatCode="#,##0.000">
                  <c:v>60.081999999999994</c:v>
                </c:pt>
                <c:pt idx="79" formatCode="#,##0.000">
                  <c:v>54.112999999999992</c:v>
                </c:pt>
                <c:pt idx="80" formatCode="#,##0.000">
                  <c:v>12.406000000000001</c:v>
                </c:pt>
                <c:pt idx="81" formatCode="#,##0.000">
                  <c:v>24.764000000000006</c:v>
                </c:pt>
                <c:pt idx="82" formatCode="#,##0.000">
                  <c:v>68.031000000000006</c:v>
                </c:pt>
                <c:pt idx="83" formatCode="#,##0.000">
                  <c:v>51.742999999999995</c:v>
                </c:pt>
                <c:pt idx="84" formatCode="#,##0.000">
                  <c:v>40.866</c:v>
                </c:pt>
                <c:pt idx="85" formatCode="#,##0.000">
                  <c:v>14.741</c:v>
                </c:pt>
                <c:pt idx="86" formatCode="#,##0.000">
                  <c:v>26.323</c:v>
                </c:pt>
                <c:pt idx="87" formatCode="#,##0.000">
                  <c:v>33.664999999999999</c:v>
                </c:pt>
                <c:pt idx="88" formatCode="#,##0.000">
                  <c:v>34.56</c:v>
                </c:pt>
                <c:pt idx="89" formatCode="#,##0.000">
                  <c:v>68.706600000000009</c:v>
                </c:pt>
                <c:pt idx="90" formatCode="#,##0.000">
                  <c:v>12.729999999999997</c:v>
                </c:pt>
                <c:pt idx="91" formatCode="#,##0.000">
                  <c:v>27.9</c:v>
                </c:pt>
                <c:pt idx="92" formatCode="#,##0.000">
                  <c:v>15.72</c:v>
                </c:pt>
                <c:pt idx="93" formatCode="#,##0.000">
                  <c:v>45.279000000000011</c:v>
                </c:pt>
                <c:pt idx="94" formatCode="#,##0.000">
                  <c:v>20.811</c:v>
                </c:pt>
                <c:pt idx="95" formatCode="#,##0.000">
                  <c:v>64.622</c:v>
                </c:pt>
                <c:pt idx="96" formatCode="#,##0.000">
                  <c:v>44.064000000000007</c:v>
                </c:pt>
                <c:pt idx="97" formatCode="#,##0.000">
                  <c:v>24.588000000000001</c:v>
                </c:pt>
                <c:pt idx="98" formatCode="#,##0.000">
                  <c:v>26.05</c:v>
                </c:pt>
                <c:pt idx="99" formatCode="#,##0.000">
                  <c:v>34.420999999999992</c:v>
                </c:pt>
                <c:pt idx="100" formatCode="#,##0.000">
                  <c:v>68.031000000000006</c:v>
                </c:pt>
                <c:pt idx="101" formatCode="#,##0.000">
                  <c:v>65.143000000000001</c:v>
                </c:pt>
                <c:pt idx="102" formatCode="#,##0.000">
                  <c:v>42.454999999999998</c:v>
                </c:pt>
                <c:pt idx="103" formatCode="#,##0.000">
                  <c:v>25.108999999999998</c:v>
                </c:pt>
                <c:pt idx="104" formatCode="#,##0.000">
                  <c:v>39.094000000000001</c:v>
                </c:pt>
              </c:numCache>
            </c:numRef>
          </c:val>
          <c:smooth val="0"/>
          <c:extLst>
            <c:ext xmlns:c16="http://schemas.microsoft.com/office/drawing/2014/chart" uri="{C3380CC4-5D6E-409C-BE32-E72D297353CC}">
              <c16:uniqueId val="{00000000-5B67-441A-9FDE-96BAE39E98D2}"/>
            </c:ext>
          </c:extLst>
        </c:ser>
        <c:ser>
          <c:idx val="1"/>
          <c:order val="1"/>
          <c:tx>
            <c:strRef>
              <c:f>'Encoded Data'!$BA$1</c:f>
              <c:strCache>
                <c:ptCount val="1"/>
                <c:pt idx="0">
                  <c:v>Density(kg/L)</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'Encoded Data'!$B$2:$B$106</c:f>
              <c:strCache>
                <c:ptCount val="105"/>
                <c:pt idx="2">
                  <c:v>Household_1</c:v>
                </c:pt>
                <c:pt idx="3">
                  <c:v>Household_2</c:v>
                </c:pt>
                <c:pt idx="4">
                  <c:v>Household_3</c:v>
                </c:pt>
                <c:pt idx="5">
                  <c:v>Household_4</c:v>
                </c:pt>
                <c:pt idx="6">
                  <c:v>Household_5</c:v>
                </c:pt>
                <c:pt idx="7">
                  <c:v>Household_6</c:v>
                </c:pt>
                <c:pt idx="8">
                  <c:v>Household_7</c:v>
                </c:pt>
                <c:pt idx="9">
                  <c:v>Household_8</c:v>
                </c:pt>
                <c:pt idx="10">
                  <c:v>Household_9</c:v>
                </c:pt>
                <c:pt idx="11">
                  <c:v>Household_10</c:v>
                </c:pt>
                <c:pt idx="12">
                  <c:v>Household_11</c:v>
                </c:pt>
                <c:pt idx="13">
                  <c:v>Household_12</c:v>
                </c:pt>
                <c:pt idx="14">
                  <c:v>Household_13</c:v>
                </c:pt>
                <c:pt idx="15">
                  <c:v>Household_14</c:v>
                </c:pt>
                <c:pt idx="16">
                  <c:v>Household_15</c:v>
                </c:pt>
                <c:pt idx="17">
                  <c:v>Household_16</c:v>
                </c:pt>
                <c:pt idx="18">
                  <c:v>Household_17</c:v>
                </c:pt>
                <c:pt idx="19">
                  <c:v>Household_18</c:v>
                </c:pt>
                <c:pt idx="20">
                  <c:v>Household_19</c:v>
                </c:pt>
                <c:pt idx="21">
                  <c:v>Household_20</c:v>
                </c:pt>
                <c:pt idx="22">
                  <c:v>Household_21</c:v>
                </c:pt>
                <c:pt idx="23">
                  <c:v>Household_22</c:v>
                </c:pt>
                <c:pt idx="24">
                  <c:v>Household_23</c:v>
                </c:pt>
                <c:pt idx="25">
                  <c:v>Household_24</c:v>
                </c:pt>
                <c:pt idx="26">
                  <c:v>Household_25</c:v>
                </c:pt>
                <c:pt idx="27">
                  <c:v>Household_26</c:v>
                </c:pt>
                <c:pt idx="28">
                  <c:v>Household_27</c:v>
                </c:pt>
                <c:pt idx="29">
                  <c:v>Household_28</c:v>
                </c:pt>
                <c:pt idx="30">
                  <c:v>Household_29</c:v>
                </c:pt>
                <c:pt idx="31">
                  <c:v>Household_30</c:v>
                </c:pt>
                <c:pt idx="32">
                  <c:v>Household_31</c:v>
                </c:pt>
                <c:pt idx="33">
                  <c:v>Household_32</c:v>
                </c:pt>
                <c:pt idx="34">
                  <c:v>Household_33</c:v>
                </c:pt>
                <c:pt idx="35">
                  <c:v>Household_34</c:v>
                </c:pt>
                <c:pt idx="36">
                  <c:v>Household_35</c:v>
                </c:pt>
                <c:pt idx="37">
                  <c:v>Household_36</c:v>
                </c:pt>
                <c:pt idx="38">
                  <c:v>Household_37</c:v>
                </c:pt>
                <c:pt idx="39">
                  <c:v>Household_38</c:v>
                </c:pt>
                <c:pt idx="40">
                  <c:v>Household_39</c:v>
                </c:pt>
                <c:pt idx="41">
                  <c:v>Household_40</c:v>
                </c:pt>
                <c:pt idx="42">
                  <c:v>Household_41</c:v>
                </c:pt>
                <c:pt idx="43">
                  <c:v>Household_42</c:v>
                </c:pt>
                <c:pt idx="44">
                  <c:v>Household_43</c:v>
                </c:pt>
                <c:pt idx="45">
                  <c:v>Household_44</c:v>
                </c:pt>
                <c:pt idx="46">
                  <c:v>Household_45</c:v>
                </c:pt>
                <c:pt idx="47">
                  <c:v>Household_46</c:v>
                </c:pt>
                <c:pt idx="48">
                  <c:v>Household_47</c:v>
                </c:pt>
                <c:pt idx="49">
                  <c:v>Household_48</c:v>
                </c:pt>
                <c:pt idx="50">
                  <c:v>Household_49</c:v>
                </c:pt>
                <c:pt idx="51">
                  <c:v>Household_50</c:v>
                </c:pt>
                <c:pt idx="52">
                  <c:v>Household_51</c:v>
                </c:pt>
                <c:pt idx="53">
                  <c:v>Household_52</c:v>
                </c:pt>
                <c:pt idx="54">
                  <c:v>Household_53</c:v>
                </c:pt>
                <c:pt idx="55">
                  <c:v>Household_54</c:v>
                </c:pt>
                <c:pt idx="56">
                  <c:v>Household_55</c:v>
                </c:pt>
                <c:pt idx="57">
                  <c:v>Household_56</c:v>
                </c:pt>
                <c:pt idx="58">
                  <c:v>Household_57</c:v>
                </c:pt>
                <c:pt idx="59">
                  <c:v>Household_58</c:v>
                </c:pt>
                <c:pt idx="60">
                  <c:v>Household_59</c:v>
                </c:pt>
                <c:pt idx="61">
                  <c:v>Household_60</c:v>
                </c:pt>
                <c:pt idx="62">
                  <c:v>Household_61</c:v>
                </c:pt>
                <c:pt idx="63">
                  <c:v>Household_62</c:v>
                </c:pt>
                <c:pt idx="64">
                  <c:v>Household_63</c:v>
                </c:pt>
                <c:pt idx="65">
                  <c:v>Household_64</c:v>
                </c:pt>
                <c:pt idx="66">
                  <c:v>Household_65</c:v>
                </c:pt>
                <c:pt idx="67">
                  <c:v>Household_66</c:v>
                </c:pt>
                <c:pt idx="68">
                  <c:v>Household_67</c:v>
                </c:pt>
                <c:pt idx="69">
                  <c:v>Household_68</c:v>
                </c:pt>
                <c:pt idx="70">
                  <c:v>Household_69</c:v>
                </c:pt>
                <c:pt idx="71">
                  <c:v>Household_70</c:v>
                </c:pt>
                <c:pt idx="72">
                  <c:v>Household_71</c:v>
                </c:pt>
                <c:pt idx="73">
                  <c:v>Household_72</c:v>
                </c:pt>
                <c:pt idx="74">
                  <c:v>Household_73</c:v>
                </c:pt>
                <c:pt idx="75">
                  <c:v>Household_74</c:v>
                </c:pt>
                <c:pt idx="76">
                  <c:v>Household_75</c:v>
                </c:pt>
                <c:pt idx="77">
                  <c:v>Household_76</c:v>
                </c:pt>
                <c:pt idx="78">
                  <c:v>Household_77</c:v>
                </c:pt>
                <c:pt idx="79">
                  <c:v>Household_78</c:v>
                </c:pt>
                <c:pt idx="80">
                  <c:v>Household_79</c:v>
                </c:pt>
                <c:pt idx="81">
                  <c:v>Household_80</c:v>
                </c:pt>
                <c:pt idx="82">
                  <c:v>Household_81</c:v>
                </c:pt>
                <c:pt idx="83">
                  <c:v>Household_82</c:v>
                </c:pt>
                <c:pt idx="84">
                  <c:v>Household_83</c:v>
                </c:pt>
                <c:pt idx="85">
                  <c:v>Household_84</c:v>
                </c:pt>
                <c:pt idx="86">
                  <c:v>Household_85</c:v>
                </c:pt>
                <c:pt idx="87">
                  <c:v>Household_86</c:v>
                </c:pt>
                <c:pt idx="88">
                  <c:v>Household_87</c:v>
                </c:pt>
                <c:pt idx="89">
                  <c:v>Household_88</c:v>
                </c:pt>
                <c:pt idx="90">
                  <c:v>Household_89</c:v>
                </c:pt>
                <c:pt idx="91">
                  <c:v>Household_90</c:v>
                </c:pt>
                <c:pt idx="92">
                  <c:v>Household_91</c:v>
                </c:pt>
                <c:pt idx="93">
                  <c:v>Household_92</c:v>
                </c:pt>
                <c:pt idx="94">
                  <c:v>Household_93</c:v>
                </c:pt>
                <c:pt idx="95">
                  <c:v>Household_94</c:v>
                </c:pt>
                <c:pt idx="96">
                  <c:v>Household_95</c:v>
                </c:pt>
                <c:pt idx="97">
                  <c:v>Household_96</c:v>
                </c:pt>
                <c:pt idx="98">
                  <c:v>Household_97</c:v>
                </c:pt>
                <c:pt idx="99">
                  <c:v>Household_98</c:v>
                </c:pt>
                <c:pt idx="100">
                  <c:v>Household_99</c:v>
                </c:pt>
                <c:pt idx="101">
                  <c:v>Household_100</c:v>
                </c:pt>
                <c:pt idx="102">
                  <c:v>Household_101</c:v>
                </c:pt>
                <c:pt idx="103">
                  <c:v>Household_102</c:v>
                </c:pt>
                <c:pt idx="104">
                  <c:v>Household_103</c:v>
                </c:pt>
              </c:strCache>
            </c:strRef>
          </c:cat>
          <c:val>
            <c:numRef>
              <c:f>'Encoded Data'!$BA$2:$BA$106</c:f>
              <c:numCache>
                <c:formatCode>0.000</c:formatCode>
                <c:ptCount val="105"/>
                <c:pt idx="2" formatCode="#,##0.000">
                  <c:v>0.47400000000000003</c:v>
                </c:pt>
                <c:pt idx="3" formatCode="#,##0.000">
                  <c:v>0.43753333333333339</c:v>
                </c:pt>
                <c:pt idx="4" formatCode="#,##0.000">
                  <c:v>0.37999999999999995</c:v>
                </c:pt>
                <c:pt idx="5" formatCode="#,##0.000">
                  <c:v>0.27957142857142853</c:v>
                </c:pt>
                <c:pt idx="6" formatCode="#,##0.000">
                  <c:v>0.50874999999999992</c:v>
                </c:pt>
                <c:pt idx="7" formatCode="#,##0.000">
                  <c:v>8.0071428571428557E-2</c:v>
                </c:pt>
                <c:pt idx="8" formatCode="#,##0.000">
                  <c:v>0.33900000000000008</c:v>
                </c:pt>
                <c:pt idx="9" formatCode="#,##0.000">
                  <c:v>0.30294117647058821</c:v>
                </c:pt>
                <c:pt idx="10" formatCode="#,##0.000">
                  <c:v>0.28870000000000001</c:v>
                </c:pt>
                <c:pt idx="11" formatCode="#,##0.000">
                  <c:v>0.52850000000000008</c:v>
                </c:pt>
                <c:pt idx="12" formatCode="#,##0.000">
                  <c:v>0.28187500000000004</c:v>
                </c:pt>
                <c:pt idx="13" formatCode="#,##0.000">
                  <c:v>0.29776666666666668</c:v>
                </c:pt>
                <c:pt idx="14" formatCode="#,##0.000">
                  <c:v>0.53749999999999998</c:v>
                </c:pt>
                <c:pt idx="15" formatCode="#,##0.000">
                  <c:v>0.288775</c:v>
                </c:pt>
                <c:pt idx="16" formatCode="#,##0.000">
                  <c:v>0.33681250000000001</c:v>
                </c:pt>
                <c:pt idx="17" formatCode="#,##0.000">
                  <c:v>0.5202</c:v>
                </c:pt>
                <c:pt idx="18" formatCode="#,##0.000">
                  <c:v>0.26628571428571429</c:v>
                </c:pt>
                <c:pt idx="19" formatCode="#,##0.000">
                  <c:v>0.35620000000000002</c:v>
                </c:pt>
                <c:pt idx="20" formatCode="#,##0.000">
                  <c:v>0.43726470588235289</c:v>
                </c:pt>
                <c:pt idx="21" formatCode="#,##0.000">
                  <c:v>0.30414062499999994</c:v>
                </c:pt>
                <c:pt idx="22" formatCode="#,##0.000">
                  <c:v>0.1686470588235294</c:v>
                </c:pt>
                <c:pt idx="23" formatCode="#,##0.000">
                  <c:v>0.47346666666666665</c:v>
                </c:pt>
                <c:pt idx="24" formatCode="#,##0.000">
                  <c:v>8.5499999999999993E-2</c:v>
                </c:pt>
                <c:pt idx="25" formatCode="#,##0.000">
                  <c:v>9.812499999999999E-2</c:v>
                </c:pt>
                <c:pt idx="26" formatCode="#,##0.000">
                  <c:v>0.39674999999999999</c:v>
                </c:pt>
                <c:pt idx="27" formatCode="#,##0.000">
                  <c:v>0.42964705882352949</c:v>
                </c:pt>
                <c:pt idx="28" formatCode="#,##0.000">
                  <c:v>0.31428571428571428</c:v>
                </c:pt>
                <c:pt idx="29" formatCode="#,##0.000">
                  <c:v>0.40877777777777774</c:v>
                </c:pt>
                <c:pt idx="30" formatCode="#,##0.000">
                  <c:v>0.33462500000000001</c:v>
                </c:pt>
                <c:pt idx="31" formatCode="#,##0.000">
                  <c:v>0.47375</c:v>
                </c:pt>
                <c:pt idx="32" formatCode="#,##0.000">
                  <c:v>0.44429999999999997</c:v>
                </c:pt>
                <c:pt idx="33" formatCode="#,##0.000">
                  <c:v>0.52137499999999992</c:v>
                </c:pt>
                <c:pt idx="34" formatCode="#,##0.000">
                  <c:v>0.26998648648648649</c:v>
                </c:pt>
                <c:pt idx="35" formatCode="#,##0.000">
                  <c:v>0.25187500000000002</c:v>
                </c:pt>
                <c:pt idx="36" formatCode="#,##0.000">
                  <c:v>0.37290909090909086</c:v>
                </c:pt>
                <c:pt idx="37" formatCode="#,##0.000">
                  <c:v>0.38084285714285709</c:v>
                </c:pt>
                <c:pt idx="38" formatCode="#,##0.000">
                  <c:v>0.49391666666666673</c:v>
                </c:pt>
                <c:pt idx="39" formatCode="#,##0.000">
                  <c:v>0.39733333333333332</c:v>
                </c:pt>
                <c:pt idx="40" formatCode="#,##0.000">
                  <c:v>0.79460000000000008</c:v>
                </c:pt>
                <c:pt idx="41" formatCode="General">
                  <c:v>0.24</c:v>
                </c:pt>
                <c:pt idx="42" formatCode="General">
                  <c:v>0.78</c:v>
                </c:pt>
                <c:pt idx="43" formatCode="General">
                  <c:v>0.5</c:v>
                </c:pt>
                <c:pt idx="44" formatCode="General">
                  <c:v>0.69</c:v>
                </c:pt>
                <c:pt idx="45" formatCode="General">
                  <c:v>0.37</c:v>
                </c:pt>
                <c:pt idx="46" formatCode="0.00">
                  <c:v>0.80380000000000007</c:v>
                </c:pt>
                <c:pt idx="47" formatCode="General">
                  <c:v>0.82</c:v>
                </c:pt>
                <c:pt idx="48" formatCode="General">
                  <c:v>0.44</c:v>
                </c:pt>
                <c:pt idx="49" formatCode="General">
                  <c:v>0.82</c:v>
                </c:pt>
                <c:pt idx="50" formatCode="General">
                  <c:v>0.32</c:v>
                </c:pt>
                <c:pt idx="51" formatCode="General">
                  <c:v>0.32</c:v>
                </c:pt>
                <c:pt idx="52" formatCode="General">
                  <c:v>0.41</c:v>
                </c:pt>
                <c:pt idx="53" formatCode="General">
                  <c:v>0.32500000000000001</c:v>
                </c:pt>
                <c:pt idx="54" formatCode="General">
                  <c:v>0.68600000000000005</c:v>
                </c:pt>
                <c:pt idx="55" formatCode="General">
                  <c:v>0.80200000000000005</c:v>
                </c:pt>
                <c:pt idx="56" formatCode="General">
                  <c:v>0.45200000000000001</c:v>
                </c:pt>
                <c:pt idx="57" formatCode="General">
                  <c:v>0.747</c:v>
                </c:pt>
                <c:pt idx="58">
                  <c:v>0.50541666666666674</c:v>
                </c:pt>
                <c:pt idx="59" formatCode="General">
                  <c:v>0.56299999999999994</c:v>
                </c:pt>
                <c:pt idx="60" formatCode="General">
                  <c:v>0.65600000000000003</c:v>
                </c:pt>
                <c:pt idx="61" formatCode="General">
                  <c:v>0.76700000000000002</c:v>
                </c:pt>
                <c:pt idx="62" formatCode="General">
                  <c:v>0.84099999999999997</c:v>
                </c:pt>
                <c:pt idx="63" formatCode="General">
                  <c:v>0.70799999999999996</c:v>
                </c:pt>
                <c:pt idx="64" formatCode="General">
                  <c:v>0.64200000000000002</c:v>
                </c:pt>
                <c:pt idx="65" formatCode="General">
                  <c:v>0.67200000000000004</c:v>
                </c:pt>
                <c:pt idx="66" formatCode="General">
                  <c:v>0.80600000000000005</c:v>
                </c:pt>
                <c:pt idx="67" formatCode="General">
                  <c:v>0.63</c:v>
                </c:pt>
                <c:pt idx="68" formatCode="General">
                  <c:v>0.34300000000000003</c:v>
                </c:pt>
                <c:pt idx="69" formatCode="0.00">
                  <c:v>0.39340625000000001</c:v>
                </c:pt>
                <c:pt idx="70" formatCode="0.00">
                  <c:v>0.35855555555555557</c:v>
                </c:pt>
                <c:pt idx="71" formatCode="General">
                  <c:v>0.42799999999999999</c:v>
                </c:pt>
                <c:pt idx="72" formatCode="General">
                  <c:v>0.442</c:v>
                </c:pt>
                <c:pt idx="73" formatCode="#,##0.000">
                  <c:v>0.31237500000000001</c:v>
                </c:pt>
                <c:pt idx="74" formatCode="#,##0.000">
                  <c:v>0.31322666666666665</c:v>
                </c:pt>
                <c:pt idx="75" formatCode="#,##0.000">
                  <c:v>0.28125</c:v>
                </c:pt>
                <c:pt idx="76" formatCode="#,##0.000">
                  <c:v>0.32105555555555554</c:v>
                </c:pt>
                <c:pt idx="77" formatCode="#,##0.000">
                  <c:v>0.31029411764705883</c:v>
                </c:pt>
                <c:pt idx="78" formatCode="#,##0.000">
                  <c:v>0.30040999999999995</c:v>
                </c:pt>
                <c:pt idx="79" formatCode="#,##0.000">
                  <c:v>0.2909301075268817</c:v>
                </c:pt>
                <c:pt idx="80" formatCode="#,##0.000">
                  <c:v>0.51691666666666669</c:v>
                </c:pt>
                <c:pt idx="81" formatCode="#,##0.000">
                  <c:v>0.33464864864864874</c:v>
                </c:pt>
                <c:pt idx="82" formatCode="#,##0.000">
                  <c:v>0.30370982142857145</c:v>
                </c:pt>
                <c:pt idx="83" formatCode="#,##0.000">
                  <c:v>0.29737356321839076</c:v>
                </c:pt>
                <c:pt idx="84" formatCode="#,##0.000">
                  <c:v>0.3715090909090909</c:v>
                </c:pt>
                <c:pt idx="85" formatCode="#,##0.000">
                  <c:v>0.27298148148148149</c:v>
                </c:pt>
                <c:pt idx="86" formatCode="#,##0.000">
                  <c:v>0.32903749999999998</c:v>
                </c:pt>
                <c:pt idx="87" formatCode="#,##0.000">
                  <c:v>0.33665</c:v>
                </c:pt>
                <c:pt idx="88" formatCode="#,##0.000">
                  <c:v>0.30857142857142861</c:v>
                </c:pt>
                <c:pt idx="89" formatCode="#,##0.000">
                  <c:v>0.28158442622950824</c:v>
                </c:pt>
                <c:pt idx="90" formatCode="#,##0.000">
                  <c:v>0.37441176470588228</c:v>
                </c:pt>
                <c:pt idx="91" formatCode="#,##0.000">
                  <c:v>0.33214285714285713</c:v>
                </c:pt>
                <c:pt idx="92" formatCode="#,##0.000">
                  <c:v>0.3572727272727273</c:v>
                </c:pt>
                <c:pt idx="93" formatCode="#,##0.000">
                  <c:v>0.30593918918918928</c:v>
                </c:pt>
                <c:pt idx="94" formatCode="#,##0.000">
                  <c:v>0.325171875</c:v>
                </c:pt>
                <c:pt idx="95" formatCode="#,##0.000">
                  <c:v>0.29373636363636363</c:v>
                </c:pt>
                <c:pt idx="96" formatCode="#,##0.000">
                  <c:v>0.30600000000000005</c:v>
                </c:pt>
                <c:pt idx="97" formatCode="#,##0.000">
                  <c:v>0.35125714285714288</c:v>
                </c:pt>
                <c:pt idx="98" formatCode="#,##0.000">
                  <c:v>0.35202702702702704</c:v>
                </c:pt>
                <c:pt idx="99" formatCode="#,##0.000">
                  <c:v>0.31291818181818176</c:v>
                </c:pt>
                <c:pt idx="100" formatCode="#,##0.000">
                  <c:v>0.30370982142857145</c:v>
                </c:pt>
                <c:pt idx="101" formatCode="#,##0.000">
                  <c:v>0.29610454545454545</c:v>
                </c:pt>
                <c:pt idx="102" formatCode="#,##0.000">
                  <c:v>0.31682835820895522</c:v>
                </c:pt>
                <c:pt idx="103" formatCode="#,##0.000">
                  <c:v>0.31386249999999999</c:v>
                </c:pt>
                <c:pt idx="104" formatCode="#,##0.000">
                  <c:v>0.37590384615384614</c:v>
                </c:pt>
              </c:numCache>
            </c:numRef>
          </c:val>
          <c:smooth val="0"/>
          <c:extLst>
            <c:ext xmlns:c16="http://schemas.microsoft.com/office/drawing/2014/chart" uri="{C3380CC4-5D6E-409C-BE32-E72D297353CC}">
              <c16:uniqueId val="{00000001-5B67-441A-9FDE-96BAE39E98D2}"/>
            </c:ext>
          </c:extLst>
        </c:ser>
        <c:dLbls>
          <c:showLegendKey val="0"/>
          <c:showVal val="0"/>
          <c:showCatName val="0"/>
          <c:showSerName val="0"/>
          <c:showPercent val="0"/>
          <c:showBubbleSize val="0"/>
        </c:dLbls>
        <c:marker val="1"/>
        <c:smooth val="0"/>
        <c:axId val="1442269615"/>
        <c:axId val="1442260047"/>
      </c:lineChart>
      <c:catAx>
        <c:axId val="1442269615"/>
        <c:scaling>
          <c:orientation val="minMax"/>
        </c:scaling>
        <c:delete val="1"/>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442260047"/>
        <c:crosses val="autoZero"/>
        <c:auto val="1"/>
        <c:lblAlgn val="ctr"/>
        <c:lblOffset val="100"/>
        <c:noMultiLvlLbl val="0"/>
      </c:catAx>
      <c:valAx>
        <c:axId val="1442260047"/>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2696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Household number for the three study areas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Factors!$A$3</c:f>
              <c:strCache>
                <c:ptCount val="1"/>
                <c:pt idx="0">
                  <c:v>Bwaise 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Factors!$C$2</c:f>
              <c:strCache>
                <c:ptCount val="1"/>
                <c:pt idx="0">
                  <c:v>Average Number of Occupants</c:v>
                </c:pt>
              </c:strCache>
            </c:strRef>
          </c:cat>
          <c:val>
            <c:numRef>
              <c:f>Factors!$C$3</c:f>
              <c:numCache>
                <c:formatCode>General</c:formatCode>
                <c:ptCount val="1"/>
                <c:pt idx="0">
                  <c:v>4.8499999999999996</c:v>
                </c:pt>
              </c:numCache>
            </c:numRef>
          </c:val>
          <c:extLst>
            <c:ext xmlns:c16="http://schemas.microsoft.com/office/drawing/2014/chart" uri="{C3380CC4-5D6E-409C-BE32-E72D297353CC}">
              <c16:uniqueId val="{00000000-F8A2-4828-B032-4361745DE3E7}"/>
            </c:ext>
          </c:extLst>
        </c:ser>
        <c:ser>
          <c:idx val="1"/>
          <c:order val="1"/>
          <c:tx>
            <c:strRef>
              <c:f>Factors!$A$4</c:f>
              <c:strCache>
                <c:ptCount val="1"/>
                <c:pt idx="0">
                  <c:v>Bukoto 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Factors!$C$2</c:f>
              <c:strCache>
                <c:ptCount val="1"/>
                <c:pt idx="0">
                  <c:v>Average Number of Occupants</c:v>
                </c:pt>
              </c:strCache>
            </c:strRef>
          </c:cat>
          <c:val>
            <c:numRef>
              <c:f>Factors!$C$4</c:f>
              <c:numCache>
                <c:formatCode>General</c:formatCode>
                <c:ptCount val="1"/>
                <c:pt idx="0">
                  <c:v>4</c:v>
                </c:pt>
              </c:numCache>
            </c:numRef>
          </c:val>
          <c:extLst>
            <c:ext xmlns:c16="http://schemas.microsoft.com/office/drawing/2014/chart" uri="{C3380CC4-5D6E-409C-BE32-E72D297353CC}">
              <c16:uniqueId val="{00000001-F8A2-4828-B032-4361745DE3E7}"/>
            </c:ext>
          </c:extLst>
        </c:ser>
        <c:ser>
          <c:idx val="2"/>
          <c:order val="2"/>
          <c:tx>
            <c:strRef>
              <c:f>Factors!$A$5</c:f>
              <c:strCache>
                <c:ptCount val="1"/>
                <c:pt idx="0">
                  <c:v>Ggaba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Factors!$C$2</c:f>
              <c:strCache>
                <c:ptCount val="1"/>
                <c:pt idx="0">
                  <c:v>Average Number of Occupants</c:v>
                </c:pt>
              </c:strCache>
            </c:strRef>
          </c:cat>
          <c:val>
            <c:numRef>
              <c:f>Factors!$C$5</c:f>
              <c:numCache>
                <c:formatCode>General</c:formatCode>
                <c:ptCount val="1"/>
                <c:pt idx="0">
                  <c:v>5.81</c:v>
                </c:pt>
              </c:numCache>
            </c:numRef>
          </c:val>
          <c:extLst>
            <c:ext xmlns:c16="http://schemas.microsoft.com/office/drawing/2014/chart" uri="{C3380CC4-5D6E-409C-BE32-E72D297353CC}">
              <c16:uniqueId val="{00000002-F8A2-4828-B032-4361745DE3E7}"/>
            </c:ext>
          </c:extLst>
        </c:ser>
        <c:dLbls>
          <c:dLblPos val="outEnd"/>
          <c:showLegendKey val="0"/>
          <c:showVal val="1"/>
          <c:showCatName val="0"/>
          <c:showSerName val="0"/>
          <c:showPercent val="0"/>
          <c:showBubbleSize val="0"/>
        </c:dLbls>
        <c:gapWidth val="219"/>
        <c:overlap val="-27"/>
        <c:axId val="725576480"/>
        <c:axId val="725567744"/>
      </c:barChart>
      <c:catAx>
        <c:axId val="7255764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567744"/>
        <c:crosses val="autoZero"/>
        <c:auto val="1"/>
        <c:lblAlgn val="ctr"/>
        <c:lblOffset val="100"/>
        <c:noMultiLvlLbl val="0"/>
      </c:catAx>
      <c:valAx>
        <c:axId val="7255677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Household Number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576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Factors!$A$10:$B$10</c:f>
              <c:strCache>
                <c:ptCount val="2"/>
                <c:pt idx="0">
                  <c:v>Bwaise I</c:v>
                </c:pt>
                <c:pt idx="1">
                  <c:v>&lt;18 years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Factors!$C$10</c:f>
              <c:numCache>
                <c:formatCode>General</c:formatCode>
                <c:ptCount val="1"/>
                <c:pt idx="0">
                  <c:v>0</c:v>
                </c:pt>
              </c:numCache>
            </c:numRef>
          </c:val>
          <c:extLst>
            <c:ext xmlns:c16="http://schemas.microsoft.com/office/drawing/2014/chart" uri="{C3380CC4-5D6E-409C-BE32-E72D297353CC}">
              <c16:uniqueId val="{00000000-34A2-4DFF-8BA7-48E77F3796E6}"/>
            </c:ext>
          </c:extLst>
        </c:ser>
        <c:ser>
          <c:idx val="1"/>
          <c:order val="1"/>
          <c:tx>
            <c:strRef>
              <c:f>Factors!$A$11:$B$11</c:f>
              <c:strCache>
                <c:ptCount val="2"/>
                <c:pt idx="0">
                  <c:v>Bwaise I</c:v>
                </c:pt>
                <c:pt idx="1">
                  <c:v>18-35 years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Factors!$C$11</c:f>
              <c:numCache>
                <c:formatCode>General</c:formatCode>
                <c:ptCount val="1"/>
                <c:pt idx="0">
                  <c:v>5</c:v>
                </c:pt>
              </c:numCache>
            </c:numRef>
          </c:val>
          <c:extLst>
            <c:ext xmlns:c16="http://schemas.microsoft.com/office/drawing/2014/chart" uri="{C3380CC4-5D6E-409C-BE32-E72D297353CC}">
              <c16:uniqueId val="{00000001-34A2-4DFF-8BA7-48E77F3796E6}"/>
            </c:ext>
          </c:extLst>
        </c:ser>
        <c:ser>
          <c:idx val="2"/>
          <c:order val="2"/>
          <c:tx>
            <c:strRef>
              <c:f>Factors!$A$12:$B$12</c:f>
              <c:strCache>
                <c:ptCount val="2"/>
                <c:pt idx="0">
                  <c:v>Bwaise I</c:v>
                </c:pt>
                <c:pt idx="1">
                  <c:v>36-60 years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Factors!$C$12</c:f>
              <c:numCache>
                <c:formatCode>General</c:formatCode>
                <c:ptCount val="1"/>
                <c:pt idx="0">
                  <c:v>15</c:v>
                </c:pt>
              </c:numCache>
            </c:numRef>
          </c:val>
          <c:extLst>
            <c:ext xmlns:c16="http://schemas.microsoft.com/office/drawing/2014/chart" uri="{C3380CC4-5D6E-409C-BE32-E72D297353CC}">
              <c16:uniqueId val="{00000002-34A2-4DFF-8BA7-48E77F3796E6}"/>
            </c:ext>
          </c:extLst>
        </c:ser>
        <c:ser>
          <c:idx val="3"/>
          <c:order val="3"/>
          <c:tx>
            <c:strRef>
              <c:f>Factors!$A$13:$B$13</c:f>
              <c:strCache>
                <c:ptCount val="2"/>
                <c:pt idx="0">
                  <c:v>Bwaise I</c:v>
                </c:pt>
                <c:pt idx="1">
                  <c:v>&gt;60 years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Factors!$C$13</c:f>
              <c:numCache>
                <c:formatCode>General</c:formatCode>
                <c:ptCount val="1"/>
                <c:pt idx="0">
                  <c:v>12</c:v>
                </c:pt>
              </c:numCache>
            </c:numRef>
          </c:val>
          <c:extLst>
            <c:ext xmlns:c16="http://schemas.microsoft.com/office/drawing/2014/chart" uri="{C3380CC4-5D6E-409C-BE32-E72D297353CC}">
              <c16:uniqueId val="{00000003-34A2-4DFF-8BA7-48E77F3796E6}"/>
            </c:ext>
          </c:extLst>
        </c:ser>
        <c:ser>
          <c:idx val="4"/>
          <c:order val="4"/>
          <c:tx>
            <c:strRef>
              <c:f>Factors!$A$14:$B$14</c:f>
              <c:strCache>
                <c:ptCount val="2"/>
                <c:pt idx="0">
                  <c:v>Bukoto I</c:v>
                </c:pt>
                <c:pt idx="1">
                  <c:v>&lt;18 years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Factors!$C$14</c:f>
              <c:numCache>
                <c:formatCode>General</c:formatCode>
                <c:ptCount val="1"/>
                <c:pt idx="0">
                  <c:v>0</c:v>
                </c:pt>
              </c:numCache>
            </c:numRef>
          </c:val>
          <c:extLst>
            <c:ext xmlns:c16="http://schemas.microsoft.com/office/drawing/2014/chart" uri="{C3380CC4-5D6E-409C-BE32-E72D297353CC}">
              <c16:uniqueId val="{00000004-34A2-4DFF-8BA7-48E77F3796E6}"/>
            </c:ext>
          </c:extLst>
        </c:ser>
        <c:ser>
          <c:idx val="5"/>
          <c:order val="5"/>
          <c:tx>
            <c:strRef>
              <c:f>Factors!$A$15:$B$15</c:f>
              <c:strCache>
                <c:ptCount val="2"/>
                <c:pt idx="0">
                  <c:v>Bukoto I</c:v>
                </c:pt>
                <c:pt idx="1">
                  <c:v>18-35 years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Factors!$C$15</c:f>
              <c:numCache>
                <c:formatCode>General</c:formatCode>
                <c:ptCount val="1"/>
                <c:pt idx="0">
                  <c:v>13</c:v>
                </c:pt>
              </c:numCache>
            </c:numRef>
          </c:val>
          <c:extLst>
            <c:ext xmlns:c16="http://schemas.microsoft.com/office/drawing/2014/chart" uri="{C3380CC4-5D6E-409C-BE32-E72D297353CC}">
              <c16:uniqueId val="{00000005-34A2-4DFF-8BA7-48E77F3796E6}"/>
            </c:ext>
          </c:extLst>
        </c:ser>
        <c:ser>
          <c:idx val="6"/>
          <c:order val="6"/>
          <c:tx>
            <c:strRef>
              <c:f>Factors!$A$16:$B$16</c:f>
              <c:strCache>
                <c:ptCount val="2"/>
                <c:pt idx="0">
                  <c:v>Bukoto I</c:v>
                </c:pt>
                <c:pt idx="1">
                  <c:v>36-60 years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Factors!$C$16</c:f>
              <c:numCache>
                <c:formatCode>General</c:formatCode>
                <c:ptCount val="1"/>
                <c:pt idx="0">
                  <c:v>17</c:v>
                </c:pt>
              </c:numCache>
            </c:numRef>
          </c:val>
          <c:extLst>
            <c:ext xmlns:c16="http://schemas.microsoft.com/office/drawing/2014/chart" uri="{C3380CC4-5D6E-409C-BE32-E72D297353CC}">
              <c16:uniqueId val="{00000006-34A2-4DFF-8BA7-48E77F3796E6}"/>
            </c:ext>
          </c:extLst>
        </c:ser>
        <c:ser>
          <c:idx val="7"/>
          <c:order val="7"/>
          <c:tx>
            <c:strRef>
              <c:f>Factors!$A$17:$B$17</c:f>
              <c:strCache>
                <c:ptCount val="2"/>
                <c:pt idx="0">
                  <c:v>Bukoto I</c:v>
                </c:pt>
                <c:pt idx="1">
                  <c:v>&gt;60 years</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Factors!$C$17</c:f>
              <c:numCache>
                <c:formatCode>General</c:formatCode>
                <c:ptCount val="1"/>
                <c:pt idx="0">
                  <c:v>2</c:v>
                </c:pt>
              </c:numCache>
            </c:numRef>
          </c:val>
          <c:extLst>
            <c:ext xmlns:c16="http://schemas.microsoft.com/office/drawing/2014/chart" uri="{C3380CC4-5D6E-409C-BE32-E72D297353CC}">
              <c16:uniqueId val="{00000007-34A2-4DFF-8BA7-48E77F3796E6}"/>
            </c:ext>
          </c:extLst>
        </c:ser>
        <c:ser>
          <c:idx val="8"/>
          <c:order val="8"/>
          <c:tx>
            <c:strRef>
              <c:f>Factors!$A$18:$B$18</c:f>
              <c:strCache>
                <c:ptCount val="2"/>
                <c:pt idx="0">
                  <c:v>Ggaba</c:v>
                </c:pt>
                <c:pt idx="1">
                  <c:v>&lt;18 years</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Factors!$C$18</c:f>
              <c:numCache>
                <c:formatCode>General</c:formatCode>
                <c:ptCount val="1"/>
                <c:pt idx="0">
                  <c:v>0</c:v>
                </c:pt>
              </c:numCache>
            </c:numRef>
          </c:val>
          <c:extLst>
            <c:ext xmlns:c16="http://schemas.microsoft.com/office/drawing/2014/chart" uri="{C3380CC4-5D6E-409C-BE32-E72D297353CC}">
              <c16:uniqueId val="{00000008-34A2-4DFF-8BA7-48E77F3796E6}"/>
            </c:ext>
          </c:extLst>
        </c:ser>
        <c:ser>
          <c:idx val="9"/>
          <c:order val="9"/>
          <c:tx>
            <c:strRef>
              <c:f>Factors!$A$19:$B$19</c:f>
              <c:strCache>
                <c:ptCount val="2"/>
                <c:pt idx="0">
                  <c:v>Ggaba</c:v>
                </c:pt>
                <c:pt idx="1">
                  <c:v>18-35 years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Factors!$C$19</c:f>
              <c:numCache>
                <c:formatCode>General</c:formatCode>
                <c:ptCount val="1"/>
                <c:pt idx="0">
                  <c:v>5</c:v>
                </c:pt>
              </c:numCache>
            </c:numRef>
          </c:val>
          <c:extLst>
            <c:ext xmlns:c16="http://schemas.microsoft.com/office/drawing/2014/chart" uri="{C3380CC4-5D6E-409C-BE32-E72D297353CC}">
              <c16:uniqueId val="{00000009-34A2-4DFF-8BA7-48E77F3796E6}"/>
            </c:ext>
          </c:extLst>
        </c:ser>
        <c:ser>
          <c:idx val="10"/>
          <c:order val="10"/>
          <c:tx>
            <c:strRef>
              <c:f>Factors!$A$20:$B$20</c:f>
              <c:strCache>
                <c:ptCount val="2"/>
                <c:pt idx="0">
                  <c:v>Ggaba</c:v>
                </c:pt>
                <c:pt idx="1">
                  <c:v>36-60 years</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Factors!$C$20</c:f>
              <c:numCache>
                <c:formatCode>General</c:formatCode>
                <c:ptCount val="1"/>
                <c:pt idx="0">
                  <c:v>15</c:v>
                </c:pt>
              </c:numCache>
            </c:numRef>
          </c:val>
          <c:extLst>
            <c:ext xmlns:c16="http://schemas.microsoft.com/office/drawing/2014/chart" uri="{C3380CC4-5D6E-409C-BE32-E72D297353CC}">
              <c16:uniqueId val="{0000000A-34A2-4DFF-8BA7-48E77F3796E6}"/>
            </c:ext>
          </c:extLst>
        </c:ser>
        <c:ser>
          <c:idx val="11"/>
          <c:order val="11"/>
          <c:tx>
            <c:strRef>
              <c:f>Factors!$A$21:$B$21</c:f>
              <c:strCache>
                <c:ptCount val="2"/>
                <c:pt idx="0">
                  <c:v>Ggaba</c:v>
                </c:pt>
                <c:pt idx="1">
                  <c:v>&gt;60 years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Factors!$C$21</c:f>
              <c:numCache>
                <c:formatCode>General</c:formatCode>
                <c:ptCount val="1"/>
                <c:pt idx="0">
                  <c:v>12</c:v>
                </c:pt>
              </c:numCache>
            </c:numRef>
          </c:val>
          <c:extLst>
            <c:ext xmlns:c16="http://schemas.microsoft.com/office/drawing/2014/chart" uri="{C3380CC4-5D6E-409C-BE32-E72D297353CC}">
              <c16:uniqueId val="{0000000B-34A2-4DFF-8BA7-48E77F3796E6}"/>
            </c:ext>
          </c:extLst>
        </c:ser>
        <c:dLbls>
          <c:dLblPos val="outEnd"/>
          <c:showLegendKey val="0"/>
          <c:showVal val="1"/>
          <c:showCatName val="0"/>
          <c:showSerName val="0"/>
          <c:showPercent val="0"/>
          <c:showBubbleSize val="0"/>
        </c:dLbls>
        <c:gapWidth val="150"/>
        <c:axId val="1209750432"/>
        <c:axId val="1209750016"/>
      </c:barChart>
      <c:catAx>
        <c:axId val="120975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209750016"/>
        <c:crosses val="autoZero"/>
        <c:auto val="1"/>
        <c:lblAlgn val="ctr"/>
        <c:lblOffset val="100"/>
        <c:noMultiLvlLbl val="0"/>
      </c:catAx>
      <c:valAx>
        <c:axId val="120975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20975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a:t>
            </a:r>
            <a:r>
              <a:rPr lang="en-US" baseline="0"/>
              <a:t> male and Female Household heads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Factors!$A$25:$B$30</c:f>
              <c:multiLvlStrCache>
                <c:ptCount val="6"/>
                <c:lvl>
                  <c:pt idx="0">
                    <c:v>Male</c:v>
                  </c:pt>
                  <c:pt idx="1">
                    <c:v>Female</c:v>
                  </c:pt>
                  <c:pt idx="2">
                    <c:v>Male</c:v>
                  </c:pt>
                  <c:pt idx="3">
                    <c:v>Female</c:v>
                  </c:pt>
                  <c:pt idx="4">
                    <c:v>Male</c:v>
                  </c:pt>
                  <c:pt idx="5">
                    <c:v>Female</c:v>
                  </c:pt>
                </c:lvl>
                <c:lvl>
                  <c:pt idx="0">
                    <c:v>Bwaise I</c:v>
                  </c:pt>
                  <c:pt idx="2">
                    <c:v>Bukoto I</c:v>
                  </c:pt>
                  <c:pt idx="4">
                    <c:v>Ggaba</c:v>
                  </c:pt>
                </c:lvl>
              </c:multiLvlStrCache>
            </c:multiLvlStrRef>
          </c:cat>
          <c:val>
            <c:numRef>
              <c:f>Factors!$C$25:$C$30</c:f>
              <c:numCache>
                <c:formatCode>General</c:formatCode>
                <c:ptCount val="6"/>
                <c:pt idx="0">
                  <c:v>23</c:v>
                </c:pt>
                <c:pt idx="1">
                  <c:v>16</c:v>
                </c:pt>
                <c:pt idx="2">
                  <c:v>19</c:v>
                </c:pt>
                <c:pt idx="3">
                  <c:v>13</c:v>
                </c:pt>
                <c:pt idx="4">
                  <c:v>25</c:v>
                </c:pt>
                <c:pt idx="5">
                  <c:v>7</c:v>
                </c:pt>
              </c:numCache>
            </c:numRef>
          </c:val>
          <c:extLst>
            <c:ext xmlns:c16="http://schemas.microsoft.com/office/drawing/2014/chart" uri="{C3380CC4-5D6E-409C-BE32-E72D297353CC}">
              <c16:uniqueId val="{00000000-610C-46EB-8716-B866EC46A10B}"/>
            </c:ext>
          </c:extLst>
        </c:ser>
        <c:dLbls>
          <c:showLegendKey val="0"/>
          <c:showVal val="0"/>
          <c:showCatName val="0"/>
          <c:showSerName val="0"/>
          <c:showPercent val="0"/>
          <c:showBubbleSize val="0"/>
        </c:dLbls>
        <c:gapWidth val="219"/>
        <c:overlap val="-27"/>
        <c:axId val="725565248"/>
        <c:axId val="725578144"/>
      </c:barChart>
      <c:catAx>
        <c:axId val="725565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Male and</a:t>
                </a:r>
                <a:r>
                  <a:rPr lang="en-US" baseline="0"/>
                  <a:t> female in the three </a:t>
                </a:r>
                <a:r>
                  <a:rPr lang="en-US"/>
                  <a:t>Study</a:t>
                </a:r>
                <a:r>
                  <a:rPr lang="en-US" baseline="0"/>
                  <a:t> areas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578144"/>
        <c:crosses val="autoZero"/>
        <c:auto val="1"/>
        <c:lblAlgn val="ctr"/>
        <c:lblOffset val="100"/>
        <c:noMultiLvlLbl val="0"/>
      </c:catAx>
      <c:valAx>
        <c:axId val="725578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Male</a:t>
                </a:r>
                <a:r>
                  <a:rPr lang="en-US" baseline="0"/>
                  <a:t> and female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56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 levels</a:t>
            </a:r>
            <a:r>
              <a:rPr lang="en-US" baseline="0"/>
              <a:t> of Household heads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Factors!$A$33:$B$44</c:f>
              <c:multiLvlStrCache>
                <c:ptCount val="12"/>
                <c:lvl>
                  <c:pt idx="0">
                    <c:v>illiterate</c:v>
                  </c:pt>
                  <c:pt idx="1">
                    <c:v>Primary</c:v>
                  </c:pt>
                  <c:pt idx="2">
                    <c:v>Secondary</c:v>
                  </c:pt>
                  <c:pt idx="3">
                    <c:v>tertiary</c:v>
                  </c:pt>
                  <c:pt idx="4">
                    <c:v>illiterate</c:v>
                  </c:pt>
                  <c:pt idx="5">
                    <c:v>Primary</c:v>
                  </c:pt>
                  <c:pt idx="6">
                    <c:v>Secondary</c:v>
                  </c:pt>
                  <c:pt idx="7">
                    <c:v>tertiary</c:v>
                  </c:pt>
                  <c:pt idx="8">
                    <c:v>illiterate</c:v>
                  </c:pt>
                  <c:pt idx="9">
                    <c:v>Primary</c:v>
                  </c:pt>
                  <c:pt idx="10">
                    <c:v>Secondary</c:v>
                  </c:pt>
                  <c:pt idx="11">
                    <c:v>tertiary</c:v>
                  </c:pt>
                </c:lvl>
                <c:lvl>
                  <c:pt idx="0">
                    <c:v>Bwaise I</c:v>
                  </c:pt>
                  <c:pt idx="4">
                    <c:v>Bukoto I</c:v>
                  </c:pt>
                  <c:pt idx="8">
                    <c:v>Ggaba</c:v>
                  </c:pt>
                </c:lvl>
              </c:multiLvlStrCache>
            </c:multiLvlStrRef>
          </c:cat>
          <c:val>
            <c:numRef>
              <c:f>Factors!$C$33:$C$44</c:f>
              <c:numCache>
                <c:formatCode>General</c:formatCode>
                <c:ptCount val="12"/>
                <c:pt idx="0">
                  <c:v>5</c:v>
                </c:pt>
                <c:pt idx="1">
                  <c:v>9</c:v>
                </c:pt>
                <c:pt idx="2">
                  <c:v>20</c:v>
                </c:pt>
                <c:pt idx="3">
                  <c:v>5</c:v>
                </c:pt>
                <c:pt idx="4">
                  <c:v>2</c:v>
                </c:pt>
                <c:pt idx="5">
                  <c:v>1</c:v>
                </c:pt>
                <c:pt idx="6">
                  <c:v>12</c:v>
                </c:pt>
                <c:pt idx="7">
                  <c:v>17</c:v>
                </c:pt>
                <c:pt idx="8">
                  <c:v>0</c:v>
                </c:pt>
                <c:pt idx="9">
                  <c:v>0</c:v>
                </c:pt>
                <c:pt idx="10">
                  <c:v>1</c:v>
                </c:pt>
                <c:pt idx="11">
                  <c:v>31</c:v>
                </c:pt>
              </c:numCache>
            </c:numRef>
          </c:val>
          <c:extLst>
            <c:ext xmlns:c16="http://schemas.microsoft.com/office/drawing/2014/chart" uri="{C3380CC4-5D6E-409C-BE32-E72D297353CC}">
              <c16:uniqueId val="{00000000-60D4-49F2-8280-2DB7F7632557}"/>
            </c:ext>
          </c:extLst>
        </c:ser>
        <c:dLbls>
          <c:dLblPos val="outEnd"/>
          <c:showLegendKey val="0"/>
          <c:showVal val="1"/>
          <c:showCatName val="0"/>
          <c:showSerName val="0"/>
          <c:showPercent val="0"/>
          <c:showBubbleSize val="0"/>
        </c:dLbls>
        <c:gapWidth val="219"/>
        <c:overlap val="-27"/>
        <c:axId val="344707824"/>
        <c:axId val="340805104"/>
      </c:barChart>
      <c:catAx>
        <c:axId val="34470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Education levels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05104"/>
        <c:crosses val="autoZero"/>
        <c:auto val="1"/>
        <c:lblAlgn val="ctr"/>
        <c:lblOffset val="100"/>
        <c:noMultiLvlLbl val="0"/>
      </c:catAx>
      <c:valAx>
        <c:axId val="340805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Household heads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707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Factors!$A$47:$B$61</c:f>
              <c:multiLvlStrCache>
                <c:ptCount val="15"/>
                <c:lvl>
                  <c:pt idx="0">
                    <c:v>Government employee</c:v>
                  </c:pt>
                  <c:pt idx="1">
                    <c:v>Private employee</c:v>
                  </c:pt>
                  <c:pt idx="2">
                    <c:v>Business</c:v>
                  </c:pt>
                  <c:pt idx="3">
                    <c:v>Housewife</c:v>
                  </c:pt>
                  <c:pt idx="4">
                    <c:v>Retired</c:v>
                  </c:pt>
                  <c:pt idx="5">
                    <c:v>Government employee</c:v>
                  </c:pt>
                  <c:pt idx="6">
                    <c:v>Private employee</c:v>
                  </c:pt>
                  <c:pt idx="7">
                    <c:v>Business</c:v>
                  </c:pt>
                  <c:pt idx="8">
                    <c:v>Housewife</c:v>
                  </c:pt>
                  <c:pt idx="9">
                    <c:v>Retired</c:v>
                  </c:pt>
                  <c:pt idx="10">
                    <c:v>Government employee</c:v>
                  </c:pt>
                  <c:pt idx="11">
                    <c:v>Private employee</c:v>
                  </c:pt>
                  <c:pt idx="12">
                    <c:v>Business</c:v>
                  </c:pt>
                  <c:pt idx="13">
                    <c:v>Housewife</c:v>
                  </c:pt>
                  <c:pt idx="14">
                    <c:v>Retired</c:v>
                  </c:pt>
                </c:lvl>
                <c:lvl>
                  <c:pt idx="0">
                    <c:v>Bwaise I</c:v>
                  </c:pt>
                  <c:pt idx="5">
                    <c:v>Bukoto I</c:v>
                  </c:pt>
                  <c:pt idx="10">
                    <c:v>Ggaba</c:v>
                  </c:pt>
                </c:lvl>
              </c:multiLvlStrCache>
            </c:multiLvlStrRef>
          </c:cat>
          <c:val>
            <c:numRef>
              <c:f>Factors!$C$47:$C$61</c:f>
              <c:numCache>
                <c:formatCode>General</c:formatCode>
                <c:ptCount val="15"/>
                <c:pt idx="0">
                  <c:v>3</c:v>
                </c:pt>
                <c:pt idx="1">
                  <c:v>6</c:v>
                </c:pt>
                <c:pt idx="2">
                  <c:v>23</c:v>
                </c:pt>
                <c:pt idx="3">
                  <c:v>1</c:v>
                </c:pt>
                <c:pt idx="4">
                  <c:v>6</c:v>
                </c:pt>
                <c:pt idx="5">
                  <c:v>5</c:v>
                </c:pt>
                <c:pt idx="6">
                  <c:v>13</c:v>
                </c:pt>
                <c:pt idx="7">
                  <c:v>12</c:v>
                </c:pt>
                <c:pt idx="8">
                  <c:v>0</c:v>
                </c:pt>
                <c:pt idx="9">
                  <c:v>2</c:v>
                </c:pt>
                <c:pt idx="10">
                  <c:v>10</c:v>
                </c:pt>
                <c:pt idx="11">
                  <c:v>12</c:v>
                </c:pt>
                <c:pt idx="12">
                  <c:v>6</c:v>
                </c:pt>
                <c:pt idx="13">
                  <c:v>0</c:v>
                </c:pt>
                <c:pt idx="14">
                  <c:v>4</c:v>
                </c:pt>
              </c:numCache>
            </c:numRef>
          </c:val>
          <c:extLst>
            <c:ext xmlns:c16="http://schemas.microsoft.com/office/drawing/2014/chart" uri="{C3380CC4-5D6E-409C-BE32-E72D297353CC}">
              <c16:uniqueId val="{00000000-D0A8-4148-8F14-8870E053D430}"/>
            </c:ext>
          </c:extLst>
        </c:ser>
        <c:dLbls>
          <c:showLegendKey val="0"/>
          <c:showVal val="0"/>
          <c:showCatName val="0"/>
          <c:showSerName val="0"/>
          <c:showPercent val="0"/>
          <c:showBubbleSize val="0"/>
        </c:dLbls>
        <c:gapWidth val="219"/>
        <c:overlap val="-27"/>
        <c:axId val="1286251808"/>
        <c:axId val="1286250976"/>
      </c:barChart>
      <c:catAx>
        <c:axId val="128625180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250976"/>
        <c:crosses val="autoZero"/>
        <c:auto val="1"/>
        <c:lblAlgn val="ctr"/>
        <c:lblOffset val="100"/>
        <c:noMultiLvlLbl val="0"/>
      </c:catAx>
      <c:valAx>
        <c:axId val="128625097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251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Influence</a:t>
            </a:r>
            <a:r>
              <a:rPr lang="en-US" baseline="0"/>
              <a:t> of income level on total amount of solid waste generated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1528740157480315"/>
                  <c:y val="-0.278031496062992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og"/>
            <c:dispRSqr val="0"/>
            <c:dispEq val="0"/>
          </c:trendline>
          <c:xVal>
            <c:numRef>
              <c:f>'Encoded Data'!$F$4:$F$106</c:f>
              <c:numCache>
                <c:formatCode>General</c:formatCode>
                <c:ptCount val="10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3</c:v>
                </c:pt>
                <c:pt idx="95">
                  <c:v>3</c:v>
                </c:pt>
                <c:pt idx="96">
                  <c:v>3</c:v>
                </c:pt>
                <c:pt idx="97">
                  <c:v>3</c:v>
                </c:pt>
                <c:pt idx="98">
                  <c:v>3</c:v>
                </c:pt>
                <c:pt idx="99">
                  <c:v>3</c:v>
                </c:pt>
                <c:pt idx="100">
                  <c:v>3</c:v>
                </c:pt>
                <c:pt idx="101">
                  <c:v>3</c:v>
                </c:pt>
                <c:pt idx="102">
                  <c:v>3</c:v>
                </c:pt>
              </c:numCache>
            </c:numRef>
          </c:xVal>
          <c:yVal>
            <c:numRef>
              <c:f>'Encoded Data'!$AW$4:$AW$106</c:f>
              <c:numCache>
                <c:formatCode>#,##0.000</c:formatCode>
                <c:ptCount val="103"/>
                <c:pt idx="0">
                  <c:v>7.3240000000000007</c:v>
                </c:pt>
                <c:pt idx="1">
                  <c:v>13.126000000000001</c:v>
                </c:pt>
                <c:pt idx="2">
                  <c:v>4.5599999999999996</c:v>
                </c:pt>
                <c:pt idx="3">
                  <c:v>19.569999999999997</c:v>
                </c:pt>
                <c:pt idx="4">
                  <c:v>4.0699999999999994</c:v>
                </c:pt>
                <c:pt idx="5">
                  <c:v>1.1209999999999998</c:v>
                </c:pt>
                <c:pt idx="6">
                  <c:v>33.900000000000006</c:v>
                </c:pt>
                <c:pt idx="7">
                  <c:v>10.299999999999999</c:v>
                </c:pt>
                <c:pt idx="8">
                  <c:v>11.548</c:v>
                </c:pt>
                <c:pt idx="9">
                  <c:v>10.570000000000002</c:v>
                </c:pt>
                <c:pt idx="10">
                  <c:v>6.7650000000000006</c:v>
                </c:pt>
                <c:pt idx="11">
                  <c:v>8.9329999999999998</c:v>
                </c:pt>
                <c:pt idx="12">
                  <c:v>2.15</c:v>
                </c:pt>
                <c:pt idx="13">
                  <c:v>11.551</c:v>
                </c:pt>
                <c:pt idx="14">
                  <c:v>21.556000000000001</c:v>
                </c:pt>
                <c:pt idx="15">
                  <c:v>5.202</c:v>
                </c:pt>
                <c:pt idx="16">
                  <c:v>37.28</c:v>
                </c:pt>
                <c:pt idx="17">
                  <c:v>24.934000000000001</c:v>
                </c:pt>
                <c:pt idx="18">
                  <c:v>14.866999999999999</c:v>
                </c:pt>
                <c:pt idx="19">
                  <c:v>19.464999999999996</c:v>
                </c:pt>
                <c:pt idx="20">
                  <c:v>5.734</c:v>
                </c:pt>
                <c:pt idx="21">
                  <c:v>14.203999999999999</c:v>
                </c:pt>
                <c:pt idx="22">
                  <c:v>0.34199999999999997</c:v>
                </c:pt>
                <c:pt idx="23">
                  <c:v>0.78499999999999992</c:v>
                </c:pt>
                <c:pt idx="24">
                  <c:v>7.9349999999999996</c:v>
                </c:pt>
                <c:pt idx="25">
                  <c:v>14.608000000000002</c:v>
                </c:pt>
                <c:pt idx="26">
                  <c:v>44</c:v>
                </c:pt>
                <c:pt idx="27">
                  <c:v>7.3579999999999997</c:v>
                </c:pt>
                <c:pt idx="28">
                  <c:v>8.0310000000000006</c:v>
                </c:pt>
                <c:pt idx="29">
                  <c:v>1.895</c:v>
                </c:pt>
                <c:pt idx="30">
                  <c:v>8.8859999999999992</c:v>
                </c:pt>
                <c:pt idx="31">
                  <c:v>4.1709999999999994</c:v>
                </c:pt>
                <c:pt idx="32">
                  <c:v>19.978999999999999</c:v>
                </c:pt>
                <c:pt idx="33">
                  <c:v>40.300000000000004</c:v>
                </c:pt>
                <c:pt idx="34">
                  <c:v>16.407999999999998</c:v>
                </c:pt>
                <c:pt idx="35">
                  <c:v>26.658999999999995</c:v>
                </c:pt>
                <c:pt idx="36">
                  <c:v>5.9270000000000005</c:v>
                </c:pt>
                <c:pt idx="37">
                  <c:v>2.3839999999999999</c:v>
                </c:pt>
                <c:pt idx="38">
                  <c:v>7.9460000000000006</c:v>
                </c:pt>
                <c:pt idx="39" formatCode="0.00">
                  <c:v>16.84</c:v>
                </c:pt>
                <c:pt idx="40" formatCode="0.00">
                  <c:v>6.21</c:v>
                </c:pt>
                <c:pt idx="41" formatCode="0.00">
                  <c:v>20.02</c:v>
                </c:pt>
                <c:pt idx="42" formatCode="0.00">
                  <c:v>5.49</c:v>
                </c:pt>
                <c:pt idx="43" formatCode="0.00">
                  <c:v>18.510000000000002</c:v>
                </c:pt>
                <c:pt idx="44" formatCode="0.00">
                  <c:v>8.0380000000000003</c:v>
                </c:pt>
                <c:pt idx="45" formatCode="0.00">
                  <c:v>9.82</c:v>
                </c:pt>
                <c:pt idx="46" formatCode="0.00">
                  <c:v>2.63</c:v>
                </c:pt>
                <c:pt idx="47" formatCode="0.00">
                  <c:v>8.17</c:v>
                </c:pt>
                <c:pt idx="48" formatCode="0.00">
                  <c:v>20.77</c:v>
                </c:pt>
                <c:pt idx="49" formatCode="0.00">
                  <c:v>37.99</c:v>
                </c:pt>
                <c:pt idx="50" formatCode="0.00">
                  <c:v>22.26</c:v>
                </c:pt>
                <c:pt idx="51" formatCode="0.00">
                  <c:v>45.478999999999999</c:v>
                </c:pt>
                <c:pt idx="52" formatCode="0.00">
                  <c:v>13.718400000000001</c:v>
                </c:pt>
                <c:pt idx="53" formatCode="0.00">
                  <c:v>8.0190000000000001</c:v>
                </c:pt>
                <c:pt idx="54" formatCode="0.00">
                  <c:v>22.622</c:v>
                </c:pt>
                <c:pt idx="55" formatCode="0.00">
                  <c:v>7.4740000000000002</c:v>
                </c:pt>
                <c:pt idx="56" formatCode="0.00">
                  <c:v>6.0650000000000004</c:v>
                </c:pt>
                <c:pt idx="57" formatCode="0.00">
                  <c:v>3.379</c:v>
                </c:pt>
                <c:pt idx="58" formatCode="0.00">
                  <c:v>5.2469999999999999</c:v>
                </c:pt>
                <c:pt idx="59" formatCode="0.00">
                  <c:v>7.67</c:v>
                </c:pt>
                <c:pt idx="60" formatCode="0.00">
                  <c:v>8.41</c:v>
                </c:pt>
                <c:pt idx="61" formatCode="0.00">
                  <c:v>5.6619999999999999</c:v>
                </c:pt>
                <c:pt idx="62" formatCode="0.00">
                  <c:v>6.42</c:v>
                </c:pt>
                <c:pt idx="63" formatCode="0.00">
                  <c:v>2.6880000000000002</c:v>
                </c:pt>
                <c:pt idx="64" formatCode="0.00">
                  <c:v>4.8339999999999996</c:v>
                </c:pt>
                <c:pt idx="65" formatCode="0.00">
                  <c:v>2.5209999999999999</c:v>
                </c:pt>
                <c:pt idx="66" formatCode="0.00">
                  <c:v>18.498000000000001</c:v>
                </c:pt>
                <c:pt idx="67" formatCode="0.00">
                  <c:v>12.589</c:v>
                </c:pt>
                <c:pt idx="68" formatCode="0.00">
                  <c:v>12.908000000000001</c:v>
                </c:pt>
                <c:pt idx="69" formatCode="0.00">
                  <c:v>27.375</c:v>
                </c:pt>
                <c:pt idx="70" formatCode="0.00">
                  <c:v>26.544</c:v>
                </c:pt>
                <c:pt idx="71">
                  <c:v>49.980000000000004</c:v>
                </c:pt>
                <c:pt idx="72">
                  <c:v>46.984000000000002</c:v>
                </c:pt>
                <c:pt idx="73">
                  <c:v>22.5</c:v>
                </c:pt>
                <c:pt idx="74">
                  <c:v>11.558</c:v>
                </c:pt>
                <c:pt idx="75">
                  <c:v>21.1</c:v>
                </c:pt>
                <c:pt idx="76">
                  <c:v>60.081999999999994</c:v>
                </c:pt>
                <c:pt idx="77">
                  <c:v>54.112999999999992</c:v>
                </c:pt>
                <c:pt idx="78">
                  <c:v>12.406000000000001</c:v>
                </c:pt>
                <c:pt idx="79">
                  <c:v>24.764000000000006</c:v>
                </c:pt>
                <c:pt idx="80">
                  <c:v>68.031000000000006</c:v>
                </c:pt>
                <c:pt idx="81">
                  <c:v>51.742999999999995</c:v>
                </c:pt>
                <c:pt idx="82">
                  <c:v>40.866</c:v>
                </c:pt>
                <c:pt idx="83">
                  <c:v>14.741</c:v>
                </c:pt>
                <c:pt idx="84">
                  <c:v>26.323</c:v>
                </c:pt>
                <c:pt idx="85">
                  <c:v>33.664999999999999</c:v>
                </c:pt>
                <c:pt idx="86">
                  <c:v>34.56</c:v>
                </c:pt>
                <c:pt idx="87">
                  <c:v>68.706600000000009</c:v>
                </c:pt>
                <c:pt idx="88">
                  <c:v>12.729999999999997</c:v>
                </c:pt>
                <c:pt idx="89">
                  <c:v>27.9</c:v>
                </c:pt>
                <c:pt idx="90">
                  <c:v>15.72</c:v>
                </c:pt>
                <c:pt idx="91">
                  <c:v>45.279000000000011</c:v>
                </c:pt>
                <c:pt idx="92">
                  <c:v>20.811</c:v>
                </c:pt>
                <c:pt idx="93">
                  <c:v>64.622</c:v>
                </c:pt>
                <c:pt idx="94">
                  <c:v>44.064000000000007</c:v>
                </c:pt>
                <c:pt idx="95">
                  <c:v>24.588000000000001</c:v>
                </c:pt>
                <c:pt idx="96">
                  <c:v>26.05</c:v>
                </c:pt>
                <c:pt idx="97">
                  <c:v>34.420999999999992</c:v>
                </c:pt>
                <c:pt idx="98">
                  <c:v>68.031000000000006</c:v>
                </c:pt>
                <c:pt idx="99">
                  <c:v>65.143000000000001</c:v>
                </c:pt>
                <c:pt idx="100">
                  <c:v>42.454999999999998</c:v>
                </c:pt>
                <c:pt idx="101">
                  <c:v>25.108999999999998</c:v>
                </c:pt>
                <c:pt idx="102">
                  <c:v>39.094000000000001</c:v>
                </c:pt>
              </c:numCache>
            </c:numRef>
          </c:yVal>
          <c:smooth val="0"/>
          <c:extLst>
            <c:ext xmlns:c16="http://schemas.microsoft.com/office/drawing/2014/chart" uri="{C3380CC4-5D6E-409C-BE32-E72D297353CC}">
              <c16:uniqueId val="{00000000-EB07-4A7A-A13F-A2D55C720BF8}"/>
            </c:ext>
          </c:extLst>
        </c:ser>
        <c:dLbls>
          <c:showLegendKey val="0"/>
          <c:showVal val="0"/>
          <c:showCatName val="0"/>
          <c:showSerName val="0"/>
          <c:showPercent val="0"/>
          <c:showBubbleSize val="0"/>
        </c:dLbls>
        <c:axId val="572163007"/>
        <c:axId val="572159263"/>
      </c:scatterChart>
      <c:valAx>
        <c:axId val="57216300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r>
                  <a:rPr lang="en-US" baseline="0"/>
                  <a:t> levels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59263"/>
        <c:crosses val="autoZero"/>
        <c:crossBetween val="midCat"/>
      </c:valAx>
      <c:valAx>
        <c:axId val="57215926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of solid waste generated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6300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Influence of Household size on total amount of solid waste generated</a:t>
            </a:r>
            <a:endParaRPr lang="en-UG">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0.59354960190655182"/>
                  <c:y val="-0.1799769028871391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'Encoded Data'!$G$4:$G$106</c:f>
              <c:numCache>
                <c:formatCode>General</c:formatCode>
                <c:ptCount val="103"/>
                <c:pt idx="0">
                  <c:v>3</c:v>
                </c:pt>
                <c:pt idx="1">
                  <c:v>7</c:v>
                </c:pt>
                <c:pt idx="2">
                  <c:v>6</c:v>
                </c:pt>
                <c:pt idx="3">
                  <c:v>11</c:v>
                </c:pt>
                <c:pt idx="4">
                  <c:v>2</c:v>
                </c:pt>
                <c:pt idx="5">
                  <c:v>7</c:v>
                </c:pt>
                <c:pt idx="6">
                  <c:v>4</c:v>
                </c:pt>
                <c:pt idx="7">
                  <c:v>3</c:v>
                </c:pt>
                <c:pt idx="8">
                  <c:v>2</c:v>
                </c:pt>
                <c:pt idx="9">
                  <c:v>3</c:v>
                </c:pt>
                <c:pt idx="10">
                  <c:v>2</c:v>
                </c:pt>
                <c:pt idx="11">
                  <c:v>4</c:v>
                </c:pt>
                <c:pt idx="12">
                  <c:v>3</c:v>
                </c:pt>
                <c:pt idx="13">
                  <c:v>6</c:v>
                </c:pt>
                <c:pt idx="14">
                  <c:v>11</c:v>
                </c:pt>
                <c:pt idx="15">
                  <c:v>3</c:v>
                </c:pt>
                <c:pt idx="16">
                  <c:v>12</c:v>
                </c:pt>
                <c:pt idx="17">
                  <c:v>6</c:v>
                </c:pt>
                <c:pt idx="18">
                  <c:v>7</c:v>
                </c:pt>
                <c:pt idx="19">
                  <c:v>3</c:v>
                </c:pt>
                <c:pt idx="20">
                  <c:v>2</c:v>
                </c:pt>
                <c:pt idx="21">
                  <c:v>6</c:v>
                </c:pt>
                <c:pt idx="22">
                  <c:v>3</c:v>
                </c:pt>
                <c:pt idx="23">
                  <c:v>3</c:v>
                </c:pt>
                <c:pt idx="24">
                  <c:v>4</c:v>
                </c:pt>
                <c:pt idx="25">
                  <c:v>2</c:v>
                </c:pt>
                <c:pt idx="26">
                  <c:v>5</c:v>
                </c:pt>
                <c:pt idx="27">
                  <c:v>3</c:v>
                </c:pt>
                <c:pt idx="28">
                  <c:v>8</c:v>
                </c:pt>
                <c:pt idx="29">
                  <c:v>3</c:v>
                </c:pt>
                <c:pt idx="30">
                  <c:v>2</c:v>
                </c:pt>
                <c:pt idx="31">
                  <c:v>4</c:v>
                </c:pt>
                <c:pt idx="32">
                  <c:v>6</c:v>
                </c:pt>
                <c:pt idx="33">
                  <c:v>4</c:v>
                </c:pt>
                <c:pt idx="34">
                  <c:v>8</c:v>
                </c:pt>
                <c:pt idx="35">
                  <c:v>6</c:v>
                </c:pt>
                <c:pt idx="36">
                  <c:v>7</c:v>
                </c:pt>
                <c:pt idx="37">
                  <c:v>6</c:v>
                </c:pt>
                <c:pt idx="38">
                  <c:v>2</c:v>
                </c:pt>
                <c:pt idx="39" formatCode="0">
                  <c:v>4</c:v>
                </c:pt>
                <c:pt idx="40" formatCode="0">
                  <c:v>2</c:v>
                </c:pt>
                <c:pt idx="41" formatCode="0">
                  <c:v>4</c:v>
                </c:pt>
                <c:pt idx="42" formatCode="0">
                  <c:v>1</c:v>
                </c:pt>
                <c:pt idx="43" formatCode="0">
                  <c:v>3</c:v>
                </c:pt>
                <c:pt idx="44" formatCode="0">
                  <c:v>2</c:v>
                </c:pt>
                <c:pt idx="45" formatCode="0">
                  <c:v>2</c:v>
                </c:pt>
                <c:pt idx="46" formatCode="0">
                  <c:v>1</c:v>
                </c:pt>
                <c:pt idx="47" formatCode="0">
                  <c:v>2</c:v>
                </c:pt>
                <c:pt idx="48" formatCode="0">
                  <c:v>4</c:v>
                </c:pt>
                <c:pt idx="49" formatCode="0">
                  <c:v>7</c:v>
                </c:pt>
                <c:pt idx="50" formatCode="0">
                  <c:v>4</c:v>
                </c:pt>
                <c:pt idx="51" formatCode="0">
                  <c:v>9</c:v>
                </c:pt>
                <c:pt idx="52" formatCode="0">
                  <c:v>6</c:v>
                </c:pt>
                <c:pt idx="53" formatCode="0">
                  <c:v>2</c:v>
                </c:pt>
                <c:pt idx="54" formatCode="0">
                  <c:v>4</c:v>
                </c:pt>
                <c:pt idx="55" formatCode="0">
                  <c:v>2</c:v>
                </c:pt>
                <c:pt idx="56" formatCode="0">
                  <c:v>3</c:v>
                </c:pt>
                <c:pt idx="57" formatCode="0">
                  <c:v>2</c:v>
                </c:pt>
                <c:pt idx="58" formatCode="0">
                  <c:v>1</c:v>
                </c:pt>
                <c:pt idx="59" formatCode="0">
                  <c:v>6</c:v>
                </c:pt>
                <c:pt idx="60" formatCode="0">
                  <c:v>2</c:v>
                </c:pt>
                <c:pt idx="61" formatCode="0">
                  <c:v>6</c:v>
                </c:pt>
                <c:pt idx="62" formatCode="0">
                  <c:v>3</c:v>
                </c:pt>
                <c:pt idx="63" formatCode="0">
                  <c:v>2</c:v>
                </c:pt>
                <c:pt idx="64" formatCode="0">
                  <c:v>1</c:v>
                </c:pt>
                <c:pt idx="65" formatCode="0">
                  <c:v>2</c:v>
                </c:pt>
                <c:pt idx="66" formatCode="0">
                  <c:v>6</c:v>
                </c:pt>
                <c:pt idx="67" formatCode="0">
                  <c:v>3</c:v>
                </c:pt>
                <c:pt idx="68" formatCode="0">
                  <c:v>6</c:v>
                </c:pt>
                <c:pt idx="69" formatCode="0">
                  <c:v>7</c:v>
                </c:pt>
                <c:pt idx="70" formatCode="0">
                  <c:v>8</c:v>
                </c:pt>
                <c:pt idx="71">
                  <c:v>6</c:v>
                </c:pt>
                <c:pt idx="72">
                  <c:v>9</c:v>
                </c:pt>
                <c:pt idx="73">
                  <c:v>8</c:v>
                </c:pt>
                <c:pt idx="74">
                  <c:v>2</c:v>
                </c:pt>
                <c:pt idx="75">
                  <c:v>4</c:v>
                </c:pt>
                <c:pt idx="76">
                  <c:v>6</c:v>
                </c:pt>
                <c:pt idx="77">
                  <c:v>7</c:v>
                </c:pt>
                <c:pt idx="78">
                  <c:v>3</c:v>
                </c:pt>
                <c:pt idx="79">
                  <c:v>3</c:v>
                </c:pt>
                <c:pt idx="80">
                  <c:v>5</c:v>
                </c:pt>
                <c:pt idx="81">
                  <c:v>4</c:v>
                </c:pt>
                <c:pt idx="82">
                  <c:v>7</c:v>
                </c:pt>
                <c:pt idx="83">
                  <c:v>3</c:v>
                </c:pt>
                <c:pt idx="84">
                  <c:v>8</c:v>
                </c:pt>
                <c:pt idx="85">
                  <c:v>12</c:v>
                </c:pt>
                <c:pt idx="86">
                  <c:v>4</c:v>
                </c:pt>
                <c:pt idx="87">
                  <c:v>7</c:v>
                </c:pt>
                <c:pt idx="88">
                  <c:v>5</c:v>
                </c:pt>
                <c:pt idx="89">
                  <c:v>3</c:v>
                </c:pt>
                <c:pt idx="90">
                  <c:v>3</c:v>
                </c:pt>
                <c:pt idx="91">
                  <c:v>6</c:v>
                </c:pt>
                <c:pt idx="92">
                  <c:v>3</c:v>
                </c:pt>
                <c:pt idx="93">
                  <c:v>7</c:v>
                </c:pt>
                <c:pt idx="94">
                  <c:v>6</c:v>
                </c:pt>
                <c:pt idx="95">
                  <c:v>4</c:v>
                </c:pt>
                <c:pt idx="96">
                  <c:v>4</c:v>
                </c:pt>
                <c:pt idx="97">
                  <c:v>5</c:v>
                </c:pt>
                <c:pt idx="98">
                  <c:v>5</c:v>
                </c:pt>
                <c:pt idx="99">
                  <c:v>9</c:v>
                </c:pt>
                <c:pt idx="100">
                  <c:v>14</c:v>
                </c:pt>
                <c:pt idx="101">
                  <c:v>8</c:v>
                </c:pt>
                <c:pt idx="102">
                  <c:v>6</c:v>
                </c:pt>
              </c:numCache>
            </c:numRef>
          </c:xVal>
          <c:yVal>
            <c:numRef>
              <c:f>'Encoded Data'!$AW$4:$AW$106</c:f>
              <c:numCache>
                <c:formatCode>#,##0.000</c:formatCode>
                <c:ptCount val="103"/>
                <c:pt idx="0">
                  <c:v>7.3240000000000007</c:v>
                </c:pt>
                <c:pt idx="1">
                  <c:v>13.126000000000001</c:v>
                </c:pt>
                <c:pt idx="2">
                  <c:v>4.5599999999999996</c:v>
                </c:pt>
                <c:pt idx="3">
                  <c:v>19.569999999999997</c:v>
                </c:pt>
                <c:pt idx="4">
                  <c:v>4.0699999999999994</c:v>
                </c:pt>
                <c:pt idx="5">
                  <c:v>1.1209999999999998</c:v>
                </c:pt>
                <c:pt idx="6">
                  <c:v>33.900000000000006</c:v>
                </c:pt>
                <c:pt idx="7">
                  <c:v>10.299999999999999</c:v>
                </c:pt>
                <c:pt idx="8">
                  <c:v>11.548</c:v>
                </c:pt>
                <c:pt idx="9">
                  <c:v>10.570000000000002</c:v>
                </c:pt>
                <c:pt idx="10">
                  <c:v>6.7650000000000006</c:v>
                </c:pt>
                <c:pt idx="11">
                  <c:v>8.9329999999999998</c:v>
                </c:pt>
                <c:pt idx="12">
                  <c:v>2.15</c:v>
                </c:pt>
                <c:pt idx="13">
                  <c:v>11.551</c:v>
                </c:pt>
                <c:pt idx="14">
                  <c:v>21.556000000000001</c:v>
                </c:pt>
                <c:pt idx="15">
                  <c:v>5.202</c:v>
                </c:pt>
                <c:pt idx="16">
                  <c:v>37.28</c:v>
                </c:pt>
                <c:pt idx="17">
                  <c:v>24.934000000000001</c:v>
                </c:pt>
                <c:pt idx="18">
                  <c:v>14.866999999999999</c:v>
                </c:pt>
                <c:pt idx="19">
                  <c:v>19.464999999999996</c:v>
                </c:pt>
                <c:pt idx="20">
                  <c:v>5.734</c:v>
                </c:pt>
                <c:pt idx="21">
                  <c:v>14.203999999999999</c:v>
                </c:pt>
                <c:pt idx="22">
                  <c:v>0.34199999999999997</c:v>
                </c:pt>
                <c:pt idx="23">
                  <c:v>0.78499999999999992</c:v>
                </c:pt>
                <c:pt idx="24">
                  <c:v>7.9349999999999996</c:v>
                </c:pt>
                <c:pt idx="25">
                  <c:v>14.608000000000002</c:v>
                </c:pt>
                <c:pt idx="26">
                  <c:v>44</c:v>
                </c:pt>
                <c:pt idx="27">
                  <c:v>7.3579999999999997</c:v>
                </c:pt>
                <c:pt idx="28">
                  <c:v>8.0310000000000006</c:v>
                </c:pt>
                <c:pt idx="29">
                  <c:v>1.895</c:v>
                </c:pt>
                <c:pt idx="30">
                  <c:v>8.8859999999999992</c:v>
                </c:pt>
                <c:pt idx="31">
                  <c:v>4.1709999999999994</c:v>
                </c:pt>
                <c:pt idx="32">
                  <c:v>19.978999999999999</c:v>
                </c:pt>
                <c:pt idx="33">
                  <c:v>40.300000000000004</c:v>
                </c:pt>
                <c:pt idx="34">
                  <c:v>16.407999999999998</c:v>
                </c:pt>
                <c:pt idx="35">
                  <c:v>26.658999999999995</c:v>
                </c:pt>
                <c:pt idx="36">
                  <c:v>5.9270000000000005</c:v>
                </c:pt>
                <c:pt idx="37">
                  <c:v>2.3839999999999999</c:v>
                </c:pt>
                <c:pt idx="38">
                  <c:v>7.9460000000000006</c:v>
                </c:pt>
                <c:pt idx="39" formatCode="0.00">
                  <c:v>16.84</c:v>
                </c:pt>
                <c:pt idx="40" formatCode="0.00">
                  <c:v>6.21</c:v>
                </c:pt>
                <c:pt idx="41" formatCode="0.00">
                  <c:v>20.02</c:v>
                </c:pt>
                <c:pt idx="42" formatCode="0.00">
                  <c:v>5.49</c:v>
                </c:pt>
                <c:pt idx="43" formatCode="0.00">
                  <c:v>18.510000000000002</c:v>
                </c:pt>
                <c:pt idx="44" formatCode="0.00">
                  <c:v>8.0380000000000003</c:v>
                </c:pt>
                <c:pt idx="45" formatCode="0.00">
                  <c:v>9.82</c:v>
                </c:pt>
                <c:pt idx="46" formatCode="0.00">
                  <c:v>2.63</c:v>
                </c:pt>
                <c:pt idx="47" formatCode="0.00">
                  <c:v>8.17</c:v>
                </c:pt>
                <c:pt idx="48" formatCode="0.00">
                  <c:v>20.77</c:v>
                </c:pt>
                <c:pt idx="49" formatCode="0.00">
                  <c:v>37.99</c:v>
                </c:pt>
                <c:pt idx="50" formatCode="0.00">
                  <c:v>22.26</c:v>
                </c:pt>
                <c:pt idx="51" formatCode="0.00">
                  <c:v>45.478999999999999</c:v>
                </c:pt>
                <c:pt idx="52" formatCode="0.00">
                  <c:v>13.718400000000001</c:v>
                </c:pt>
                <c:pt idx="53" formatCode="0.00">
                  <c:v>8.0190000000000001</c:v>
                </c:pt>
                <c:pt idx="54" formatCode="0.00">
                  <c:v>22.622</c:v>
                </c:pt>
                <c:pt idx="55" formatCode="0.00">
                  <c:v>7.4740000000000002</c:v>
                </c:pt>
                <c:pt idx="56" formatCode="0.00">
                  <c:v>6.0650000000000004</c:v>
                </c:pt>
                <c:pt idx="57" formatCode="0.00">
                  <c:v>3.379</c:v>
                </c:pt>
                <c:pt idx="58" formatCode="0.00">
                  <c:v>5.2469999999999999</c:v>
                </c:pt>
                <c:pt idx="59" formatCode="0.00">
                  <c:v>7.67</c:v>
                </c:pt>
                <c:pt idx="60" formatCode="0.00">
                  <c:v>8.41</c:v>
                </c:pt>
                <c:pt idx="61" formatCode="0.00">
                  <c:v>5.6619999999999999</c:v>
                </c:pt>
                <c:pt idx="62" formatCode="0.00">
                  <c:v>6.42</c:v>
                </c:pt>
                <c:pt idx="63" formatCode="0.00">
                  <c:v>2.6880000000000002</c:v>
                </c:pt>
                <c:pt idx="64" formatCode="0.00">
                  <c:v>4.8339999999999996</c:v>
                </c:pt>
                <c:pt idx="65" formatCode="0.00">
                  <c:v>2.5209999999999999</c:v>
                </c:pt>
                <c:pt idx="66" formatCode="0.00">
                  <c:v>18.498000000000001</c:v>
                </c:pt>
                <c:pt idx="67" formatCode="0.00">
                  <c:v>12.589</c:v>
                </c:pt>
                <c:pt idx="68" formatCode="0.00">
                  <c:v>12.908000000000001</c:v>
                </c:pt>
                <c:pt idx="69" formatCode="0.00">
                  <c:v>27.375</c:v>
                </c:pt>
                <c:pt idx="70" formatCode="0.00">
                  <c:v>26.544</c:v>
                </c:pt>
                <c:pt idx="71">
                  <c:v>49.980000000000004</c:v>
                </c:pt>
                <c:pt idx="72">
                  <c:v>46.984000000000002</c:v>
                </c:pt>
                <c:pt idx="73">
                  <c:v>22.5</c:v>
                </c:pt>
                <c:pt idx="74">
                  <c:v>11.558</c:v>
                </c:pt>
                <c:pt idx="75">
                  <c:v>21.1</c:v>
                </c:pt>
                <c:pt idx="76">
                  <c:v>60.081999999999994</c:v>
                </c:pt>
                <c:pt idx="77">
                  <c:v>54.112999999999992</c:v>
                </c:pt>
                <c:pt idx="78">
                  <c:v>12.406000000000001</c:v>
                </c:pt>
                <c:pt idx="79">
                  <c:v>24.764000000000006</c:v>
                </c:pt>
                <c:pt idx="80">
                  <c:v>68.031000000000006</c:v>
                </c:pt>
                <c:pt idx="81">
                  <c:v>51.742999999999995</c:v>
                </c:pt>
                <c:pt idx="82">
                  <c:v>40.866</c:v>
                </c:pt>
                <c:pt idx="83">
                  <c:v>14.741</c:v>
                </c:pt>
                <c:pt idx="84">
                  <c:v>26.323</c:v>
                </c:pt>
                <c:pt idx="85">
                  <c:v>33.664999999999999</c:v>
                </c:pt>
                <c:pt idx="86">
                  <c:v>34.56</c:v>
                </c:pt>
                <c:pt idx="87">
                  <c:v>68.706600000000009</c:v>
                </c:pt>
                <c:pt idx="88">
                  <c:v>12.729999999999997</c:v>
                </c:pt>
                <c:pt idx="89">
                  <c:v>27.9</c:v>
                </c:pt>
                <c:pt idx="90">
                  <c:v>15.72</c:v>
                </c:pt>
                <c:pt idx="91">
                  <c:v>45.279000000000011</c:v>
                </c:pt>
                <c:pt idx="92">
                  <c:v>20.811</c:v>
                </c:pt>
                <c:pt idx="93">
                  <c:v>64.622</c:v>
                </c:pt>
                <c:pt idx="94">
                  <c:v>44.064000000000007</c:v>
                </c:pt>
                <c:pt idx="95">
                  <c:v>24.588000000000001</c:v>
                </c:pt>
                <c:pt idx="96">
                  <c:v>26.05</c:v>
                </c:pt>
                <c:pt idx="97">
                  <c:v>34.420999999999992</c:v>
                </c:pt>
                <c:pt idx="98">
                  <c:v>68.031000000000006</c:v>
                </c:pt>
                <c:pt idx="99">
                  <c:v>65.143000000000001</c:v>
                </c:pt>
                <c:pt idx="100">
                  <c:v>42.454999999999998</c:v>
                </c:pt>
                <c:pt idx="101">
                  <c:v>25.108999999999998</c:v>
                </c:pt>
                <c:pt idx="102">
                  <c:v>39.094000000000001</c:v>
                </c:pt>
              </c:numCache>
            </c:numRef>
          </c:yVal>
          <c:smooth val="0"/>
          <c:extLst>
            <c:ext xmlns:c16="http://schemas.microsoft.com/office/drawing/2014/chart" uri="{C3380CC4-5D6E-409C-BE32-E72D297353CC}">
              <c16:uniqueId val="{00000001-48EA-4AB2-B689-1405AF87FCBF}"/>
            </c:ext>
          </c:extLst>
        </c:ser>
        <c:dLbls>
          <c:showLegendKey val="0"/>
          <c:showVal val="0"/>
          <c:showCatName val="0"/>
          <c:showSerName val="0"/>
          <c:showPercent val="0"/>
          <c:showBubbleSize val="0"/>
        </c:dLbls>
        <c:axId val="1356373951"/>
        <c:axId val="1356365215"/>
      </c:scatterChart>
      <c:valAx>
        <c:axId val="135637395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Houshold</a:t>
                </a:r>
                <a:r>
                  <a:rPr lang="en-US" baseline="0"/>
                  <a:t> size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365215"/>
        <c:crosses val="autoZero"/>
        <c:crossBetween val="midCat"/>
      </c:valAx>
      <c:valAx>
        <c:axId val="135636521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of solid waste Generated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37395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Influence of Age of Household head on total amount of solid waste generated</a:t>
            </a:r>
            <a:endParaRPr lang="en-UG">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53988047634879699"/>
                  <c:y val="-0.3954158268981604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'Encoded Data'!$H$4:$H$106</c:f>
              <c:numCache>
                <c:formatCode>General</c:formatCode>
                <c:ptCount val="103"/>
                <c:pt idx="0">
                  <c:v>2</c:v>
                </c:pt>
                <c:pt idx="1">
                  <c:v>3</c:v>
                </c:pt>
                <c:pt idx="2">
                  <c:v>3</c:v>
                </c:pt>
                <c:pt idx="3">
                  <c:v>4</c:v>
                </c:pt>
                <c:pt idx="4">
                  <c:v>2</c:v>
                </c:pt>
                <c:pt idx="5">
                  <c:v>2</c:v>
                </c:pt>
                <c:pt idx="6">
                  <c:v>3</c:v>
                </c:pt>
                <c:pt idx="7">
                  <c:v>2</c:v>
                </c:pt>
                <c:pt idx="8">
                  <c:v>3</c:v>
                </c:pt>
                <c:pt idx="9">
                  <c:v>2</c:v>
                </c:pt>
                <c:pt idx="10">
                  <c:v>3</c:v>
                </c:pt>
                <c:pt idx="11">
                  <c:v>2</c:v>
                </c:pt>
                <c:pt idx="12">
                  <c:v>4</c:v>
                </c:pt>
                <c:pt idx="13">
                  <c:v>3</c:v>
                </c:pt>
                <c:pt idx="14">
                  <c:v>4</c:v>
                </c:pt>
                <c:pt idx="15">
                  <c:v>2</c:v>
                </c:pt>
                <c:pt idx="16">
                  <c:v>3</c:v>
                </c:pt>
                <c:pt idx="17">
                  <c:v>3</c:v>
                </c:pt>
                <c:pt idx="18">
                  <c:v>4</c:v>
                </c:pt>
                <c:pt idx="19">
                  <c:v>2</c:v>
                </c:pt>
                <c:pt idx="20">
                  <c:v>2</c:v>
                </c:pt>
                <c:pt idx="21">
                  <c:v>3</c:v>
                </c:pt>
                <c:pt idx="22">
                  <c:v>2</c:v>
                </c:pt>
                <c:pt idx="23">
                  <c:v>2</c:v>
                </c:pt>
                <c:pt idx="24">
                  <c:v>2</c:v>
                </c:pt>
                <c:pt idx="25">
                  <c:v>3</c:v>
                </c:pt>
                <c:pt idx="26">
                  <c:v>2</c:v>
                </c:pt>
                <c:pt idx="27">
                  <c:v>3</c:v>
                </c:pt>
                <c:pt idx="28">
                  <c:v>4</c:v>
                </c:pt>
                <c:pt idx="29">
                  <c:v>3</c:v>
                </c:pt>
                <c:pt idx="30">
                  <c:v>4</c:v>
                </c:pt>
                <c:pt idx="31">
                  <c:v>2</c:v>
                </c:pt>
                <c:pt idx="32">
                  <c:v>3</c:v>
                </c:pt>
                <c:pt idx="33">
                  <c:v>4</c:v>
                </c:pt>
                <c:pt idx="34">
                  <c:v>4</c:v>
                </c:pt>
                <c:pt idx="35">
                  <c:v>4</c:v>
                </c:pt>
                <c:pt idx="36">
                  <c:v>3</c:v>
                </c:pt>
                <c:pt idx="37">
                  <c:v>3</c:v>
                </c:pt>
                <c:pt idx="38">
                  <c:v>2</c:v>
                </c:pt>
                <c:pt idx="39">
                  <c:v>3</c:v>
                </c:pt>
                <c:pt idx="40">
                  <c:v>3</c:v>
                </c:pt>
                <c:pt idx="41">
                  <c:v>3</c:v>
                </c:pt>
                <c:pt idx="42">
                  <c:v>3</c:v>
                </c:pt>
                <c:pt idx="43">
                  <c:v>3</c:v>
                </c:pt>
                <c:pt idx="44">
                  <c:v>2</c:v>
                </c:pt>
                <c:pt idx="45">
                  <c:v>3</c:v>
                </c:pt>
                <c:pt idx="46">
                  <c:v>3</c:v>
                </c:pt>
                <c:pt idx="47">
                  <c:v>3</c:v>
                </c:pt>
                <c:pt idx="48">
                  <c:v>2</c:v>
                </c:pt>
                <c:pt idx="49">
                  <c:v>3</c:v>
                </c:pt>
                <c:pt idx="50">
                  <c:v>3</c:v>
                </c:pt>
                <c:pt idx="51">
                  <c:v>2</c:v>
                </c:pt>
                <c:pt idx="52">
                  <c:v>3</c:v>
                </c:pt>
                <c:pt idx="53">
                  <c:v>3</c:v>
                </c:pt>
                <c:pt idx="54">
                  <c:v>1</c:v>
                </c:pt>
                <c:pt idx="55">
                  <c:v>2</c:v>
                </c:pt>
                <c:pt idx="56">
                  <c:v>3</c:v>
                </c:pt>
                <c:pt idx="57">
                  <c:v>3</c:v>
                </c:pt>
                <c:pt idx="58">
                  <c:v>2</c:v>
                </c:pt>
                <c:pt idx="59">
                  <c:v>2</c:v>
                </c:pt>
                <c:pt idx="60">
                  <c:v>2</c:v>
                </c:pt>
                <c:pt idx="61">
                  <c:v>2</c:v>
                </c:pt>
                <c:pt idx="62">
                  <c:v>2</c:v>
                </c:pt>
                <c:pt idx="63">
                  <c:v>2</c:v>
                </c:pt>
                <c:pt idx="64">
                  <c:v>2</c:v>
                </c:pt>
                <c:pt idx="65">
                  <c:v>3</c:v>
                </c:pt>
                <c:pt idx="66">
                  <c:v>3</c:v>
                </c:pt>
                <c:pt idx="67">
                  <c:v>2</c:v>
                </c:pt>
                <c:pt idx="68">
                  <c:v>2</c:v>
                </c:pt>
                <c:pt idx="69">
                  <c:v>1</c:v>
                </c:pt>
                <c:pt idx="70">
                  <c:v>3</c:v>
                </c:pt>
                <c:pt idx="71">
                  <c:v>4</c:v>
                </c:pt>
                <c:pt idx="72">
                  <c:v>2</c:v>
                </c:pt>
                <c:pt idx="73">
                  <c:v>4</c:v>
                </c:pt>
                <c:pt idx="74">
                  <c:v>4</c:v>
                </c:pt>
                <c:pt idx="75">
                  <c:v>3</c:v>
                </c:pt>
                <c:pt idx="76">
                  <c:v>3</c:v>
                </c:pt>
                <c:pt idx="77">
                  <c:v>3</c:v>
                </c:pt>
                <c:pt idx="78">
                  <c:v>2</c:v>
                </c:pt>
                <c:pt idx="79">
                  <c:v>4</c:v>
                </c:pt>
                <c:pt idx="80">
                  <c:v>3</c:v>
                </c:pt>
                <c:pt idx="81">
                  <c:v>3</c:v>
                </c:pt>
                <c:pt idx="82">
                  <c:v>3</c:v>
                </c:pt>
                <c:pt idx="83">
                  <c:v>4</c:v>
                </c:pt>
                <c:pt idx="84">
                  <c:v>4</c:v>
                </c:pt>
                <c:pt idx="85">
                  <c:v>3</c:v>
                </c:pt>
                <c:pt idx="86">
                  <c:v>3</c:v>
                </c:pt>
                <c:pt idx="87">
                  <c:v>4</c:v>
                </c:pt>
                <c:pt idx="88">
                  <c:v>4</c:v>
                </c:pt>
                <c:pt idx="89">
                  <c:v>4</c:v>
                </c:pt>
                <c:pt idx="90">
                  <c:v>4</c:v>
                </c:pt>
                <c:pt idx="91">
                  <c:v>3</c:v>
                </c:pt>
                <c:pt idx="92">
                  <c:v>4</c:v>
                </c:pt>
                <c:pt idx="93">
                  <c:v>3</c:v>
                </c:pt>
                <c:pt idx="94">
                  <c:v>3</c:v>
                </c:pt>
                <c:pt idx="95">
                  <c:v>3</c:v>
                </c:pt>
                <c:pt idx="96">
                  <c:v>2</c:v>
                </c:pt>
                <c:pt idx="97">
                  <c:v>2</c:v>
                </c:pt>
                <c:pt idx="98">
                  <c:v>3</c:v>
                </c:pt>
                <c:pt idx="99">
                  <c:v>3</c:v>
                </c:pt>
                <c:pt idx="100">
                  <c:v>3</c:v>
                </c:pt>
                <c:pt idx="101">
                  <c:v>4</c:v>
                </c:pt>
                <c:pt idx="102">
                  <c:v>2</c:v>
                </c:pt>
              </c:numCache>
            </c:numRef>
          </c:xVal>
          <c:yVal>
            <c:numRef>
              <c:f>'Encoded Data'!$AW$4:$AW$106</c:f>
              <c:numCache>
                <c:formatCode>#,##0.000</c:formatCode>
                <c:ptCount val="103"/>
                <c:pt idx="0">
                  <c:v>7.3240000000000007</c:v>
                </c:pt>
                <c:pt idx="1">
                  <c:v>13.126000000000001</c:v>
                </c:pt>
                <c:pt idx="2">
                  <c:v>4.5599999999999996</c:v>
                </c:pt>
                <c:pt idx="3">
                  <c:v>19.569999999999997</c:v>
                </c:pt>
                <c:pt idx="4">
                  <c:v>4.0699999999999994</c:v>
                </c:pt>
                <c:pt idx="5">
                  <c:v>1.1209999999999998</c:v>
                </c:pt>
                <c:pt idx="6">
                  <c:v>33.900000000000006</c:v>
                </c:pt>
                <c:pt idx="7">
                  <c:v>10.299999999999999</c:v>
                </c:pt>
                <c:pt idx="8">
                  <c:v>11.548</c:v>
                </c:pt>
                <c:pt idx="9">
                  <c:v>10.570000000000002</c:v>
                </c:pt>
                <c:pt idx="10">
                  <c:v>6.7650000000000006</c:v>
                </c:pt>
                <c:pt idx="11">
                  <c:v>8.9329999999999998</c:v>
                </c:pt>
                <c:pt idx="12">
                  <c:v>2.15</c:v>
                </c:pt>
                <c:pt idx="13">
                  <c:v>11.551</c:v>
                </c:pt>
                <c:pt idx="14">
                  <c:v>21.556000000000001</c:v>
                </c:pt>
                <c:pt idx="15">
                  <c:v>5.202</c:v>
                </c:pt>
                <c:pt idx="16">
                  <c:v>37.28</c:v>
                </c:pt>
                <c:pt idx="17">
                  <c:v>24.934000000000001</c:v>
                </c:pt>
                <c:pt idx="18">
                  <c:v>14.866999999999999</c:v>
                </c:pt>
                <c:pt idx="19">
                  <c:v>19.464999999999996</c:v>
                </c:pt>
                <c:pt idx="20">
                  <c:v>5.734</c:v>
                </c:pt>
                <c:pt idx="21">
                  <c:v>14.203999999999999</c:v>
                </c:pt>
                <c:pt idx="22">
                  <c:v>0.34199999999999997</c:v>
                </c:pt>
                <c:pt idx="23">
                  <c:v>0.78499999999999992</c:v>
                </c:pt>
                <c:pt idx="24">
                  <c:v>7.9349999999999996</c:v>
                </c:pt>
                <c:pt idx="25">
                  <c:v>14.608000000000002</c:v>
                </c:pt>
                <c:pt idx="26">
                  <c:v>44</c:v>
                </c:pt>
                <c:pt idx="27">
                  <c:v>7.3579999999999997</c:v>
                </c:pt>
                <c:pt idx="28">
                  <c:v>8.0310000000000006</c:v>
                </c:pt>
                <c:pt idx="29">
                  <c:v>1.895</c:v>
                </c:pt>
                <c:pt idx="30">
                  <c:v>8.8859999999999992</c:v>
                </c:pt>
                <c:pt idx="31">
                  <c:v>4.1709999999999994</c:v>
                </c:pt>
                <c:pt idx="32">
                  <c:v>19.978999999999999</c:v>
                </c:pt>
                <c:pt idx="33">
                  <c:v>40.300000000000004</c:v>
                </c:pt>
                <c:pt idx="34">
                  <c:v>16.407999999999998</c:v>
                </c:pt>
                <c:pt idx="35">
                  <c:v>26.658999999999995</c:v>
                </c:pt>
                <c:pt idx="36">
                  <c:v>5.9270000000000005</c:v>
                </c:pt>
                <c:pt idx="37">
                  <c:v>2.3839999999999999</c:v>
                </c:pt>
                <c:pt idx="38">
                  <c:v>7.9460000000000006</c:v>
                </c:pt>
                <c:pt idx="39" formatCode="0.00">
                  <c:v>16.84</c:v>
                </c:pt>
                <c:pt idx="40" formatCode="0.00">
                  <c:v>6.21</c:v>
                </c:pt>
                <c:pt idx="41" formatCode="0.00">
                  <c:v>20.02</c:v>
                </c:pt>
                <c:pt idx="42" formatCode="0.00">
                  <c:v>5.49</c:v>
                </c:pt>
                <c:pt idx="43" formatCode="0.00">
                  <c:v>18.510000000000002</c:v>
                </c:pt>
                <c:pt idx="44" formatCode="0.00">
                  <c:v>8.0380000000000003</c:v>
                </c:pt>
                <c:pt idx="45" formatCode="0.00">
                  <c:v>9.82</c:v>
                </c:pt>
                <c:pt idx="46" formatCode="0.00">
                  <c:v>2.63</c:v>
                </c:pt>
                <c:pt idx="47" formatCode="0.00">
                  <c:v>8.17</c:v>
                </c:pt>
                <c:pt idx="48" formatCode="0.00">
                  <c:v>20.77</c:v>
                </c:pt>
                <c:pt idx="49" formatCode="0.00">
                  <c:v>37.99</c:v>
                </c:pt>
                <c:pt idx="50" formatCode="0.00">
                  <c:v>22.26</c:v>
                </c:pt>
                <c:pt idx="51" formatCode="0.00">
                  <c:v>45.478999999999999</c:v>
                </c:pt>
                <c:pt idx="52" formatCode="0.00">
                  <c:v>13.718400000000001</c:v>
                </c:pt>
                <c:pt idx="53" formatCode="0.00">
                  <c:v>8.0190000000000001</c:v>
                </c:pt>
                <c:pt idx="54" formatCode="0.00">
                  <c:v>22.622</c:v>
                </c:pt>
                <c:pt idx="55" formatCode="0.00">
                  <c:v>7.4740000000000002</c:v>
                </c:pt>
                <c:pt idx="56" formatCode="0.00">
                  <c:v>6.0650000000000004</c:v>
                </c:pt>
                <c:pt idx="57" formatCode="0.00">
                  <c:v>3.379</c:v>
                </c:pt>
                <c:pt idx="58" formatCode="0.00">
                  <c:v>5.2469999999999999</c:v>
                </c:pt>
                <c:pt idx="59" formatCode="0.00">
                  <c:v>7.67</c:v>
                </c:pt>
                <c:pt idx="60" formatCode="0.00">
                  <c:v>8.41</c:v>
                </c:pt>
                <c:pt idx="61" formatCode="0.00">
                  <c:v>5.6619999999999999</c:v>
                </c:pt>
                <c:pt idx="62" formatCode="0.00">
                  <c:v>6.42</c:v>
                </c:pt>
                <c:pt idx="63" formatCode="0.00">
                  <c:v>2.6880000000000002</c:v>
                </c:pt>
                <c:pt idx="64" formatCode="0.00">
                  <c:v>4.8339999999999996</c:v>
                </c:pt>
                <c:pt idx="65" formatCode="0.00">
                  <c:v>2.5209999999999999</c:v>
                </c:pt>
                <c:pt idx="66" formatCode="0.00">
                  <c:v>18.498000000000001</c:v>
                </c:pt>
                <c:pt idx="67" formatCode="0.00">
                  <c:v>12.589</c:v>
                </c:pt>
                <c:pt idx="68" formatCode="0.00">
                  <c:v>12.908000000000001</c:v>
                </c:pt>
                <c:pt idx="69" formatCode="0.00">
                  <c:v>27.375</c:v>
                </c:pt>
                <c:pt idx="70" formatCode="0.00">
                  <c:v>26.544</c:v>
                </c:pt>
                <c:pt idx="71">
                  <c:v>49.980000000000004</c:v>
                </c:pt>
                <c:pt idx="72">
                  <c:v>46.984000000000002</c:v>
                </c:pt>
                <c:pt idx="73">
                  <c:v>22.5</c:v>
                </c:pt>
                <c:pt idx="74">
                  <c:v>11.558</c:v>
                </c:pt>
                <c:pt idx="75">
                  <c:v>21.1</c:v>
                </c:pt>
                <c:pt idx="76">
                  <c:v>60.081999999999994</c:v>
                </c:pt>
                <c:pt idx="77">
                  <c:v>54.112999999999992</c:v>
                </c:pt>
                <c:pt idx="78">
                  <c:v>12.406000000000001</c:v>
                </c:pt>
                <c:pt idx="79">
                  <c:v>24.764000000000006</c:v>
                </c:pt>
                <c:pt idx="80">
                  <c:v>68.031000000000006</c:v>
                </c:pt>
                <c:pt idx="81">
                  <c:v>51.742999999999995</c:v>
                </c:pt>
                <c:pt idx="82">
                  <c:v>40.866</c:v>
                </c:pt>
                <c:pt idx="83">
                  <c:v>14.741</c:v>
                </c:pt>
                <c:pt idx="84">
                  <c:v>26.323</c:v>
                </c:pt>
                <c:pt idx="85">
                  <c:v>33.664999999999999</c:v>
                </c:pt>
                <c:pt idx="86">
                  <c:v>34.56</c:v>
                </c:pt>
                <c:pt idx="87">
                  <c:v>68.706600000000009</c:v>
                </c:pt>
                <c:pt idx="88">
                  <c:v>12.729999999999997</c:v>
                </c:pt>
                <c:pt idx="89">
                  <c:v>27.9</c:v>
                </c:pt>
                <c:pt idx="90">
                  <c:v>15.72</c:v>
                </c:pt>
                <c:pt idx="91">
                  <c:v>45.279000000000011</c:v>
                </c:pt>
                <c:pt idx="92">
                  <c:v>20.811</c:v>
                </c:pt>
                <c:pt idx="93">
                  <c:v>64.622</c:v>
                </c:pt>
                <c:pt idx="94">
                  <c:v>44.064000000000007</c:v>
                </c:pt>
                <c:pt idx="95">
                  <c:v>24.588000000000001</c:v>
                </c:pt>
                <c:pt idx="96">
                  <c:v>26.05</c:v>
                </c:pt>
                <c:pt idx="97">
                  <c:v>34.420999999999992</c:v>
                </c:pt>
                <c:pt idx="98">
                  <c:v>68.031000000000006</c:v>
                </c:pt>
                <c:pt idx="99">
                  <c:v>65.143000000000001</c:v>
                </c:pt>
                <c:pt idx="100">
                  <c:v>42.454999999999998</c:v>
                </c:pt>
                <c:pt idx="101">
                  <c:v>25.108999999999998</c:v>
                </c:pt>
                <c:pt idx="102">
                  <c:v>39.094000000000001</c:v>
                </c:pt>
              </c:numCache>
            </c:numRef>
          </c:yVal>
          <c:smooth val="0"/>
          <c:extLst>
            <c:ext xmlns:c16="http://schemas.microsoft.com/office/drawing/2014/chart" uri="{C3380CC4-5D6E-409C-BE32-E72D297353CC}">
              <c16:uniqueId val="{00000001-A677-4410-BF67-BF161545E77F}"/>
            </c:ext>
          </c:extLst>
        </c:ser>
        <c:dLbls>
          <c:showLegendKey val="0"/>
          <c:showVal val="0"/>
          <c:showCatName val="0"/>
          <c:showSerName val="0"/>
          <c:showPercent val="0"/>
          <c:showBubbleSize val="0"/>
        </c:dLbls>
        <c:axId val="881530831"/>
        <c:axId val="881525423"/>
      </c:scatterChart>
      <c:valAx>
        <c:axId val="88153083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categories of Household heads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525423"/>
        <c:crosses val="autoZero"/>
        <c:crossBetween val="midCat"/>
      </c:valAx>
      <c:valAx>
        <c:axId val="8815254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amount of solid waste generated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53083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Influence of gender of Household head on total amount of solid waste generated</a:t>
            </a:r>
            <a:endParaRPr lang="en-UG">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54008024773275565"/>
                  <c:y val="-0.4521129423606413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'Encoded Data'!$I$4:$I$106</c:f>
              <c:numCache>
                <c:formatCode>General</c:formatCode>
                <c:ptCount val="103"/>
                <c:pt idx="0">
                  <c:v>0</c:v>
                </c:pt>
                <c:pt idx="1">
                  <c:v>0</c:v>
                </c:pt>
                <c:pt idx="2">
                  <c:v>1</c:v>
                </c:pt>
                <c:pt idx="3">
                  <c:v>0</c:v>
                </c:pt>
                <c:pt idx="4">
                  <c:v>1</c:v>
                </c:pt>
                <c:pt idx="5">
                  <c:v>1</c:v>
                </c:pt>
                <c:pt idx="6">
                  <c:v>1</c:v>
                </c:pt>
                <c:pt idx="7">
                  <c:v>1</c:v>
                </c:pt>
                <c:pt idx="8">
                  <c:v>1</c:v>
                </c:pt>
                <c:pt idx="9">
                  <c:v>1</c:v>
                </c:pt>
                <c:pt idx="10">
                  <c:v>1</c:v>
                </c:pt>
                <c:pt idx="11">
                  <c:v>0</c:v>
                </c:pt>
                <c:pt idx="12">
                  <c:v>0</c:v>
                </c:pt>
                <c:pt idx="13">
                  <c:v>0</c:v>
                </c:pt>
                <c:pt idx="14">
                  <c:v>0</c:v>
                </c:pt>
                <c:pt idx="15">
                  <c:v>1</c:v>
                </c:pt>
                <c:pt idx="16">
                  <c:v>1</c:v>
                </c:pt>
                <c:pt idx="17">
                  <c:v>0</c:v>
                </c:pt>
                <c:pt idx="18">
                  <c:v>0</c:v>
                </c:pt>
                <c:pt idx="19">
                  <c:v>0</c:v>
                </c:pt>
                <c:pt idx="20">
                  <c:v>0</c:v>
                </c:pt>
                <c:pt idx="21">
                  <c:v>1</c:v>
                </c:pt>
                <c:pt idx="22">
                  <c:v>0</c:v>
                </c:pt>
                <c:pt idx="23">
                  <c:v>0</c:v>
                </c:pt>
                <c:pt idx="24">
                  <c:v>0</c:v>
                </c:pt>
                <c:pt idx="25">
                  <c:v>0</c:v>
                </c:pt>
                <c:pt idx="26">
                  <c:v>0</c:v>
                </c:pt>
                <c:pt idx="27">
                  <c:v>0</c:v>
                </c:pt>
                <c:pt idx="28">
                  <c:v>1</c:v>
                </c:pt>
                <c:pt idx="29">
                  <c:v>0</c:v>
                </c:pt>
                <c:pt idx="30">
                  <c:v>1</c:v>
                </c:pt>
                <c:pt idx="31">
                  <c:v>0</c:v>
                </c:pt>
                <c:pt idx="32">
                  <c:v>0</c:v>
                </c:pt>
                <c:pt idx="33">
                  <c:v>1</c:v>
                </c:pt>
                <c:pt idx="34">
                  <c:v>1</c:v>
                </c:pt>
                <c:pt idx="35">
                  <c:v>0</c:v>
                </c:pt>
                <c:pt idx="36">
                  <c:v>1</c:v>
                </c:pt>
                <c:pt idx="37">
                  <c:v>0</c:v>
                </c:pt>
                <c:pt idx="38">
                  <c:v>0</c:v>
                </c:pt>
                <c:pt idx="39">
                  <c:v>0</c:v>
                </c:pt>
                <c:pt idx="40">
                  <c:v>0</c:v>
                </c:pt>
                <c:pt idx="41">
                  <c:v>1</c:v>
                </c:pt>
                <c:pt idx="42">
                  <c:v>0</c:v>
                </c:pt>
                <c:pt idx="43">
                  <c:v>1</c:v>
                </c:pt>
                <c:pt idx="44">
                  <c:v>1</c:v>
                </c:pt>
                <c:pt idx="45">
                  <c:v>0</c:v>
                </c:pt>
                <c:pt idx="46">
                  <c:v>0</c:v>
                </c:pt>
                <c:pt idx="47">
                  <c:v>1</c:v>
                </c:pt>
                <c:pt idx="48">
                  <c:v>0</c:v>
                </c:pt>
                <c:pt idx="49">
                  <c:v>1</c:v>
                </c:pt>
                <c:pt idx="50">
                  <c:v>1</c:v>
                </c:pt>
                <c:pt idx="51">
                  <c:v>1</c:v>
                </c:pt>
                <c:pt idx="52">
                  <c:v>0</c:v>
                </c:pt>
                <c:pt idx="53">
                  <c:v>1</c:v>
                </c:pt>
                <c:pt idx="54">
                  <c:v>1</c:v>
                </c:pt>
                <c:pt idx="55">
                  <c:v>0</c:v>
                </c:pt>
                <c:pt idx="56">
                  <c:v>0</c:v>
                </c:pt>
                <c:pt idx="57">
                  <c:v>0</c:v>
                </c:pt>
                <c:pt idx="58">
                  <c:v>1</c:v>
                </c:pt>
                <c:pt idx="59">
                  <c:v>0</c:v>
                </c:pt>
                <c:pt idx="60">
                  <c:v>0</c:v>
                </c:pt>
                <c:pt idx="61">
                  <c:v>0</c:v>
                </c:pt>
                <c:pt idx="62">
                  <c:v>1</c:v>
                </c:pt>
                <c:pt idx="63">
                  <c:v>0</c:v>
                </c:pt>
                <c:pt idx="64">
                  <c:v>1</c:v>
                </c:pt>
                <c:pt idx="65">
                  <c:v>0</c:v>
                </c:pt>
                <c:pt idx="66">
                  <c:v>0</c:v>
                </c:pt>
                <c:pt idx="67">
                  <c:v>0</c:v>
                </c:pt>
                <c:pt idx="68">
                  <c:v>0</c:v>
                </c:pt>
                <c:pt idx="69">
                  <c:v>1</c:v>
                </c:pt>
                <c:pt idx="70">
                  <c:v>0</c:v>
                </c:pt>
                <c:pt idx="71">
                  <c:v>0</c:v>
                </c:pt>
                <c:pt idx="72">
                  <c:v>1</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1</c:v>
                </c:pt>
                <c:pt idx="90">
                  <c:v>0</c:v>
                </c:pt>
                <c:pt idx="91">
                  <c:v>0</c:v>
                </c:pt>
                <c:pt idx="92">
                  <c:v>0</c:v>
                </c:pt>
                <c:pt idx="93">
                  <c:v>0</c:v>
                </c:pt>
                <c:pt idx="94">
                  <c:v>1</c:v>
                </c:pt>
                <c:pt idx="95">
                  <c:v>1</c:v>
                </c:pt>
                <c:pt idx="96">
                  <c:v>1</c:v>
                </c:pt>
                <c:pt idx="97">
                  <c:v>1</c:v>
                </c:pt>
                <c:pt idx="98">
                  <c:v>0</c:v>
                </c:pt>
                <c:pt idx="99">
                  <c:v>0</c:v>
                </c:pt>
                <c:pt idx="100">
                  <c:v>0</c:v>
                </c:pt>
                <c:pt idx="101">
                  <c:v>1</c:v>
                </c:pt>
                <c:pt idx="102">
                  <c:v>0</c:v>
                </c:pt>
              </c:numCache>
            </c:numRef>
          </c:xVal>
          <c:yVal>
            <c:numRef>
              <c:f>'Encoded Data'!$AW$4:$AW$106</c:f>
              <c:numCache>
                <c:formatCode>#,##0.000</c:formatCode>
                <c:ptCount val="103"/>
                <c:pt idx="0">
                  <c:v>7.3240000000000007</c:v>
                </c:pt>
                <c:pt idx="1">
                  <c:v>13.126000000000001</c:v>
                </c:pt>
                <c:pt idx="2">
                  <c:v>4.5599999999999996</c:v>
                </c:pt>
                <c:pt idx="3">
                  <c:v>19.569999999999997</c:v>
                </c:pt>
                <c:pt idx="4">
                  <c:v>4.0699999999999994</c:v>
                </c:pt>
                <c:pt idx="5">
                  <c:v>1.1209999999999998</c:v>
                </c:pt>
                <c:pt idx="6">
                  <c:v>33.900000000000006</c:v>
                </c:pt>
                <c:pt idx="7">
                  <c:v>10.299999999999999</c:v>
                </c:pt>
                <c:pt idx="8">
                  <c:v>11.548</c:v>
                </c:pt>
                <c:pt idx="9">
                  <c:v>10.570000000000002</c:v>
                </c:pt>
                <c:pt idx="10">
                  <c:v>6.7650000000000006</c:v>
                </c:pt>
                <c:pt idx="11">
                  <c:v>8.9329999999999998</c:v>
                </c:pt>
                <c:pt idx="12">
                  <c:v>2.15</c:v>
                </c:pt>
                <c:pt idx="13">
                  <c:v>11.551</c:v>
                </c:pt>
                <c:pt idx="14">
                  <c:v>21.556000000000001</c:v>
                </c:pt>
                <c:pt idx="15">
                  <c:v>5.202</c:v>
                </c:pt>
                <c:pt idx="16">
                  <c:v>37.28</c:v>
                </c:pt>
                <c:pt idx="17">
                  <c:v>24.934000000000001</c:v>
                </c:pt>
                <c:pt idx="18">
                  <c:v>14.866999999999999</c:v>
                </c:pt>
                <c:pt idx="19">
                  <c:v>19.464999999999996</c:v>
                </c:pt>
                <c:pt idx="20">
                  <c:v>5.734</c:v>
                </c:pt>
                <c:pt idx="21">
                  <c:v>14.203999999999999</c:v>
                </c:pt>
                <c:pt idx="22">
                  <c:v>0.34199999999999997</c:v>
                </c:pt>
                <c:pt idx="23">
                  <c:v>0.78499999999999992</c:v>
                </c:pt>
                <c:pt idx="24">
                  <c:v>7.9349999999999996</c:v>
                </c:pt>
                <c:pt idx="25">
                  <c:v>14.608000000000002</c:v>
                </c:pt>
                <c:pt idx="26">
                  <c:v>44</c:v>
                </c:pt>
                <c:pt idx="27">
                  <c:v>7.3579999999999997</c:v>
                </c:pt>
                <c:pt idx="28">
                  <c:v>8.0310000000000006</c:v>
                </c:pt>
                <c:pt idx="29">
                  <c:v>1.895</c:v>
                </c:pt>
                <c:pt idx="30">
                  <c:v>8.8859999999999992</c:v>
                </c:pt>
                <c:pt idx="31">
                  <c:v>4.1709999999999994</c:v>
                </c:pt>
                <c:pt idx="32">
                  <c:v>19.978999999999999</c:v>
                </c:pt>
                <c:pt idx="33">
                  <c:v>40.300000000000004</c:v>
                </c:pt>
                <c:pt idx="34">
                  <c:v>16.407999999999998</c:v>
                </c:pt>
                <c:pt idx="35">
                  <c:v>26.658999999999995</c:v>
                </c:pt>
                <c:pt idx="36">
                  <c:v>5.9270000000000005</c:v>
                </c:pt>
                <c:pt idx="37">
                  <c:v>2.3839999999999999</c:v>
                </c:pt>
                <c:pt idx="38">
                  <c:v>7.9460000000000006</c:v>
                </c:pt>
                <c:pt idx="39" formatCode="0.00">
                  <c:v>16.84</c:v>
                </c:pt>
                <c:pt idx="40" formatCode="0.00">
                  <c:v>6.21</c:v>
                </c:pt>
                <c:pt idx="41" formatCode="0.00">
                  <c:v>20.02</c:v>
                </c:pt>
                <c:pt idx="42" formatCode="0.00">
                  <c:v>5.49</c:v>
                </c:pt>
                <c:pt idx="43" formatCode="0.00">
                  <c:v>18.510000000000002</c:v>
                </c:pt>
                <c:pt idx="44" formatCode="0.00">
                  <c:v>8.0380000000000003</c:v>
                </c:pt>
                <c:pt idx="45" formatCode="0.00">
                  <c:v>9.82</c:v>
                </c:pt>
                <c:pt idx="46" formatCode="0.00">
                  <c:v>2.63</c:v>
                </c:pt>
                <c:pt idx="47" formatCode="0.00">
                  <c:v>8.17</c:v>
                </c:pt>
                <c:pt idx="48" formatCode="0.00">
                  <c:v>20.77</c:v>
                </c:pt>
                <c:pt idx="49" formatCode="0.00">
                  <c:v>37.99</c:v>
                </c:pt>
                <c:pt idx="50" formatCode="0.00">
                  <c:v>22.26</c:v>
                </c:pt>
                <c:pt idx="51" formatCode="0.00">
                  <c:v>45.478999999999999</c:v>
                </c:pt>
                <c:pt idx="52" formatCode="0.00">
                  <c:v>13.718400000000001</c:v>
                </c:pt>
                <c:pt idx="53" formatCode="0.00">
                  <c:v>8.0190000000000001</c:v>
                </c:pt>
                <c:pt idx="54" formatCode="0.00">
                  <c:v>22.622</c:v>
                </c:pt>
                <c:pt idx="55" formatCode="0.00">
                  <c:v>7.4740000000000002</c:v>
                </c:pt>
                <c:pt idx="56" formatCode="0.00">
                  <c:v>6.0650000000000004</c:v>
                </c:pt>
                <c:pt idx="57" formatCode="0.00">
                  <c:v>3.379</c:v>
                </c:pt>
                <c:pt idx="58" formatCode="0.00">
                  <c:v>5.2469999999999999</c:v>
                </c:pt>
                <c:pt idx="59" formatCode="0.00">
                  <c:v>7.67</c:v>
                </c:pt>
                <c:pt idx="60" formatCode="0.00">
                  <c:v>8.41</c:v>
                </c:pt>
                <c:pt idx="61" formatCode="0.00">
                  <c:v>5.6619999999999999</c:v>
                </c:pt>
                <c:pt idx="62" formatCode="0.00">
                  <c:v>6.42</c:v>
                </c:pt>
                <c:pt idx="63" formatCode="0.00">
                  <c:v>2.6880000000000002</c:v>
                </c:pt>
                <c:pt idx="64" formatCode="0.00">
                  <c:v>4.8339999999999996</c:v>
                </c:pt>
                <c:pt idx="65" formatCode="0.00">
                  <c:v>2.5209999999999999</c:v>
                </c:pt>
                <c:pt idx="66" formatCode="0.00">
                  <c:v>18.498000000000001</c:v>
                </c:pt>
                <c:pt idx="67" formatCode="0.00">
                  <c:v>12.589</c:v>
                </c:pt>
                <c:pt idx="68" formatCode="0.00">
                  <c:v>12.908000000000001</c:v>
                </c:pt>
                <c:pt idx="69" formatCode="0.00">
                  <c:v>27.375</c:v>
                </c:pt>
                <c:pt idx="70" formatCode="0.00">
                  <c:v>26.544</c:v>
                </c:pt>
                <c:pt idx="71">
                  <c:v>49.980000000000004</c:v>
                </c:pt>
                <c:pt idx="72">
                  <c:v>46.984000000000002</c:v>
                </c:pt>
                <c:pt idx="73">
                  <c:v>22.5</c:v>
                </c:pt>
                <c:pt idx="74">
                  <c:v>11.558</c:v>
                </c:pt>
                <c:pt idx="75">
                  <c:v>21.1</c:v>
                </c:pt>
                <c:pt idx="76">
                  <c:v>60.081999999999994</c:v>
                </c:pt>
                <c:pt idx="77">
                  <c:v>54.112999999999992</c:v>
                </c:pt>
                <c:pt idx="78">
                  <c:v>12.406000000000001</c:v>
                </c:pt>
                <c:pt idx="79">
                  <c:v>24.764000000000006</c:v>
                </c:pt>
                <c:pt idx="80">
                  <c:v>68.031000000000006</c:v>
                </c:pt>
                <c:pt idx="81">
                  <c:v>51.742999999999995</c:v>
                </c:pt>
                <c:pt idx="82">
                  <c:v>40.866</c:v>
                </c:pt>
                <c:pt idx="83">
                  <c:v>14.741</c:v>
                </c:pt>
                <c:pt idx="84">
                  <c:v>26.323</c:v>
                </c:pt>
                <c:pt idx="85">
                  <c:v>33.664999999999999</c:v>
                </c:pt>
                <c:pt idx="86">
                  <c:v>34.56</c:v>
                </c:pt>
                <c:pt idx="87">
                  <c:v>68.706600000000009</c:v>
                </c:pt>
                <c:pt idx="88">
                  <c:v>12.729999999999997</c:v>
                </c:pt>
                <c:pt idx="89">
                  <c:v>27.9</c:v>
                </c:pt>
                <c:pt idx="90">
                  <c:v>15.72</c:v>
                </c:pt>
                <c:pt idx="91">
                  <c:v>45.279000000000011</c:v>
                </c:pt>
                <c:pt idx="92">
                  <c:v>20.811</c:v>
                </c:pt>
                <c:pt idx="93">
                  <c:v>64.622</c:v>
                </c:pt>
                <c:pt idx="94">
                  <c:v>44.064000000000007</c:v>
                </c:pt>
                <c:pt idx="95">
                  <c:v>24.588000000000001</c:v>
                </c:pt>
                <c:pt idx="96">
                  <c:v>26.05</c:v>
                </c:pt>
                <c:pt idx="97">
                  <c:v>34.420999999999992</c:v>
                </c:pt>
                <c:pt idx="98">
                  <c:v>68.031000000000006</c:v>
                </c:pt>
                <c:pt idx="99">
                  <c:v>65.143000000000001</c:v>
                </c:pt>
                <c:pt idx="100">
                  <c:v>42.454999999999998</c:v>
                </c:pt>
                <c:pt idx="101">
                  <c:v>25.108999999999998</c:v>
                </c:pt>
                <c:pt idx="102">
                  <c:v>39.094000000000001</c:v>
                </c:pt>
              </c:numCache>
            </c:numRef>
          </c:yVal>
          <c:smooth val="0"/>
          <c:extLst>
            <c:ext xmlns:c16="http://schemas.microsoft.com/office/drawing/2014/chart" uri="{C3380CC4-5D6E-409C-BE32-E72D297353CC}">
              <c16:uniqueId val="{00000001-2C67-4234-B922-B7C757A69A70}"/>
            </c:ext>
          </c:extLst>
        </c:ser>
        <c:dLbls>
          <c:showLegendKey val="0"/>
          <c:showVal val="0"/>
          <c:showCatName val="0"/>
          <c:showSerName val="0"/>
          <c:showPercent val="0"/>
          <c:showBubbleSize val="0"/>
        </c:dLbls>
        <c:axId val="1356427615"/>
        <c:axId val="1356430943"/>
      </c:scatterChart>
      <c:valAx>
        <c:axId val="135642761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r>
                  <a:rPr lang="en-US" baseline="0"/>
                  <a:t> of Household Head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430943"/>
        <c:crosses val="autoZero"/>
        <c:crossBetween val="midCat"/>
      </c:valAx>
      <c:valAx>
        <c:axId val="135643094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of</a:t>
                </a:r>
                <a:r>
                  <a:rPr lang="en-US" baseline="0"/>
                  <a:t> solid waste generated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4276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Influence of education level of Household head on total amount of solid waste generated</a:t>
            </a:r>
            <a:endParaRPr lang="en-UG">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8640419947506564"/>
                  <c:y val="-0.4065799066783318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'Encoded Data'!$J$4:$J$106</c:f>
              <c:numCache>
                <c:formatCode>General</c:formatCode>
                <c:ptCount val="103"/>
                <c:pt idx="0">
                  <c:v>3</c:v>
                </c:pt>
                <c:pt idx="1">
                  <c:v>1</c:v>
                </c:pt>
                <c:pt idx="2">
                  <c:v>3</c:v>
                </c:pt>
                <c:pt idx="3">
                  <c:v>3</c:v>
                </c:pt>
                <c:pt idx="4">
                  <c:v>4</c:v>
                </c:pt>
                <c:pt idx="5">
                  <c:v>2</c:v>
                </c:pt>
                <c:pt idx="6">
                  <c:v>3</c:v>
                </c:pt>
                <c:pt idx="7">
                  <c:v>2</c:v>
                </c:pt>
                <c:pt idx="8">
                  <c:v>2</c:v>
                </c:pt>
                <c:pt idx="9">
                  <c:v>2</c:v>
                </c:pt>
                <c:pt idx="10">
                  <c:v>2</c:v>
                </c:pt>
                <c:pt idx="11">
                  <c:v>3</c:v>
                </c:pt>
                <c:pt idx="12">
                  <c:v>2</c:v>
                </c:pt>
                <c:pt idx="13">
                  <c:v>1</c:v>
                </c:pt>
                <c:pt idx="14">
                  <c:v>2</c:v>
                </c:pt>
                <c:pt idx="15">
                  <c:v>3</c:v>
                </c:pt>
                <c:pt idx="16">
                  <c:v>3</c:v>
                </c:pt>
                <c:pt idx="17">
                  <c:v>4</c:v>
                </c:pt>
                <c:pt idx="18">
                  <c:v>3</c:v>
                </c:pt>
                <c:pt idx="19">
                  <c:v>1</c:v>
                </c:pt>
                <c:pt idx="20">
                  <c:v>3</c:v>
                </c:pt>
                <c:pt idx="21">
                  <c:v>1</c:v>
                </c:pt>
                <c:pt idx="22">
                  <c:v>4</c:v>
                </c:pt>
                <c:pt idx="23">
                  <c:v>4</c:v>
                </c:pt>
                <c:pt idx="24">
                  <c:v>3</c:v>
                </c:pt>
                <c:pt idx="25">
                  <c:v>3</c:v>
                </c:pt>
                <c:pt idx="26">
                  <c:v>3</c:v>
                </c:pt>
                <c:pt idx="27">
                  <c:v>2</c:v>
                </c:pt>
                <c:pt idx="28">
                  <c:v>2</c:v>
                </c:pt>
                <c:pt idx="29">
                  <c:v>4</c:v>
                </c:pt>
                <c:pt idx="30">
                  <c:v>1</c:v>
                </c:pt>
                <c:pt idx="31">
                  <c:v>3</c:v>
                </c:pt>
                <c:pt idx="32">
                  <c:v>3</c:v>
                </c:pt>
                <c:pt idx="33">
                  <c:v>3</c:v>
                </c:pt>
                <c:pt idx="34">
                  <c:v>3</c:v>
                </c:pt>
                <c:pt idx="35">
                  <c:v>3</c:v>
                </c:pt>
                <c:pt idx="36">
                  <c:v>3</c:v>
                </c:pt>
                <c:pt idx="37">
                  <c:v>3</c:v>
                </c:pt>
                <c:pt idx="38">
                  <c:v>3</c:v>
                </c:pt>
                <c:pt idx="39">
                  <c:v>4</c:v>
                </c:pt>
                <c:pt idx="40">
                  <c:v>1</c:v>
                </c:pt>
                <c:pt idx="41">
                  <c:v>3</c:v>
                </c:pt>
                <c:pt idx="42">
                  <c:v>3</c:v>
                </c:pt>
                <c:pt idx="43">
                  <c:v>4</c:v>
                </c:pt>
                <c:pt idx="44">
                  <c:v>3</c:v>
                </c:pt>
                <c:pt idx="45">
                  <c:v>4</c:v>
                </c:pt>
                <c:pt idx="46">
                  <c:v>4</c:v>
                </c:pt>
                <c:pt idx="47">
                  <c:v>4</c:v>
                </c:pt>
                <c:pt idx="48">
                  <c:v>4</c:v>
                </c:pt>
                <c:pt idx="49">
                  <c:v>4</c:v>
                </c:pt>
                <c:pt idx="50">
                  <c:v>4</c:v>
                </c:pt>
                <c:pt idx="51">
                  <c:v>4</c:v>
                </c:pt>
                <c:pt idx="52">
                  <c:v>3</c:v>
                </c:pt>
                <c:pt idx="53">
                  <c:v>4</c:v>
                </c:pt>
                <c:pt idx="54">
                  <c:v>4</c:v>
                </c:pt>
                <c:pt idx="55">
                  <c:v>3</c:v>
                </c:pt>
                <c:pt idx="56">
                  <c:v>3</c:v>
                </c:pt>
                <c:pt idx="57">
                  <c:v>3</c:v>
                </c:pt>
                <c:pt idx="58">
                  <c:v>4</c:v>
                </c:pt>
                <c:pt idx="59">
                  <c:v>3</c:v>
                </c:pt>
                <c:pt idx="60">
                  <c:v>4</c:v>
                </c:pt>
                <c:pt idx="61">
                  <c:v>2</c:v>
                </c:pt>
                <c:pt idx="62">
                  <c:v>3</c:v>
                </c:pt>
                <c:pt idx="63">
                  <c:v>3</c:v>
                </c:pt>
                <c:pt idx="64">
                  <c:v>3</c:v>
                </c:pt>
                <c:pt idx="65">
                  <c:v>3</c:v>
                </c:pt>
                <c:pt idx="66">
                  <c:v>4</c:v>
                </c:pt>
                <c:pt idx="67">
                  <c:v>4</c:v>
                </c:pt>
                <c:pt idx="68">
                  <c:v>4</c:v>
                </c:pt>
                <c:pt idx="69">
                  <c:v>1</c:v>
                </c:pt>
                <c:pt idx="70">
                  <c:v>4</c:v>
                </c:pt>
                <c:pt idx="71">
                  <c:v>4</c:v>
                </c:pt>
                <c:pt idx="72">
                  <c:v>4</c:v>
                </c:pt>
                <c:pt idx="73">
                  <c:v>4</c:v>
                </c:pt>
                <c:pt idx="74">
                  <c:v>4</c:v>
                </c:pt>
                <c:pt idx="75">
                  <c:v>4</c:v>
                </c:pt>
                <c:pt idx="76">
                  <c:v>4</c:v>
                </c:pt>
                <c:pt idx="77">
                  <c:v>4</c:v>
                </c:pt>
                <c:pt idx="78">
                  <c:v>4</c:v>
                </c:pt>
                <c:pt idx="79">
                  <c:v>4</c:v>
                </c:pt>
                <c:pt idx="80">
                  <c:v>4</c:v>
                </c:pt>
                <c:pt idx="81">
                  <c:v>4</c:v>
                </c:pt>
                <c:pt idx="82">
                  <c:v>4</c:v>
                </c:pt>
                <c:pt idx="83">
                  <c:v>4</c:v>
                </c:pt>
                <c:pt idx="84">
                  <c:v>4</c:v>
                </c:pt>
                <c:pt idx="85">
                  <c:v>3</c:v>
                </c:pt>
                <c:pt idx="86">
                  <c:v>4</c:v>
                </c:pt>
                <c:pt idx="87">
                  <c:v>4</c:v>
                </c:pt>
                <c:pt idx="88">
                  <c:v>4</c:v>
                </c:pt>
                <c:pt idx="89">
                  <c:v>4</c:v>
                </c:pt>
                <c:pt idx="90">
                  <c:v>4</c:v>
                </c:pt>
                <c:pt idx="91">
                  <c:v>4</c:v>
                </c:pt>
                <c:pt idx="92">
                  <c:v>4</c:v>
                </c:pt>
                <c:pt idx="93">
                  <c:v>4</c:v>
                </c:pt>
                <c:pt idx="94">
                  <c:v>4</c:v>
                </c:pt>
                <c:pt idx="95">
                  <c:v>4</c:v>
                </c:pt>
                <c:pt idx="96">
                  <c:v>4</c:v>
                </c:pt>
                <c:pt idx="97">
                  <c:v>4</c:v>
                </c:pt>
                <c:pt idx="98">
                  <c:v>4</c:v>
                </c:pt>
                <c:pt idx="99">
                  <c:v>4</c:v>
                </c:pt>
                <c:pt idx="100">
                  <c:v>4</c:v>
                </c:pt>
                <c:pt idx="101">
                  <c:v>4</c:v>
                </c:pt>
                <c:pt idx="102">
                  <c:v>4</c:v>
                </c:pt>
              </c:numCache>
            </c:numRef>
          </c:xVal>
          <c:yVal>
            <c:numRef>
              <c:f>'Encoded Data'!$AW$4:$AW$106</c:f>
              <c:numCache>
                <c:formatCode>#,##0.000</c:formatCode>
                <c:ptCount val="103"/>
                <c:pt idx="0">
                  <c:v>7.3240000000000007</c:v>
                </c:pt>
                <c:pt idx="1">
                  <c:v>13.126000000000001</c:v>
                </c:pt>
                <c:pt idx="2">
                  <c:v>4.5599999999999996</c:v>
                </c:pt>
                <c:pt idx="3">
                  <c:v>19.569999999999997</c:v>
                </c:pt>
                <c:pt idx="4">
                  <c:v>4.0699999999999994</c:v>
                </c:pt>
                <c:pt idx="5">
                  <c:v>1.1209999999999998</c:v>
                </c:pt>
                <c:pt idx="6">
                  <c:v>33.900000000000006</c:v>
                </c:pt>
                <c:pt idx="7">
                  <c:v>10.299999999999999</c:v>
                </c:pt>
                <c:pt idx="8">
                  <c:v>11.548</c:v>
                </c:pt>
                <c:pt idx="9">
                  <c:v>10.570000000000002</c:v>
                </c:pt>
                <c:pt idx="10">
                  <c:v>6.7650000000000006</c:v>
                </c:pt>
                <c:pt idx="11">
                  <c:v>8.9329999999999998</c:v>
                </c:pt>
                <c:pt idx="12">
                  <c:v>2.15</c:v>
                </c:pt>
                <c:pt idx="13">
                  <c:v>11.551</c:v>
                </c:pt>
                <c:pt idx="14">
                  <c:v>21.556000000000001</c:v>
                </c:pt>
                <c:pt idx="15">
                  <c:v>5.202</c:v>
                </c:pt>
                <c:pt idx="16">
                  <c:v>37.28</c:v>
                </c:pt>
                <c:pt idx="17">
                  <c:v>24.934000000000001</c:v>
                </c:pt>
                <c:pt idx="18">
                  <c:v>14.866999999999999</c:v>
                </c:pt>
                <c:pt idx="19">
                  <c:v>19.464999999999996</c:v>
                </c:pt>
                <c:pt idx="20">
                  <c:v>5.734</c:v>
                </c:pt>
                <c:pt idx="21">
                  <c:v>14.203999999999999</c:v>
                </c:pt>
                <c:pt idx="22">
                  <c:v>0.34199999999999997</c:v>
                </c:pt>
                <c:pt idx="23">
                  <c:v>0.78499999999999992</c:v>
                </c:pt>
                <c:pt idx="24">
                  <c:v>7.9349999999999996</c:v>
                </c:pt>
                <c:pt idx="25">
                  <c:v>14.608000000000002</c:v>
                </c:pt>
                <c:pt idx="26">
                  <c:v>44</c:v>
                </c:pt>
                <c:pt idx="27">
                  <c:v>7.3579999999999997</c:v>
                </c:pt>
                <c:pt idx="28">
                  <c:v>8.0310000000000006</c:v>
                </c:pt>
                <c:pt idx="29">
                  <c:v>1.895</c:v>
                </c:pt>
                <c:pt idx="30">
                  <c:v>8.8859999999999992</c:v>
                </c:pt>
                <c:pt idx="31">
                  <c:v>4.1709999999999994</c:v>
                </c:pt>
                <c:pt idx="32">
                  <c:v>19.978999999999999</c:v>
                </c:pt>
                <c:pt idx="33">
                  <c:v>40.300000000000004</c:v>
                </c:pt>
                <c:pt idx="34">
                  <c:v>16.407999999999998</c:v>
                </c:pt>
                <c:pt idx="35">
                  <c:v>26.658999999999995</c:v>
                </c:pt>
                <c:pt idx="36">
                  <c:v>5.9270000000000005</c:v>
                </c:pt>
                <c:pt idx="37">
                  <c:v>2.3839999999999999</c:v>
                </c:pt>
                <c:pt idx="38">
                  <c:v>7.9460000000000006</c:v>
                </c:pt>
                <c:pt idx="39" formatCode="0.00">
                  <c:v>16.84</c:v>
                </c:pt>
                <c:pt idx="40" formatCode="0.00">
                  <c:v>6.21</c:v>
                </c:pt>
                <c:pt idx="41" formatCode="0.00">
                  <c:v>20.02</c:v>
                </c:pt>
                <c:pt idx="42" formatCode="0.00">
                  <c:v>5.49</c:v>
                </c:pt>
                <c:pt idx="43" formatCode="0.00">
                  <c:v>18.510000000000002</c:v>
                </c:pt>
                <c:pt idx="44" formatCode="0.00">
                  <c:v>8.0380000000000003</c:v>
                </c:pt>
                <c:pt idx="45" formatCode="0.00">
                  <c:v>9.82</c:v>
                </c:pt>
                <c:pt idx="46" formatCode="0.00">
                  <c:v>2.63</c:v>
                </c:pt>
                <c:pt idx="47" formatCode="0.00">
                  <c:v>8.17</c:v>
                </c:pt>
                <c:pt idx="48" formatCode="0.00">
                  <c:v>20.77</c:v>
                </c:pt>
                <c:pt idx="49" formatCode="0.00">
                  <c:v>37.99</c:v>
                </c:pt>
                <c:pt idx="50" formatCode="0.00">
                  <c:v>22.26</c:v>
                </c:pt>
                <c:pt idx="51" formatCode="0.00">
                  <c:v>45.478999999999999</c:v>
                </c:pt>
                <c:pt idx="52" formatCode="0.00">
                  <c:v>13.718400000000001</c:v>
                </c:pt>
                <c:pt idx="53" formatCode="0.00">
                  <c:v>8.0190000000000001</c:v>
                </c:pt>
                <c:pt idx="54" formatCode="0.00">
                  <c:v>22.622</c:v>
                </c:pt>
                <c:pt idx="55" formatCode="0.00">
                  <c:v>7.4740000000000002</c:v>
                </c:pt>
                <c:pt idx="56" formatCode="0.00">
                  <c:v>6.0650000000000004</c:v>
                </c:pt>
                <c:pt idx="57" formatCode="0.00">
                  <c:v>3.379</c:v>
                </c:pt>
                <c:pt idx="58" formatCode="0.00">
                  <c:v>5.2469999999999999</c:v>
                </c:pt>
                <c:pt idx="59" formatCode="0.00">
                  <c:v>7.67</c:v>
                </c:pt>
                <c:pt idx="60" formatCode="0.00">
                  <c:v>8.41</c:v>
                </c:pt>
                <c:pt idx="61" formatCode="0.00">
                  <c:v>5.6619999999999999</c:v>
                </c:pt>
                <c:pt idx="62" formatCode="0.00">
                  <c:v>6.42</c:v>
                </c:pt>
                <c:pt idx="63" formatCode="0.00">
                  <c:v>2.6880000000000002</c:v>
                </c:pt>
                <c:pt idx="64" formatCode="0.00">
                  <c:v>4.8339999999999996</c:v>
                </c:pt>
                <c:pt idx="65" formatCode="0.00">
                  <c:v>2.5209999999999999</c:v>
                </c:pt>
                <c:pt idx="66" formatCode="0.00">
                  <c:v>18.498000000000001</c:v>
                </c:pt>
                <c:pt idx="67" formatCode="0.00">
                  <c:v>12.589</c:v>
                </c:pt>
                <c:pt idx="68" formatCode="0.00">
                  <c:v>12.908000000000001</c:v>
                </c:pt>
                <c:pt idx="69" formatCode="0.00">
                  <c:v>27.375</c:v>
                </c:pt>
                <c:pt idx="70" formatCode="0.00">
                  <c:v>26.544</c:v>
                </c:pt>
                <c:pt idx="71">
                  <c:v>49.980000000000004</c:v>
                </c:pt>
                <c:pt idx="72">
                  <c:v>46.984000000000002</c:v>
                </c:pt>
                <c:pt idx="73">
                  <c:v>22.5</c:v>
                </c:pt>
                <c:pt idx="74">
                  <c:v>11.558</c:v>
                </c:pt>
                <c:pt idx="75">
                  <c:v>21.1</c:v>
                </c:pt>
                <c:pt idx="76">
                  <c:v>60.081999999999994</c:v>
                </c:pt>
                <c:pt idx="77">
                  <c:v>54.112999999999992</c:v>
                </c:pt>
                <c:pt idx="78">
                  <c:v>12.406000000000001</c:v>
                </c:pt>
                <c:pt idx="79">
                  <c:v>24.764000000000006</c:v>
                </c:pt>
                <c:pt idx="80">
                  <c:v>68.031000000000006</c:v>
                </c:pt>
                <c:pt idx="81">
                  <c:v>51.742999999999995</c:v>
                </c:pt>
                <c:pt idx="82">
                  <c:v>40.866</c:v>
                </c:pt>
                <c:pt idx="83">
                  <c:v>14.741</c:v>
                </c:pt>
                <c:pt idx="84">
                  <c:v>26.323</c:v>
                </c:pt>
                <c:pt idx="85">
                  <c:v>33.664999999999999</c:v>
                </c:pt>
                <c:pt idx="86">
                  <c:v>34.56</c:v>
                </c:pt>
                <c:pt idx="87">
                  <c:v>68.706600000000009</c:v>
                </c:pt>
                <c:pt idx="88">
                  <c:v>12.729999999999997</c:v>
                </c:pt>
                <c:pt idx="89">
                  <c:v>27.9</c:v>
                </c:pt>
                <c:pt idx="90">
                  <c:v>15.72</c:v>
                </c:pt>
                <c:pt idx="91">
                  <c:v>45.279000000000011</c:v>
                </c:pt>
                <c:pt idx="92">
                  <c:v>20.811</c:v>
                </c:pt>
                <c:pt idx="93">
                  <c:v>64.622</c:v>
                </c:pt>
                <c:pt idx="94">
                  <c:v>44.064000000000007</c:v>
                </c:pt>
                <c:pt idx="95">
                  <c:v>24.588000000000001</c:v>
                </c:pt>
                <c:pt idx="96">
                  <c:v>26.05</c:v>
                </c:pt>
                <c:pt idx="97">
                  <c:v>34.420999999999992</c:v>
                </c:pt>
                <c:pt idx="98">
                  <c:v>68.031000000000006</c:v>
                </c:pt>
                <c:pt idx="99">
                  <c:v>65.143000000000001</c:v>
                </c:pt>
                <c:pt idx="100">
                  <c:v>42.454999999999998</c:v>
                </c:pt>
                <c:pt idx="101">
                  <c:v>25.108999999999998</c:v>
                </c:pt>
                <c:pt idx="102">
                  <c:v>39.094000000000001</c:v>
                </c:pt>
              </c:numCache>
            </c:numRef>
          </c:yVal>
          <c:smooth val="0"/>
          <c:extLst>
            <c:ext xmlns:c16="http://schemas.microsoft.com/office/drawing/2014/chart" uri="{C3380CC4-5D6E-409C-BE32-E72D297353CC}">
              <c16:uniqueId val="{00000001-6A17-4C87-83AA-D810C21BF8A3}"/>
            </c:ext>
          </c:extLst>
        </c:ser>
        <c:dLbls>
          <c:showLegendKey val="0"/>
          <c:showVal val="0"/>
          <c:showCatName val="0"/>
          <c:showSerName val="0"/>
          <c:showPercent val="0"/>
          <c:showBubbleSize val="0"/>
        </c:dLbls>
        <c:axId val="1356369791"/>
        <c:axId val="1356367295"/>
      </c:scatterChart>
      <c:valAx>
        <c:axId val="135636979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Education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367295"/>
        <c:crosses val="autoZero"/>
        <c:crossBetween val="midCat"/>
      </c:valAx>
      <c:valAx>
        <c:axId val="13563672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Totla amount of solid waste generated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36979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Influence of period of stay in an area on total amount of solid waste generated</a:t>
            </a:r>
            <a:endParaRPr lang="en-UG">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63284168658897244"/>
                  <c:y val="-0.4368377832099997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'Encoded Data'!$V$4:$V$106</c:f>
              <c:numCache>
                <c:formatCode>General</c:formatCode>
                <c:ptCount val="103"/>
                <c:pt idx="0">
                  <c:v>2</c:v>
                </c:pt>
                <c:pt idx="1">
                  <c:v>4</c:v>
                </c:pt>
                <c:pt idx="2">
                  <c:v>4</c:v>
                </c:pt>
                <c:pt idx="3">
                  <c:v>4</c:v>
                </c:pt>
                <c:pt idx="4">
                  <c:v>4</c:v>
                </c:pt>
                <c:pt idx="5">
                  <c:v>4</c:v>
                </c:pt>
                <c:pt idx="6">
                  <c:v>4</c:v>
                </c:pt>
                <c:pt idx="7">
                  <c:v>3</c:v>
                </c:pt>
                <c:pt idx="8">
                  <c:v>2</c:v>
                </c:pt>
                <c:pt idx="9">
                  <c:v>4</c:v>
                </c:pt>
                <c:pt idx="10">
                  <c:v>3</c:v>
                </c:pt>
                <c:pt idx="11">
                  <c:v>4</c:v>
                </c:pt>
                <c:pt idx="12">
                  <c:v>4</c:v>
                </c:pt>
                <c:pt idx="13">
                  <c:v>4</c:v>
                </c:pt>
                <c:pt idx="14">
                  <c:v>4</c:v>
                </c:pt>
                <c:pt idx="15">
                  <c:v>2</c:v>
                </c:pt>
                <c:pt idx="16">
                  <c:v>4</c:v>
                </c:pt>
                <c:pt idx="17">
                  <c:v>2</c:v>
                </c:pt>
                <c:pt idx="18">
                  <c:v>4</c:v>
                </c:pt>
                <c:pt idx="19">
                  <c:v>2</c:v>
                </c:pt>
                <c:pt idx="20">
                  <c:v>2</c:v>
                </c:pt>
                <c:pt idx="21">
                  <c:v>4</c:v>
                </c:pt>
                <c:pt idx="22">
                  <c:v>2</c:v>
                </c:pt>
                <c:pt idx="23">
                  <c:v>2</c:v>
                </c:pt>
                <c:pt idx="24">
                  <c:v>3</c:v>
                </c:pt>
                <c:pt idx="25">
                  <c:v>2</c:v>
                </c:pt>
                <c:pt idx="26">
                  <c:v>1</c:v>
                </c:pt>
                <c:pt idx="27">
                  <c:v>2</c:v>
                </c:pt>
                <c:pt idx="28">
                  <c:v>3</c:v>
                </c:pt>
                <c:pt idx="29">
                  <c:v>4</c:v>
                </c:pt>
                <c:pt idx="30">
                  <c:v>4</c:v>
                </c:pt>
                <c:pt idx="31">
                  <c:v>2</c:v>
                </c:pt>
                <c:pt idx="32">
                  <c:v>4</c:v>
                </c:pt>
                <c:pt idx="33">
                  <c:v>4</c:v>
                </c:pt>
                <c:pt idx="34">
                  <c:v>4</c:v>
                </c:pt>
                <c:pt idx="35">
                  <c:v>4</c:v>
                </c:pt>
                <c:pt idx="36">
                  <c:v>4</c:v>
                </c:pt>
                <c:pt idx="37">
                  <c:v>4</c:v>
                </c:pt>
                <c:pt idx="38">
                  <c:v>2</c:v>
                </c:pt>
                <c:pt idx="39">
                  <c:v>4</c:v>
                </c:pt>
                <c:pt idx="40">
                  <c:v>2</c:v>
                </c:pt>
                <c:pt idx="41">
                  <c:v>1</c:v>
                </c:pt>
                <c:pt idx="42">
                  <c:v>4</c:v>
                </c:pt>
                <c:pt idx="43">
                  <c:v>4</c:v>
                </c:pt>
                <c:pt idx="44">
                  <c:v>1</c:v>
                </c:pt>
                <c:pt idx="45">
                  <c:v>4</c:v>
                </c:pt>
                <c:pt idx="46">
                  <c:v>2</c:v>
                </c:pt>
                <c:pt idx="47">
                  <c:v>4</c:v>
                </c:pt>
                <c:pt idx="48">
                  <c:v>1</c:v>
                </c:pt>
                <c:pt idx="49">
                  <c:v>4</c:v>
                </c:pt>
                <c:pt idx="50">
                  <c:v>4</c:v>
                </c:pt>
                <c:pt idx="51">
                  <c:v>3</c:v>
                </c:pt>
                <c:pt idx="52">
                  <c:v>4</c:v>
                </c:pt>
                <c:pt idx="53">
                  <c:v>2</c:v>
                </c:pt>
                <c:pt idx="54">
                  <c:v>4</c:v>
                </c:pt>
                <c:pt idx="55">
                  <c:v>2</c:v>
                </c:pt>
                <c:pt idx="56">
                  <c:v>4</c:v>
                </c:pt>
                <c:pt idx="57">
                  <c:v>1</c:v>
                </c:pt>
                <c:pt idx="58">
                  <c:v>4</c:v>
                </c:pt>
                <c:pt idx="59">
                  <c:v>4</c:v>
                </c:pt>
                <c:pt idx="60">
                  <c:v>4</c:v>
                </c:pt>
                <c:pt idx="61">
                  <c:v>2</c:v>
                </c:pt>
                <c:pt idx="62">
                  <c:v>4</c:v>
                </c:pt>
                <c:pt idx="63">
                  <c:v>2</c:v>
                </c:pt>
                <c:pt idx="64">
                  <c:v>1</c:v>
                </c:pt>
                <c:pt idx="65">
                  <c:v>4</c:v>
                </c:pt>
                <c:pt idx="66">
                  <c:v>4</c:v>
                </c:pt>
                <c:pt idx="67">
                  <c:v>2</c:v>
                </c:pt>
                <c:pt idx="68">
                  <c:v>2</c:v>
                </c:pt>
                <c:pt idx="69">
                  <c:v>4</c:v>
                </c:pt>
                <c:pt idx="70">
                  <c:v>4</c:v>
                </c:pt>
                <c:pt idx="71">
                  <c:v>4</c:v>
                </c:pt>
                <c:pt idx="72">
                  <c:v>4</c:v>
                </c:pt>
                <c:pt idx="73">
                  <c:v>4</c:v>
                </c:pt>
                <c:pt idx="74">
                  <c:v>4</c:v>
                </c:pt>
                <c:pt idx="75">
                  <c:v>4</c:v>
                </c:pt>
                <c:pt idx="76">
                  <c:v>4</c:v>
                </c:pt>
                <c:pt idx="77">
                  <c:v>4</c:v>
                </c:pt>
                <c:pt idx="78">
                  <c:v>4</c:v>
                </c:pt>
                <c:pt idx="79">
                  <c:v>4</c:v>
                </c:pt>
                <c:pt idx="80">
                  <c:v>4</c:v>
                </c:pt>
                <c:pt idx="81">
                  <c:v>4</c:v>
                </c:pt>
                <c:pt idx="82">
                  <c:v>3</c:v>
                </c:pt>
                <c:pt idx="83">
                  <c:v>4</c:v>
                </c:pt>
                <c:pt idx="84">
                  <c:v>4</c:v>
                </c:pt>
                <c:pt idx="85">
                  <c:v>4</c:v>
                </c:pt>
                <c:pt idx="86">
                  <c:v>4</c:v>
                </c:pt>
                <c:pt idx="87">
                  <c:v>4</c:v>
                </c:pt>
                <c:pt idx="88">
                  <c:v>4</c:v>
                </c:pt>
                <c:pt idx="89">
                  <c:v>4</c:v>
                </c:pt>
                <c:pt idx="90">
                  <c:v>4</c:v>
                </c:pt>
                <c:pt idx="91">
                  <c:v>4</c:v>
                </c:pt>
                <c:pt idx="92">
                  <c:v>4</c:v>
                </c:pt>
                <c:pt idx="93">
                  <c:v>4</c:v>
                </c:pt>
                <c:pt idx="94">
                  <c:v>4</c:v>
                </c:pt>
                <c:pt idx="95">
                  <c:v>4</c:v>
                </c:pt>
                <c:pt idx="96">
                  <c:v>4</c:v>
                </c:pt>
                <c:pt idx="97">
                  <c:v>4</c:v>
                </c:pt>
                <c:pt idx="98">
                  <c:v>4</c:v>
                </c:pt>
                <c:pt idx="99">
                  <c:v>4</c:v>
                </c:pt>
                <c:pt idx="100">
                  <c:v>4</c:v>
                </c:pt>
                <c:pt idx="101">
                  <c:v>4</c:v>
                </c:pt>
                <c:pt idx="102">
                  <c:v>4</c:v>
                </c:pt>
              </c:numCache>
            </c:numRef>
          </c:xVal>
          <c:yVal>
            <c:numRef>
              <c:f>'Encoded Data'!$AW$4:$AW$106</c:f>
              <c:numCache>
                <c:formatCode>#,##0.000</c:formatCode>
                <c:ptCount val="103"/>
                <c:pt idx="0">
                  <c:v>7.3240000000000007</c:v>
                </c:pt>
                <c:pt idx="1">
                  <c:v>13.126000000000001</c:v>
                </c:pt>
                <c:pt idx="2">
                  <c:v>4.5599999999999996</c:v>
                </c:pt>
                <c:pt idx="3">
                  <c:v>19.569999999999997</c:v>
                </c:pt>
                <c:pt idx="4">
                  <c:v>4.0699999999999994</c:v>
                </c:pt>
                <c:pt idx="5">
                  <c:v>1.1209999999999998</c:v>
                </c:pt>
                <c:pt idx="6">
                  <c:v>33.900000000000006</c:v>
                </c:pt>
                <c:pt idx="7">
                  <c:v>10.299999999999999</c:v>
                </c:pt>
                <c:pt idx="8">
                  <c:v>11.548</c:v>
                </c:pt>
                <c:pt idx="9">
                  <c:v>10.570000000000002</c:v>
                </c:pt>
                <c:pt idx="10">
                  <c:v>6.7650000000000006</c:v>
                </c:pt>
                <c:pt idx="11">
                  <c:v>8.9329999999999998</c:v>
                </c:pt>
                <c:pt idx="12">
                  <c:v>2.15</c:v>
                </c:pt>
                <c:pt idx="13">
                  <c:v>11.551</c:v>
                </c:pt>
                <c:pt idx="14">
                  <c:v>21.556000000000001</c:v>
                </c:pt>
                <c:pt idx="15">
                  <c:v>5.202</c:v>
                </c:pt>
                <c:pt idx="16">
                  <c:v>37.28</c:v>
                </c:pt>
                <c:pt idx="17">
                  <c:v>24.934000000000001</c:v>
                </c:pt>
                <c:pt idx="18">
                  <c:v>14.866999999999999</c:v>
                </c:pt>
                <c:pt idx="19">
                  <c:v>19.464999999999996</c:v>
                </c:pt>
                <c:pt idx="20">
                  <c:v>5.734</c:v>
                </c:pt>
                <c:pt idx="21">
                  <c:v>14.203999999999999</c:v>
                </c:pt>
                <c:pt idx="22">
                  <c:v>0.34199999999999997</c:v>
                </c:pt>
                <c:pt idx="23">
                  <c:v>0.78499999999999992</c:v>
                </c:pt>
                <c:pt idx="24">
                  <c:v>7.9349999999999996</c:v>
                </c:pt>
                <c:pt idx="25">
                  <c:v>14.608000000000002</c:v>
                </c:pt>
                <c:pt idx="26">
                  <c:v>44</c:v>
                </c:pt>
                <c:pt idx="27">
                  <c:v>7.3579999999999997</c:v>
                </c:pt>
                <c:pt idx="28">
                  <c:v>8.0310000000000006</c:v>
                </c:pt>
                <c:pt idx="29">
                  <c:v>1.895</c:v>
                </c:pt>
                <c:pt idx="30">
                  <c:v>8.8859999999999992</c:v>
                </c:pt>
                <c:pt idx="31">
                  <c:v>4.1709999999999994</c:v>
                </c:pt>
                <c:pt idx="32">
                  <c:v>19.978999999999999</c:v>
                </c:pt>
                <c:pt idx="33">
                  <c:v>40.300000000000004</c:v>
                </c:pt>
                <c:pt idx="34">
                  <c:v>16.407999999999998</c:v>
                </c:pt>
                <c:pt idx="35">
                  <c:v>26.658999999999995</c:v>
                </c:pt>
                <c:pt idx="36">
                  <c:v>5.9270000000000005</c:v>
                </c:pt>
                <c:pt idx="37">
                  <c:v>2.3839999999999999</c:v>
                </c:pt>
                <c:pt idx="38">
                  <c:v>7.9460000000000006</c:v>
                </c:pt>
                <c:pt idx="39" formatCode="0.00">
                  <c:v>16.84</c:v>
                </c:pt>
                <c:pt idx="40" formatCode="0.00">
                  <c:v>6.21</c:v>
                </c:pt>
                <c:pt idx="41" formatCode="0.00">
                  <c:v>20.02</c:v>
                </c:pt>
                <c:pt idx="42" formatCode="0.00">
                  <c:v>5.49</c:v>
                </c:pt>
                <c:pt idx="43" formatCode="0.00">
                  <c:v>18.510000000000002</c:v>
                </c:pt>
                <c:pt idx="44" formatCode="0.00">
                  <c:v>8.0380000000000003</c:v>
                </c:pt>
                <c:pt idx="45" formatCode="0.00">
                  <c:v>9.82</c:v>
                </c:pt>
                <c:pt idx="46" formatCode="0.00">
                  <c:v>2.63</c:v>
                </c:pt>
                <c:pt idx="47" formatCode="0.00">
                  <c:v>8.17</c:v>
                </c:pt>
                <c:pt idx="48" formatCode="0.00">
                  <c:v>20.77</c:v>
                </c:pt>
                <c:pt idx="49" formatCode="0.00">
                  <c:v>37.99</c:v>
                </c:pt>
                <c:pt idx="50" formatCode="0.00">
                  <c:v>22.26</c:v>
                </c:pt>
                <c:pt idx="51" formatCode="0.00">
                  <c:v>45.478999999999999</c:v>
                </c:pt>
                <c:pt idx="52" formatCode="0.00">
                  <c:v>13.718400000000001</c:v>
                </c:pt>
                <c:pt idx="53" formatCode="0.00">
                  <c:v>8.0190000000000001</c:v>
                </c:pt>
                <c:pt idx="54" formatCode="0.00">
                  <c:v>22.622</c:v>
                </c:pt>
                <c:pt idx="55" formatCode="0.00">
                  <c:v>7.4740000000000002</c:v>
                </c:pt>
                <c:pt idx="56" formatCode="0.00">
                  <c:v>6.0650000000000004</c:v>
                </c:pt>
                <c:pt idx="57" formatCode="0.00">
                  <c:v>3.379</c:v>
                </c:pt>
                <c:pt idx="58" formatCode="0.00">
                  <c:v>5.2469999999999999</c:v>
                </c:pt>
                <c:pt idx="59" formatCode="0.00">
                  <c:v>7.67</c:v>
                </c:pt>
                <c:pt idx="60" formatCode="0.00">
                  <c:v>8.41</c:v>
                </c:pt>
                <c:pt idx="61" formatCode="0.00">
                  <c:v>5.6619999999999999</c:v>
                </c:pt>
                <c:pt idx="62" formatCode="0.00">
                  <c:v>6.42</c:v>
                </c:pt>
                <c:pt idx="63" formatCode="0.00">
                  <c:v>2.6880000000000002</c:v>
                </c:pt>
                <c:pt idx="64" formatCode="0.00">
                  <c:v>4.8339999999999996</c:v>
                </c:pt>
                <c:pt idx="65" formatCode="0.00">
                  <c:v>2.5209999999999999</c:v>
                </c:pt>
                <c:pt idx="66" formatCode="0.00">
                  <c:v>18.498000000000001</c:v>
                </c:pt>
                <c:pt idx="67" formatCode="0.00">
                  <c:v>12.589</c:v>
                </c:pt>
                <c:pt idx="68" formatCode="0.00">
                  <c:v>12.908000000000001</c:v>
                </c:pt>
                <c:pt idx="69" formatCode="0.00">
                  <c:v>27.375</c:v>
                </c:pt>
                <c:pt idx="70" formatCode="0.00">
                  <c:v>26.544</c:v>
                </c:pt>
                <c:pt idx="71">
                  <c:v>49.980000000000004</c:v>
                </c:pt>
                <c:pt idx="72">
                  <c:v>46.984000000000002</c:v>
                </c:pt>
                <c:pt idx="73">
                  <c:v>22.5</c:v>
                </c:pt>
                <c:pt idx="74">
                  <c:v>11.558</c:v>
                </c:pt>
                <c:pt idx="75">
                  <c:v>21.1</c:v>
                </c:pt>
                <c:pt idx="76">
                  <c:v>60.081999999999994</c:v>
                </c:pt>
                <c:pt idx="77">
                  <c:v>54.112999999999992</c:v>
                </c:pt>
                <c:pt idx="78">
                  <c:v>12.406000000000001</c:v>
                </c:pt>
                <c:pt idx="79">
                  <c:v>24.764000000000006</c:v>
                </c:pt>
                <c:pt idx="80">
                  <c:v>68.031000000000006</c:v>
                </c:pt>
                <c:pt idx="81">
                  <c:v>51.742999999999995</c:v>
                </c:pt>
                <c:pt idx="82">
                  <c:v>40.866</c:v>
                </c:pt>
                <c:pt idx="83">
                  <c:v>14.741</c:v>
                </c:pt>
                <c:pt idx="84">
                  <c:v>26.323</c:v>
                </c:pt>
                <c:pt idx="85">
                  <c:v>33.664999999999999</c:v>
                </c:pt>
                <c:pt idx="86">
                  <c:v>34.56</c:v>
                </c:pt>
                <c:pt idx="87">
                  <c:v>68.706600000000009</c:v>
                </c:pt>
                <c:pt idx="88">
                  <c:v>12.729999999999997</c:v>
                </c:pt>
                <c:pt idx="89">
                  <c:v>27.9</c:v>
                </c:pt>
                <c:pt idx="90">
                  <c:v>15.72</c:v>
                </c:pt>
                <c:pt idx="91">
                  <c:v>45.279000000000011</c:v>
                </c:pt>
                <c:pt idx="92">
                  <c:v>20.811</c:v>
                </c:pt>
                <c:pt idx="93">
                  <c:v>64.622</c:v>
                </c:pt>
                <c:pt idx="94">
                  <c:v>44.064000000000007</c:v>
                </c:pt>
                <c:pt idx="95">
                  <c:v>24.588000000000001</c:v>
                </c:pt>
                <c:pt idx="96">
                  <c:v>26.05</c:v>
                </c:pt>
                <c:pt idx="97">
                  <c:v>34.420999999999992</c:v>
                </c:pt>
                <c:pt idx="98">
                  <c:v>68.031000000000006</c:v>
                </c:pt>
                <c:pt idx="99">
                  <c:v>65.143000000000001</c:v>
                </c:pt>
                <c:pt idx="100">
                  <c:v>42.454999999999998</c:v>
                </c:pt>
                <c:pt idx="101">
                  <c:v>25.108999999999998</c:v>
                </c:pt>
                <c:pt idx="102">
                  <c:v>39.094000000000001</c:v>
                </c:pt>
              </c:numCache>
            </c:numRef>
          </c:yVal>
          <c:smooth val="0"/>
          <c:extLst>
            <c:ext xmlns:c16="http://schemas.microsoft.com/office/drawing/2014/chart" uri="{C3380CC4-5D6E-409C-BE32-E72D297353CC}">
              <c16:uniqueId val="{00000000-D1CC-4C9D-B30D-3153C0CFABF1}"/>
            </c:ext>
          </c:extLst>
        </c:ser>
        <c:dLbls>
          <c:showLegendKey val="0"/>
          <c:showVal val="0"/>
          <c:showCatName val="0"/>
          <c:showSerName val="0"/>
          <c:showPercent val="0"/>
          <c:showBubbleSize val="0"/>
        </c:dLbls>
        <c:axId val="2043713999"/>
        <c:axId val="2043701519"/>
      </c:scatterChart>
      <c:valAx>
        <c:axId val="204371399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Period of stay in an area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701519"/>
        <c:crosses val="autoZero"/>
        <c:crossBetween val="midCat"/>
      </c:valAx>
      <c:valAx>
        <c:axId val="2043701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of solid waste generated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71399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5.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png"/><Relationship Id="rId18" Type="http://schemas.openxmlformats.org/officeDocument/2006/relationships/image" Target="../media/image33.pn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png"/><Relationship Id="rId17" Type="http://schemas.openxmlformats.org/officeDocument/2006/relationships/image" Target="../media/image32.png"/><Relationship Id="rId2" Type="http://schemas.openxmlformats.org/officeDocument/2006/relationships/image" Target="../media/image17.png"/><Relationship Id="rId16" Type="http://schemas.openxmlformats.org/officeDocument/2006/relationships/image" Target="../media/image31.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png"/><Relationship Id="rId5" Type="http://schemas.openxmlformats.org/officeDocument/2006/relationships/image" Target="../media/image20.png"/><Relationship Id="rId15" Type="http://schemas.openxmlformats.org/officeDocument/2006/relationships/image" Target="../media/image30.png"/><Relationship Id="rId10" Type="http://schemas.openxmlformats.org/officeDocument/2006/relationships/image" Target="../media/image25.png"/><Relationship Id="rId19" Type="http://schemas.openxmlformats.org/officeDocument/2006/relationships/image" Target="../media/image34.png"/><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png"/></Relationships>
</file>

<file path=xl/drawings/_rels/drawing6.xml.rels><?xml version="1.0" encoding="UTF-8" standalone="yes"?>
<Relationships xmlns="http://schemas.openxmlformats.org/package/2006/relationships"><Relationship Id="rId8" Type="http://schemas.openxmlformats.org/officeDocument/2006/relationships/image" Target="../media/image42.png"/><Relationship Id="rId13" Type="http://schemas.openxmlformats.org/officeDocument/2006/relationships/image" Target="../media/image47.png"/><Relationship Id="rId18" Type="http://schemas.openxmlformats.org/officeDocument/2006/relationships/image" Target="../media/image52.png"/><Relationship Id="rId3" Type="http://schemas.openxmlformats.org/officeDocument/2006/relationships/image" Target="../media/image37.png"/><Relationship Id="rId7" Type="http://schemas.openxmlformats.org/officeDocument/2006/relationships/image" Target="../media/image41.png"/><Relationship Id="rId12" Type="http://schemas.openxmlformats.org/officeDocument/2006/relationships/image" Target="../media/image46.png"/><Relationship Id="rId17" Type="http://schemas.openxmlformats.org/officeDocument/2006/relationships/image" Target="../media/image51.png"/><Relationship Id="rId2" Type="http://schemas.openxmlformats.org/officeDocument/2006/relationships/image" Target="../media/image36.png"/><Relationship Id="rId16" Type="http://schemas.openxmlformats.org/officeDocument/2006/relationships/image" Target="../media/image50.png"/><Relationship Id="rId1" Type="http://schemas.openxmlformats.org/officeDocument/2006/relationships/image" Target="../media/image35.png"/><Relationship Id="rId6" Type="http://schemas.openxmlformats.org/officeDocument/2006/relationships/image" Target="../media/image40.png"/><Relationship Id="rId11" Type="http://schemas.openxmlformats.org/officeDocument/2006/relationships/image" Target="../media/image45.png"/><Relationship Id="rId5" Type="http://schemas.openxmlformats.org/officeDocument/2006/relationships/image" Target="../media/image39.png"/><Relationship Id="rId15" Type="http://schemas.openxmlformats.org/officeDocument/2006/relationships/image" Target="../media/image49.png"/><Relationship Id="rId10" Type="http://schemas.openxmlformats.org/officeDocument/2006/relationships/image" Target="../media/image44.png"/><Relationship Id="rId19" Type="http://schemas.openxmlformats.org/officeDocument/2006/relationships/image" Target="../media/image53.png"/><Relationship Id="rId4" Type="http://schemas.openxmlformats.org/officeDocument/2006/relationships/image" Target="../media/image38.png"/><Relationship Id="rId9" Type="http://schemas.openxmlformats.org/officeDocument/2006/relationships/image" Target="../media/image43.png"/><Relationship Id="rId14" Type="http://schemas.openxmlformats.org/officeDocument/2006/relationships/image" Target="../media/image48.png"/></Relationships>
</file>

<file path=xl/drawings/drawing1.xml><?xml version="1.0" encoding="utf-8"?>
<xdr:wsDr xmlns:xdr="http://schemas.openxmlformats.org/drawingml/2006/spreadsheetDrawing" xmlns:a="http://schemas.openxmlformats.org/drawingml/2006/main">
  <xdr:twoCellAnchor>
    <xdr:from>
      <xdr:col>14</xdr:col>
      <xdr:colOff>541951</xdr:colOff>
      <xdr:row>15</xdr:row>
      <xdr:rowOff>21581</xdr:rowOff>
    </xdr:from>
    <xdr:to>
      <xdr:col>34</xdr:col>
      <xdr:colOff>385249</xdr:colOff>
      <xdr:row>58</xdr:row>
      <xdr:rowOff>127075</xdr:rowOff>
    </xdr:to>
    <xdr:graphicFrame macro="">
      <xdr:nvGraphicFramePr>
        <xdr:cNvPr id="5" name="Chart 4">
          <a:extLst>
            <a:ext uri="{FF2B5EF4-FFF2-40B4-BE49-F238E27FC236}">
              <a16:creationId xmlns:a16="http://schemas.microsoft.com/office/drawing/2014/main" id="{CCAE8FF0-A6AB-4A9F-AED0-EF37803A1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536750</xdr:colOff>
      <xdr:row>18</xdr:row>
      <xdr:rowOff>61612</xdr:rowOff>
    </xdr:from>
    <xdr:to>
      <xdr:col>13</xdr:col>
      <xdr:colOff>541763</xdr:colOff>
      <xdr:row>57</xdr:row>
      <xdr:rowOff>182865</xdr:rowOff>
    </xdr:to>
    <xdr:graphicFrame macro="">
      <xdr:nvGraphicFramePr>
        <xdr:cNvPr id="6" name="Chart 5">
          <a:extLst>
            <a:ext uri="{FF2B5EF4-FFF2-40B4-BE49-F238E27FC236}">
              <a16:creationId xmlns:a16="http://schemas.microsoft.com/office/drawing/2014/main" id="{8F3DD583-AED3-4CDB-94B8-DEBB895F5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45612</xdr:colOff>
      <xdr:row>60</xdr:row>
      <xdr:rowOff>146226</xdr:rowOff>
    </xdr:from>
    <xdr:to>
      <xdr:col>17</xdr:col>
      <xdr:colOff>197426</xdr:colOff>
      <xdr:row>111</xdr:row>
      <xdr:rowOff>72860</xdr:rowOff>
    </xdr:to>
    <xdr:graphicFrame macro="">
      <xdr:nvGraphicFramePr>
        <xdr:cNvPr id="7" name="Chart 6">
          <a:extLst>
            <a:ext uri="{FF2B5EF4-FFF2-40B4-BE49-F238E27FC236}">
              <a16:creationId xmlns:a16="http://schemas.microsoft.com/office/drawing/2014/main" id="{94E51240-2219-4B00-B1E9-311395317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63</xdr:row>
      <xdr:rowOff>0</xdr:rowOff>
    </xdr:from>
    <xdr:to>
      <xdr:col>42</xdr:col>
      <xdr:colOff>315346</xdr:colOff>
      <xdr:row>112</xdr:row>
      <xdr:rowOff>152061</xdr:rowOff>
    </xdr:to>
    <xdr:graphicFrame macro="">
      <xdr:nvGraphicFramePr>
        <xdr:cNvPr id="8" name="Chart 7">
          <a:extLst>
            <a:ext uri="{FF2B5EF4-FFF2-40B4-BE49-F238E27FC236}">
              <a16:creationId xmlns:a16="http://schemas.microsoft.com/office/drawing/2014/main" id="{F9799D27-FFC1-44AC-9578-9819233AC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555254</xdr:colOff>
      <xdr:row>1</xdr:row>
      <xdr:rowOff>206304</xdr:rowOff>
    </xdr:from>
    <xdr:to>
      <xdr:col>19</xdr:col>
      <xdr:colOff>550248</xdr:colOff>
      <xdr:row>35</xdr:row>
      <xdr:rowOff>130852</xdr:rowOff>
    </xdr:to>
    <xdr:graphicFrame macro="">
      <xdr:nvGraphicFramePr>
        <xdr:cNvPr id="2" name="Chart 1">
          <a:extLst>
            <a:ext uri="{FF2B5EF4-FFF2-40B4-BE49-F238E27FC236}">
              <a16:creationId xmlns:a16="http://schemas.microsoft.com/office/drawing/2014/main" id="{A79CDA9C-6C3C-47CD-9055-A79AF0797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180495</xdr:colOff>
      <xdr:row>42</xdr:row>
      <xdr:rowOff>61680</xdr:rowOff>
    </xdr:from>
    <xdr:to>
      <xdr:col>25</xdr:col>
      <xdr:colOff>170122</xdr:colOff>
      <xdr:row>66</xdr:row>
      <xdr:rowOff>85245</xdr:rowOff>
    </xdr:to>
    <xdr:graphicFrame macro="">
      <xdr:nvGraphicFramePr>
        <xdr:cNvPr id="3" name="Chart 2">
          <a:extLst>
            <a:ext uri="{FF2B5EF4-FFF2-40B4-BE49-F238E27FC236}">
              <a16:creationId xmlns:a16="http://schemas.microsoft.com/office/drawing/2014/main" id="{FB5729CE-B760-42F3-A523-C207DF646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368810</xdr:colOff>
      <xdr:row>1</xdr:row>
      <xdr:rowOff>172109</xdr:rowOff>
    </xdr:from>
    <xdr:to>
      <xdr:col>37</xdr:col>
      <xdr:colOff>347462</xdr:colOff>
      <xdr:row>29</xdr:row>
      <xdr:rowOff>98535</xdr:rowOff>
    </xdr:to>
    <xdr:graphicFrame macro="">
      <xdr:nvGraphicFramePr>
        <xdr:cNvPr id="5" name="Chart 4">
          <a:extLst>
            <a:ext uri="{FF2B5EF4-FFF2-40B4-BE49-F238E27FC236}">
              <a16:creationId xmlns:a16="http://schemas.microsoft.com/office/drawing/2014/main" id="{648202B4-0796-4B30-A48E-B8A8D035E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39686</xdr:colOff>
      <xdr:row>37</xdr:row>
      <xdr:rowOff>66675</xdr:rowOff>
    </xdr:from>
    <xdr:to>
      <xdr:col>41</xdr:col>
      <xdr:colOff>380999</xdr:colOff>
      <xdr:row>68</xdr:row>
      <xdr:rowOff>28575</xdr:rowOff>
    </xdr:to>
    <xdr:graphicFrame macro="">
      <xdr:nvGraphicFramePr>
        <xdr:cNvPr id="6" name="Chart 5">
          <a:extLst>
            <a:ext uri="{FF2B5EF4-FFF2-40B4-BE49-F238E27FC236}">
              <a16:creationId xmlns:a16="http://schemas.microsoft.com/office/drawing/2014/main" id="{8F531B43-D3E8-4884-8077-78B8ABA53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661735</xdr:colOff>
      <xdr:row>68</xdr:row>
      <xdr:rowOff>102268</xdr:rowOff>
    </xdr:from>
    <xdr:to>
      <xdr:col>17</xdr:col>
      <xdr:colOff>65170</xdr:colOff>
      <xdr:row>99</xdr:row>
      <xdr:rowOff>105277</xdr:rowOff>
    </xdr:to>
    <xdr:graphicFrame macro="">
      <xdr:nvGraphicFramePr>
        <xdr:cNvPr id="7" name="Chart 6">
          <a:extLst>
            <a:ext uri="{FF2B5EF4-FFF2-40B4-BE49-F238E27FC236}">
              <a16:creationId xmlns:a16="http://schemas.microsoft.com/office/drawing/2014/main" id="{97881808-FD52-4516-881B-6EB02C8DA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533399</xdr:colOff>
      <xdr:row>3</xdr:row>
      <xdr:rowOff>38100</xdr:rowOff>
    </xdr:from>
    <xdr:to>
      <xdr:col>10</xdr:col>
      <xdr:colOff>352424</xdr:colOff>
      <xdr:row>29</xdr:row>
      <xdr:rowOff>38100</xdr:rowOff>
    </xdr:to>
    <xdr:graphicFrame macro="">
      <xdr:nvGraphicFramePr>
        <xdr:cNvPr id="3" name="Chart 2">
          <a:extLst>
            <a:ext uri="{FF2B5EF4-FFF2-40B4-BE49-F238E27FC236}">
              <a16:creationId xmlns:a16="http://schemas.microsoft.com/office/drawing/2014/main" id="{3361DFA4-2B67-4B44-9999-EFD6D90C3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xdr:colOff>
      <xdr:row>4</xdr:row>
      <xdr:rowOff>1</xdr:rowOff>
    </xdr:from>
    <xdr:to>
      <xdr:col>23</xdr:col>
      <xdr:colOff>595313</xdr:colOff>
      <xdr:row>29</xdr:row>
      <xdr:rowOff>1</xdr:rowOff>
    </xdr:to>
    <xdr:graphicFrame macro="">
      <xdr:nvGraphicFramePr>
        <xdr:cNvPr id="4" name="Chart 3">
          <a:extLst>
            <a:ext uri="{FF2B5EF4-FFF2-40B4-BE49-F238E27FC236}">
              <a16:creationId xmlns:a16="http://schemas.microsoft.com/office/drawing/2014/main" id="{103D8285-CF4B-45E8-81EC-4A56FD3C9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32</xdr:row>
      <xdr:rowOff>190499</xdr:rowOff>
    </xdr:from>
    <xdr:to>
      <xdr:col>11</xdr:col>
      <xdr:colOff>108857</xdr:colOff>
      <xdr:row>55</xdr:row>
      <xdr:rowOff>40820</xdr:rowOff>
    </xdr:to>
    <xdr:graphicFrame macro="">
      <xdr:nvGraphicFramePr>
        <xdr:cNvPr id="5" name="Chart 4">
          <a:extLst>
            <a:ext uri="{FF2B5EF4-FFF2-40B4-BE49-F238E27FC236}">
              <a16:creationId xmlns:a16="http://schemas.microsoft.com/office/drawing/2014/main" id="{B8B07EBD-1B51-409D-8676-5F772886C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33</xdr:row>
      <xdr:rowOff>190499</xdr:rowOff>
    </xdr:from>
    <xdr:to>
      <xdr:col>24</xdr:col>
      <xdr:colOff>217715</xdr:colOff>
      <xdr:row>56</xdr:row>
      <xdr:rowOff>108856</xdr:rowOff>
    </xdr:to>
    <xdr:graphicFrame macro="">
      <xdr:nvGraphicFramePr>
        <xdr:cNvPr id="6" name="Chart 5">
          <a:extLst>
            <a:ext uri="{FF2B5EF4-FFF2-40B4-BE49-F238E27FC236}">
              <a16:creationId xmlns:a16="http://schemas.microsoft.com/office/drawing/2014/main" id="{248A7172-56A0-4CB5-8617-3840B6109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0</xdr:colOff>
      <xdr:row>3</xdr:row>
      <xdr:rowOff>190499</xdr:rowOff>
    </xdr:from>
    <xdr:to>
      <xdr:col>39</xdr:col>
      <xdr:colOff>285750</xdr:colOff>
      <xdr:row>29</xdr:row>
      <xdr:rowOff>149678</xdr:rowOff>
    </xdr:to>
    <xdr:graphicFrame macro="">
      <xdr:nvGraphicFramePr>
        <xdr:cNvPr id="7" name="Chart 6">
          <a:extLst>
            <a:ext uri="{FF2B5EF4-FFF2-40B4-BE49-F238E27FC236}">
              <a16:creationId xmlns:a16="http://schemas.microsoft.com/office/drawing/2014/main" id="{25DB4F15-3EB8-416C-A612-F46AA0A59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0</xdr:colOff>
      <xdr:row>34</xdr:row>
      <xdr:rowOff>190499</xdr:rowOff>
    </xdr:from>
    <xdr:to>
      <xdr:col>39</xdr:col>
      <xdr:colOff>353785</xdr:colOff>
      <xdr:row>57</xdr:row>
      <xdr:rowOff>108856</xdr:rowOff>
    </xdr:to>
    <xdr:graphicFrame macro="">
      <xdr:nvGraphicFramePr>
        <xdr:cNvPr id="8" name="Chart 7">
          <a:extLst>
            <a:ext uri="{FF2B5EF4-FFF2-40B4-BE49-F238E27FC236}">
              <a16:creationId xmlns:a16="http://schemas.microsoft.com/office/drawing/2014/main" id="{A3DB7DCE-6984-4E82-A17B-D159BA941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266700</xdr:colOff>
      <xdr:row>9</xdr:row>
      <xdr:rowOff>104775</xdr:rowOff>
    </xdr:from>
    <xdr:to>
      <xdr:col>13</xdr:col>
      <xdr:colOff>438150</xdr:colOff>
      <xdr:row>38</xdr:row>
      <xdr:rowOff>171450</xdr:rowOff>
    </xdr:to>
    <xdr:pic>
      <xdr:nvPicPr>
        <xdr:cNvPr id="2" name="Picture 1">
          <a:extLst>
            <a:ext uri="{FF2B5EF4-FFF2-40B4-BE49-F238E27FC236}">
              <a16:creationId xmlns:a16="http://schemas.microsoft.com/office/drawing/2014/main" id="{4FF4EB71-0F19-49E4-A84F-6505375796E3}"/>
            </a:ext>
          </a:extLst>
        </xdr:cNvPr>
        <xdr:cNvPicPr>
          <a:picLocks noChangeAspect="1"/>
        </xdr:cNvPicPr>
      </xdr:nvPicPr>
      <xdr:blipFill>
        <a:blip xmlns:r="http://schemas.openxmlformats.org/officeDocument/2006/relationships" r:embed="rId1"/>
        <a:stretch>
          <a:fillRect/>
        </a:stretch>
      </xdr:blipFill>
      <xdr:spPr>
        <a:xfrm>
          <a:off x="876300" y="1819275"/>
          <a:ext cx="7486650" cy="5591175"/>
        </a:xfrm>
        <a:prstGeom prst="rect">
          <a:avLst/>
        </a:prstGeom>
      </xdr:spPr>
    </xdr:pic>
    <xdr:clientData/>
  </xdr:twoCellAnchor>
  <xdr:twoCellAnchor editAs="oneCell">
    <xdr:from>
      <xdr:col>15</xdr:col>
      <xdr:colOff>0</xdr:colOff>
      <xdr:row>10</xdr:row>
      <xdr:rowOff>0</xdr:rowOff>
    </xdr:from>
    <xdr:to>
      <xdr:col>27</xdr:col>
      <xdr:colOff>171450</xdr:colOff>
      <xdr:row>39</xdr:row>
      <xdr:rowOff>66675</xdr:rowOff>
    </xdr:to>
    <xdr:pic>
      <xdr:nvPicPr>
        <xdr:cNvPr id="3" name="Picture 2">
          <a:extLst>
            <a:ext uri="{FF2B5EF4-FFF2-40B4-BE49-F238E27FC236}">
              <a16:creationId xmlns:a16="http://schemas.microsoft.com/office/drawing/2014/main" id="{9D8D2560-0B8B-433F-82AA-D90258E83085}"/>
            </a:ext>
          </a:extLst>
        </xdr:cNvPr>
        <xdr:cNvPicPr>
          <a:picLocks noChangeAspect="1"/>
        </xdr:cNvPicPr>
      </xdr:nvPicPr>
      <xdr:blipFill>
        <a:blip xmlns:r="http://schemas.openxmlformats.org/officeDocument/2006/relationships" r:embed="rId2"/>
        <a:stretch>
          <a:fillRect/>
        </a:stretch>
      </xdr:blipFill>
      <xdr:spPr>
        <a:xfrm>
          <a:off x="9144000" y="1905000"/>
          <a:ext cx="7486650" cy="5591175"/>
        </a:xfrm>
        <a:prstGeom prst="rect">
          <a:avLst/>
        </a:prstGeom>
      </xdr:spPr>
    </xdr:pic>
    <xdr:clientData/>
  </xdr:twoCellAnchor>
  <xdr:twoCellAnchor editAs="oneCell">
    <xdr:from>
      <xdr:col>1</xdr:col>
      <xdr:colOff>0</xdr:colOff>
      <xdr:row>42</xdr:row>
      <xdr:rowOff>0</xdr:rowOff>
    </xdr:from>
    <xdr:to>
      <xdr:col>13</xdr:col>
      <xdr:colOff>78317</xdr:colOff>
      <xdr:row>70</xdr:row>
      <xdr:rowOff>158398</xdr:rowOff>
    </xdr:to>
    <xdr:pic>
      <xdr:nvPicPr>
        <xdr:cNvPr id="4" name="Picture 3">
          <a:extLst>
            <a:ext uri="{FF2B5EF4-FFF2-40B4-BE49-F238E27FC236}">
              <a16:creationId xmlns:a16="http://schemas.microsoft.com/office/drawing/2014/main" id="{07F74CC5-CA9C-4631-BBB3-4B9EE17510FE}"/>
            </a:ext>
          </a:extLst>
        </xdr:cNvPr>
        <xdr:cNvPicPr>
          <a:picLocks noChangeAspect="1"/>
        </xdr:cNvPicPr>
      </xdr:nvPicPr>
      <xdr:blipFill>
        <a:blip xmlns:r="http://schemas.openxmlformats.org/officeDocument/2006/relationships" r:embed="rId3"/>
        <a:stretch>
          <a:fillRect/>
        </a:stretch>
      </xdr:blipFill>
      <xdr:spPr>
        <a:xfrm>
          <a:off x="617361" y="8149167"/>
          <a:ext cx="7486650" cy="5591175"/>
        </a:xfrm>
        <a:prstGeom prst="rect">
          <a:avLst/>
        </a:prstGeom>
      </xdr:spPr>
    </xdr:pic>
    <xdr:clientData/>
  </xdr:twoCellAnchor>
  <xdr:twoCellAnchor editAs="oneCell">
    <xdr:from>
      <xdr:col>16</xdr:col>
      <xdr:colOff>0</xdr:colOff>
      <xdr:row>43</xdr:row>
      <xdr:rowOff>0</xdr:rowOff>
    </xdr:from>
    <xdr:to>
      <xdr:col>28</xdr:col>
      <xdr:colOff>78317</xdr:colOff>
      <xdr:row>71</xdr:row>
      <xdr:rowOff>158397</xdr:rowOff>
    </xdr:to>
    <xdr:pic>
      <xdr:nvPicPr>
        <xdr:cNvPr id="5" name="Picture 4">
          <a:extLst>
            <a:ext uri="{FF2B5EF4-FFF2-40B4-BE49-F238E27FC236}">
              <a16:creationId xmlns:a16="http://schemas.microsoft.com/office/drawing/2014/main" id="{71F123E4-F0FB-477E-ABE5-9AD65FD8E447}"/>
            </a:ext>
          </a:extLst>
        </xdr:cNvPr>
        <xdr:cNvPicPr>
          <a:picLocks noChangeAspect="1"/>
        </xdr:cNvPicPr>
      </xdr:nvPicPr>
      <xdr:blipFill>
        <a:blip xmlns:r="http://schemas.openxmlformats.org/officeDocument/2006/relationships" r:embed="rId4"/>
        <a:stretch>
          <a:fillRect/>
        </a:stretch>
      </xdr:blipFill>
      <xdr:spPr>
        <a:xfrm>
          <a:off x="9877778" y="8343194"/>
          <a:ext cx="7486650" cy="5591175"/>
        </a:xfrm>
        <a:prstGeom prst="rect">
          <a:avLst/>
        </a:prstGeom>
      </xdr:spPr>
    </xdr:pic>
    <xdr:clientData/>
  </xdr:twoCellAnchor>
  <xdr:twoCellAnchor editAs="oneCell">
    <xdr:from>
      <xdr:col>29</xdr:col>
      <xdr:colOff>0</xdr:colOff>
      <xdr:row>11</xdr:row>
      <xdr:rowOff>0</xdr:rowOff>
    </xdr:from>
    <xdr:to>
      <xdr:col>41</xdr:col>
      <xdr:colOff>78316</xdr:colOff>
      <xdr:row>39</xdr:row>
      <xdr:rowOff>158398</xdr:rowOff>
    </xdr:to>
    <xdr:pic>
      <xdr:nvPicPr>
        <xdr:cNvPr id="6" name="Picture 5">
          <a:extLst>
            <a:ext uri="{FF2B5EF4-FFF2-40B4-BE49-F238E27FC236}">
              <a16:creationId xmlns:a16="http://schemas.microsoft.com/office/drawing/2014/main" id="{91B24C95-F0E9-40DA-B0B0-198A4F7ED5DE}"/>
            </a:ext>
          </a:extLst>
        </xdr:cNvPr>
        <xdr:cNvPicPr>
          <a:picLocks noChangeAspect="1"/>
        </xdr:cNvPicPr>
      </xdr:nvPicPr>
      <xdr:blipFill>
        <a:blip xmlns:r="http://schemas.openxmlformats.org/officeDocument/2006/relationships" r:embed="rId5"/>
        <a:stretch>
          <a:fillRect/>
        </a:stretch>
      </xdr:blipFill>
      <xdr:spPr>
        <a:xfrm>
          <a:off x="17903472" y="2134306"/>
          <a:ext cx="7486650" cy="5591175"/>
        </a:xfrm>
        <a:prstGeom prst="rect">
          <a:avLst/>
        </a:prstGeom>
      </xdr:spPr>
    </xdr:pic>
    <xdr:clientData/>
  </xdr:twoCellAnchor>
  <xdr:twoCellAnchor editAs="oneCell">
    <xdr:from>
      <xdr:col>29</xdr:col>
      <xdr:colOff>0</xdr:colOff>
      <xdr:row>46</xdr:row>
      <xdr:rowOff>0</xdr:rowOff>
    </xdr:from>
    <xdr:to>
      <xdr:col>41</xdr:col>
      <xdr:colOff>78316</xdr:colOff>
      <xdr:row>74</xdr:row>
      <xdr:rowOff>158397</xdr:rowOff>
    </xdr:to>
    <xdr:pic>
      <xdr:nvPicPr>
        <xdr:cNvPr id="7" name="Picture 6">
          <a:extLst>
            <a:ext uri="{FF2B5EF4-FFF2-40B4-BE49-F238E27FC236}">
              <a16:creationId xmlns:a16="http://schemas.microsoft.com/office/drawing/2014/main" id="{2F681754-34AC-43D8-B4C6-B740F60915E7}"/>
            </a:ext>
          </a:extLst>
        </xdr:cNvPr>
        <xdr:cNvPicPr>
          <a:picLocks noChangeAspect="1"/>
        </xdr:cNvPicPr>
      </xdr:nvPicPr>
      <xdr:blipFill>
        <a:blip xmlns:r="http://schemas.openxmlformats.org/officeDocument/2006/relationships" r:embed="rId6"/>
        <a:stretch>
          <a:fillRect/>
        </a:stretch>
      </xdr:blipFill>
      <xdr:spPr>
        <a:xfrm>
          <a:off x="17903472" y="8925278"/>
          <a:ext cx="7486650" cy="5591175"/>
        </a:xfrm>
        <a:prstGeom prst="rect">
          <a:avLst/>
        </a:prstGeom>
      </xdr:spPr>
    </xdr:pic>
    <xdr:clientData/>
  </xdr:twoCellAnchor>
  <xdr:twoCellAnchor editAs="oneCell">
    <xdr:from>
      <xdr:col>1</xdr:col>
      <xdr:colOff>0</xdr:colOff>
      <xdr:row>74</xdr:row>
      <xdr:rowOff>0</xdr:rowOff>
    </xdr:from>
    <xdr:to>
      <xdr:col>13</xdr:col>
      <xdr:colOff>78317</xdr:colOff>
      <xdr:row>102</xdr:row>
      <xdr:rowOff>158398</xdr:rowOff>
    </xdr:to>
    <xdr:pic>
      <xdr:nvPicPr>
        <xdr:cNvPr id="8" name="Picture 7">
          <a:extLst>
            <a:ext uri="{FF2B5EF4-FFF2-40B4-BE49-F238E27FC236}">
              <a16:creationId xmlns:a16="http://schemas.microsoft.com/office/drawing/2014/main" id="{3E8EE36E-60B5-4A96-9E79-19343D577848}"/>
            </a:ext>
          </a:extLst>
        </xdr:cNvPr>
        <xdr:cNvPicPr>
          <a:picLocks noChangeAspect="1"/>
        </xdr:cNvPicPr>
      </xdr:nvPicPr>
      <xdr:blipFill>
        <a:blip xmlns:r="http://schemas.openxmlformats.org/officeDocument/2006/relationships" r:embed="rId7"/>
        <a:stretch>
          <a:fillRect/>
        </a:stretch>
      </xdr:blipFill>
      <xdr:spPr>
        <a:xfrm>
          <a:off x="617361" y="14358056"/>
          <a:ext cx="7486650" cy="5591175"/>
        </a:xfrm>
        <a:prstGeom prst="rect">
          <a:avLst/>
        </a:prstGeom>
      </xdr:spPr>
    </xdr:pic>
    <xdr:clientData/>
  </xdr:twoCellAnchor>
  <xdr:twoCellAnchor editAs="oneCell">
    <xdr:from>
      <xdr:col>15</xdr:col>
      <xdr:colOff>0</xdr:colOff>
      <xdr:row>74</xdr:row>
      <xdr:rowOff>0</xdr:rowOff>
    </xdr:from>
    <xdr:to>
      <xdr:col>27</xdr:col>
      <xdr:colOff>78317</xdr:colOff>
      <xdr:row>102</xdr:row>
      <xdr:rowOff>158398</xdr:rowOff>
    </xdr:to>
    <xdr:pic>
      <xdr:nvPicPr>
        <xdr:cNvPr id="9" name="Picture 8">
          <a:extLst>
            <a:ext uri="{FF2B5EF4-FFF2-40B4-BE49-F238E27FC236}">
              <a16:creationId xmlns:a16="http://schemas.microsoft.com/office/drawing/2014/main" id="{B0B0EF7E-6FD5-47A2-A329-3A2898DA9D02}"/>
            </a:ext>
          </a:extLst>
        </xdr:cNvPr>
        <xdr:cNvPicPr>
          <a:picLocks noChangeAspect="1"/>
        </xdr:cNvPicPr>
      </xdr:nvPicPr>
      <xdr:blipFill>
        <a:blip xmlns:r="http://schemas.openxmlformats.org/officeDocument/2006/relationships" r:embed="rId8"/>
        <a:stretch>
          <a:fillRect/>
        </a:stretch>
      </xdr:blipFill>
      <xdr:spPr>
        <a:xfrm>
          <a:off x="9260417" y="14358056"/>
          <a:ext cx="7486650" cy="5591175"/>
        </a:xfrm>
        <a:prstGeom prst="rect">
          <a:avLst/>
        </a:prstGeom>
      </xdr:spPr>
    </xdr:pic>
    <xdr:clientData/>
  </xdr:twoCellAnchor>
  <xdr:twoCellAnchor editAs="oneCell">
    <xdr:from>
      <xdr:col>29</xdr:col>
      <xdr:colOff>0</xdr:colOff>
      <xdr:row>79</xdr:row>
      <xdr:rowOff>0</xdr:rowOff>
    </xdr:from>
    <xdr:to>
      <xdr:col>41</xdr:col>
      <xdr:colOff>78316</xdr:colOff>
      <xdr:row>107</xdr:row>
      <xdr:rowOff>158397</xdr:rowOff>
    </xdr:to>
    <xdr:pic>
      <xdr:nvPicPr>
        <xdr:cNvPr id="10" name="Picture 9">
          <a:extLst>
            <a:ext uri="{FF2B5EF4-FFF2-40B4-BE49-F238E27FC236}">
              <a16:creationId xmlns:a16="http://schemas.microsoft.com/office/drawing/2014/main" id="{00FB8294-949D-43E2-8A0C-291FBDA10074}"/>
            </a:ext>
          </a:extLst>
        </xdr:cNvPr>
        <xdr:cNvPicPr>
          <a:picLocks noChangeAspect="1"/>
        </xdr:cNvPicPr>
      </xdr:nvPicPr>
      <xdr:blipFill>
        <a:blip xmlns:r="http://schemas.openxmlformats.org/officeDocument/2006/relationships" r:embed="rId9"/>
        <a:stretch>
          <a:fillRect/>
        </a:stretch>
      </xdr:blipFill>
      <xdr:spPr>
        <a:xfrm>
          <a:off x="17903472" y="15328194"/>
          <a:ext cx="7486650" cy="5591175"/>
        </a:xfrm>
        <a:prstGeom prst="rect">
          <a:avLst/>
        </a:prstGeom>
      </xdr:spPr>
    </xdr:pic>
    <xdr:clientData/>
  </xdr:twoCellAnchor>
  <xdr:twoCellAnchor editAs="oneCell">
    <xdr:from>
      <xdr:col>2</xdr:col>
      <xdr:colOff>0</xdr:colOff>
      <xdr:row>108</xdr:row>
      <xdr:rowOff>0</xdr:rowOff>
    </xdr:from>
    <xdr:to>
      <xdr:col>14</xdr:col>
      <xdr:colOff>78316</xdr:colOff>
      <xdr:row>136</xdr:row>
      <xdr:rowOff>158397</xdr:rowOff>
    </xdr:to>
    <xdr:pic>
      <xdr:nvPicPr>
        <xdr:cNvPr id="11" name="Picture 10">
          <a:extLst>
            <a:ext uri="{FF2B5EF4-FFF2-40B4-BE49-F238E27FC236}">
              <a16:creationId xmlns:a16="http://schemas.microsoft.com/office/drawing/2014/main" id="{45B558CE-E616-4804-B4E3-DA1AE0E4133E}"/>
            </a:ext>
          </a:extLst>
        </xdr:cNvPr>
        <xdr:cNvPicPr>
          <a:picLocks noChangeAspect="1"/>
        </xdr:cNvPicPr>
      </xdr:nvPicPr>
      <xdr:blipFill>
        <a:blip xmlns:r="http://schemas.openxmlformats.org/officeDocument/2006/relationships" r:embed="rId10"/>
        <a:stretch>
          <a:fillRect/>
        </a:stretch>
      </xdr:blipFill>
      <xdr:spPr>
        <a:xfrm>
          <a:off x="1234722" y="20955000"/>
          <a:ext cx="7486650" cy="5591175"/>
        </a:xfrm>
        <a:prstGeom prst="rect">
          <a:avLst/>
        </a:prstGeom>
      </xdr:spPr>
    </xdr:pic>
    <xdr:clientData/>
  </xdr:twoCellAnchor>
  <xdr:twoCellAnchor editAs="oneCell">
    <xdr:from>
      <xdr:col>16</xdr:col>
      <xdr:colOff>0</xdr:colOff>
      <xdr:row>110</xdr:row>
      <xdr:rowOff>0</xdr:rowOff>
    </xdr:from>
    <xdr:to>
      <xdr:col>28</xdr:col>
      <xdr:colOff>78317</xdr:colOff>
      <xdr:row>138</xdr:row>
      <xdr:rowOff>158398</xdr:rowOff>
    </xdr:to>
    <xdr:pic>
      <xdr:nvPicPr>
        <xdr:cNvPr id="12" name="Picture 11">
          <a:extLst>
            <a:ext uri="{FF2B5EF4-FFF2-40B4-BE49-F238E27FC236}">
              <a16:creationId xmlns:a16="http://schemas.microsoft.com/office/drawing/2014/main" id="{873A1B46-B86F-45C4-A3E1-47078EF26668}"/>
            </a:ext>
          </a:extLst>
        </xdr:cNvPr>
        <xdr:cNvPicPr>
          <a:picLocks noChangeAspect="1"/>
        </xdr:cNvPicPr>
      </xdr:nvPicPr>
      <xdr:blipFill>
        <a:blip xmlns:r="http://schemas.openxmlformats.org/officeDocument/2006/relationships" r:embed="rId11"/>
        <a:stretch>
          <a:fillRect/>
        </a:stretch>
      </xdr:blipFill>
      <xdr:spPr>
        <a:xfrm>
          <a:off x="9877778" y="21343056"/>
          <a:ext cx="7486650" cy="5591175"/>
        </a:xfrm>
        <a:prstGeom prst="rect">
          <a:avLst/>
        </a:prstGeom>
      </xdr:spPr>
    </xdr:pic>
    <xdr:clientData/>
  </xdr:twoCellAnchor>
  <xdr:twoCellAnchor editAs="oneCell">
    <xdr:from>
      <xdr:col>4</xdr:col>
      <xdr:colOff>0</xdr:colOff>
      <xdr:row>145</xdr:row>
      <xdr:rowOff>0</xdr:rowOff>
    </xdr:from>
    <xdr:to>
      <xdr:col>16</xdr:col>
      <xdr:colOff>78316</xdr:colOff>
      <xdr:row>173</xdr:row>
      <xdr:rowOff>158397</xdr:rowOff>
    </xdr:to>
    <xdr:pic>
      <xdr:nvPicPr>
        <xdr:cNvPr id="13" name="Picture 12">
          <a:extLst>
            <a:ext uri="{FF2B5EF4-FFF2-40B4-BE49-F238E27FC236}">
              <a16:creationId xmlns:a16="http://schemas.microsoft.com/office/drawing/2014/main" id="{9B4EB4E3-0D18-4C3E-8AEC-D9637ECEFA27}"/>
            </a:ext>
          </a:extLst>
        </xdr:cNvPr>
        <xdr:cNvPicPr>
          <a:picLocks noChangeAspect="1"/>
        </xdr:cNvPicPr>
      </xdr:nvPicPr>
      <xdr:blipFill>
        <a:blip xmlns:r="http://schemas.openxmlformats.org/officeDocument/2006/relationships" r:embed="rId12"/>
        <a:stretch>
          <a:fillRect/>
        </a:stretch>
      </xdr:blipFill>
      <xdr:spPr>
        <a:xfrm>
          <a:off x="2469444" y="28134028"/>
          <a:ext cx="7486650" cy="5591175"/>
        </a:xfrm>
        <a:prstGeom prst="rect">
          <a:avLst/>
        </a:prstGeom>
      </xdr:spPr>
    </xdr:pic>
    <xdr:clientData/>
  </xdr:twoCellAnchor>
  <xdr:twoCellAnchor editAs="oneCell">
    <xdr:from>
      <xdr:col>30</xdr:col>
      <xdr:colOff>0</xdr:colOff>
      <xdr:row>113</xdr:row>
      <xdr:rowOff>0</xdr:rowOff>
    </xdr:from>
    <xdr:to>
      <xdr:col>42</xdr:col>
      <xdr:colOff>78316</xdr:colOff>
      <xdr:row>141</xdr:row>
      <xdr:rowOff>158397</xdr:rowOff>
    </xdr:to>
    <xdr:pic>
      <xdr:nvPicPr>
        <xdr:cNvPr id="14" name="Picture 13">
          <a:extLst>
            <a:ext uri="{FF2B5EF4-FFF2-40B4-BE49-F238E27FC236}">
              <a16:creationId xmlns:a16="http://schemas.microsoft.com/office/drawing/2014/main" id="{0587FE29-4D75-4EEC-B5CD-03544144D6B1}"/>
            </a:ext>
          </a:extLst>
        </xdr:cNvPr>
        <xdr:cNvPicPr>
          <a:picLocks noChangeAspect="1"/>
        </xdr:cNvPicPr>
      </xdr:nvPicPr>
      <xdr:blipFill>
        <a:blip xmlns:r="http://schemas.openxmlformats.org/officeDocument/2006/relationships" r:embed="rId13"/>
        <a:stretch>
          <a:fillRect/>
        </a:stretch>
      </xdr:blipFill>
      <xdr:spPr>
        <a:xfrm>
          <a:off x="18520833" y="21925139"/>
          <a:ext cx="7486650" cy="5591175"/>
        </a:xfrm>
        <a:prstGeom prst="rect">
          <a:avLst/>
        </a:prstGeom>
      </xdr:spPr>
    </xdr:pic>
    <xdr:clientData/>
  </xdr:twoCellAnchor>
  <xdr:twoCellAnchor editAs="oneCell">
    <xdr:from>
      <xdr:col>18</xdr:col>
      <xdr:colOff>0</xdr:colOff>
      <xdr:row>145</xdr:row>
      <xdr:rowOff>0</xdr:rowOff>
    </xdr:from>
    <xdr:to>
      <xdr:col>30</xdr:col>
      <xdr:colOff>78317</xdr:colOff>
      <xdr:row>173</xdr:row>
      <xdr:rowOff>158397</xdr:rowOff>
    </xdr:to>
    <xdr:pic>
      <xdr:nvPicPr>
        <xdr:cNvPr id="15" name="Picture 14">
          <a:extLst>
            <a:ext uri="{FF2B5EF4-FFF2-40B4-BE49-F238E27FC236}">
              <a16:creationId xmlns:a16="http://schemas.microsoft.com/office/drawing/2014/main" id="{071A3586-7164-41FF-9E83-6066BC315982}"/>
            </a:ext>
          </a:extLst>
        </xdr:cNvPr>
        <xdr:cNvPicPr>
          <a:picLocks noChangeAspect="1"/>
        </xdr:cNvPicPr>
      </xdr:nvPicPr>
      <xdr:blipFill>
        <a:blip xmlns:r="http://schemas.openxmlformats.org/officeDocument/2006/relationships" r:embed="rId14"/>
        <a:stretch>
          <a:fillRect/>
        </a:stretch>
      </xdr:blipFill>
      <xdr:spPr>
        <a:xfrm>
          <a:off x="11112500" y="28134028"/>
          <a:ext cx="7486650" cy="5591175"/>
        </a:xfrm>
        <a:prstGeom prst="rect">
          <a:avLst/>
        </a:prstGeom>
      </xdr:spPr>
    </xdr:pic>
    <xdr:clientData/>
  </xdr:twoCellAnchor>
  <xdr:twoCellAnchor editAs="oneCell">
    <xdr:from>
      <xdr:col>32</xdr:col>
      <xdr:colOff>0</xdr:colOff>
      <xdr:row>145</xdr:row>
      <xdr:rowOff>0</xdr:rowOff>
    </xdr:from>
    <xdr:to>
      <xdr:col>44</xdr:col>
      <xdr:colOff>78317</xdr:colOff>
      <xdr:row>173</xdr:row>
      <xdr:rowOff>158397</xdr:rowOff>
    </xdr:to>
    <xdr:pic>
      <xdr:nvPicPr>
        <xdr:cNvPr id="16" name="Picture 15">
          <a:extLst>
            <a:ext uri="{FF2B5EF4-FFF2-40B4-BE49-F238E27FC236}">
              <a16:creationId xmlns:a16="http://schemas.microsoft.com/office/drawing/2014/main" id="{C26CA7A8-89A9-4EE5-A43B-24162593E449}"/>
            </a:ext>
          </a:extLst>
        </xdr:cNvPr>
        <xdr:cNvPicPr>
          <a:picLocks noChangeAspect="1"/>
        </xdr:cNvPicPr>
      </xdr:nvPicPr>
      <xdr:blipFill>
        <a:blip xmlns:r="http://schemas.openxmlformats.org/officeDocument/2006/relationships" r:embed="rId15"/>
        <a:stretch>
          <a:fillRect/>
        </a:stretch>
      </xdr:blipFill>
      <xdr:spPr>
        <a:xfrm>
          <a:off x="19755556" y="28134028"/>
          <a:ext cx="7486650" cy="55911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0</xdr:colOff>
      <xdr:row>2</xdr:row>
      <xdr:rowOff>0</xdr:rowOff>
    </xdr:from>
    <xdr:to>
      <xdr:col>23</xdr:col>
      <xdr:colOff>334736</xdr:colOff>
      <xdr:row>29</xdr:row>
      <xdr:rowOff>158523</xdr:rowOff>
    </xdr:to>
    <xdr:pic>
      <xdr:nvPicPr>
        <xdr:cNvPr id="2" name="Picture 1">
          <a:extLst>
            <a:ext uri="{FF2B5EF4-FFF2-40B4-BE49-F238E27FC236}">
              <a16:creationId xmlns:a16="http://schemas.microsoft.com/office/drawing/2014/main" id="{7B334709-9DEF-48E7-AA53-A7AEBF838F2B}"/>
            </a:ext>
          </a:extLst>
        </xdr:cNvPr>
        <xdr:cNvPicPr>
          <a:picLocks noChangeAspect="1"/>
        </xdr:cNvPicPr>
      </xdr:nvPicPr>
      <xdr:blipFill>
        <a:blip xmlns:r="http://schemas.openxmlformats.org/officeDocument/2006/relationships" r:embed="rId1"/>
        <a:stretch>
          <a:fillRect/>
        </a:stretch>
      </xdr:blipFill>
      <xdr:spPr>
        <a:xfrm>
          <a:off x="11651116" y="374196"/>
          <a:ext cx="6457950" cy="5210175"/>
        </a:xfrm>
        <a:prstGeom prst="rect">
          <a:avLst/>
        </a:prstGeom>
      </xdr:spPr>
    </xdr:pic>
    <xdr:clientData/>
  </xdr:twoCellAnchor>
  <xdr:twoCellAnchor editAs="oneCell">
    <xdr:from>
      <xdr:col>24</xdr:col>
      <xdr:colOff>0</xdr:colOff>
      <xdr:row>3</xdr:row>
      <xdr:rowOff>0</xdr:rowOff>
    </xdr:from>
    <xdr:to>
      <xdr:col>34</xdr:col>
      <xdr:colOff>334735</xdr:colOff>
      <xdr:row>30</xdr:row>
      <xdr:rowOff>158524</xdr:rowOff>
    </xdr:to>
    <xdr:pic>
      <xdr:nvPicPr>
        <xdr:cNvPr id="3" name="Picture 2">
          <a:extLst>
            <a:ext uri="{FF2B5EF4-FFF2-40B4-BE49-F238E27FC236}">
              <a16:creationId xmlns:a16="http://schemas.microsoft.com/office/drawing/2014/main" id="{BC0D74C0-56BC-4590-9E64-D490F0F8B7D6}"/>
            </a:ext>
          </a:extLst>
        </xdr:cNvPr>
        <xdr:cNvPicPr>
          <a:picLocks noChangeAspect="1"/>
        </xdr:cNvPicPr>
      </xdr:nvPicPr>
      <xdr:blipFill>
        <a:blip xmlns:r="http://schemas.openxmlformats.org/officeDocument/2006/relationships" r:embed="rId2"/>
        <a:stretch>
          <a:fillRect/>
        </a:stretch>
      </xdr:blipFill>
      <xdr:spPr>
        <a:xfrm>
          <a:off x="18386652" y="561295"/>
          <a:ext cx="6457950" cy="5210175"/>
        </a:xfrm>
        <a:prstGeom prst="rect">
          <a:avLst/>
        </a:prstGeom>
      </xdr:spPr>
    </xdr:pic>
    <xdr:clientData/>
  </xdr:twoCellAnchor>
  <xdr:twoCellAnchor editAs="oneCell">
    <xdr:from>
      <xdr:col>35</xdr:col>
      <xdr:colOff>0</xdr:colOff>
      <xdr:row>4</xdr:row>
      <xdr:rowOff>0</xdr:rowOff>
    </xdr:from>
    <xdr:to>
      <xdr:col>45</xdr:col>
      <xdr:colOff>334736</xdr:colOff>
      <xdr:row>31</xdr:row>
      <xdr:rowOff>158523</xdr:rowOff>
    </xdr:to>
    <xdr:pic>
      <xdr:nvPicPr>
        <xdr:cNvPr id="4" name="Picture 3">
          <a:extLst>
            <a:ext uri="{FF2B5EF4-FFF2-40B4-BE49-F238E27FC236}">
              <a16:creationId xmlns:a16="http://schemas.microsoft.com/office/drawing/2014/main" id="{113FE2B3-C5EA-4765-9589-8FE634E86DDB}"/>
            </a:ext>
          </a:extLst>
        </xdr:cNvPr>
        <xdr:cNvPicPr>
          <a:picLocks noChangeAspect="1"/>
        </xdr:cNvPicPr>
      </xdr:nvPicPr>
      <xdr:blipFill>
        <a:blip xmlns:r="http://schemas.openxmlformats.org/officeDocument/2006/relationships" r:embed="rId3"/>
        <a:stretch>
          <a:fillRect/>
        </a:stretch>
      </xdr:blipFill>
      <xdr:spPr>
        <a:xfrm>
          <a:off x="25122188" y="748393"/>
          <a:ext cx="6457950" cy="5210175"/>
        </a:xfrm>
        <a:prstGeom prst="rect">
          <a:avLst/>
        </a:prstGeom>
      </xdr:spPr>
    </xdr:pic>
    <xdr:clientData/>
  </xdr:twoCellAnchor>
  <xdr:twoCellAnchor editAs="oneCell">
    <xdr:from>
      <xdr:col>47</xdr:col>
      <xdr:colOff>0</xdr:colOff>
      <xdr:row>5</xdr:row>
      <xdr:rowOff>0</xdr:rowOff>
    </xdr:from>
    <xdr:to>
      <xdr:col>57</xdr:col>
      <xdr:colOff>334735</xdr:colOff>
      <xdr:row>32</xdr:row>
      <xdr:rowOff>158523</xdr:rowOff>
    </xdr:to>
    <xdr:pic>
      <xdr:nvPicPr>
        <xdr:cNvPr id="5" name="Picture 4">
          <a:extLst>
            <a:ext uri="{FF2B5EF4-FFF2-40B4-BE49-F238E27FC236}">
              <a16:creationId xmlns:a16="http://schemas.microsoft.com/office/drawing/2014/main" id="{784D61AF-1DF4-45C1-AF20-0669486AEDE9}"/>
            </a:ext>
          </a:extLst>
        </xdr:cNvPr>
        <xdr:cNvPicPr>
          <a:picLocks noChangeAspect="1"/>
        </xdr:cNvPicPr>
      </xdr:nvPicPr>
      <xdr:blipFill>
        <a:blip xmlns:r="http://schemas.openxmlformats.org/officeDocument/2006/relationships" r:embed="rId4"/>
        <a:stretch>
          <a:fillRect/>
        </a:stretch>
      </xdr:blipFill>
      <xdr:spPr>
        <a:xfrm>
          <a:off x="32470045" y="935491"/>
          <a:ext cx="6457950" cy="5210175"/>
        </a:xfrm>
        <a:prstGeom prst="rect">
          <a:avLst/>
        </a:prstGeom>
      </xdr:spPr>
    </xdr:pic>
    <xdr:clientData/>
  </xdr:twoCellAnchor>
  <xdr:twoCellAnchor editAs="oneCell">
    <xdr:from>
      <xdr:col>58</xdr:col>
      <xdr:colOff>0</xdr:colOff>
      <xdr:row>6</xdr:row>
      <xdr:rowOff>0</xdr:rowOff>
    </xdr:from>
    <xdr:to>
      <xdr:col>68</xdr:col>
      <xdr:colOff>525236</xdr:colOff>
      <xdr:row>33</xdr:row>
      <xdr:rowOff>158523</xdr:rowOff>
    </xdr:to>
    <xdr:pic>
      <xdr:nvPicPr>
        <xdr:cNvPr id="7" name="Picture 6">
          <a:extLst>
            <a:ext uri="{FF2B5EF4-FFF2-40B4-BE49-F238E27FC236}">
              <a16:creationId xmlns:a16="http://schemas.microsoft.com/office/drawing/2014/main" id="{C4A861EF-E091-4B71-BF82-19CCCDC5D8F0}"/>
            </a:ext>
          </a:extLst>
        </xdr:cNvPr>
        <xdr:cNvPicPr>
          <a:picLocks noChangeAspect="1"/>
        </xdr:cNvPicPr>
      </xdr:nvPicPr>
      <xdr:blipFill>
        <a:blip xmlns:r="http://schemas.openxmlformats.org/officeDocument/2006/relationships" r:embed="rId5"/>
        <a:stretch>
          <a:fillRect/>
        </a:stretch>
      </xdr:blipFill>
      <xdr:spPr>
        <a:xfrm>
          <a:off x="39205580" y="1122589"/>
          <a:ext cx="6648450" cy="5210175"/>
        </a:xfrm>
        <a:prstGeom prst="rect">
          <a:avLst/>
        </a:prstGeom>
      </xdr:spPr>
    </xdr:pic>
    <xdr:clientData/>
  </xdr:twoCellAnchor>
  <xdr:twoCellAnchor editAs="oneCell">
    <xdr:from>
      <xdr:col>70</xdr:col>
      <xdr:colOff>0</xdr:colOff>
      <xdr:row>6</xdr:row>
      <xdr:rowOff>0</xdr:rowOff>
    </xdr:from>
    <xdr:to>
      <xdr:col>80</xdr:col>
      <xdr:colOff>410936</xdr:colOff>
      <xdr:row>33</xdr:row>
      <xdr:rowOff>158523</xdr:rowOff>
    </xdr:to>
    <xdr:pic>
      <xdr:nvPicPr>
        <xdr:cNvPr id="8" name="Picture 7">
          <a:extLst>
            <a:ext uri="{FF2B5EF4-FFF2-40B4-BE49-F238E27FC236}">
              <a16:creationId xmlns:a16="http://schemas.microsoft.com/office/drawing/2014/main" id="{79BF78EC-A2D2-4D6F-95E9-C763069C4E21}"/>
            </a:ext>
          </a:extLst>
        </xdr:cNvPr>
        <xdr:cNvPicPr>
          <a:picLocks noChangeAspect="1"/>
        </xdr:cNvPicPr>
      </xdr:nvPicPr>
      <xdr:blipFill>
        <a:blip xmlns:r="http://schemas.openxmlformats.org/officeDocument/2006/relationships" r:embed="rId6"/>
        <a:stretch>
          <a:fillRect/>
        </a:stretch>
      </xdr:blipFill>
      <xdr:spPr>
        <a:xfrm>
          <a:off x="46553438" y="1122589"/>
          <a:ext cx="6534150" cy="5210175"/>
        </a:xfrm>
        <a:prstGeom prst="rect">
          <a:avLst/>
        </a:prstGeom>
      </xdr:spPr>
    </xdr:pic>
    <xdr:clientData/>
  </xdr:twoCellAnchor>
  <xdr:twoCellAnchor editAs="oneCell">
    <xdr:from>
      <xdr:col>82</xdr:col>
      <xdr:colOff>0</xdr:colOff>
      <xdr:row>6</xdr:row>
      <xdr:rowOff>0</xdr:rowOff>
    </xdr:from>
    <xdr:to>
      <xdr:col>92</xdr:col>
      <xdr:colOff>334735</xdr:colOff>
      <xdr:row>33</xdr:row>
      <xdr:rowOff>158523</xdr:rowOff>
    </xdr:to>
    <xdr:pic>
      <xdr:nvPicPr>
        <xdr:cNvPr id="9" name="Picture 8">
          <a:extLst>
            <a:ext uri="{FF2B5EF4-FFF2-40B4-BE49-F238E27FC236}">
              <a16:creationId xmlns:a16="http://schemas.microsoft.com/office/drawing/2014/main" id="{72FECE98-F51A-40D1-867D-E747DA57C358}"/>
            </a:ext>
          </a:extLst>
        </xdr:cNvPr>
        <xdr:cNvPicPr>
          <a:picLocks noChangeAspect="1"/>
        </xdr:cNvPicPr>
      </xdr:nvPicPr>
      <xdr:blipFill>
        <a:blip xmlns:r="http://schemas.openxmlformats.org/officeDocument/2006/relationships" r:embed="rId7"/>
        <a:stretch>
          <a:fillRect/>
        </a:stretch>
      </xdr:blipFill>
      <xdr:spPr>
        <a:xfrm>
          <a:off x="53901295" y="1122589"/>
          <a:ext cx="6457950" cy="5210175"/>
        </a:xfrm>
        <a:prstGeom prst="rect">
          <a:avLst/>
        </a:prstGeom>
      </xdr:spPr>
    </xdr:pic>
    <xdr:clientData/>
  </xdr:twoCellAnchor>
  <xdr:twoCellAnchor editAs="oneCell">
    <xdr:from>
      <xdr:col>93</xdr:col>
      <xdr:colOff>0</xdr:colOff>
      <xdr:row>5</xdr:row>
      <xdr:rowOff>0</xdr:rowOff>
    </xdr:from>
    <xdr:to>
      <xdr:col>103</xdr:col>
      <xdr:colOff>334736</xdr:colOff>
      <xdr:row>32</xdr:row>
      <xdr:rowOff>158523</xdr:rowOff>
    </xdr:to>
    <xdr:pic>
      <xdr:nvPicPr>
        <xdr:cNvPr id="10" name="Picture 9">
          <a:extLst>
            <a:ext uri="{FF2B5EF4-FFF2-40B4-BE49-F238E27FC236}">
              <a16:creationId xmlns:a16="http://schemas.microsoft.com/office/drawing/2014/main" id="{3D35566F-19DC-4A7B-B5F6-B237A4DAEE28}"/>
            </a:ext>
          </a:extLst>
        </xdr:cNvPr>
        <xdr:cNvPicPr>
          <a:picLocks noChangeAspect="1"/>
        </xdr:cNvPicPr>
      </xdr:nvPicPr>
      <xdr:blipFill>
        <a:blip xmlns:r="http://schemas.openxmlformats.org/officeDocument/2006/relationships" r:embed="rId8"/>
        <a:stretch>
          <a:fillRect/>
        </a:stretch>
      </xdr:blipFill>
      <xdr:spPr>
        <a:xfrm>
          <a:off x="60636830" y="935491"/>
          <a:ext cx="6457950" cy="5210175"/>
        </a:xfrm>
        <a:prstGeom prst="rect">
          <a:avLst/>
        </a:prstGeom>
      </xdr:spPr>
    </xdr:pic>
    <xdr:clientData/>
  </xdr:twoCellAnchor>
  <xdr:twoCellAnchor editAs="oneCell">
    <xdr:from>
      <xdr:col>105</xdr:col>
      <xdr:colOff>0</xdr:colOff>
      <xdr:row>5</xdr:row>
      <xdr:rowOff>0</xdr:rowOff>
    </xdr:from>
    <xdr:to>
      <xdr:col>115</xdr:col>
      <xdr:colOff>334736</xdr:colOff>
      <xdr:row>32</xdr:row>
      <xdr:rowOff>158523</xdr:rowOff>
    </xdr:to>
    <xdr:pic>
      <xdr:nvPicPr>
        <xdr:cNvPr id="11" name="Picture 10">
          <a:extLst>
            <a:ext uri="{FF2B5EF4-FFF2-40B4-BE49-F238E27FC236}">
              <a16:creationId xmlns:a16="http://schemas.microsoft.com/office/drawing/2014/main" id="{C36213BA-E83D-44A1-AED0-27C2EEE68CD8}"/>
            </a:ext>
          </a:extLst>
        </xdr:cNvPr>
        <xdr:cNvPicPr>
          <a:picLocks noChangeAspect="1"/>
        </xdr:cNvPicPr>
      </xdr:nvPicPr>
      <xdr:blipFill>
        <a:blip xmlns:r="http://schemas.openxmlformats.org/officeDocument/2006/relationships" r:embed="rId9"/>
        <a:stretch>
          <a:fillRect/>
        </a:stretch>
      </xdr:blipFill>
      <xdr:spPr>
        <a:xfrm>
          <a:off x="67984688" y="935491"/>
          <a:ext cx="6457950" cy="5210175"/>
        </a:xfrm>
        <a:prstGeom prst="rect">
          <a:avLst/>
        </a:prstGeom>
      </xdr:spPr>
    </xdr:pic>
    <xdr:clientData/>
  </xdr:twoCellAnchor>
  <xdr:twoCellAnchor editAs="oneCell">
    <xdr:from>
      <xdr:col>116</xdr:col>
      <xdr:colOff>0</xdr:colOff>
      <xdr:row>5</xdr:row>
      <xdr:rowOff>0</xdr:rowOff>
    </xdr:from>
    <xdr:to>
      <xdr:col>126</xdr:col>
      <xdr:colOff>334736</xdr:colOff>
      <xdr:row>32</xdr:row>
      <xdr:rowOff>158523</xdr:rowOff>
    </xdr:to>
    <xdr:pic>
      <xdr:nvPicPr>
        <xdr:cNvPr id="12" name="Picture 11">
          <a:extLst>
            <a:ext uri="{FF2B5EF4-FFF2-40B4-BE49-F238E27FC236}">
              <a16:creationId xmlns:a16="http://schemas.microsoft.com/office/drawing/2014/main" id="{8A2E0DD5-4C98-4C31-9E25-785ECBD9833C}"/>
            </a:ext>
          </a:extLst>
        </xdr:cNvPr>
        <xdr:cNvPicPr>
          <a:picLocks noChangeAspect="1"/>
        </xdr:cNvPicPr>
      </xdr:nvPicPr>
      <xdr:blipFill>
        <a:blip xmlns:r="http://schemas.openxmlformats.org/officeDocument/2006/relationships" r:embed="rId10"/>
        <a:stretch>
          <a:fillRect/>
        </a:stretch>
      </xdr:blipFill>
      <xdr:spPr>
        <a:xfrm>
          <a:off x="74720223" y="935491"/>
          <a:ext cx="6457950" cy="5210175"/>
        </a:xfrm>
        <a:prstGeom prst="rect">
          <a:avLst/>
        </a:prstGeom>
      </xdr:spPr>
    </xdr:pic>
    <xdr:clientData/>
  </xdr:twoCellAnchor>
  <xdr:twoCellAnchor editAs="oneCell">
    <xdr:from>
      <xdr:col>0</xdr:col>
      <xdr:colOff>515938</xdr:colOff>
      <xdr:row>45</xdr:row>
      <xdr:rowOff>0</xdr:rowOff>
    </xdr:from>
    <xdr:to>
      <xdr:col>9</xdr:col>
      <xdr:colOff>848255</xdr:colOff>
      <xdr:row>76</xdr:row>
      <xdr:rowOff>87842</xdr:rowOff>
    </xdr:to>
    <xdr:pic>
      <xdr:nvPicPr>
        <xdr:cNvPr id="13" name="Picture 12">
          <a:extLst>
            <a:ext uri="{FF2B5EF4-FFF2-40B4-BE49-F238E27FC236}">
              <a16:creationId xmlns:a16="http://schemas.microsoft.com/office/drawing/2014/main" id="{1278BFA1-4B93-4577-BF9D-0A818223F903}"/>
            </a:ext>
          </a:extLst>
        </xdr:cNvPr>
        <xdr:cNvPicPr>
          <a:picLocks noChangeAspect="1"/>
        </xdr:cNvPicPr>
      </xdr:nvPicPr>
      <xdr:blipFill>
        <a:blip xmlns:r="http://schemas.openxmlformats.org/officeDocument/2006/relationships" r:embed="rId11"/>
        <a:stretch>
          <a:fillRect/>
        </a:stretch>
      </xdr:blipFill>
      <xdr:spPr>
        <a:xfrm>
          <a:off x="515938" y="8334375"/>
          <a:ext cx="8058150" cy="5829300"/>
        </a:xfrm>
        <a:prstGeom prst="rect">
          <a:avLst/>
        </a:prstGeom>
      </xdr:spPr>
    </xdr:pic>
    <xdr:clientData/>
  </xdr:twoCellAnchor>
  <xdr:twoCellAnchor editAs="oneCell">
    <xdr:from>
      <xdr:col>10</xdr:col>
      <xdr:colOff>0</xdr:colOff>
      <xdr:row>45</xdr:row>
      <xdr:rowOff>0</xdr:rowOff>
    </xdr:from>
    <xdr:to>
      <xdr:col>22</xdr:col>
      <xdr:colOff>216429</xdr:colOff>
      <xdr:row>76</xdr:row>
      <xdr:rowOff>87842</xdr:rowOff>
    </xdr:to>
    <xdr:pic>
      <xdr:nvPicPr>
        <xdr:cNvPr id="14" name="Picture 13">
          <a:extLst>
            <a:ext uri="{FF2B5EF4-FFF2-40B4-BE49-F238E27FC236}">
              <a16:creationId xmlns:a16="http://schemas.microsoft.com/office/drawing/2014/main" id="{D5DF4718-F1D0-47D7-B39E-7BFDA22F00F6}"/>
            </a:ext>
          </a:extLst>
        </xdr:cNvPr>
        <xdr:cNvPicPr>
          <a:picLocks noChangeAspect="1"/>
        </xdr:cNvPicPr>
      </xdr:nvPicPr>
      <xdr:blipFill>
        <a:blip xmlns:r="http://schemas.openxmlformats.org/officeDocument/2006/relationships" r:embed="rId12"/>
        <a:stretch>
          <a:fillRect/>
        </a:stretch>
      </xdr:blipFill>
      <xdr:spPr>
        <a:xfrm>
          <a:off x="9260417" y="8334375"/>
          <a:ext cx="7981950" cy="5829300"/>
        </a:xfrm>
        <a:prstGeom prst="rect">
          <a:avLst/>
        </a:prstGeom>
      </xdr:spPr>
    </xdr:pic>
    <xdr:clientData/>
  </xdr:twoCellAnchor>
  <xdr:twoCellAnchor editAs="oneCell">
    <xdr:from>
      <xdr:col>0</xdr:col>
      <xdr:colOff>0</xdr:colOff>
      <xdr:row>79</xdr:row>
      <xdr:rowOff>0</xdr:rowOff>
    </xdr:from>
    <xdr:to>
      <xdr:col>9</xdr:col>
      <xdr:colOff>360892</xdr:colOff>
      <xdr:row>110</xdr:row>
      <xdr:rowOff>87842</xdr:rowOff>
    </xdr:to>
    <xdr:pic>
      <xdr:nvPicPr>
        <xdr:cNvPr id="15" name="Picture 14">
          <a:extLst>
            <a:ext uri="{FF2B5EF4-FFF2-40B4-BE49-F238E27FC236}">
              <a16:creationId xmlns:a16="http://schemas.microsoft.com/office/drawing/2014/main" id="{06FC87B7-9296-4C66-94B7-9C66AEA8D52B}"/>
            </a:ext>
          </a:extLst>
        </xdr:cNvPr>
        <xdr:cNvPicPr>
          <a:picLocks noChangeAspect="1"/>
        </xdr:cNvPicPr>
      </xdr:nvPicPr>
      <xdr:blipFill>
        <a:blip xmlns:r="http://schemas.openxmlformats.org/officeDocument/2006/relationships" r:embed="rId13"/>
        <a:stretch>
          <a:fillRect/>
        </a:stretch>
      </xdr:blipFill>
      <xdr:spPr>
        <a:xfrm>
          <a:off x="0" y="14631458"/>
          <a:ext cx="8086725" cy="5829300"/>
        </a:xfrm>
        <a:prstGeom prst="rect">
          <a:avLst/>
        </a:prstGeom>
      </xdr:spPr>
    </xdr:pic>
    <xdr:clientData/>
  </xdr:twoCellAnchor>
  <xdr:twoCellAnchor editAs="oneCell">
    <xdr:from>
      <xdr:col>10</xdr:col>
      <xdr:colOff>0</xdr:colOff>
      <xdr:row>79</xdr:row>
      <xdr:rowOff>0</xdr:rowOff>
    </xdr:from>
    <xdr:to>
      <xdr:col>22</xdr:col>
      <xdr:colOff>216429</xdr:colOff>
      <xdr:row>110</xdr:row>
      <xdr:rowOff>87842</xdr:rowOff>
    </xdr:to>
    <xdr:pic>
      <xdr:nvPicPr>
        <xdr:cNvPr id="16" name="Picture 15">
          <a:extLst>
            <a:ext uri="{FF2B5EF4-FFF2-40B4-BE49-F238E27FC236}">
              <a16:creationId xmlns:a16="http://schemas.microsoft.com/office/drawing/2014/main" id="{B7A80A97-27A6-48E1-A758-DAE7E8C82726}"/>
            </a:ext>
          </a:extLst>
        </xdr:cNvPr>
        <xdr:cNvPicPr>
          <a:picLocks noChangeAspect="1"/>
        </xdr:cNvPicPr>
      </xdr:nvPicPr>
      <xdr:blipFill>
        <a:blip xmlns:r="http://schemas.openxmlformats.org/officeDocument/2006/relationships" r:embed="rId14"/>
        <a:stretch>
          <a:fillRect/>
        </a:stretch>
      </xdr:blipFill>
      <xdr:spPr>
        <a:xfrm>
          <a:off x="9260417" y="14631458"/>
          <a:ext cx="7981950" cy="5829300"/>
        </a:xfrm>
        <a:prstGeom prst="rect">
          <a:avLst/>
        </a:prstGeom>
      </xdr:spPr>
    </xdr:pic>
    <xdr:clientData/>
  </xdr:twoCellAnchor>
  <xdr:twoCellAnchor editAs="oneCell">
    <xdr:from>
      <xdr:col>0</xdr:col>
      <xdr:colOff>0</xdr:colOff>
      <xdr:row>113</xdr:row>
      <xdr:rowOff>0</xdr:rowOff>
    </xdr:from>
    <xdr:to>
      <xdr:col>9</xdr:col>
      <xdr:colOff>446617</xdr:colOff>
      <xdr:row>144</xdr:row>
      <xdr:rowOff>87841</xdr:rowOff>
    </xdr:to>
    <xdr:pic>
      <xdr:nvPicPr>
        <xdr:cNvPr id="17" name="Picture 16">
          <a:extLst>
            <a:ext uri="{FF2B5EF4-FFF2-40B4-BE49-F238E27FC236}">
              <a16:creationId xmlns:a16="http://schemas.microsoft.com/office/drawing/2014/main" id="{E1CF1998-EB97-458A-92F6-23D355716FD9}"/>
            </a:ext>
          </a:extLst>
        </xdr:cNvPr>
        <xdr:cNvPicPr>
          <a:picLocks noChangeAspect="1"/>
        </xdr:cNvPicPr>
      </xdr:nvPicPr>
      <xdr:blipFill>
        <a:blip xmlns:r="http://schemas.openxmlformats.org/officeDocument/2006/relationships" r:embed="rId15"/>
        <a:stretch>
          <a:fillRect/>
        </a:stretch>
      </xdr:blipFill>
      <xdr:spPr>
        <a:xfrm>
          <a:off x="0" y="20928542"/>
          <a:ext cx="8172450" cy="5829300"/>
        </a:xfrm>
        <a:prstGeom prst="rect">
          <a:avLst/>
        </a:prstGeom>
      </xdr:spPr>
    </xdr:pic>
    <xdr:clientData/>
  </xdr:twoCellAnchor>
  <xdr:twoCellAnchor editAs="oneCell">
    <xdr:from>
      <xdr:col>10</xdr:col>
      <xdr:colOff>0</xdr:colOff>
      <xdr:row>112</xdr:row>
      <xdr:rowOff>0</xdr:rowOff>
    </xdr:from>
    <xdr:to>
      <xdr:col>22</xdr:col>
      <xdr:colOff>340254</xdr:colOff>
      <xdr:row>143</xdr:row>
      <xdr:rowOff>87842</xdr:rowOff>
    </xdr:to>
    <xdr:pic>
      <xdr:nvPicPr>
        <xdr:cNvPr id="18" name="Picture 17">
          <a:extLst>
            <a:ext uri="{FF2B5EF4-FFF2-40B4-BE49-F238E27FC236}">
              <a16:creationId xmlns:a16="http://schemas.microsoft.com/office/drawing/2014/main" id="{08824397-7186-4B46-95AD-5420BC028D62}"/>
            </a:ext>
          </a:extLst>
        </xdr:cNvPr>
        <xdr:cNvPicPr>
          <a:picLocks noChangeAspect="1"/>
        </xdr:cNvPicPr>
      </xdr:nvPicPr>
      <xdr:blipFill>
        <a:blip xmlns:r="http://schemas.openxmlformats.org/officeDocument/2006/relationships" r:embed="rId16"/>
        <a:stretch>
          <a:fillRect/>
        </a:stretch>
      </xdr:blipFill>
      <xdr:spPr>
        <a:xfrm>
          <a:off x="9260417" y="20743333"/>
          <a:ext cx="8105775" cy="5829300"/>
        </a:xfrm>
        <a:prstGeom prst="rect">
          <a:avLst/>
        </a:prstGeom>
      </xdr:spPr>
    </xdr:pic>
    <xdr:clientData/>
  </xdr:twoCellAnchor>
  <xdr:twoCellAnchor editAs="oneCell">
    <xdr:from>
      <xdr:col>0</xdr:col>
      <xdr:colOff>0</xdr:colOff>
      <xdr:row>147</xdr:row>
      <xdr:rowOff>0</xdr:rowOff>
    </xdr:from>
    <xdr:to>
      <xdr:col>9</xdr:col>
      <xdr:colOff>360892</xdr:colOff>
      <xdr:row>178</xdr:row>
      <xdr:rowOff>87842</xdr:rowOff>
    </xdr:to>
    <xdr:pic>
      <xdr:nvPicPr>
        <xdr:cNvPr id="19" name="Picture 18">
          <a:extLst>
            <a:ext uri="{FF2B5EF4-FFF2-40B4-BE49-F238E27FC236}">
              <a16:creationId xmlns:a16="http://schemas.microsoft.com/office/drawing/2014/main" id="{06A77AD4-E4EA-4228-B301-65CA9A379451}"/>
            </a:ext>
          </a:extLst>
        </xdr:cNvPr>
        <xdr:cNvPicPr>
          <a:picLocks noChangeAspect="1"/>
        </xdr:cNvPicPr>
      </xdr:nvPicPr>
      <xdr:blipFill>
        <a:blip xmlns:r="http://schemas.openxmlformats.org/officeDocument/2006/relationships" r:embed="rId17"/>
        <a:stretch>
          <a:fillRect/>
        </a:stretch>
      </xdr:blipFill>
      <xdr:spPr>
        <a:xfrm>
          <a:off x="0" y="27225625"/>
          <a:ext cx="8086725" cy="5829300"/>
        </a:xfrm>
        <a:prstGeom prst="rect">
          <a:avLst/>
        </a:prstGeom>
      </xdr:spPr>
    </xdr:pic>
    <xdr:clientData/>
  </xdr:twoCellAnchor>
  <xdr:twoCellAnchor editAs="oneCell">
    <xdr:from>
      <xdr:col>10</xdr:col>
      <xdr:colOff>0</xdr:colOff>
      <xdr:row>147</xdr:row>
      <xdr:rowOff>0</xdr:rowOff>
    </xdr:from>
    <xdr:to>
      <xdr:col>22</xdr:col>
      <xdr:colOff>340254</xdr:colOff>
      <xdr:row>178</xdr:row>
      <xdr:rowOff>87842</xdr:rowOff>
    </xdr:to>
    <xdr:pic>
      <xdr:nvPicPr>
        <xdr:cNvPr id="20" name="Picture 19">
          <a:extLst>
            <a:ext uri="{FF2B5EF4-FFF2-40B4-BE49-F238E27FC236}">
              <a16:creationId xmlns:a16="http://schemas.microsoft.com/office/drawing/2014/main" id="{746813E3-276B-4028-B49F-93E3C587D514}"/>
            </a:ext>
          </a:extLst>
        </xdr:cNvPr>
        <xdr:cNvPicPr>
          <a:picLocks noChangeAspect="1"/>
        </xdr:cNvPicPr>
      </xdr:nvPicPr>
      <xdr:blipFill>
        <a:blip xmlns:r="http://schemas.openxmlformats.org/officeDocument/2006/relationships" r:embed="rId18"/>
        <a:stretch>
          <a:fillRect/>
        </a:stretch>
      </xdr:blipFill>
      <xdr:spPr>
        <a:xfrm>
          <a:off x="9260417" y="27225625"/>
          <a:ext cx="8105775" cy="5829300"/>
        </a:xfrm>
        <a:prstGeom prst="rect">
          <a:avLst/>
        </a:prstGeom>
      </xdr:spPr>
    </xdr:pic>
    <xdr:clientData/>
  </xdr:twoCellAnchor>
  <xdr:twoCellAnchor editAs="oneCell">
    <xdr:from>
      <xdr:col>0</xdr:col>
      <xdr:colOff>0</xdr:colOff>
      <xdr:row>181</xdr:row>
      <xdr:rowOff>0</xdr:rowOff>
    </xdr:from>
    <xdr:to>
      <xdr:col>9</xdr:col>
      <xdr:colOff>465667</xdr:colOff>
      <xdr:row>212</xdr:row>
      <xdr:rowOff>87842</xdr:rowOff>
    </xdr:to>
    <xdr:pic>
      <xdr:nvPicPr>
        <xdr:cNvPr id="21" name="Picture 20">
          <a:extLst>
            <a:ext uri="{FF2B5EF4-FFF2-40B4-BE49-F238E27FC236}">
              <a16:creationId xmlns:a16="http://schemas.microsoft.com/office/drawing/2014/main" id="{880A11A7-FE1A-43BF-B5D3-E4726DFED695}"/>
            </a:ext>
          </a:extLst>
        </xdr:cNvPr>
        <xdr:cNvPicPr>
          <a:picLocks noChangeAspect="1"/>
        </xdr:cNvPicPr>
      </xdr:nvPicPr>
      <xdr:blipFill>
        <a:blip xmlns:r="http://schemas.openxmlformats.org/officeDocument/2006/relationships" r:embed="rId19"/>
        <a:stretch>
          <a:fillRect/>
        </a:stretch>
      </xdr:blipFill>
      <xdr:spPr>
        <a:xfrm>
          <a:off x="0" y="33522708"/>
          <a:ext cx="8191500" cy="5829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23</xdr:row>
      <xdr:rowOff>0</xdr:rowOff>
    </xdr:from>
    <xdr:to>
      <xdr:col>9</xdr:col>
      <xdr:colOff>639705</xdr:colOff>
      <xdr:row>54</xdr:row>
      <xdr:rowOff>10012</xdr:rowOff>
    </xdr:to>
    <xdr:pic>
      <xdr:nvPicPr>
        <xdr:cNvPr id="2" name="Picture 1">
          <a:extLst>
            <a:ext uri="{FF2B5EF4-FFF2-40B4-BE49-F238E27FC236}">
              <a16:creationId xmlns:a16="http://schemas.microsoft.com/office/drawing/2014/main" id="{90B1EDFB-D3DF-4621-AF2E-30D6543C2BDD}"/>
            </a:ext>
          </a:extLst>
        </xdr:cNvPr>
        <xdr:cNvPicPr>
          <a:picLocks noChangeAspect="1"/>
        </xdr:cNvPicPr>
      </xdr:nvPicPr>
      <xdr:blipFill>
        <a:blip xmlns:r="http://schemas.openxmlformats.org/officeDocument/2006/relationships" r:embed="rId1"/>
        <a:stretch>
          <a:fillRect/>
        </a:stretch>
      </xdr:blipFill>
      <xdr:spPr>
        <a:xfrm>
          <a:off x="0" y="5819288"/>
          <a:ext cx="8315325" cy="5829300"/>
        </a:xfrm>
        <a:prstGeom prst="rect">
          <a:avLst/>
        </a:prstGeom>
      </xdr:spPr>
    </xdr:pic>
    <xdr:clientData/>
  </xdr:twoCellAnchor>
  <xdr:twoCellAnchor editAs="oneCell">
    <xdr:from>
      <xdr:col>10</xdr:col>
      <xdr:colOff>0</xdr:colOff>
      <xdr:row>25</xdr:row>
      <xdr:rowOff>0</xdr:rowOff>
    </xdr:from>
    <xdr:to>
      <xdr:col>22</xdr:col>
      <xdr:colOff>168464</xdr:colOff>
      <xdr:row>56</xdr:row>
      <xdr:rowOff>100083</xdr:rowOff>
    </xdr:to>
    <xdr:pic>
      <xdr:nvPicPr>
        <xdr:cNvPr id="3" name="Picture 2">
          <a:extLst>
            <a:ext uri="{FF2B5EF4-FFF2-40B4-BE49-F238E27FC236}">
              <a16:creationId xmlns:a16="http://schemas.microsoft.com/office/drawing/2014/main" id="{F424AD0F-BCCC-4F71-8C30-0C91C8FC5428}"/>
            </a:ext>
          </a:extLst>
        </xdr:cNvPr>
        <xdr:cNvPicPr>
          <a:picLocks noChangeAspect="1"/>
        </xdr:cNvPicPr>
      </xdr:nvPicPr>
      <xdr:blipFill>
        <a:blip xmlns:r="http://schemas.openxmlformats.org/officeDocument/2006/relationships" r:embed="rId2"/>
        <a:stretch>
          <a:fillRect/>
        </a:stretch>
      </xdr:blipFill>
      <xdr:spPr>
        <a:xfrm>
          <a:off x="9098507" y="6098843"/>
          <a:ext cx="8143875" cy="5829300"/>
        </a:xfrm>
        <a:prstGeom prst="rect">
          <a:avLst/>
        </a:prstGeom>
      </xdr:spPr>
    </xdr:pic>
    <xdr:clientData/>
  </xdr:twoCellAnchor>
  <xdr:twoCellAnchor editAs="oneCell">
    <xdr:from>
      <xdr:col>0</xdr:col>
      <xdr:colOff>0</xdr:colOff>
      <xdr:row>56</xdr:row>
      <xdr:rowOff>0</xdr:rowOff>
    </xdr:from>
    <xdr:to>
      <xdr:col>9</xdr:col>
      <xdr:colOff>424076</xdr:colOff>
      <xdr:row>87</xdr:row>
      <xdr:rowOff>100084</xdr:rowOff>
    </xdr:to>
    <xdr:pic>
      <xdr:nvPicPr>
        <xdr:cNvPr id="4" name="Picture 3">
          <a:extLst>
            <a:ext uri="{FF2B5EF4-FFF2-40B4-BE49-F238E27FC236}">
              <a16:creationId xmlns:a16="http://schemas.microsoft.com/office/drawing/2014/main" id="{72FB9922-889F-4C98-8A17-5921744DD2CD}"/>
            </a:ext>
          </a:extLst>
        </xdr:cNvPr>
        <xdr:cNvPicPr>
          <a:picLocks noChangeAspect="1"/>
        </xdr:cNvPicPr>
      </xdr:nvPicPr>
      <xdr:blipFill>
        <a:blip xmlns:r="http://schemas.openxmlformats.org/officeDocument/2006/relationships" r:embed="rId3"/>
        <a:stretch>
          <a:fillRect/>
        </a:stretch>
      </xdr:blipFill>
      <xdr:spPr>
        <a:xfrm>
          <a:off x="0" y="11828060"/>
          <a:ext cx="8086725" cy="5829300"/>
        </a:xfrm>
        <a:prstGeom prst="rect">
          <a:avLst/>
        </a:prstGeom>
      </xdr:spPr>
    </xdr:pic>
    <xdr:clientData/>
  </xdr:twoCellAnchor>
  <xdr:twoCellAnchor editAs="oneCell">
    <xdr:from>
      <xdr:col>10</xdr:col>
      <xdr:colOff>0</xdr:colOff>
      <xdr:row>58</xdr:row>
      <xdr:rowOff>0</xdr:rowOff>
    </xdr:from>
    <xdr:to>
      <xdr:col>22</xdr:col>
      <xdr:colOff>168464</xdr:colOff>
      <xdr:row>89</xdr:row>
      <xdr:rowOff>100083</xdr:rowOff>
    </xdr:to>
    <xdr:pic>
      <xdr:nvPicPr>
        <xdr:cNvPr id="5" name="Picture 4">
          <a:extLst>
            <a:ext uri="{FF2B5EF4-FFF2-40B4-BE49-F238E27FC236}">
              <a16:creationId xmlns:a16="http://schemas.microsoft.com/office/drawing/2014/main" id="{4A10356B-D2F9-4348-A656-0F1D34B7E363}"/>
            </a:ext>
          </a:extLst>
        </xdr:cNvPr>
        <xdr:cNvPicPr>
          <a:picLocks noChangeAspect="1"/>
        </xdr:cNvPicPr>
      </xdr:nvPicPr>
      <xdr:blipFill>
        <a:blip xmlns:r="http://schemas.openxmlformats.org/officeDocument/2006/relationships" r:embed="rId4"/>
        <a:stretch>
          <a:fillRect/>
        </a:stretch>
      </xdr:blipFill>
      <xdr:spPr>
        <a:xfrm>
          <a:off x="9098507" y="12197687"/>
          <a:ext cx="8143875" cy="5829300"/>
        </a:xfrm>
        <a:prstGeom prst="rect">
          <a:avLst/>
        </a:prstGeom>
      </xdr:spPr>
    </xdr:pic>
    <xdr:clientData/>
  </xdr:twoCellAnchor>
  <xdr:twoCellAnchor editAs="oneCell">
    <xdr:from>
      <xdr:col>0</xdr:col>
      <xdr:colOff>0</xdr:colOff>
      <xdr:row>90</xdr:row>
      <xdr:rowOff>0</xdr:rowOff>
    </xdr:from>
    <xdr:to>
      <xdr:col>9</xdr:col>
      <xdr:colOff>509801</xdr:colOff>
      <xdr:row>121</xdr:row>
      <xdr:rowOff>100084</xdr:rowOff>
    </xdr:to>
    <xdr:pic>
      <xdr:nvPicPr>
        <xdr:cNvPr id="6" name="Picture 5">
          <a:extLst>
            <a:ext uri="{FF2B5EF4-FFF2-40B4-BE49-F238E27FC236}">
              <a16:creationId xmlns:a16="http://schemas.microsoft.com/office/drawing/2014/main" id="{F2A9CF79-6EA8-4313-801D-ECBBF0F68012}"/>
            </a:ext>
          </a:extLst>
        </xdr:cNvPr>
        <xdr:cNvPicPr>
          <a:picLocks noChangeAspect="1"/>
        </xdr:cNvPicPr>
      </xdr:nvPicPr>
      <xdr:blipFill>
        <a:blip xmlns:r="http://schemas.openxmlformats.org/officeDocument/2006/relationships" r:embed="rId5"/>
        <a:stretch>
          <a:fillRect/>
        </a:stretch>
      </xdr:blipFill>
      <xdr:spPr>
        <a:xfrm>
          <a:off x="0" y="18111716"/>
          <a:ext cx="8172450" cy="5829300"/>
        </a:xfrm>
        <a:prstGeom prst="rect">
          <a:avLst/>
        </a:prstGeom>
      </xdr:spPr>
    </xdr:pic>
    <xdr:clientData/>
  </xdr:twoCellAnchor>
  <xdr:twoCellAnchor editAs="oneCell">
    <xdr:from>
      <xdr:col>10</xdr:col>
      <xdr:colOff>0</xdr:colOff>
      <xdr:row>92</xdr:row>
      <xdr:rowOff>0</xdr:rowOff>
    </xdr:from>
    <xdr:to>
      <xdr:col>22</xdr:col>
      <xdr:colOff>130364</xdr:colOff>
      <xdr:row>123</xdr:row>
      <xdr:rowOff>100083</xdr:rowOff>
    </xdr:to>
    <xdr:pic>
      <xdr:nvPicPr>
        <xdr:cNvPr id="7" name="Picture 6">
          <a:extLst>
            <a:ext uri="{FF2B5EF4-FFF2-40B4-BE49-F238E27FC236}">
              <a16:creationId xmlns:a16="http://schemas.microsoft.com/office/drawing/2014/main" id="{98E48B7F-265E-4313-BD24-EA76D4824D87}"/>
            </a:ext>
          </a:extLst>
        </xdr:cNvPr>
        <xdr:cNvPicPr>
          <a:picLocks noChangeAspect="1"/>
        </xdr:cNvPicPr>
      </xdr:nvPicPr>
      <xdr:blipFill>
        <a:blip xmlns:r="http://schemas.openxmlformats.org/officeDocument/2006/relationships" r:embed="rId6"/>
        <a:stretch>
          <a:fillRect/>
        </a:stretch>
      </xdr:blipFill>
      <xdr:spPr>
        <a:xfrm>
          <a:off x="9098507" y="18481343"/>
          <a:ext cx="8105775" cy="5829300"/>
        </a:xfrm>
        <a:prstGeom prst="rect">
          <a:avLst/>
        </a:prstGeom>
      </xdr:spPr>
    </xdr:pic>
    <xdr:clientData/>
  </xdr:twoCellAnchor>
  <xdr:twoCellAnchor editAs="oneCell">
    <xdr:from>
      <xdr:col>0</xdr:col>
      <xdr:colOff>0</xdr:colOff>
      <xdr:row>124</xdr:row>
      <xdr:rowOff>0</xdr:rowOff>
    </xdr:from>
    <xdr:to>
      <xdr:col>9</xdr:col>
      <xdr:colOff>424076</xdr:colOff>
      <xdr:row>155</xdr:row>
      <xdr:rowOff>100083</xdr:rowOff>
    </xdr:to>
    <xdr:pic>
      <xdr:nvPicPr>
        <xdr:cNvPr id="8" name="Picture 7">
          <a:extLst>
            <a:ext uri="{FF2B5EF4-FFF2-40B4-BE49-F238E27FC236}">
              <a16:creationId xmlns:a16="http://schemas.microsoft.com/office/drawing/2014/main" id="{16527E00-6311-4701-84A1-2BBC9EDA1B98}"/>
            </a:ext>
          </a:extLst>
        </xdr:cNvPr>
        <xdr:cNvPicPr>
          <a:picLocks noChangeAspect="1"/>
        </xdr:cNvPicPr>
      </xdr:nvPicPr>
      <xdr:blipFill>
        <a:blip xmlns:r="http://schemas.openxmlformats.org/officeDocument/2006/relationships" r:embed="rId7"/>
        <a:stretch>
          <a:fillRect/>
        </a:stretch>
      </xdr:blipFill>
      <xdr:spPr>
        <a:xfrm>
          <a:off x="0" y="24395373"/>
          <a:ext cx="8086725" cy="5829300"/>
        </a:xfrm>
        <a:prstGeom prst="rect">
          <a:avLst/>
        </a:prstGeom>
      </xdr:spPr>
    </xdr:pic>
    <xdr:clientData/>
  </xdr:twoCellAnchor>
  <xdr:twoCellAnchor editAs="oneCell">
    <xdr:from>
      <xdr:col>10</xdr:col>
      <xdr:colOff>0</xdr:colOff>
      <xdr:row>125</xdr:row>
      <xdr:rowOff>0</xdr:rowOff>
    </xdr:from>
    <xdr:to>
      <xdr:col>22</xdr:col>
      <xdr:colOff>82739</xdr:colOff>
      <xdr:row>156</xdr:row>
      <xdr:rowOff>100084</xdr:rowOff>
    </xdr:to>
    <xdr:pic>
      <xdr:nvPicPr>
        <xdr:cNvPr id="9" name="Picture 8">
          <a:extLst>
            <a:ext uri="{FF2B5EF4-FFF2-40B4-BE49-F238E27FC236}">
              <a16:creationId xmlns:a16="http://schemas.microsoft.com/office/drawing/2014/main" id="{BFE819BA-A8F3-48E4-AC1A-37E54F20024A}"/>
            </a:ext>
          </a:extLst>
        </xdr:cNvPr>
        <xdr:cNvPicPr>
          <a:picLocks noChangeAspect="1"/>
        </xdr:cNvPicPr>
      </xdr:nvPicPr>
      <xdr:blipFill>
        <a:blip xmlns:r="http://schemas.openxmlformats.org/officeDocument/2006/relationships" r:embed="rId8"/>
        <a:stretch>
          <a:fillRect/>
        </a:stretch>
      </xdr:blipFill>
      <xdr:spPr>
        <a:xfrm>
          <a:off x="9098507" y="24580187"/>
          <a:ext cx="8058150" cy="5829300"/>
        </a:xfrm>
        <a:prstGeom prst="rect">
          <a:avLst/>
        </a:prstGeom>
      </xdr:spPr>
    </xdr:pic>
    <xdr:clientData/>
  </xdr:twoCellAnchor>
  <xdr:twoCellAnchor editAs="oneCell">
    <xdr:from>
      <xdr:col>0</xdr:col>
      <xdr:colOff>0</xdr:colOff>
      <xdr:row>158</xdr:row>
      <xdr:rowOff>0</xdr:rowOff>
    </xdr:from>
    <xdr:to>
      <xdr:col>9</xdr:col>
      <xdr:colOff>481226</xdr:colOff>
      <xdr:row>189</xdr:row>
      <xdr:rowOff>100084</xdr:rowOff>
    </xdr:to>
    <xdr:pic>
      <xdr:nvPicPr>
        <xdr:cNvPr id="10" name="Picture 9">
          <a:extLst>
            <a:ext uri="{FF2B5EF4-FFF2-40B4-BE49-F238E27FC236}">
              <a16:creationId xmlns:a16="http://schemas.microsoft.com/office/drawing/2014/main" id="{D33D2EBD-EB2F-439B-BAAE-5DE41CD6928D}"/>
            </a:ext>
          </a:extLst>
        </xdr:cNvPr>
        <xdr:cNvPicPr>
          <a:picLocks noChangeAspect="1"/>
        </xdr:cNvPicPr>
      </xdr:nvPicPr>
      <xdr:blipFill>
        <a:blip xmlns:r="http://schemas.openxmlformats.org/officeDocument/2006/relationships" r:embed="rId9"/>
        <a:stretch>
          <a:fillRect/>
        </a:stretch>
      </xdr:blipFill>
      <xdr:spPr>
        <a:xfrm>
          <a:off x="0" y="30679030"/>
          <a:ext cx="8143875" cy="5829300"/>
        </a:xfrm>
        <a:prstGeom prst="rect">
          <a:avLst/>
        </a:prstGeom>
      </xdr:spPr>
    </xdr:pic>
    <xdr:clientData/>
  </xdr:twoCellAnchor>
  <xdr:twoCellAnchor editAs="oneCell">
    <xdr:from>
      <xdr:col>14</xdr:col>
      <xdr:colOff>0</xdr:colOff>
      <xdr:row>4</xdr:row>
      <xdr:rowOff>0</xdr:rowOff>
    </xdr:from>
    <xdr:to>
      <xdr:col>22</xdr:col>
      <xdr:colOff>258884</xdr:colOff>
      <xdr:row>20</xdr:row>
      <xdr:rowOff>2084021</xdr:rowOff>
    </xdr:to>
    <xdr:pic>
      <xdr:nvPicPr>
        <xdr:cNvPr id="11" name="Picture 10">
          <a:extLst>
            <a:ext uri="{FF2B5EF4-FFF2-40B4-BE49-F238E27FC236}">
              <a16:creationId xmlns:a16="http://schemas.microsoft.com/office/drawing/2014/main" id="{C0E623FC-6AE1-47B2-B06B-5DF240A6F86B}"/>
            </a:ext>
          </a:extLst>
        </xdr:cNvPr>
        <xdr:cNvPicPr>
          <a:picLocks noChangeAspect="1"/>
        </xdr:cNvPicPr>
      </xdr:nvPicPr>
      <xdr:blipFill>
        <a:blip xmlns:r="http://schemas.openxmlformats.org/officeDocument/2006/relationships" r:embed="rId10"/>
        <a:stretch>
          <a:fillRect/>
        </a:stretch>
      </xdr:blipFill>
      <xdr:spPr>
        <a:xfrm>
          <a:off x="12187115" y="781538"/>
          <a:ext cx="5143500" cy="5210175"/>
        </a:xfrm>
        <a:prstGeom prst="rect">
          <a:avLst/>
        </a:prstGeom>
      </xdr:spPr>
    </xdr:pic>
    <xdr:clientData/>
  </xdr:twoCellAnchor>
  <xdr:twoCellAnchor editAs="oneCell">
    <xdr:from>
      <xdr:col>24</xdr:col>
      <xdr:colOff>0</xdr:colOff>
      <xdr:row>5</xdr:row>
      <xdr:rowOff>0</xdr:rowOff>
    </xdr:from>
    <xdr:to>
      <xdr:col>32</xdr:col>
      <xdr:colOff>258885</xdr:colOff>
      <xdr:row>20</xdr:row>
      <xdr:rowOff>2279406</xdr:rowOff>
    </xdr:to>
    <xdr:pic>
      <xdr:nvPicPr>
        <xdr:cNvPr id="12" name="Picture 11">
          <a:extLst>
            <a:ext uri="{FF2B5EF4-FFF2-40B4-BE49-F238E27FC236}">
              <a16:creationId xmlns:a16="http://schemas.microsoft.com/office/drawing/2014/main" id="{1A43AFEC-5BEC-4CE4-A5FA-000743454A86}"/>
            </a:ext>
          </a:extLst>
        </xdr:cNvPr>
        <xdr:cNvPicPr>
          <a:picLocks noChangeAspect="1"/>
        </xdr:cNvPicPr>
      </xdr:nvPicPr>
      <xdr:blipFill>
        <a:blip xmlns:r="http://schemas.openxmlformats.org/officeDocument/2006/relationships" r:embed="rId11"/>
        <a:stretch>
          <a:fillRect/>
        </a:stretch>
      </xdr:blipFill>
      <xdr:spPr>
        <a:xfrm>
          <a:off x="18292885" y="976923"/>
          <a:ext cx="5143500" cy="5210175"/>
        </a:xfrm>
        <a:prstGeom prst="rect">
          <a:avLst/>
        </a:prstGeom>
      </xdr:spPr>
    </xdr:pic>
    <xdr:clientData/>
  </xdr:twoCellAnchor>
  <xdr:twoCellAnchor editAs="oneCell">
    <xdr:from>
      <xdr:col>33</xdr:col>
      <xdr:colOff>0</xdr:colOff>
      <xdr:row>7</xdr:row>
      <xdr:rowOff>0</xdr:rowOff>
    </xdr:from>
    <xdr:to>
      <xdr:col>41</xdr:col>
      <xdr:colOff>258885</xdr:colOff>
      <xdr:row>20</xdr:row>
      <xdr:rowOff>2670175</xdr:rowOff>
    </xdr:to>
    <xdr:pic>
      <xdr:nvPicPr>
        <xdr:cNvPr id="13" name="Picture 12">
          <a:extLst>
            <a:ext uri="{FF2B5EF4-FFF2-40B4-BE49-F238E27FC236}">
              <a16:creationId xmlns:a16="http://schemas.microsoft.com/office/drawing/2014/main" id="{8311FF70-7678-4E5C-8CD1-FFFD7737D4C4}"/>
            </a:ext>
          </a:extLst>
        </xdr:cNvPr>
        <xdr:cNvPicPr>
          <a:picLocks noChangeAspect="1"/>
        </xdr:cNvPicPr>
      </xdr:nvPicPr>
      <xdr:blipFill>
        <a:blip xmlns:r="http://schemas.openxmlformats.org/officeDocument/2006/relationships" r:embed="rId12"/>
        <a:stretch>
          <a:fillRect/>
        </a:stretch>
      </xdr:blipFill>
      <xdr:spPr>
        <a:xfrm>
          <a:off x="23788077" y="1367692"/>
          <a:ext cx="5143500" cy="5210175"/>
        </a:xfrm>
        <a:prstGeom prst="rect">
          <a:avLst/>
        </a:prstGeom>
      </xdr:spPr>
    </xdr:pic>
    <xdr:clientData/>
  </xdr:twoCellAnchor>
  <xdr:twoCellAnchor editAs="oneCell">
    <xdr:from>
      <xdr:col>43</xdr:col>
      <xdr:colOff>0</xdr:colOff>
      <xdr:row>7</xdr:row>
      <xdr:rowOff>0</xdr:rowOff>
    </xdr:from>
    <xdr:to>
      <xdr:col>51</xdr:col>
      <xdr:colOff>258884</xdr:colOff>
      <xdr:row>20</xdr:row>
      <xdr:rowOff>2670175</xdr:rowOff>
    </xdr:to>
    <xdr:pic>
      <xdr:nvPicPr>
        <xdr:cNvPr id="14" name="Picture 13">
          <a:extLst>
            <a:ext uri="{FF2B5EF4-FFF2-40B4-BE49-F238E27FC236}">
              <a16:creationId xmlns:a16="http://schemas.microsoft.com/office/drawing/2014/main" id="{22F9E95F-E912-4CCC-9EAE-98F21C8423C4}"/>
            </a:ext>
          </a:extLst>
        </xdr:cNvPr>
        <xdr:cNvPicPr>
          <a:picLocks noChangeAspect="1"/>
        </xdr:cNvPicPr>
      </xdr:nvPicPr>
      <xdr:blipFill>
        <a:blip xmlns:r="http://schemas.openxmlformats.org/officeDocument/2006/relationships" r:embed="rId13"/>
        <a:stretch>
          <a:fillRect/>
        </a:stretch>
      </xdr:blipFill>
      <xdr:spPr>
        <a:xfrm>
          <a:off x="29893846" y="1367692"/>
          <a:ext cx="5143500" cy="5210175"/>
        </a:xfrm>
        <a:prstGeom prst="rect">
          <a:avLst/>
        </a:prstGeom>
      </xdr:spPr>
    </xdr:pic>
    <xdr:clientData/>
  </xdr:twoCellAnchor>
  <xdr:twoCellAnchor editAs="oneCell">
    <xdr:from>
      <xdr:col>53</xdr:col>
      <xdr:colOff>0</xdr:colOff>
      <xdr:row>8</xdr:row>
      <xdr:rowOff>0</xdr:rowOff>
    </xdr:from>
    <xdr:to>
      <xdr:col>61</xdr:col>
      <xdr:colOff>373184</xdr:colOff>
      <xdr:row>20</xdr:row>
      <xdr:rowOff>2865560</xdr:rowOff>
    </xdr:to>
    <xdr:pic>
      <xdr:nvPicPr>
        <xdr:cNvPr id="15" name="Picture 14">
          <a:extLst>
            <a:ext uri="{FF2B5EF4-FFF2-40B4-BE49-F238E27FC236}">
              <a16:creationId xmlns:a16="http://schemas.microsoft.com/office/drawing/2014/main" id="{78D50FC8-7449-43A7-BA77-3D3364D7FB51}"/>
            </a:ext>
          </a:extLst>
        </xdr:cNvPr>
        <xdr:cNvPicPr>
          <a:picLocks noChangeAspect="1"/>
        </xdr:cNvPicPr>
      </xdr:nvPicPr>
      <xdr:blipFill>
        <a:blip xmlns:r="http://schemas.openxmlformats.org/officeDocument/2006/relationships" r:embed="rId14"/>
        <a:stretch>
          <a:fillRect/>
        </a:stretch>
      </xdr:blipFill>
      <xdr:spPr>
        <a:xfrm>
          <a:off x="35999615" y="1563077"/>
          <a:ext cx="5257800" cy="5210175"/>
        </a:xfrm>
        <a:prstGeom prst="rect">
          <a:avLst/>
        </a:prstGeom>
      </xdr:spPr>
    </xdr:pic>
    <xdr:clientData/>
  </xdr:twoCellAnchor>
  <xdr:twoCellAnchor editAs="oneCell">
    <xdr:from>
      <xdr:col>62</xdr:col>
      <xdr:colOff>0</xdr:colOff>
      <xdr:row>9</xdr:row>
      <xdr:rowOff>0</xdr:rowOff>
    </xdr:from>
    <xdr:to>
      <xdr:col>70</xdr:col>
      <xdr:colOff>258885</xdr:colOff>
      <xdr:row>20</xdr:row>
      <xdr:rowOff>3060945</xdr:rowOff>
    </xdr:to>
    <xdr:pic>
      <xdr:nvPicPr>
        <xdr:cNvPr id="16" name="Picture 15">
          <a:extLst>
            <a:ext uri="{FF2B5EF4-FFF2-40B4-BE49-F238E27FC236}">
              <a16:creationId xmlns:a16="http://schemas.microsoft.com/office/drawing/2014/main" id="{961E97B8-DDB8-45BB-9C8B-BE13BC5C6F27}"/>
            </a:ext>
          </a:extLst>
        </xdr:cNvPr>
        <xdr:cNvPicPr>
          <a:picLocks noChangeAspect="1"/>
        </xdr:cNvPicPr>
      </xdr:nvPicPr>
      <xdr:blipFill>
        <a:blip xmlns:r="http://schemas.openxmlformats.org/officeDocument/2006/relationships" r:embed="rId15"/>
        <a:stretch>
          <a:fillRect/>
        </a:stretch>
      </xdr:blipFill>
      <xdr:spPr>
        <a:xfrm>
          <a:off x="41494808" y="1758462"/>
          <a:ext cx="5143500" cy="5210175"/>
        </a:xfrm>
        <a:prstGeom prst="rect">
          <a:avLst/>
        </a:prstGeom>
      </xdr:spPr>
    </xdr:pic>
    <xdr:clientData/>
  </xdr:twoCellAnchor>
  <xdr:twoCellAnchor editAs="oneCell">
    <xdr:from>
      <xdr:col>72</xdr:col>
      <xdr:colOff>0</xdr:colOff>
      <xdr:row>10</xdr:row>
      <xdr:rowOff>0</xdr:rowOff>
    </xdr:from>
    <xdr:to>
      <xdr:col>80</xdr:col>
      <xdr:colOff>258885</xdr:colOff>
      <xdr:row>20</xdr:row>
      <xdr:rowOff>3256329</xdr:rowOff>
    </xdr:to>
    <xdr:pic>
      <xdr:nvPicPr>
        <xdr:cNvPr id="17" name="Picture 16">
          <a:extLst>
            <a:ext uri="{FF2B5EF4-FFF2-40B4-BE49-F238E27FC236}">
              <a16:creationId xmlns:a16="http://schemas.microsoft.com/office/drawing/2014/main" id="{3D60D04A-B8AA-4466-8463-EA0DE9C2B08B}"/>
            </a:ext>
          </a:extLst>
        </xdr:cNvPr>
        <xdr:cNvPicPr>
          <a:picLocks noChangeAspect="1"/>
        </xdr:cNvPicPr>
      </xdr:nvPicPr>
      <xdr:blipFill>
        <a:blip xmlns:r="http://schemas.openxmlformats.org/officeDocument/2006/relationships" r:embed="rId16"/>
        <a:stretch>
          <a:fillRect/>
        </a:stretch>
      </xdr:blipFill>
      <xdr:spPr>
        <a:xfrm>
          <a:off x="47600577" y="1953846"/>
          <a:ext cx="5143500" cy="5210175"/>
        </a:xfrm>
        <a:prstGeom prst="rect">
          <a:avLst/>
        </a:prstGeom>
      </xdr:spPr>
    </xdr:pic>
    <xdr:clientData/>
  </xdr:twoCellAnchor>
  <xdr:twoCellAnchor editAs="oneCell">
    <xdr:from>
      <xdr:col>83</xdr:col>
      <xdr:colOff>0</xdr:colOff>
      <xdr:row>11</xdr:row>
      <xdr:rowOff>0</xdr:rowOff>
    </xdr:from>
    <xdr:to>
      <xdr:col>91</xdr:col>
      <xdr:colOff>258885</xdr:colOff>
      <xdr:row>20</xdr:row>
      <xdr:rowOff>3451714</xdr:rowOff>
    </xdr:to>
    <xdr:pic>
      <xdr:nvPicPr>
        <xdr:cNvPr id="18" name="Picture 17">
          <a:extLst>
            <a:ext uri="{FF2B5EF4-FFF2-40B4-BE49-F238E27FC236}">
              <a16:creationId xmlns:a16="http://schemas.microsoft.com/office/drawing/2014/main" id="{C4943340-4160-498F-8A8D-3F8DC8D1A799}"/>
            </a:ext>
          </a:extLst>
        </xdr:cNvPr>
        <xdr:cNvPicPr>
          <a:picLocks noChangeAspect="1"/>
        </xdr:cNvPicPr>
      </xdr:nvPicPr>
      <xdr:blipFill>
        <a:blip xmlns:r="http://schemas.openxmlformats.org/officeDocument/2006/relationships" r:embed="rId17"/>
        <a:stretch>
          <a:fillRect/>
        </a:stretch>
      </xdr:blipFill>
      <xdr:spPr>
        <a:xfrm>
          <a:off x="54316923" y="2149231"/>
          <a:ext cx="5143500" cy="5210175"/>
        </a:xfrm>
        <a:prstGeom prst="rect">
          <a:avLst/>
        </a:prstGeom>
      </xdr:spPr>
    </xdr:pic>
    <xdr:clientData/>
  </xdr:twoCellAnchor>
  <xdr:twoCellAnchor editAs="oneCell">
    <xdr:from>
      <xdr:col>93</xdr:col>
      <xdr:colOff>0</xdr:colOff>
      <xdr:row>13</xdr:row>
      <xdr:rowOff>0</xdr:rowOff>
    </xdr:from>
    <xdr:to>
      <xdr:col>101</xdr:col>
      <xdr:colOff>258884</xdr:colOff>
      <xdr:row>20</xdr:row>
      <xdr:rowOff>3842483</xdr:rowOff>
    </xdr:to>
    <xdr:pic>
      <xdr:nvPicPr>
        <xdr:cNvPr id="19" name="Picture 18">
          <a:extLst>
            <a:ext uri="{FF2B5EF4-FFF2-40B4-BE49-F238E27FC236}">
              <a16:creationId xmlns:a16="http://schemas.microsoft.com/office/drawing/2014/main" id="{BBB4ED9C-2D93-4DE3-A202-0C2987B861E5}"/>
            </a:ext>
          </a:extLst>
        </xdr:cNvPr>
        <xdr:cNvPicPr>
          <a:picLocks noChangeAspect="1"/>
        </xdr:cNvPicPr>
      </xdr:nvPicPr>
      <xdr:blipFill>
        <a:blip xmlns:r="http://schemas.openxmlformats.org/officeDocument/2006/relationships" r:embed="rId18"/>
        <a:stretch>
          <a:fillRect/>
        </a:stretch>
      </xdr:blipFill>
      <xdr:spPr>
        <a:xfrm>
          <a:off x="60422692" y="2540000"/>
          <a:ext cx="5143500" cy="5210175"/>
        </a:xfrm>
        <a:prstGeom prst="rect">
          <a:avLst/>
        </a:prstGeom>
      </xdr:spPr>
    </xdr:pic>
    <xdr:clientData/>
  </xdr:twoCellAnchor>
  <xdr:twoCellAnchor editAs="oneCell">
    <xdr:from>
      <xdr:col>103</xdr:col>
      <xdr:colOff>0</xdr:colOff>
      <xdr:row>14</xdr:row>
      <xdr:rowOff>0</xdr:rowOff>
    </xdr:from>
    <xdr:to>
      <xdr:col>111</xdr:col>
      <xdr:colOff>258885</xdr:colOff>
      <xdr:row>20</xdr:row>
      <xdr:rowOff>4037868</xdr:rowOff>
    </xdr:to>
    <xdr:pic>
      <xdr:nvPicPr>
        <xdr:cNvPr id="20" name="Picture 19">
          <a:extLst>
            <a:ext uri="{FF2B5EF4-FFF2-40B4-BE49-F238E27FC236}">
              <a16:creationId xmlns:a16="http://schemas.microsoft.com/office/drawing/2014/main" id="{BB2F1D21-415C-4F09-9290-00D00975C6EB}"/>
            </a:ext>
          </a:extLst>
        </xdr:cNvPr>
        <xdr:cNvPicPr>
          <a:picLocks noChangeAspect="1"/>
        </xdr:cNvPicPr>
      </xdr:nvPicPr>
      <xdr:blipFill>
        <a:blip xmlns:r="http://schemas.openxmlformats.org/officeDocument/2006/relationships" r:embed="rId19"/>
        <a:stretch>
          <a:fillRect/>
        </a:stretch>
      </xdr:blipFill>
      <xdr:spPr>
        <a:xfrm>
          <a:off x="66528462" y="2735385"/>
          <a:ext cx="5143500" cy="5210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topLeftCell="A22" workbookViewId="0">
      <selection activeCell="A23" sqref="A23:D23"/>
    </sheetView>
  </sheetViews>
  <sheetFormatPr defaultRowHeight="14.5" x14ac:dyDescent="0.35"/>
  <cols>
    <col min="1" max="1" width="28.54296875" customWidth="1"/>
    <col min="2" max="2" width="45.26953125" customWidth="1"/>
    <col min="3" max="3" width="22.1796875" bestFit="1" customWidth="1"/>
    <col min="4" max="4" width="25.54296875" bestFit="1" customWidth="1"/>
    <col min="5" max="5" width="20.453125" bestFit="1" customWidth="1"/>
    <col min="7" max="7" width="21.26953125" customWidth="1"/>
  </cols>
  <sheetData>
    <row r="1" spans="1:12" x14ac:dyDescent="0.35">
      <c r="A1" s="64"/>
      <c r="B1" s="64"/>
      <c r="C1" s="64"/>
      <c r="D1" s="64"/>
      <c r="E1" s="64"/>
      <c r="F1" s="64"/>
      <c r="G1" s="64"/>
      <c r="H1" s="64"/>
      <c r="I1" s="64"/>
      <c r="J1" s="64"/>
      <c r="K1" s="64"/>
      <c r="L1" s="64"/>
    </row>
    <row r="2" spans="1:12" ht="18" thickBot="1" x14ac:dyDescent="0.4">
      <c r="A2" s="176" t="s">
        <v>330</v>
      </c>
      <c r="B2" s="177"/>
      <c r="C2" s="178"/>
      <c r="D2" s="64"/>
      <c r="E2" s="64"/>
      <c r="F2" s="64"/>
      <c r="G2" s="64"/>
      <c r="H2" s="64"/>
      <c r="I2" s="64"/>
      <c r="J2" s="64"/>
      <c r="K2" s="64"/>
      <c r="L2" s="64"/>
    </row>
    <row r="3" spans="1:12" x14ac:dyDescent="0.35">
      <c r="A3" s="81" t="s">
        <v>331</v>
      </c>
      <c r="B3" s="92" t="s">
        <v>332</v>
      </c>
      <c r="C3" s="93">
        <v>0.64588422551324343</v>
      </c>
      <c r="D3" s="64"/>
      <c r="E3" s="64"/>
      <c r="F3" s="64"/>
      <c r="G3" s="167" t="s">
        <v>333</v>
      </c>
      <c r="H3" s="168"/>
      <c r="I3" s="168"/>
      <c r="J3" s="169"/>
      <c r="K3" s="94" t="s">
        <v>334</v>
      </c>
      <c r="L3" s="64"/>
    </row>
    <row r="4" spans="1:12" ht="15.5" x14ac:dyDescent="0.35">
      <c r="A4" s="81" t="s">
        <v>335</v>
      </c>
      <c r="B4" s="95" t="s">
        <v>336</v>
      </c>
      <c r="C4" s="96">
        <v>63.520299145299141</v>
      </c>
      <c r="D4" s="64"/>
      <c r="E4" s="64"/>
      <c r="F4" s="64"/>
      <c r="G4" s="97" t="s">
        <v>31</v>
      </c>
      <c r="H4" s="98">
        <v>0.78508339560841423</v>
      </c>
      <c r="I4" s="99">
        <v>0.81921314881280416</v>
      </c>
      <c r="J4" s="100">
        <v>0.75369347611914339</v>
      </c>
      <c r="K4" s="101">
        <f>AVERAGE(H4:J4)</f>
        <v>0.78599667351345393</v>
      </c>
      <c r="L4" s="64"/>
    </row>
    <row r="5" spans="1:12" ht="31" x14ac:dyDescent="0.35">
      <c r="A5" s="81" t="s">
        <v>337</v>
      </c>
      <c r="B5" s="82" t="s">
        <v>338</v>
      </c>
      <c r="C5" s="96">
        <v>0.42146628482647985</v>
      </c>
      <c r="D5" s="64"/>
      <c r="E5" s="64"/>
      <c r="F5" s="64"/>
      <c r="G5" s="97" t="s">
        <v>32</v>
      </c>
      <c r="H5" s="98">
        <v>7.6318111713545231E-2</v>
      </c>
      <c r="I5" s="99">
        <v>2.3813386969986045E-2</v>
      </c>
      <c r="J5" s="100">
        <v>8.9624781619771207E-2</v>
      </c>
      <c r="K5" s="101">
        <v>6.3252093434434165E-2</v>
      </c>
      <c r="L5" s="64"/>
    </row>
    <row r="6" spans="1:12" ht="15.5" x14ac:dyDescent="0.35">
      <c r="A6" s="81" t="s">
        <v>339</v>
      </c>
      <c r="B6" s="179" t="s">
        <v>333</v>
      </c>
      <c r="C6" s="180"/>
      <c r="D6" s="64"/>
      <c r="E6" s="64"/>
      <c r="F6" s="64"/>
      <c r="G6" s="97" t="s">
        <v>33</v>
      </c>
      <c r="H6" s="98">
        <v>9.0033867044027143E-4</v>
      </c>
      <c r="I6" s="99">
        <v>7.6930178170292658E-4</v>
      </c>
      <c r="J6" s="100">
        <v>6.6770182706589454E-4</v>
      </c>
      <c r="K6" s="101">
        <v>7.7911409306969748E-4</v>
      </c>
      <c r="L6" s="64"/>
    </row>
    <row r="7" spans="1:12" ht="15.5" x14ac:dyDescent="0.35">
      <c r="A7" s="181"/>
      <c r="B7" s="102" t="s">
        <v>31</v>
      </c>
      <c r="C7" s="98">
        <v>0.78599667351345393</v>
      </c>
      <c r="D7" s="64"/>
      <c r="E7" s="62"/>
      <c r="F7" s="64"/>
      <c r="G7" s="97" t="s">
        <v>34</v>
      </c>
      <c r="H7" s="98">
        <v>1.4308031100440431E-2</v>
      </c>
      <c r="I7" s="99">
        <v>1.7589968677761397E-2</v>
      </c>
      <c r="J7" s="100">
        <v>3.3326667443426463E-3</v>
      </c>
      <c r="K7" s="101">
        <v>1.1743555507514825E-2</v>
      </c>
      <c r="L7" s="64"/>
    </row>
    <row r="8" spans="1:12" ht="15.5" x14ac:dyDescent="0.35">
      <c r="A8" s="182"/>
      <c r="B8" s="102" t="s">
        <v>32</v>
      </c>
      <c r="C8" s="98">
        <v>6.3252093434434165E-2</v>
      </c>
      <c r="D8" s="64"/>
      <c r="E8" s="64"/>
      <c r="F8" s="64"/>
      <c r="G8" s="97" t="s">
        <v>35</v>
      </c>
      <c r="H8" s="98">
        <v>4.6547310511503674E-3</v>
      </c>
      <c r="I8" s="99">
        <v>2.5981419263876121E-2</v>
      </c>
      <c r="J8" s="100">
        <v>1.7479599205301285E-2</v>
      </c>
      <c r="K8" s="101">
        <v>1.6038583173442592E-2</v>
      </c>
      <c r="L8" s="64"/>
    </row>
    <row r="9" spans="1:12" ht="15.5" x14ac:dyDescent="0.35">
      <c r="A9" s="182"/>
      <c r="B9" s="102" t="s">
        <v>33</v>
      </c>
      <c r="C9" s="98">
        <v>7.7911409306969748E-4</v>
      </c>
      <c r="D9" s="64"/>
      <c r="E9" s="64"/>
      <c r="F9" s="64"/>
      <c r="G9" s="97" t="s">
        <v>36</v>
      </c>
      <c r="H9" s="98">
        <v>5.3833494983543471E-2</v>
      </c>
      <c r="I9" s="99">
        <v>3.1333894690512239E-2</v>
      </c>
      <c r="J9" s="100">
        <v>2.7388795095329464E-2</v>
      </c>
      <c r="K9" s="101">
        <v>3.7518728256461721E-2</v>
      </c>
      <c r="L9" s="64"/>
    </row>
    <row r="10" spans="1:12" ht="15.5" x14ac:dyDescent="0.35">
      <c r="A10" s="182"/>
      <c r="B10" s="102" t="s">
        <v>34</v>
      </c>
      <c r="C10" s="98">
        <v>1.1743555507514825E-2</v>
      </c>
      <c r="D10" s="64"/>
      <c r="E10" s="64"/>
      <c r="F10" s="64"/>
      <c r="G10" s="97" t="s">
        <v>37</v>
      </c>
      <c r="H10" s="98">
        <v>2.939118820854467E-2</v>
      </c>
      <c r="I10" s="99">
        <v>1.8055279694815653E-2</v>
      </c>
      <c r="J10" s="100">
        <v>3.6695223160973893E-2</v>
      </c>
      <c r="K10" s="101">
        <v>2.8047230354778074E-2</v>
      </c>
      <c r="L10" s="64"/>
    </row>
    <row r="11" spans="1:12" ht="15.5" x14ac:dyDescent="0.35">
      <c r="A11" s="182"/>
      <c r="B11" s="102" t="s">
        <v>35</v>
      </c>
      <c r="C11" s="98">
        <v>1.6038583173442592E-2</v>
      </c>
      <c r="D11" s="64"/>
      <c r="E11" s="64"/>
      <c r="F11" s="64"/>
      <c r="G11" s="97" t="s">
        <v>38</v>
      </c>
      <c r="H11" s="98">
        <v>5.7637574928847413E-5</v>
      </c>
      <c r="I11" s="99">
        <v>2.5666704898634003E-3</v>
      </c>
      <c r="J11" s="100">
        <v>6.0927791719762869E-4</v>
      </c>
      <c r="K11" s="101">
        <v>1.0778619939966255E-3</v>
      </c>
      <c r="L11" s="64"/>
    </row>
    <row r="12" spans="1:12" ht="15.5" x14ac:dyDescent="0.35">
      <c r="A12" s="182"/>
      <c r="B12" s="102" t="s">
        <v>36</v>
      </c>
      <c r="C12" s="98">
        <v>3.7518728256461721E-2</v>
      </c>
      <c r="D12" s="64"/>
      <c r="E12" s="64"/>
      <c r="F12" s="64"/>
      <c r="G12" s="97" t="s">
        <v>39</v>
      </c>
      <c r="H12" s="98">
        <v>9.3015120919657211E-4</v>
      </c>
      <c r="I12" s="99">
        <v>2.0211655901104164E-3</v>
      </c>
      <c r="J12" s="100">
        <v>6.8506207456960778E-3</v>
      </c>
      <c r="K12" s="101">
        <v>3.2673125150010224E-3</v>
      </c>
      <c r="L12" s="64"/>
    </row>
    <row r="13" spans="1:12" ht="15.5" x14ac:dyDescent="0.35">
      <c r="A13" s="182"/>
      <c r="B13" s="102" t="s">
        <v>37</v>
      </c>
      <c r="C13" s="98">
        <v>2.8047230354778074E-2</v>
      </c>
      <c r="D13" s="64"/>
      <c r="E13" s="64"/>
      <c r="F13" s="64"/>
      <c r="G13" s="97" t="s">
        <v>40</v>
      </c>
      <c r="H13" s="98">
        <v>3.4522919879795839E-2</v>
      </c>
      <c r="I13" s="99">
        <v>5.8655764028567689E-2</v>
      </c>
      <c r="J13" s="100">
        <v>6.3657857565178555E-2</v>
      </c>
      <c r="K13" s="101">
        <v>5.2278847157847363E-2</v>
      </c>
      <c r="L13" s="64"/>
    </row>
    <row r="14" spans="1:12" ht="16" thickBot="1" x14ac:dyDescent="0.4">
      <c r="A14" s="182"/>
      <c r="B14" s="102" t="s">
        <v>38</v>
      </c>
      <c r="C14" s="98">
        <v>1.0778619939966255E-3</v>
      </c>
      <c r="D14" s="64"/>
      <c r="E14" s="64"/>
      <c r="F14" s="64"/>
      <c r="G14" s="103" t="s">
        <v>340</v>
      </c>
      <c r="H14" s="104">
        <f>SUM(H4:H13)</f>
        <v>0.99999999999999989</v>
      </c>
      <c r="I14" s="104">
        <f>SUM(I4:I13)</f>
        <v>1.0000000000000002</v>
      </c>
      <c r="J14" s="105">
        <f>SUM(J4:J13)</f>
        <v>1</v>
      </c>
      <c r="K14" s="106">
        <v>1</v>
      </c>
      <c r="L14" s="64"/>
    </row>
    <row r="15" spans="1:12" ht="15.5" x14ac:dyDescent="0.35">
      <c r="A15" s="182"/>
      <c r="B15" s="102" t="s">
        <v>39</v>
      </c>
      <c r="C15" s="98">
        <v>3.2673125150010224E-3</v>
      </c>
      <c r="D15" s="64"/>
      <c r="E15" s="64"/>
      <c r="F15" s="64"/>
      <c r="G15" s="184"/>
      <c r="H15" s="185"/>
      <c r="I15" s="185"/>
      <c r="J15" s="186"/>
      <c r="K15" s="64"/>
      <c r="L15" s="64"/>
    </row>
    <row r="16" spans="1:12" ht="15.5" x14ac:dyDescent="0.35">
      <c r="A16" s="183"/>
      <c r="B16" s="102" t="s">
        <v>40</v>
      </c>
      <c r="C16" s="98">
        <v>5.2278847157847363E-2</v>
      </c>
      <c r="D16" s="64"/>
      <c r="E16" s="64"/>
      <c r="F16" s="64"/>
      <c r="G16" s="187" t="s">
        <v>341</v>
      </c>
      <c r="H16" s="188"/>
      <c r="I16" s="188"/>
      <c r="J16" s="189"/>
      <c r="K16" s="64"/>
      <c r="L16" s="64"/>
    </row>
    <row r="17" spans="1:12" ht="15.5" x14ac:dyDescent="0.35">
      <c r="A17" s="165" t="s">
        <v>340</v>
      </c>
      <c r="B17" s="166"/>
      <c r="C17" s="107">
        <v>1</v>
      </c>
      <c r="D17" s="64"/>
      <c r="E17" s="64"/>
      <c r="F17" s="64"/>
      <c r="G17" s="64"/>
      <c r="H17" s="64"/>
      <c r="I17" s="64"/>
      <c r="J17" s="64"/>
      <c r="K17" s="64"/>
      <c r="L17" s="64"/>
    </row>
    <row r="18" spans="1:12" x14ac:dyDescent="0.35">
      <c r="A18" s="64"/>
      <c r="B18" s="64"/>
      <c r="C18" s="64"/>
      <c r="D18" s="64"/>
      <c r="E18" s="64"/>
      <c r="F18" s="64"/>
      <c r="G18" s="64"/>
      <c r="H18" s="64"/>
      <c r="I18" s="64"/>
      <c r="J18" s="64"/>
      <c r="K18" s="64"/>
      <c r="L18" s="64"/>
    </row>
    <row r="19" spans="1:12" x14ac:dyDescent="0.35">
      <c r="A19" s="64"/>
      <c r="B19" s="64"/>
      <c r="C19" s="64"/>
      <c r="D19" s="64"/>
      <c r="E19" s="64"/>
      <c r="F19" s="64"/>
      <c r="G19" s="64"/>
      <c r="H19" s="64"/>
      <c r="I19" s="64"/>
      <c r="J19" s="64"/>
      <c r="K19" s="64"/>
      <c r="L19" s="64"/>
    </row>
    <row r="20" spans="1:12" ht="15" thickBot="1" x14ac:dyDescent="0.4">
      <c r="A20" s="64"/>
      <c r="B20" s="64"/>
      <c r="C20" s="64"/>
      <c r="D20" s="64"/>
      <c r="E20" s="64"/>
      <c r="F20" s="64"/>
      <c r="G20" s="64"/>
      <c r="H20" s="64"/>
      <c r="I20" s="64"/>
      <c r="J20" s="64"/>
      <c r="K20" s="64"/>
      <c r="L20" s="64"/>
    </row>
    <row r="21" spans="1:12" ht="28.5" x14ac:dyDescent="0.35">
      <c r="A21" s="108"/>
      <c r="B21" s="108" t="s">
        <v>342</v>
      </c>
      <c r="C21" s="109" t="s">
        <v>343</v>
      </c>
      <c r="D21" s="110" t="s">
        <v>344</v>
      </c>
      <c r="E21" s="64"/>
      <c r="F21" s="64"/>
      <c r="G21" s="167" t="s">
        <v>345</v>
      </c>
      <c r="H21" s="168"/>
      <c r="I21" s="168"/>
      <c r="J21" s="169"/>
      <c r="K21" s="64"/>
      <c r="L21" s="64"/>
    </row>
    <row r="22" spans="1:12" x14ac:dyDescent="0.35">
      <c r="A22" s="111"/>
      <c r="B22" s="112"/>
      <c r="C22" s="113"/>
      <c r="D22" s="114"/>
      <c r="E22" s="64"/>
      <c r="F22" s="64"/>
      <c r="G22" s="115" t="s">
        <v>259</v>
      </c>
      <c r="H22" s="116" t="s">
        <v>43</v>
      </c>
      <c r="I22" s="116" t="s">
        <v>260</v>
      </c>
      <c r="J22" s="117" t="s">
        <v>154</v>
      </c>
      <c r="K22" s="64"/>
      <c r="L22" s="64"/>
    </row>
    <row r="23" spans="1:12" ht="15" thickBot="1" x14ac:dyDescent="0.4">
      <c r="A23" s="170" t="s">
        <v>346</v>
      </c>
      <c r="B23" s="171"/>
      <c r="C23" s="171"/>
      <c r="D23" s="172"/>
      <c r="E23" s="64"/>
      <c r="F23" s="64"/>
      <c r="G23" s="118" t="s">
        <v>347</v>
      </c>
      <c r="H23" s="119">
        <v>39.435897435897438</v>
      </c>
      <c r="I23" s="96">
        <v>31.4375</v>
      </c>
      <c r="J23" s="120">
        <v>119.6875</v>
      </c>
      <c r="K23" s="64"/>
      <c r="L23" s="64"/>
    </row>
    <row r="24" spans="1:12" ht="16" thickBot="1" x14ac:dyDescent="0.4">
      <c r="A24" s="121" t="s">
        <v>348</v>
      </c>
      <c r="B24" s="122">
        <v>55</v>
      </c>
      <c r="C24" s="122">
        <v>44</v>
      </c>
      <c r="D24" s="123">
        <v>40</v>
      </c>
      <c r="E24" s="64"/>
      <c r="F24" s="64"/>
      <c r="G24" s="124" t="s">
        <v>338</v>
      </c>
      <c r="H24" s="125">
        <v>0.36811795614608123</v>
      </c>
      <c r="I24" s="126">
        <v>0.57128682725694457</v>
      </c>
      <c r="J24" s="127">
        <v>0.3249940710764137</v>
      </c>
      <c r="K24" s="64"/>
      <c r="L24" s="64"/>
    </row>
    <row r="25" spans="1:12" x14ac:dyDescent="0.35">
      <c r="A25" s="128" t="s">
        <v>349</v>
      </c>
      <c r="B25" s="82">
        <v>39</v>
      </c>
      <c r="C25" s="82">
        <v>32</v>
      </c>
      <c r="D25" s="129">
        <v>32</v>
      </c>
      <c r="E25" s="64"/>
      <c r="F25" s="64"/>
      <c r="G25" s="64"/>
      <c r="H25" s="64"/>
      <c r="I25" s="64"/>
      <c r="J25" s="64"/>
      <c r="K25" s="64"/>
      <c r="L25" s="64"/>
    </row>
    <row r="26" spans="1:12" x14ac:dyDescent="0.35">
      <c r="A26" s="128" t="s">
        <v>350</v>
      </c>
      <c r="B26" s="96">
        <f>B25/B24</f>
        <v>0.70909090909090911</v>
      </c>
      <c r="C26" s="96">
        <f>C25/C24</f>
        <v>0.72727272727272729</v>
      </c>
      <c r="D26" s="120">
        <f>D25/D24</f>
        <v>0.8</v>
      </c>
      <c r="E26" s="64"/>
      <c r="F26" s="64"/>
      <c r="G26" s="64"/>
      <c r="H26" s="64"/>
      <c r="I26" s="64"/>
      <c r="J26" s="64"/>
      <c r="K26" s="64"/>
      <c r="L26" s="64"/>
    </row>
    <row r="27" spans="1:12" x14ac:dyDescent="0.35">
      <c r="A27" s="173" t="s">
        <v>351</v>
      </c>
      <c r="B27" s="174"/>
      <c r="C27" s="174"/>
      <c r="D27" s="175"/>
      <c r="E27" s="64"/>
      <c r="F27" s="64"/>
      <c r="G27" s="64"/>
      <c r="H27" s="64"/>
      <c r="I27" s="64"/>
      <c r="J27" s="64"/>
      <c r="K27" s="64"/>
      <c r="L27" s="64"/>
    </row>
    <row r="28" spans="1:12" ht="29" thickBot="1" x14ac:dyDescent="0.4">
      <c r="A28" s="130" t="s">
        <v>332</v>
      </c>
      <c r="B28" s="131">
        <v>0.42662958271886847</v>
      </c>
      <c r="C28" s="132">
        <v>0.53161746740362825</v>
      </c>
      <c r="D28" s="127">
        <v>0.97940562641723372</v>
      </c>
      <c r="E28" s="64"/>
      <c r="F28" s="64"/>
      <c r="G28" s="64"/>
      <c r="H28" s="64"/>
      <c r="I28" s="64"/>
      <c r="J28" s="64"/>
      <c r="K28" s="64"/>
      <c r="L28" s="64"/>
    </row>
    <row r="29" spans="1:12" x14ac:dyDescent="0.35">
      <c r="A29" s="64"/>
      <c r="B29" s="64"/>
      <c r="C29" s="64"/>
      <c r="D29" s="64"/>
      <c r="E29" s="64"/>
      <c r="F29" s="64"/>
      <c r="G29" s="64"/>
      <c r="H29" s="64"/>
      <c r="I29" s="64"/>
      <c r="J29" s="64"/>
      <c r="K29" s="64"/>
      <c r="L29" s="64"/>
    </row>
    <row r="30" spans="1:12" x14ac:dyDescent="0.35">
      <c r="A30" s="64"/>
      <c r="B30" s="64"/>
      <c r="C30" s="64"/>
      <c r="D30" s="64"/>
      <c r="E30" s="64"/>
      <c r="F30" s="64"/>
      <c r="G30" s="64"/>
      <c r="H30" s="64"/>
      <c r="I30" s="64"/>
      <c r="J30" s="64"/>
      <c r="K30" s="64"/>
      <c r="L30" s="64"/>
    </row>
  </sheetData>
  <mergeCells count="10">
    <mergeCell ref="A17:B17"/>
    <mergeCell ref="G21:J21"/>
    <mergeCell ref="A23:D23"/>
    <mergeCell ref="A27:D27"/>
    <mergeCell ref="A2:C2"/>
    <mergeCell ref="G3:J3"/>
    <mergeCell ref="B6:C6"/>
    <mergeCell ref="A7:A16"/>
    <mergeCell ref="G15:J15"/>
    <mergeCell ref="G16:J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8"/>
  <sheetViews>
    <sheetView tabSelected="1" zoomScale="74" workbookViewId="0">
      <selection activeCell="U52" sqref="U52"/>
    </sheetView>
  </sheetViews>
  <sheetFormatPr defaultRowHeight="14.5" x14ac:dyDescent="0.35"/>
  <cols>
    <col min="1" max="1" width="5.7265625" customWidth="1"/>
    <col min="2" max="2" width="17.26953125" customWidth="1"/>
    <col min="3" max="3" width="18" customWidth="1"/>
    <col min="4" max="4" width="11.26953125" bestFit="1" customWidth="1"/>
    <col min="5" max="5" width="18.1796875" customWidth="1"/>
    <col min="6" max="7" width="13.26953125" customWidth="1"/>
    <col min="8" max="8" width="20.7265625" customWidth="1"/>
    <col min="9" max="9" width="20.54296875" customWidth="1"/>
    <col min="10" max="10" width="22.26953125" customWidth="1"/>
    <col min="11" max="11" width="31.54296875" customWidth="1"/>
    <col min="12" max="12" width="30" bestFit="1" customWidth="1"/>
    <col min="13" max="13" width="24" bestFit="1" customWidth="1"/>
    <col min="14" max="14" width="17.453125" customWidth="1"/>
    <col min="15" max="15" width="27.1796875" bestFit="1" customWidth="1"/>
    <col min="16" max="16" width="19.81640625" customWidth="1"/>
    <col min="17" max="17" width="25.54296875" bestFit="1" customWidth="1"/>
    <col min="18" max="18" width="16.26953125" bestFit="1" customWidth="1"/>
    <col min="19" max="19" width="15.453125" customWidth="1"/>
    <col min="20" max="20" width="26.81640625" bestFit="1" customWidth="1"/>
    <col min="21" max="21" width="30.81640625" bestFit="1" customWidth="1"/>
    <col min="22" max="22" width="22.26953125" bestFit="1" customWidth="1"/>
    <col min="23" max="23" width="12.453125" bestFit="1" customWidth="1"/>
    <col min="24" max="24" width="15.81640625" bestFit="1" customWidth="1"/>
    <col min="25" max="25" width="12" customWidth="1"/>
    <col min="26" max="26" width="13.54296875" customWidth="1"/>
    <col min="27" max="28" width="11.7265625" customWidth="1"/>
    <col min="29" max="29" width="13.453125" customWidth="1"/>
    <col min="30" max="30" width="11" customWidth="1"/>
    <col min="31" max="31" width="12.54296875" customWidth="1"/>
    <col min="32" max="32" width="11.7265625" customWidth="1"/>
    <col min="33" max="33" width="15.453125" customWidth="1"/>
    <col min="34" max="34" width="18.7265625" customWidth="1"/>
    <col min="35" max="35" width="17.81640625" customWidth="1"/>
    <col min="36" max="37" width="17.26953125" customWidth="1"/>
  </cols>
  <sheetData>
    <row r="1" spans="1:37" ht="60" x14ac:dyDescent="1.1499999999999999">
      <c r="A1" s="205" t="s">
        <v>352</v>
      </c>
      <c r="B1" s="205"/>
      <c r="C1" s="205"/>
      <c r="D1" s="205"/>
      <c r="E1" s="205"/>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row>
    <row r="2" spans="1:37" ht="25.5" x14ac:dyDescent="0.55000000000000004">
      <c r="A2" s="82"/>
      <c r="B2" s="206" t="s">
        <v>353</v>
      </c>
      <c r="C2" s="207"/>
      <c r="D2" s="207"/>
      <c r="E2" s="207"/>
      <c r="F2" s="207"/>
      <c r="G2" s="207"/>
      <c r="H2" s="207"/>
      <c r="I2" s="207"/>
      <c r="J2" s="207"/>
      <c r="K2" s="207"/>
      <c r="L2" s="207"/>
      <c r="M2" s="207"/>
      <c r="N2" s="207"/>
      <c r="O2" s="207"/>
      <c r="P2" s="207"/>
      <c r="Q2" s="207"/>
      <c r="R2" s="207"/>
      <c r="S2" s="207"/>
      <c r="T2" s="207"/>
      <c r="U2" s="207"/>
      <c r="V2" s="207"/>
      <c r="W2" s="207"/>
      <c r="X2" s="207"/>
      <c r="Y2" s="207"/>
      <c r="Z2" s="207"/>
      <c r="AA2" s="207"/>
      <c r="AB2" s="207"/>
      <c r="AC2" s="207"/>
      <c r="AD2" s="207"/>
      <c r="AE2" s="207"/>
      <c r="AF2" s="207"/>
      <c r="AG2" s="207"/>
      <c r="AH2" s="207"/>
      <c r="AI2" s="207"/>
      <c r="AJ2" s="207"/>
      <c r="AK2" s="207"/>
    </row>
    <row r="3" spans="1:37" ht="17.5" x14ac:dyDescent="0.35">
      <c r="A3" s="208" t="s">
        <v>0</v>
      </c>
      <c r="B3" s="208" t="s">
        <v>1</v>
      </c>
      <c r="C3" s="209" t="s">
        <v>2</v>
      </c>
      <c r="D3" s="209" t="s">
        <v>3</v>
      </c>
      <c r="E3" s="209" t="s">
        <v>4</v>
      </c>
      <c r="F3" s="209" t="s">
        <v>5</v>
      </c>
      <c r="G3" s="209"/>
      <c r="H3" s="209"/>
      <c r="I3" s="209"/>
      <c r="J3" s="209"/>
      <c r="K3" s="202" t="s">
        <v>6</v>
      </c>
      <c r="L3" s="202"/>
      <c r="M3" s="202"/>
      <c r="N3" s="202"/>
      <c r="O3" s="202" t="s">
        <v>7</v>
      </c>
      <c r="P3" s="202"/>
      <c r="Q3" s="202"/>
      <c r="R3" s="202"/>
      <c r="S3" s="202"/>
      <c r="T3" s="202"/>
      <c r="U3" s="202"/>
      <c r="V3" s="202"/>
      <c r="W3" s="209" t="s">
        <v>8</v>
      </c>
      <c r="X3" s="209"/>
      <c r="Y3" s="209"/>
      <c r="Z3" s="209"/>
      <c r="AA3" s="209"/>
      <c r="AB3" s="209"/>
      <c r="AC3" s="209"/>
      <c r="AD3" s="209"/>
      <c r="AE3" s="209"/>
      <c r="AF3" s="209"/>
      <c r="AG3" s="210" t="s">
        <v>9</v>
      </c>
      <c r="AH3" s="210" t="s">
        <v>10</v>
      </c>
      <c r="AI3" s="202" t="s">
        <v>11</v>
      </c>
      <c r="AJ3" s="202" t="s">
        <v>12</v>
      </c>
      <c r="AK3" s="204" t="s">
        <v>13</v>
      </c>
    </row>
    <row r="4" spans="1:37" ht="52.5" x14ac:dyDescent="0.35">
      <c r="A4" s="208"/>
      <c r="B4" s="208"/>
      <c r="C4" s="209"/>
      <c r="D4" s="209"/>
      <c r="E4" s="209"/>
      <c r="F4" s="78" t="s">
        <v>14</v>
      </c>
      <c r="G4" s="78" t="s">
        <v>15</v>
      </c>
      <c r="H4" s="79" t="s">
        <v>16</v>
      </c>
      <c r="I4" s="79" t="s">
        <v>17</v>
      </c>
      <c r="J4" s="79" t="s">
        <v>18</v>
      </c>
      <c r="K4" s="79" t="s">
        <v>19</v>
      </c>
      <c r="L4" s="79" t="s">
        <v>20</v>
      </c>
      <c r="M4" s="79" t="s">
        <v>21</v>
      </c>
      <c r="N4" s="79" t="s">
        <v>22</v>
      </c>
      <c r="O4" s="79" t="s">
        <v>23</v>
      </c>
      <c r="P4" s="79" t="s">
        <v>24</v>
      </c>
      <c r="Q4" s="79" t="s">
        <v>25</v>
      </c>
      <c r="R4" s="79" t="s">
        <v>26</v>
      </c>
      <c r="S4" s="79" t="s">
        <v>27</v>
      </c>
      <c r="T4" s="79" t="s">
        <v>28</v>
      </c>
      <c r="U4" s="79" t="s">
        <v>29</v>
      </c>
      <c r="V4" s="79" t="s">
        <v>30</v>
      </c>
      <c r="W4" s="79" t="s">
        <v>31</v>
      </c>
      <c r="X4" s="79" t="s">
        <v>32</v>
      </c>
      <c r="Y4" s="79" t="s">
        <v>33</v>
      </c>
      <c r="Z4" s="79" t="s">
        <v>34</v>
      </c>
      <c r="AA4" s="79" t="s">
        <v>35</v>
      </c>
      <c r="AB4" s="79" t="s">
        <v>36</v>
      </c>
      <c r="AC4" s="79" t="s">
        <v>37</v>
      </c>
      <c r="AD4" s="79" t="s">
        <v>38</v>
      </c>
      <c r="AE4" s="79" t="s">
        <v>39</v>
      </c>
      <c r="AF4" s="79" t="s">
        <v>40</v>
      </c>
      <c r="AG4" s="210"/>
      <c r="AH4" s="210"/>
      <c r="AI4" s="202"/>
      <c r="AJ4" s="202"/>
      <c r="AK4" s="204"/>
    </row>
    <row r="5" spans="1:37" ht="15.5" x14ac:dyDescent="0.35">
      <c r="A5" s="3">
        <v>1</v>
      </c>
      <c r="B5" s="68" t="s">
        <v>41</v>
      </c>
      <c r="C5" s="5" t="s">
        <v>42</v>
      </c>
      <c r="D5" s="5" t="s">
        <v>43</v>
      </c>
      <c r="E5" s="5" t="s">
        <v>44</v>
      </c>
      <c r="F5" s="5" t="s">
        <v>45</v>
      </c>
      <c r="G5" s="5">
        <v>3</v>
      </c>
      <c r="H5" s="5" t="s">
        <v>46</v>
      </c>
      <c r="I5" s="5" t="s">
        <v>47</v>
      </c>
      <c r="J5" s="5" t="s">
        <v>48</v>
      </c>
      <c r="K5" s="5" t="s">
        <v>49</v>
      </c>
      <c r="L5" s="5" t="s">
        <v>50</v>
      </c>
      <c r="M5" s="5" t="s">
        <v>51</v>
      </c>
      <c r="N5" s="5" t="s">
        <v>52</v>
      </c>
      <c r="O5" s="5" t="s">
        <v>53</v>
      </c>
      <c r="P5" s="5" t="s">
        <v>54</v>
      </c>
      <c r="Q5" s="5" t="s">
        <v>55</v>
      </c>
      <c r="R5" s="5" t="s">
        <v>56</v>
      </c>
      <c r="S5" s="5" t="s">
        <v>57</v>
      </c>
      <c r="T5" s="5" t="s">
        <v>58</v>
      </c>
      <c r="U5" s="5" t="s">
        <v>59</v>
      </c>
      <c r="V5" s="5" t="s">
        <v>60</v>
      </c>
      <c r="W5" s="6">
        <f>7.32-0.33</f>
        <v>6.99</v>
      </c>
      <c r="X5" s="6">
        <f>(219-125)/1000</f>
        <v>9.4E-2</v>
      </c>
      <c r="Y5" s="6">
        <v>0</v>
      </c>
      <c r="Z5" s="6">
        <f>(152-125)/1000</f>
        <v>2.7E-2</v>
      </c>
      <c r="AA5" s="6">
        <f>(142-125)/1000</f>
        <v>1.7000000000000001E-2</v>
      </c>
      <c r="AB5" s="6">
        <f>(202-125)/1000</f>
        <v>7.6999999999999999E-2</v>
      </c>
      <c r="AC5" s="6">
        <f>(202-125)/1000</f>
        <v>7.6999999999999999E-2</v>
      </c>
      <c r="AD5" s="6">
        <v>0</v>
      </c>
      <c r="AE5" s="6">
        <v>0</v>
      </c>
      <c r="AF5" s="6">
        <f>(167-125)/1000</f>
        <v>4.2000000000000003E-2</v>
      </c>
      <c r="AG5" s="7">
        <f t="shared" ref="AG5:AG19" si="0">SUM(W5:AF5)</f>
        <v>7.3240000000000007</v>
      </c>
      <c r="AH5" s="7">
        <f>(AG5/7)</f>
        <v>1.0462857142857145</v>
      </c>
      <c r="AI5" s="7">
        <f t="shared" ref="AI5:AI43" si="1">AH5/G5</f>
        <v>0.34876190476190483</v>
      </c>
      <c r="AJ5" s="6">
        <v>10</v>
      </c>
      <c r="AK5" s="6">
        <f>4.74/10</f>
        <v>0.47400000000000003</v>
      </c>
    </row>
    <row r="6" spans="1:37" ht="15.5" x14ac:dyDescent="0.35">
      <c r="A6" s="3">
        <v>2</v>
      </c>
      <c r="B6" s="68" t="s">
        <v>61</v>
      </c>
      <c r="C6" s="5" t="s">
        <v>42</v>
      </c>
      <c r="D6" s="5" t="s">
        <v>43</v>
      </c>
      <c r="E6" s="5" t="s">
        <v>44</v>
      </c>
      <c r="F6" s="5" t="s">
        <v>45</v>
      </c>
      <c r="G6" s="5">
        <v>7</v>
      </c>
      <c r="H6" s="5" t="s">
        <v>62</v>
      </c>
      <c r="I6" s="5" t="s">
        <v>47</v>
      </c>
      <c r="J6" s="5" t="s">
        <v>63</v>
      </c>
      <c r="K6" s="5" t="s">
        <v>49</v>
      </c>
      <c r="L6" s="5" t="s">
        <v>64</v>
      </c>
      <c r="M6" s="5" t="s">
        <v>65</v>
      </c>
      <c r="N6" s="5" t="s">
        <v>66</v>
      </c>
      <c r="O6" s="5" t="s">
        <v>67</v>
      </c>
      <c r="P6" s="5" t="s">
        <v>54</v>
      </c>
      <c r="Q6" s="5" t="s">
        <v>55</v>
      </c>
      <c r="R6" s="5" t="s">
        <v>56</v>
      </c>
      <c r="S6" s="5" t="s">
        <v>68</v>
      </c>
      <c r="T6" s="5" t="s">
        <v>58</v>
      </c>
      <c r="U6" s="5" t="s">
        <v>69</v>
      </c>
      <c r="V6" s="5" t="s">
        <v>60</v>
      </c>
      <c r="W6" s="6">
        <f>13.42-0.33*3</f>
        <v>12.43</v>
      </c>
      <c r="X6" s="6">
        <v>0</v>
      </c>
      <c r="Y6" s="6">
        <v>0</v>
      </c>
      <c r="Z6" s="6">
        <f>(166-125)/1000</f>
        <v>4.1000000000000002E-2</v>
      </c>
      <c r="AA6" s="6">
        <f>(425-125)/1000</f>
        <v>0.3</v>
      </c>
      <c r="AB6" s="6">
        <f>(547-330)/1000</f>
        <v>0.217</v>
      </c>
      <c r="AC6" s="6">
        <f>(263-125)/1000</f>
        <v>0.13800000000000001</v>
      </c>
      <c r="AD6" s="6">
        <v>0</v>
      </c>
      <c r="AE6" s="6">
        <v>0</v>
      </c>
      <c r="AF6" s="6">
        <v>0</v>
      </c>
      <c r="AG6" s="7">
        <f t="shared" si="0"/>
        <v>13.126000000000001</v>
      </c>
      <c r="AH6" s="7">
        <f t="shared" ref="AH6:AH42" si="2">(AG6/7)</f>
        <v>1.8751428571428572</v>
      </c>
      <c r="AI6" s="7">
        <f t="shared" si="1"/>
        <v>0.26787755102040817</v>
      </c>
      <c r="AJ6" s="6">
        <v>30</v>
      </c>
      <c r="AK6" s="6">
        <f t="shared" ref="AK6:AK43" si="3">AG6/AJ6</f>
        <v>0.43753333333333339</v>
      </c>
    </row>
    <row r="7" spans="1:37" ht="15.5" x14ac:dyDescent="0.35">
      <c r="A7" s="3">
        <v>3</v>
      </c>
      <c r="B7" s="133" t="s">
        <v>70</v>
      </c>
      <c r="C7" s="5" t="s">
        <v>42</v>
      </c>
      <c r="D7" s="5" t="s">
        <v>43</v>
      </c>
      <c r="E7" s="5" t="s">
        <v>44</v>
      </c>
      <c r="F7" s="5" t="s">
        <v>45</v>
      </c>
      <c r="G7" s="5">
        <v>6</v>
      </c>
      <c r="H7" s="69" t="s">
        <v>62</v>
      </c>
      <c r="I7" s="69" t="s">
        <v>71</v>
      </c>
      <c r="J7" s="69" t="s">
        <v>48</v>
      </c>
      <c r="K7" s="69" t="s">
        <v>49</v>
      </c>
      <c r="L7" s="69" t="s">
        <v>64</v>
      </c>
      <c r="M7" s="69" t="s">
        <v>72</v>
      </c>
      <c r="N7" s="69" t="s">
        <v>66</v>
      </c>
      <c r="O7" s="69" t="s">
        <v>67</v>
      </c>
      <c r="P7" s="69" t="s">
        <v>54</v>
      </c>
      <c r="Q7" s="69" t="s">
        <v>55</v>
      </c>
      <c r="R7" s="69" t="s">
        <v>56</v>
      </c>
      <c r="S7" s="69" t="s">
        <v>68</v>
      </c>
      <c r="T7" s="69" t="s">
        <v>58</v>
      </c>
      <c r="U7" s="69" t="s">
        <v>59</v>
      </c>
      <c r="V7" s="69" t="s">
        <v>60</v>
      </c>
      <c r="W7" s="7">
        <v>0</v>
      </c>
      <c r="X7" s="6">
        <v>0</v>
      </c>
      <c r="Y7" s="6">
        <v>0</v>
      </c>
      <c r="Z7" s="6">
        <v>0</v>
      </c>
      <c r="AA7" s="6">
        <v>0</v>
      </c>
      <c r="AB7" s="7">
        <v>4.5599999999999996</v>
      </c>
      <c r="AC7" s="6">
        <v>0</v>
      </c>
      <c r="AD7" s="6">
        <v>0</v>
      </c>
      <c r="AE7" s="6">
        <v>0</v>
      </c>
      <c r="AF7" s="6">
        <v>0</v>
      </c>
      <c r="AG7" s="7">
        <f t="shared" si="0"/>
        <v>4.5599999999999996</v>
      </c>
      <c r="AH7" s="7">
        <f t="shared" si="2"/>
        <v>0.65142857142857136</v>
      </c>
      <c r="AI7" s="7">
        <f t="shared" si="1"/>
        <v>0.10857142857142855</v>
      </c>
      <c r="AJ7" s="7">
        <v>12</v>
      </c>
      <c r="AK7" s="7">
        <f t="shared" si="3"/>
        <v>0.37999999999999995</v>
      </c>
    </row>
    <row r="8" spans="1:37" ht="15.5" x14ac:dyDescent="0.35">
      <c r="A8" s="3">
        <v>4</v>
      </c>
      <c r="B8" s="68" t="s">
        <v>73</v>
      </c>
      <c r="C8" s="5" t="s">
        <v>42</v>
      </c>
      <c r="D8" s="5" t="s">
        <v>43</v>
      </c>
      <c r="E8" s="5" t="s">
        <v>74</v>
      </c>
      <c r="F8" s="5" t="s">
        <v>45</v>
      </c>
      <c r="G8" s="5">
        <v>11</v>
      </c>
      <c r="H8" s="69" t="s">
        <v>75</v>
      </c>
      <c r="I8" s="69" t="s">
        <v>47</v>
      </c>
      <c r="J8" s="69" t="s">
        <v>48</v>
      </c>
      <c r="K8" s="69" t="s">
        <v>76</v>
      </c>
      <c r="L8" s="69" t="s">
        <v>354</v>
      </c>
      <c r="M8" s="69" t="s">
        <v>72</v>
      </c>
      <c r="N8" s="69" t="s">
        <v>66</v>
      </c>
      <c r="O8" s="69" t="s">
        <v>67</v>
      </c>
      <c r="P8" s="69" t="s">
        <v>54</v>
      </c>
      <c r="Q8" s="69" t="s">
        <v>55</v>
      </c>
      <c r="R8" s="5" t="s">
        <v>56</v>
      </c>
      <c r="S8" s="5" t="s">
        <v>57</v>
      </c>
      <c r="T8" s="5" t="s">
        <v>58</v>
      </c>
      <c r="U8" s="69" t="s">
        <v>69</v>
      </c>
      <c r="V8" s="69" t="s">
        <v>60</v>
      </c>
      <c r="W8" s="6">
        <f>(4.3+2.48)-(0.33*2)</f>
        <v>6.1199999999999992</v>
      </c>
      <c r="X8" s="6">
        <f>(3.7+3.46+4.3)-0.33*3</f>
        <v>10.47</v>
      </c>
      <c r="Y8" s="6">
        <f>(279-125)/1000</f>
        <v>0.154</v>
      </c>
      <c r="Z8" s="6">
        <f>1.08-0.125</f>
        <v>0.95500000000000007</v>
      </c>
      <c r="AA8" s="6">
        <f>(256-125)/1000</f>
        <v>0.13100000000000001</v>
      </c>
      <c r="AB8" s="6">
        <f>(741-125)/1000</f>
        <v>0.61599999999999999</v>
      </c>
      <c r="AC8" s="6">
        <f>(134-125)/1000</f>
        <v>8.9999999999999993E-3</v>
      </c>
      <c r="AD8" s="6">
        <v>0</v>
      </c>
      <c r="AE8" s="6">
        <v>0</v>
      </c>
      <c r="AF8" s="6">
        <f>(1240-125)/1000</f>
        <v>1.115</v>
      </c>
      <c r="AG8" s="7">
        <f t="shared" si="0"/>
        <v>19.569999999999997</v>
      </c>
      <c r="AH8" s="7">
        <f t="shared" si="2"/>
        <v>2.7957142857142854</v>
      </c>
      <c r="AI8" s="7">
        <f t="shared" si="1"/>
        <v>0.25415584415584414</v>
      </c>
      <c r="AJ8" s="6">
        <v>70</v>
      </c>
      <c r="AK8" s="6">
        <f t="shared" si="3"/>
        <v>0.27957142857142853</v>
      </c>
    </row>
    <row r="9" spans="1:37" ht="15.5" x14ac:dyDescent="0.35">
      <c r="A9" s="3">
        <v>5</v>
      </c>
      <c r="B9" s="133" t="s">
        <v>77</v>
      </c>
      <c r="C9" s="5" t="s">
        <v>42</v>
      </c>
      <c r="D9" s="5" t="s">
        <v>43</v>
      </c>
      <c r="E9" s="5" t="s">
        <v>74</v>
      </c>
      <c r="F9" s="5" t="s">
        <v>45</v>
      </c>
      <c r="G9" s="5">
        <v>2</v>
      </c>
      <c r="H9" s="69" t="s">
        <v>46</v>
      </c>
      <c r="I9" s="69" t="s">
        <v>71</v>
      </c>
      <c r="J9" s="69" t="s">
        <v>78</v>
      </c>
      <c r="K9" s="69" t="s">
        <v>79</v>
      </c>
      <c r="L9" s="69" t="s">
        <v>64</v>
      </c>
      <c r="M9" s="69" t="s">
        <v>72</v>
      </c>
      <c r="N9" s="69" t="s">
        <v>66</v>
      </c>
      <c r="O9" s="69" t="s">
        <v>67</v>
      </c>
      <c r="P9" s="69" t="s">
        <v>80</v>
      </c>
      <c r="Q9" s="69" t="s">
        <v>55</v>
      </c>
      <c r="R9" s="69" t="s">
        <v>56</v>
      </c>
      <c r="S9" s="69" t="s">
        <v>68</v>
      </c>
      <c r="T9" s="69" t="s">
        <v>81</v>
      </c>
      <c r="U9" s="69" t="s">
        <v>69</v>
      </c>
      <c r="V9" s="69" t="s">
        <v>60</v>
      </c>
      <c r="W9" s="7">
        <v>4.0199999999999996</v>
      </c>
      <c r="X9" s="7">
        <v>0</v>
      </c>
      <c r="Y9" s="6">
        <v>0</v>
      </c>
      <c r="Z9" s="6">
        <v>0</v>
      </c>
      <c r="AA9" s="6">
        <v>0</v>
      </c>
      <c r="AB9" s="7">
        <v>0.05</v>
      </c>
      <c r="AC9" s="6">
        <v>0</v>
      </c>
      <c r="AD9" s="6">
        <v>0</v>
      </c>
      <c r="AE9" s="6">
        <v>0</v>
      </c>
      <c r="AF9" s="6">
        <v>0</v>
      </c>
      <c r="AG9" s="7">
        <f t="shared" si="0"/>
        <v>4.0699999999999994</v>
      </c>
      <c r="AH9" s="7">
        <f t="shared" si="2"/>
        <v>0.58142857142857129</v>
      </c>
      <c r="AI9" s="7">
        <f t="shared" si="1"/>
        <v>0.29071428571428565</v>
      </c>
      <c r="AJ9" s="7">
        <v>8</v>
      </c>
      <c r="AK9" s="7">
        <f t="shared" si="3"/>
        <v>0.50874999999999992</v>
      </c>
    </row>
    <row r="10" spans="1:37" ht="15.5" x14ac:dyDescent="0.35">
      <c r="A10" s="3">
        <v>6</v>
      </c>
      <c r="B10" s="68" t="s">
        <v>82</v>
      </c>
      <c r="C10" s="5" t="s">
        <v>42</v>
      </c>
      <c r="D10" s="5" t="s">
        <v>43</v>
      </c>
      <c r="E10" s="5" t="s">
        <v>74</v>
      </c>
      <c r="F10" s="5" t="s">
        <v>45</v>
      </c>
      <c r="G10" s="5">
        <v>7</v>
      </c>
      <c r="H10" s="5" t="s">
        <v>46</v>
      </c>
      <c r="I10" s="5" t="s">
        <v>71</v>
      </c>
      <c r="J10" s="5" t="s">
        <v>83</v>
      </c>
      <c r="K10" s="5" t="s">
        <v>76</v>
      </c>
      <c r="L10" s="5" t="s">
        <v>50</v>
      </c>
      <c r="M10" s="5" t="s">
        <v>72</v>
      </c>
      <c r="N10" s="5" t="s">
        <v>66</v>
      </c>
      <c r="O10" s="5" t="s">
        <v>67</v>
      </c>
      <c r="P10" s="5" t="s">
        <v>54</v>
      </c>
      <c r="Q10" s="5" t="s">
        <v>55</v>
      </c>
      <c r="R10" s="5" t="s">
        <v>56</v>
      </c>
      <c r="S10" s="5" t="s">
        <v>57</v>
      </c>
      <c r="T10" s="5" t="s">
        <v>84</v>
      </c>
      <c r="U10" s="5" t="s">
        <v>69</v>
      </c>
      <c r="V10" s="5" t="s">
        <v>60</v>
      </c>
      <c r="W10" s="6">
        <f>(279-125)/1000</f>
        <v>0.154</v>
      </c>
      <c r="X10" s="7">
        <v>0</v>
      </c>
      <c r="Y10" s="6">
        <v>0</v>
      </c>
      <c r="Z10" s="6">
        <f>(301-125)/1000</f>
        <v>0.17599999999999999</v>
      </c>
      <c r="AA10" s="6">
        <f>(145-125)/1000</f>
        <v>0.02</v>
      </c>
      <c r="AB10" s="6">
        <f>(154-125)/1000</f>
        <v>2.9000000000000001E-2</v>
      </c>
      <c r="AC10" s="6">
        <f>(947-330)/1000+90/1000</f>
        <v>0.70699999999999996</v>
      </c>
      <c r="AD10" s="6">
        <v>0</v>
      </c>
      <c r="AE10" s="6">
        <v>0</v>
      </c>
      <c r="AF10" s="6">
        <f>(160-125)/1000</f>
        <v>3.5000000000000003E-2</v>
      </c>
      <c r="AG10" s="7">
        <f t="shared" si="0"/>
        <v>1.1209999999999998</v>
      </c>
      <c r="AH10" s="7">
        <f t="shared" si="2"/>
        <v>0.16014285714285711</v>
      </c>
      <c r="AI10" s="7">
        <f t="shared" si="1"/>
        <v>2.2877551020408161E-2</v>
      </c>
      <c r="AJ10" s="6">
        <v>14</v>
      </c>
      <c r="AK10" s="6">
        <f t="shared" si="3"/>
        <v>8.0071428571428557E-2</v>
      </c>
    </row>
    <row r="11" spans="1:37" ht="15.5" x14ac:dyDescent="0.35">
      <c r="A11" s="3">
        <v>7</v>
      </c>
      <c r="B11" s="68" t="s">
        <v>85</v>
      </c>
      <c r="C11" s="5" t="s">
        <v>42</v>
      </c>
      <c r="D11" s="5" t="s">
        <v>43</v>
      </c>
      <c r="E11" s="5" t="s">
        <v>74</v>
      </c>
      <c r="F11" s="5" t="s">
        <v>45</v>
      </c>
      <c r="G11" s="5">
        <v>4</v>
      </c>
      <c r="H11" s="5" t="s">
        <v>62</v>
      </c>
      <c r="I11" s="5" t="s">
        <v>71</v>
      </c>
      <c r="J11" s="5" t="s">
        <v>48</v>
      </c>
      <c r="K11" s="5" t="s">
        <v>49</v>
      </c>
      <c r="L11" s="5" t="s">
        <v>50</v>
      </c>
      <c r="M11" s="5" t="s">
        <v>72</v>
      </c>
      <c r="N11" s="5" t="s">
        <v>66</v>
      </c>
      <c r="O11" s="5" t="s">
        <v>53</v>
      </c>
      <c r="P11" s="5" t="s">
        <v>54</v>
      </c>
      <c r="Q11" s="5" t="s">
        <v>55</v>
      </c>
      <c r="R11" s="5" t="s">
        <v>56</v>
      </c>
      <c r="S11" s="5" t="s">
        <v>57</v>
      </c>
      <c r="T11" s="5" t="s">
        <v>84</v>
      </c>
      <c r="U11" s="5" t="s">
        <v>59</v>
      </c>
      <c r="V11" s="5" t="s">
        <v>60</v>
      </c>
      <c r="W11" s="6">
        <f>(3.72*10-0.33*10)</f>
        <v>33.900000000000006</v>
      </c>
      <c r="X11" s="7">
        <v>0</v>
      </c>
      <c r="Y11" s="6">
        <v>0</v>
      </c>
      <c r="Z11" s="6">
        <v>0</v>
      </c>
      <c r="AA11" s="6">
        <v>0</v>
      </c>
      <c r="AB11" s="6">
        <v>0</v>
      </c>
      <c r="AC11" s="6">
        <v>0</v>
      </c>
      <c r="AD11" s="6">
        <v>0</v>
      </c>
      <c r="AE11" s="6">
        <v>0</v>
      </c>
      <c r="AF11" s="6">
        <v>0</v>
      </c>
      <c r="AG11" s="7">
        <f t="shared" si="0"/>
        <v>33.900000000000006</v>
      </c>
      <c r="AH11" s="7">
        <f t="shared" si="2"/>
        <v>4.8428571428571434</v>
      </c>
      <c r="AI11" s="7">
        <f t="shared" si="1"/>
        <v>1.2107142857142859</v>
      </c>
      <c r="AJ11" s="6">
        <v>100</v>
      </c>
      <c r="AK11" s="6">
        <f t="shared" si="3"/>
        <v>0.33900000000000008</v>
      </c>
    </row>
    <row r="12" spans="1:37" ht="15.5" x14ac:dyDescent="0.35">
      <c r="A12" s="3">
        <v>8</v>
      </c>
      <c r="B12" s="68" t="s">
        <v>86</v>
      </c>
      <c r="C12" s="5" t="s">
        <v>42</v>
      </c>
      <c r="D12" s="5" t="s">
        <v>43</v>
      </c>
      <c r="E12" s="5" t="s">
        <v>74</v>
      </c>
      <c r="F12" s="5" t="s">
        <v>45</v>
      </c>
      <c r="G12" s="5">
        <v>3</v>
      </c>
      <c r="H12" s="5" t="s">
        <v>46</v>
      </c>
      <c r="I12" s="5" t="s">
        <v>71</v>
      </c>
      <c r="J12" s="5" t="s">
        <v>83</v>
      </c>
      <c r="K12" s="5" t="s">
        <v>49</v>
      </c>
      <c r="L12" s="5" t="s">
        <v>50</v>
      </c>
      <c r="M12" s="5" t="s">
        <v>72</v>
      </c>
      <c r="N12" s="5" t="s">
        <v>87</v>
      </c>
      <c r="O12" s="5" t="s">
        <v>53</v>
      </c>
      <c r="P12" s="5" t="s">
        <v>54</v>
      </c>
      <c r="Q12" s="5" t="s">
        <v>55</v>
      </c>
      <c r="R12" s="5" t="s">
        <v>56</v>
      </c>
      <c r="S12" s="5" t="s">
        <v>57</v>
      </c>
      <c r="T12" s="5" t="s">
        <v>84</v>
      </c>
      <c r="U12" s="5" t="s">
        <v>59</v>
      </c>
      <c r="V12" s="5" t="s">
        <v>60</v>
      </c>
      <c r="W12" s="9">
        <v>9.1199999999999992</v>
      </c>
      <c r="X12" s="7">
        <v>0</v>
      </c>
      <c r="Y12" s="6">
        <v>0</v>
      </c>
      <c r="Z12" s="6">
        <f>(693-125)/1000</f>
        <v>0.56799999999999995</v>
      </c>
      <c r="AA12" s="6">
        <f>(163-125)/1000</f>
        <v>3.7999999999999999E-2</v>
      </c>
      <c r="AB12" s="6">
        <v>0</v>
      </c>
      <c r="AC12" s="6">
        <v>0</v>
      </c>
      <c r="AD12" s="6">
        <v>0</v>
      </c>
      <c r="AE12" s="6">
        <f>(249-125)/1000</f>
        <v>0.124</v>
      </c>
      <c r="AF12" s="6">
        <f>(375+200-125)/1000</f>
        <v>0.45</v>
      </c>
      <c r="AG12" s="7">
        <f t="shared" si="0"/>
        <v>10.299999999999999</v>
      </c>
      <c r="AH12" s="7">
        <f t="shared" si="2"/>
        <v>1.4714285714285713</v>
      </c>
      <c r="AI12" s="7">
        <f t="shared" si="1"/>
        <v>0.49047619047619045</v>
      </c>
      <c r="AJ12" s="6">
        <v>34</v>
      </c>
      <c r="AK12" s="6">
        <f t="shared" si="3"/>
        <v>0.30294117647058821</v>
      </c>
    </row>
    <row r="13" spans="1:37" ht="15.5" x14ac:dyDescent="0.35">
      <c r="A13" s="3">
        <v>9</v>
      </c>
      <c r="B13" s="68" t="s">
        <v>88</v>
      </c>
      <c r="C13" s="5" t="s">
        <v>42</v>
      </c>
      <c r="D13" s="5" t="s">
        <v>43</v>
      </c>
      <c r="E13" s="5" t="s">
        <v>74</v>
      </c>
      <c r="F13" s="5" t="s">
        <v>45</v>
      </c>
      <c r="G13" s="5">
        <v>2</v>
      </c>
      <c r="H13" s="5" t="s">
        <v>62</v>
      </c>
      <c r="I13" s="5" t="s">
        <v>71</v>
      </c>
      <c r="J13" s="5" t="s">
        <v>83</v>
      </c>
      <c r="K13" s="5" t="s">
        <v>49</v>
      </c>
      <c r="L13" s="5" t="s">
        <v>50</v>
      </c>
      <c r="M13" s="5" t="s">
        <v>72</v>
      </c>
      <c r="N13" s="5" t="s">
        <v>52</v>
      </c>
      <c r="O13" s="5" t="s">
        <v>53</v>
      </c>
      <c r="P13" s="5" t="s">
        <v>54</v>
      </c>
      <c r="Q13" s="5" t="s">
        <v>55</v>
      </c>
      <c r="R13" s="5" t="s">
        <v>56</v>
      </c>
      <c r="S13" s="5" t="s">
        <v>57</v>
      </c>
      <c r="T13" s="5" t="s">
        <v>58</v>
      </c>
      <c r="U13" s="5" t="s">
        <v>59</v>
      </c>
      <c r="V13" s="5" t="s">
        <v>60</v>
      </c>
      <c r="W13" s="9">
        <v>11.5</v>
      </c>
      <c r="X13" s="7">
        <v>0</v>
      </c>
      <c r="Y13" s="6">
        <v>0</v>
      </c>
      <c r="Z13" s="6">
        <v>0</v>
      </c>
      <c r="AA13" s="6">
        <v>0</v>
      </c>
      <c r="AB13" s="6">
        <f>(173-125)/1000</f>
        <v>4.8000000000000001E-2</v>
      </c>
      <c r="AC13" s="6">
        <v>0</v>
      </c>
      <c r="AD13" s="6">
        <v>0</v>
      </c>
      <c r="AE13" s="6">
        <v>0</v>
      </c>
      <c r="AF13" s="6">
        <v>0</v>
      </c>
      <c r="AG13" s="7">
        <f t="shared" si="0"/>
        <v>11.548</v>
      </c>
      <c r="AH13" s="7">
        <f t="shared" si="2"/>
        <v>1.6497142857142857</v>
      </c>
      <c r="AI13" s="7">
        <f t="shared" si="1"/>
        <v>0.82485714285714284</v>
      </c>
      <c r="AJ13" s="6">
        <v>40</v>
      </c>
      <c r="AK13" s="6">
        <f t="shared" si="3"/>
        <v>0.28870000000000001</v>
      </c>
    </row>
    <row r="14" spans="1:37" ht="15.5" x14ac:dyDescent="0.35">
      <c r="A14" s="3">
        <v>10</v>
      </c>
      <c r="B14" s="68" t="s">
        <v>89</v>
      </c>
      <c r="C14" s="5" t="s">
        <v>42</v>
      </c>
      <c r="D14" s="5" t="s">
        <v>43</v>
      </c>
      <c r="E14" s="5" t="s">
        <v>74</v>
      </c>
      <c r="F14" s="5" t="s">
        <v>45</v>
      </c>
      <c r="G14" s="5">
        <v>3</v>
      </c>
      <c r="H14" s="5" t="s">
        <v>46</v>
      </c>
      <c r="I14" s="5" t="s">
        <v>71</v>
      </c>
      <c r="J14" s="5" t="s">
        <v>83</v>
      </c>
      <c r="K14" s="5" t="s">
        <v>49</v>
      </c>
      <c r="L14" s="5" t="s">
        <v>50</v>
      </c>
      <c r="M14" s="5" t="s">
        <v>65</v>
      </c>
      <c r="N14" s="5" t="s">
        <v>66</v>
      </c>
      <c r="O14" s="5" t="s">
        <v>53</v>
      </c>
      <c r="P14" s="5" t="s">
        <v>54</v>
      </c>
      <c r="Q14" s="5" t="s">
        <v>55</v>
      </c>
      <c r="R14" s="5" t="s">
        <v>56</v>
      </c>
      <c r="S14" s="5" t="s">
        <v>57</v>
      </c>
      <c r="T14" s="5" t="s">
        <v>84</v>
      </c>
      <c r="U14" s="5" t="s">
        <v>69</v>
      </c>
      <c r="V14" s="5" t="s">
        <v>60</v>
      </c>
      <c r="W14" s="10">
        <v>10.3</v>
      </c>
      <c r="X14" s="7">
        <v>0</v>
      </c>
      <c r="Y14" s="6">
        <v>0</v>
      </c>
      <c r="Z14" s="6">
        <v>0</v>
      </c>
      <c r="AA14" s="6">
        <f>(223-125)/1000</f>
        <v>9.8000000000000004E-2</v>
      </c>
      <c r="AB14" s="6">
        <v>0</v>
      </c>
      <c r="AC14" s="6">
        <f>(278-125)/1000</f>
        <v>0.153</v>
      </c>
      <c r="AD14" s="6">
        <v>0</v>
      </c>
      <c r="AE14" s="6">
        <v>0</v>
      </c>
      <c r="AF14" s="6">
        <f>(144-125)/1000</f>
        <v>1.9E-2</v>
      </c>
      <c r="AG14" s="7">
        <f t="shared" si="0"/>
        <v>10.570000000000002</v>
      </c>
      <c r="AH14" s="7">
        <f t="shared" si="2"/>
        <v>1.5100000000000002</v>
      </c>
      <c r="AI14" s="7">
        <f t="shared" si="1"/>
        <v>0.50333333333333341</v>
      </c>
      <c r="AJ14" s="6">
        <v>20</v>
      </c>
      <c r="AK14" s="6">
        <f t="shared" si="3"/>
        <v>0.52850000000000008</v>
      </c>
    </row>
    <row r="15" spans="1:37" ht="15.5" x14ac:dyDescent="0.35">
      <c r="A15" s="3">
        <v>11</v>
      </c>
      <c r="B15" s="68" t="s">
        <v>90</v>
      </c>
      <c r="C15" s="5" t="s">
        <v>42</v>
      </c>
      <c r="D15" s="5" t="s">
        <v>43</v>
      </c>
      <c r="E15" s="5" t="s">
        <v>74</v>
      </c>
      <c r="F15" s="5" t="s">
        <v>45</v>
      </c>
      <c r="G15" s="5">
        <v>2</v>
      </c>
      <c r="H15" s="5" t="s">
        <v>62</v>
      </c>
      <c r="I15" s="5" t="s">
        <v>71</v>
      </c>
      <c r="J15" s="5" t="s">
        <v>83</v>
      </c>
      <c r="K15" s="5" t="s">
        <v>49</v>
      </c>
      <c r="L15" s="5" t="s">
        <v>64</v>
      </c>
      <c r="M15" s="5" t="s">
        <v>65</v>
      </c>
      <c r="N15" s="5" t="s">
        <v>87</v>
      </c>
      <c r="O15" s="5" t="s">
        <v>53</v>
      </c>
      <c r="P15" s="5" t="s">
        <v>54</v>
      </c>
      <c r="Q15" s="5" t="s">
        <v>55</v>
      </c>
      <c r="R15" s="5" t="s">
        <v>56</v>
      </c>
      <c r="S15" s="5" t="s">
        <v>57</v>
      </c>
      <c r="T15" s="5" t="s">
        <v>84</v>
      </c>
      <c r="U15" s="5" t="s">
        <v>69</v>
      </c>
      <c r="V15" s="5" t="s">
        <v>60</v>
      </c>
      <c r="W15" s="6">
        <f>(3.14+4.16)-0.33*2</f>
        <v>6.6400000000000006</v>
      </c>
      <c r="X15" s="7">
        <v>0</v>
      </c>
      <c r="Y15" s="6">
        <v>0</v>
      </c>
      <c r="Z15" s="6">
        <f>(150-125)/1000</f>
        <v>2.5000000000000001E-2</v>
      </c>
      <c r="AA15" s="6">
        <f>(225-125)/1000</f>
        <v>0.1</v>
      </c>
      <c r="AB15" s="6">
        <v>0</v>
      </c>
      <c r="AC15" s="6">
        <v>0</v>
      </c>
      <c r="AD15" s="6">
        <v>0</v>
      </c>
      <c r="AE15" s="6">
        <v>0</v>
      </c>
      <c r="AF15" s="6">
        <v>0</v>
      </c>
      <c r="AG15" s="7">
        <f t="shared" si="0"/>
        <v>6.7650000000000006</v>
      </c>
      <c r="AH15" s="7">
        <f t="shared" si="2"/>
        <v>0.96642857142857153</v>
      </c>
      <c r="AI15" s="7">
        <f t="shared" si="1"/>
        <v>0.48321428571428576</v>
      </c>
      <c r="AJ15" s="6">
        <v>24</v>
      </c>
      <c r="AK15" s="6">
        <f t="shared" si="3"/>
        <v>0.28187500000000004</v>
      </c>
    </row>
    <row r="16" spans="1:37" ht="15.5" x14ac:dyDescent="0.35">
      <c r="A16" s="3">
        <v>12</v>
      </c>
      <c r="B16" s="68" t="s">
        <v>91</v>
      </c>
      <c r="C16" s="5" t="s">
        <v>42</v>
      </c>
      <c r="D16" s="5" t="s">
        <v>43</v>
      </c>
      <c r="E16" s="5" t="s">
        <v>92</v>
      </c>
      <c r="F16" s="5" t="s">
        <v>45</v>
      </c>
      <c r="G16" s="5">
        <v>4</v>
      </c>
      <c r="H16" s="5" t="s">
        <v>46</v>
      </c>
      <c r="I16" s="5" t="s">
        <v>47</v>
      </c>
      <c r="J16" s="5" t="s">
        <v>48</v>
      </c>
      <c r="K16" s="5" t="s">
        <v>93</v>
      </c>
      <c r="L16" s="5" t="s">
        <v>50</v>
      </c>
      <c r="M16" s="5" t="s">
        <v>72</v>
      </c>
      <c r="N16" s="5" t="s">
        <v>66</v>
      </c>
      <c r="O16" s="5" t="s">
        <v>67</v>
      </c>
      <c r="P16" s="5" t="s">
        <v>54</v>
      </c>
      <c r="Q16" s="5" t="s">
        <v>55</v>
      </c>
      <c r="R16" s="5" t="s">
        <v>56</v>
      </c>
      <c r="S16" s="5" t="s">
        <v>68</v>
      </c>
      <c r="T16" s="5" t="s">
        <v>81</v>
      </c>
      <c r="U16" s="5" t="s">
        <v>69</v>
      </c>
      <c r="V16" s="5" t="s">
        <v>60</v>
      </c>
      <c r="W16" s="9">
        <v>8.52</v>
      </c>
      <c r="X16" s="7">
        <v>0</v>
      </c>
      <c r="Y16" s="6">
        <v>0</v>
      </c>
      <c r="Z16" s="6">
        <f>(180-125)/1000</f>
        <v>5.5E-2</v>
      </c>
      <c r="AA16" s="6">
        <v>0</v>
      </c>
      <c r="AB16" s="6">
        <v>0</v>
      </c>
      <c r="AC16" s="6">
        <v>0</v>
      </c>
      <c r="AD16" s="6">
        <v>2.9000000000000001E-2</v>
      </c>
      <c r="AE16" s="6">
        <v>0</v>
      </c>
      <c r="AF16" s="6">
        <f>(454-125)/1000</f>
        <v>0.32900000000000001</v>
      </c>
      <c r="AG16" s="7">
        <f t="shared" si="0"/>
        <v>8.9329999999999998</v>
      </c>
      <c r="AH16" s="7">
        <f t="shared" si="2"/>
        <v>1.276142857142857</v>
      </c>
      <c r="AI16" s="7">
        <f t="shared" si="1"/>
        <v>0.31903571428571426</v>
      </c>
      <c r="AJ16" s="6">
        <v>30</v>
      </c>
      <c r="AK16" s="6">
        <f t="shared" si="3"/>
        <v>0.29776666666666668</v>
      </c>
    </row>
    <row r="17" spans="1:37" ht="15.5" x14ac:dyDescent="0.35">
      <c r="A17" s="3">
        <v>13</v>
      </c>
      <c r="B17" s="133" t="s">
        <v>94</v>
      </c>
      <c r="C17" s="5" t="s">
        <v>42</v>
      </c>
      <c r="D17" s="5" t="s">
        <v>43</v>
      </c>
      <c r="E17" s="5" t="s">
        <v>92</v>
      </c>
      <c r="F17" s="5" t="s">
        <v>45</v>
      </c>
      <c r="G17" s="5">
        <v>3</v>
      </c>
      <c r="H17" s="69" t="s">
        <v>75</v>
      </c>
      <c r="I17" s="69" t="s">
        <v>47</v>
      </c>
      <c r="J17" s="69" t="s">
        <v>83</v>
      </c>
      <c r="K17" s="69" t="s">
        <v>76</v>
      </c>
      <c r="L17" s="69" t="s">
        <v>50</v>
      </c>
      <c r="M17" s="69" t="s">
        <v>72</v>
      </c>
      <c r="N17" s="69" t="s">
        <v>66</v>
      </c>
      <c r="O17" s="69" t="s">
        <v>67</v>
      </c>
      <c r="P17" s="69" t="s">
        <v>54</v>
      </c>
      <c r="Q17" s="69" t="s">
        <v>55</v>
      </c>
      <c r="R17" s="69" t="s">
        <v>56</v>
      </c>
      <c r="S17" s="69" t="s">
        <v>57</v>
      </c>
      <c r="T17" s="69" t="s">
        <v>84</v>
      </c>
      <c r="U17" s="69" t="s">
        <v>69</v>
      </c>
      <c r="V17" s="69" t="s">
        <v>60</v>
      </c>
      <c r="W17" s="7">
        <f>0.54-0.33</f>
        <v>0.21000000000000002</v>
      </c>
      <c r="X17" s="7">
        <v>0</v>
      </c>
      <c r="Y17" s="6">
        <v>0</v>
      </c>
      <c r="Z17" s="6">
        <v>0</v>
      </c>
      <c r="AA17" s="6">
        <v>0</v>
      </c>
      <c r="AB17" s="7">
        <f>1.2-0.33</f>
        <v>0.86999999999999988</v>
      </c>
      <c r="AC17" s="7">
        <f>0.9-0.33</f>
        <v>0.57000000000000006</v>
      </c>
      <c r="AD17" s="6">
        <v>0</v>
      </c>
      <c r="AE17" s="6">
        <v>0</v>
      </c>
      <c r="AF17" s="11">
        <v>0.5</v>
      </c>
      <c r="AG17" s="7">
        <f t="shared" si="0"/>
        <v>2.15</v>
      </c>
      <c r="AH17" s="7">
        <f t="shared" si="2"/>
        <v>0.30714285714285711</v>
      </c>
      <c r="AI17" s="7">
        <f t="shared" si="1"/>
        <v>0.10238095238095236</v>
      </c>
      <c r="AJ17" s="12">
        <v>4</v>
      </c>
      <c r="AK17" s="7">
        <f t="shared" si="3"/>
        <v>0.53749999999999998</v>
      </c>
    </row>
    <row r="18" spans="1:37" ht="15.5" x14ac:dyDescent="0.35">
      <c r="A18" s="3">
        <v>14</v>
      </c>
      <c r="B18" s="68" t="s">
        <v>95</v>
      </c>
      <c r="C18" s="5" t="s">
        <v>42</v>
      </c>
      <c r="D18" s="5" t="s">
        <v>43</v>
      </c>
      <c r="E18" s="5" t="s">
        <v>92</v>
      </c>
      <c r="F18" s="5" t="s">
        <v>45</v>
      </c>
      <c r="G18" s="5">
        <v>6</v>
      </c>
      <c r="H18" s="5" t="s">
        <v>62</v>
      </c>
      <c r="I18" s="5" t="s">
        <v>47</v>
      </c>
      <c r="J18" s="5" t="s">
        <v>63</v>
      </c>
      <c r="K18" s="5" t="s">
        <v>49</v>
      </c>
      <c r="L18" s="5" t="s">
        <v>50</v>
      </c>
      <c r="M18" s="5" t="s">
        <v>65</v>
      </c>
      <c r="N18" s="5" t="s">
        <v>66</v>
      </c>
      <c r="O18" s="5" t="s">
        <v>53</v>
      </c>
      <c r="P18" s="5" t="s">
        <v>54</v>
      </c>
      <c r="Q18" s="5" t="s">
        <v>55</v>
      </c>
      <c r="R18" s="5" t="s">
        <v>56</v>
      </c>
      <c r="S18" s="5" t="s">
        <v>57</v>
      </c>
      <c r="T18" s="5" t="s">
        <v>84</v>
      </c>
      <c r="U18" s="5" t="s">
        <v>69</v>
      </c>
      <c r="V18" s="5" t="s">
        <v>60</v>
      </c>
      <c r="W18" s="9">
        <v>9.42</v>
      </c>
      <c r="X18" s="7">
        <v>0</v>
      </c>
      <c r="Y18" s="6">
        <f>(194-125)/1000</f>
        <v>6.9000000000000006E-2</v>
      </c>
      <c r="Z18" s="6">
        <f>309/1000</f>
        <v>0.309</v>
      </c>
      <c r="AA18" s="6">
        <f>(413-125)/1000</f>
        <v>0.28799999999999998</v>
      </c>
      <c r="AB18" s="6">
        <f>(599-125)/1000</f>
        <v>0.47399999999999998</v>
      </c>
      <c r="AC18" s="6">
        <f>(276-125)/1000</f>
        <v>0.151</v>
      </c>
      <c r="AD18" s="6">
        <v>0</v>
      </c>
      <c r="AE18" s="6">
        <v>0</v>
      </c>
      <c r="AF18" s="6">
        <f>(1.17-0.33)</f>
        <v>0.83999999999999986</v>
      </c>
      <c r="AG18" s="7">
        <f t="shared" si="0"/>
        <v>11.551</v>
      </c>
      <c r="AH18" s="7">
        <f t="shared" si="2"/>
        <v>1.6501428571428571</v>
      </c>
      <c r="AI18" s="7">
        <f t="shared" si="1"/>
        <v>0.2750238095238095</v>
      </c>
      <c r="AJ18" s="6">
        <v>40</v>
      </c>
      <c r="AK18" s="6">
        <f t="shared" si="3"/>
        <v>0.288775</v>
      </c>
    </row>
    <row r="19" spans="1:37" ht="15.5" x14ac:dyDescent="0.35">
      <c r="A19" s="3">
        <v>15</v>
      </c>
      <c r="B19" s="68" t="s">
        <v>96</v>
      </c>
      <c r="C19" s="5" t="s">
        <v>42</v>
      </c>
      <c r="D19" s="5" t="s">
        <v>43</v>
      </c>
      <c r="E19" s="5" t="s">
        <v>92</v>
      </c>
      <c r="F19" s="5" t="s">
        <v>45</v>
      </c>
      <c r="G19" s="5">
        <v>11</v>
      </c>
      <c r="H19" s="5" t="s">
        <v>75</v>
      </c>
      <c r="I19" s="5" t="s">
        <v>47</v>
      </c>
      <c r="J19" s="5" t="s">
        <v>83</v>
      </c>
      <c r="K19" s="5" t="s">
        <v>49</v>
      </c>
      <c r="L19" s="5" t="s">
        <v>50</v>
      </c>
      <c r="M19" s="5" t="s">
        <v>72</v>
      </c>
      <c r="N19" s="5" t="s">
        <v>66</v>
      </c>
      <c r="O19" s="5" t="s">
        <v>67</v>
      </c>
      <c r="P19" s="5" t="s">
        <v>80</v>
      </c>
      <c r="Q19" s="5" t="s">
        <v>55</v>
      </c>
      <c r="R19" s="5" t="s">
        <v>56</v>
      </c>
      <c r="S19" s="5" t="s">
        <v>57</v>
      </c>
      <c r="T19" s="5" t="s">
        <v>58</v>
      </c>
      <c r="U19" s="5" t="s">
        <v>69</v>
      </c>
      <c r="V19" s="5" t="s">
        <v>60</v>
      </c>
      <c r="W19" s="9">
        <v>13.12</v>
      </c>
      <c r="X19" s="7">
        <v>0</v>
      </c>
      <c r="Y19" s="6">
        <v>0</v>
      </c>
      <c r="Z19" s="6">
        <f>(1.14*3-0.33*3)</f>
        <v>2.4299999999999997</v>
      </c>
      <c r="AA19" s="6">
        <v>0</v>
      </c>
      <c r="AB19" s="6">
        <f>1.76*3-0.33*3</f>
        <v>4.29</v>
      </c>
      <c r="AC19" s="6">
        <f>(0.782*3+0.45*3)-2*3*0.33</f>
        <v>1.7160000000000002</v>
      </c>
      <c r="AD19" s="6">
        <v>0</v>
      </c>
      <c r="AE19" s="6">
        <v>0</v>
      </c>
      <c r="AF19" s="6">
        <v>0</v>
      </c>
      <c r="AG19" s="7">
        <f t="shared" si="0"/>
        <v>21.556000000000001</v>
      </c>
      <c r="AH19" s="7">
        <f t="shared" si="2"/>
        <v>3.0794285714285716</v>
      </c>
      <c r="AI19" s="7">
        <f t="shared" si="1"/>
        <v>0.27994805194805195</v>
      </c>
      <c r="AJ19" s="6">
        <v>64</v>
      </c>
      <c r="AK19" s="6">
        <f t="shared" si="3"/>
        <v>0.33681250000000001</v>
      </c>
    </row>
    <row r="20" spans="1:37" ht="15.5" x14ac:dyDescent="0.35">
      <c r="A20" s="3">
        <v>16</v>
      </c>
      <c r="B20" s="68" t="s">
        <v>97</v>
      </c>
      <c r="C20" s="5" t="s">
        <v>42</v>
      </c>
      <c r="D20" s="5" t="s">
        <v>43</v>
      </c>
      <c r="E20" s="5" t="s">
        <v>92</v>
      </c>
      <c r="F20" s="5" t="s">
        <v>45</v>
      </c>
      <c r="G20" s="5">
        <v>3</v>
      </c>
      <c r="H20" s="5" t="s">
        <v>46</v>
      </c>
      <c r="I20" s="5" t="s">
        <v>71</v>
      </c>
      <c r="J20" s="5" t="s">
        <v>48</v>
      </c>
      <c r="K20" s="5" t="s">
        <v>49</v>
      </c>
      <c r="L20" s="5" t="s">
        <v>50</v>
      </c>
      <c r="M20" s="5" t="s">
        <v>72</v>
      </c>
      <c r="N20" s="5" t="s">
        <v>52</v>
      </c>
      <c r="O20" s="5" t="s">
        <v>53</v>
      </c>
      <c r="P20" s="5" t="s">
        <v>54</v>
      </c>
      <c r="Q20" s="5" t="s">
        <v>55</v>
      </c>
      <c r="R20" s="5" t="s">
        <v>98</v>
      </c>
      <c r="S20" s="5" t="s">
        <v>99</v>
      </c>
      <c r="T20" s="5" t="s">
        <v>84</v>
      </c>
      <c r="U20" s="5" t="s">
        <v>59</v>
      </c>
      <c r="V20" s="5" t="s">
        <v>60</v>
      </c>
      <c r="W20" s="9">
        <v>4.18</v>
      </c>
      <c r="X20" s="7">
        <v>0</v>
      </c>
      <c r="Y20" s="6">
        <v>0</v>
      </c>
      <c r="Z20" s="6">
        <v>0</v>
      </c>
      <c r="AA20" s="6">
        <v>0</v>
      </c>
      <c r="AB20" s="6">
        <f>(632-125)/1000</f>
        <v>0.50700000000000001</v>
      </c>
      <c r="AC20" s="6">
        <v>0</v>
      </c>
      <c r="AD20" s="6">
        <v>0</v>
      </c>
      <c r="AE20" s="6">
        <v>0</v>
      </c>
      <c r="AF20" s="6">
        <f>(845-330)/1000</f>
        <v>0.51500000000000001</v>
      </c>
      <c r="AG20" s="7">
        <f>SUM(AB20:AF20)+4.18</f>
        <v>5.202</v>
      </c>
      <c r="AH20" s="7">
        <f t="shared" si="2"/>
        <v>0.74314285714285711</v>
      </c>
      <c r="AI20" s="7">
        <f t="shared" si="1"/>
        <v>0.24771428571428569</v>
      </c>
      <c r="AJ20" s="6">
        <v>10</v>
      </c>
      <c r="AK20" s="6">
        <f t="shared" si="3"/>
        <v>0.5202</v>
      </c>
    </row>
    <row r="21" spans="1:37" ht="15.5" x14ac:dyDescent="0.35">
      <c r="A21" s="3">
        <v>17</v>
      </c>
      <c r="B21" s="68" t="s">
        <v>100</v>
      </c>
      <c r="C21" s="5" t="s">
        <v>42</v>
      </c>
      <c r="D21" s="5" t="s">
        <v>43</v>
      </c>
      <c r="E21" s="5" t="s">
        <v>92</v>
      </c>
      <c r="F21" s="5" t="s">
        <v>45</v>
      </c>
      <c r="G21" s="5">
        <v>12</v>
      </c>
      <c r="H21" s="5" t="s">
        <v>62</v>
      </c>
      <c r="I21" s="5" t="s">
        <v>71</v>
      </c>
      <c r="J21" s="5" t="s">
        <v>48</v>
      </c>
      <c r="K21" s="5" t="s">
        <v>49</v>
      </c>
      <c r="L21" s="5" t="s">
        <v>50</v>
      </c>
      <c r="M21" s="5" t="s">
        <v>72</v>
      </c>
      <c r="N21" s="5" t="s">
        <v>66</v>
      </c>
      <c r="O21" s="5" t="s">
        <v>67</v>
      </c>
      <c r="P21" s="5" t="s">
        <v>54</v>
      </c>
      <c r="Q21" s="5" t="s">
        <v>55</v>
      </c>
      <c r="R21" s="5" t="s">
        <v>98</v>
      </c>
      <c r="S21" s="5" t="s">
        <v>99</v>
      </c>
      <c r="T21" s="5" t="s">
        <v>84</v>
      </c>
      <c r="U21" s="5" t="s">
        <v>59</v>
      </c>
      <c r="V21" s="5" t="s">
        <v>60</v>
      </c>
      <c r="W21" s="6">
        <f>(4.26*8)</f>
        <v>34.08</v>
      </c>
      <c r="X21" s="7">
        <v>0</v>
      </c>
      <c r="Y21" s="6">
        <v>0</v>
      </c>
      <c r="Z21" s="6">
        <v>0</v>
      </c>
      <c r="AA21" s="6">
        <v>0</v>
      </c>
      <c r="AB21" s="6">
        <v>0</v>
      </c>
      <c r="AC21" s="6">
        <v>0</v>
      </c>
      <c r="AD21" s="6">
        <v>0</v>
      </c>
      <c r="AE21" s="6">
        <v>0</v>
      </c>
      <c r="AF21" s="6">
        <v>0</v>
      </c>
      <c r="AG21" s="7">
        <f>W21+3.2</f>
        <v>37.28</v>
      </c>
      <c r="AH21" s="7">
        <f t="shared" si="2"/>
        <v>5.3257142857142856</v>
      </c>
      <c r="AI21" s="7">
        <f t="shared" si="1"/>
        <v>0.44380952380952382</v>
      </c>
      <c r="AJ21" s="6">
        <v>140</v>
      </c>
      <c r="AK21" s="6">
        <f t="shared" si="3"/>
        <v>0.26628571428571429</v>
      </c>
    </row>
    <row r="22" spans="1:37" ht="15.5" x14ac:dyDescent="0.35">
      <c r="A22" s="3">
        <v>18</v>
      </c>
      <c r="B22" s="133" t="s">
        <v>101</v>
      </c>
      <c r="C22" s="5" t="s">
        <v>42</v>
      </c>
      <c r="D22" s="5" t="s">
        <v>43</v>
      </c>
      <c r="E22" s="69" t="s">
        <v>102</v>
      </c>
      <c r="F22" s="5" t="s">
        <v>45</v>
      </c>
      <c r="G22" s="5">
        <v>6</v>
      </c>
      <c r="H22" s="69" t="s">
        <v>62</v>
      </c>
      <c r="I22" s="69" t="s">
        <v>47</v>
      </c>
      <c r="J22" s="69" t="s">
        <v>78</v>
      </c>
      <c r="K22" s="69" t="s">
        <v>103</v>
      </c>
      <c r="L22" s="69" t="s">
        <v>104</v>
      </c>
      <c r="M22" s="69" t="s">
        <v>51</v>
      </c>
      <c r="N22" s="69" t="s">
        <v>52</v>
      </c>
      <c r="O22" s="69" t="s">
        <v>53</v>
      </c>
      <c r="P22" s="69" t="s">
        <v>54</v>
      </c>
      <c r="Q22" s="69" t="s">
        <v>55</v>
      </c>
      <c r="R22" s="69" t="s">
        <v>56</v>
      </c>
      <c r="S22" s="69" t="s">
        <v>68</v>
      </c>
      <c r="T22" s="69" t="s">
        <v>81</v>
      </c>
      <c r="U22" s="69" t="s">
        <v>69</v>
      </c>
      <c r="V22" s="69" t="s">
        <v>60</v>
      </c>
      <c r="W22" s="7">
        <f>4.24+6.16+5.9+6.08</f>
        <v>22.380000000000003</v>
      </c>
      <c r="X22" s="6">
        <f>(540-125)/1000</f>
        <v>0.41499999999999998</v>
      </c>
      <c r="Y22" s="6">
        <v>0</v>
      </c>
      <c r="Z22" s="6">
        <v>0</v>
      </c>
      <c r="AA22" s="6">
        <f>(362-125)/1000</f>
        <v>0.23699999999999999</v>
      </c>
      <c r="AB22" s="6">
        <f>(454-125)/1000</f>
        <v>0.32900000000000001</v>
      </c>
      <c r="AC22" s="6">
        <f>(1171+651-330)/1000</f>
        <v>1.492</v>
      </c>
      <c r="AD22" s="6">
        <v>0</v>
      </c>
      <c r="AE22" s="6">
        <v>0</v>
      </c>
      <c r="AF22" s="6">
        <f>(411-330)/1000</f>
        <v>8.1000000000000003E-2</v>
      </c>
      <c r="AG22" s="7">
        <f t="shared" ref="AG22:AG30" si="4">SUM(W22:AF22)</f>
        <v>24.934000000000001</v>
      </c>
      <c r="AH22" s="7">
        <f t="shared" si="2"/>
        <v>3.5620000000000003</v>
      </c>
      <c r="AI22" s="7">
        <f t="shared" si="1"/>
        <v>0.59366666666666668</v>
      </c>
      <c r="AJ22" s="6">
        <v>70</v>
      </c>
      <c r="AK22" s="6">
        <f t="shared" si="3"/>
        <v>0.35620000000000002</v>
      </c>
    </row>
    <row r="23" spans="1:37" ht="15.5" x14ac:dyDescent="0.35">
      <c r="A23" s="3">
        <v>19</v>
      </c>
      <c r="B23" s="133" t="s">
        <v>105</v>
      </c>
      <c r="C23" s="5" t="s">
        <v>42</v>
      </c>
      <c r="D23" s="5" t="s">
        <v>43</v>
      </c>
      <c r="E23" s="69" t="s">
        <v>102</v>
      </c>
      <c r="F23" s="5" t="s">
        <v>45</v>
      </c>
      <c r="G23" s="5">
        <v>7</v>
      </c>
      <c r="H23" s="69" t="s">
        <v>75</v>
      </c>
      <c r="I23" s="69" t="s">
        <v>47</v>
      </c>
      <c r="J23" s="69" t="s">
        <v>48</v>
      </c>
      <c r="K23" s="69" t="s">
        <v>49</v>
      </c>
      <c r="L23" s="69" t="s">
        <v>64</v>
      </c>
      <c r="M23" s="69" t="s">
        <v>51</v>
      </c>
      <c r="N23" s="69" t="s">
        <v>66</v>
      </c>
      <c r="O23" s="69" t="s">
        <v>67</v>
      </c>
      <c r="P23" s="69" t="s">
        <v>54</v>
      </c>
      <c r="Q23" s="69" t="s">
        <v>55</v>
      </c>
      <c r="R23" s="69" t="s">
        <v>56</v>
      </c>
      <c r="S23" s="69" t="s">
        <v>57</v>
      </c>
      <c r="T23" s="69" t="s">
        <v>58</v>
      </c>
      <c r="U23" s="69" t="s">
        <v>69</v>
      </c>
      <c r="V23" s="69" t="s">
        <v>106</v>
      </c>
      <c r="W23" s="6">
        <v>11.9</v>
      </c>
      <c r="X23" s="6">
        <v>0</v>
      </c>
      <c r="Y23" s="6">
        <v>0</v>
      </c>
      <c r="Z23" s="6">
        <f>1.355-0.33</f>
        <v>1.0249999999999999</v>
      </c>
      <c r="AA23" s="6">
        <v>0</v>
      </c>
      <c r="AB23" s="6">
        <f>(1184-125)/1000</f>
        <v>1.0589999999999999</v>
      </c>
      <c r="AC23" s="6">
        <f>1.032-0.33</f>
        <v>0.70199999999999996</v>
      </c>
      <c r="AD23" s="6">
        <v>0</v>
      </c>
      <c r="AE23" s="6">
        <v>0</v>
      </c>
      <c r="AF23" s="6">
        <f>0.306-0.125</f>
        <v>0.18099999999999999</v>
      </c>
      <c r="AG23" s="7">
        <f t="shared" si="4"/>
        <v>14.866999999999999</v>
      </c>
      <c r="AH23" s="7">
        <f t="shared" si="2"/>
        <v>2.1238571428571427</v>
      </c>
      <c r="AI23" s="7">
        <f t="shared" si="1"/>
        <v>0.30340816326530612</v>
      </c>
      <c r="AJ23" s="6">
        <v>34</v>
      </c>
      <c r="AK23" s="6">
        <f t="shared" si="3"/>
        <v>0.43726470588235289</v>
      </c>
    </row>
    <row r="24" spans="1:37" ht="15.5" x14ac:dyDescent="0.35">
      <c r="A24" s="3">
        <v>20</v>
      </c>
      <c r="B24" s="133" t="s">
        <v>107</v>
      </c>
      <c r="C24" s="5" t="s">
        <v>42</v>
      </c>
      <c r="D24" s="5" t="s">
        <v>43</v>
      </c>
      <c r="E24" s="69" t="s">
        <v>102</v>
      </c>
      <c r="F24" s="5" t="s">
        <v>45</v>
      </c>
      <c r="G24" s="5">
        <v>3</v>
      </c>
      <c r="H24" s="69" t="s">
        <v>46</v>
      </c>
      <c r="I24" s="69" t="s">
        <v>47</v>
      </c>
      <c r="J24" s="69" t="s">
        <v>63</v>
      </c>
      <c r="K24" s="69" t="s">
        <v>76</v>
      </c>
      <c r="L24" s="69" t="s">
        <v>50</v>
      </c>
      <c r="M24" s="69" t="s">
        <v>72</v>
      </c>
      <c r="N24" s="69" t="s">
        <v>52</v>
      </c>
      <c r="O24" s="69" t="s">
        <v>53</v>
      </c>
      <c r="P24" s="69" t="s">
        <v>54</v>
      </c>
      <c r="Q24" s="69" t="s">
        <v>55</v>
      </c>
      <c r="R24" s="69" t="s">
        <v>56</v>
      </c>
      <c r="S24" s="69" t="s">
        <v>57</v>
      </c>
      <c r="T24" s="69" t="s">
        <v>84</v>
      </c>
      <c r="U24" s="69" t="s">
        <v>69</v>
      </c>
      <c r="V24" s="69" t="s">
        <v>106</v>
      </c>
      <c r="W24" s="6">
        <f>(2.82*7-0.125*7)</f>
        <v>18.864999999999998</v>
      </c>
      <c r="X24" s="6">
        <v>0</v>
      </c>
      <c r="Y24" s="6">
        <v>0</v>
      </c>
      <c r="Z24" s="6">
        <v>0</v>
      </c>
      <c r="AA24" s="6">
        <f>(179-125)/1000</f>
        <v>5.3999999999999999E-2</v>
      </c>
      <c r="AB24" s="6">
        <f>(520-125)/1000</f>
        <v>0.39500000000000002</v>
      </c>
      <c r="AC24" s="6">
        <f>(481-330)/1000</f>
        <v>0.151</v>
      </c>
      <c r="AD24" s="6">
        <v>0</v>
      </c>
      <c r="AE24" s="6">
        <v>0</v>
      </c>
      <c r="AF24" s="6">
        <v>0</v>
      </c>
      <c r="AG24" s="7">
        <f t="shared" si="4"/>
        <v>19.464999999999996</v>
      </c>
      <c r="AH24" s="7">
        <f t="shared" si="2"/>
        <v>2.7807142857142852</v>
      </c>
      <c r="AI24" s="7">
        <f t="shared" si="1"/>
        <v>0.92690476190476179</v>
      </c>
      <c r="AJ24" s="6">
        <v>64</v>
      </c>
      <c r="AK24" s="6">
        <f t="shared" si="3"/>
        <v>0.30414062499999994</v>
      </c>
    </row>
    <row r="25" spans="1:37" ht="15.5" x14ac:dyDescent="0.35">
      <c r="A25" s="3">
        <v>21</v>
      </c>
      <c r="B25" s="133" t="s">
        <v>108</v>
      </c>
      <c r="C25" s="5" t="s">
        <v>42</v>
      </c>
      <c r="D25" s="5" t="s">
        <v>43</v>
      </c>
      <c r="E25" s="69" t="s">
        <v>102</v>
      </c>
      <c r="F25" s="5" t="s">
        <v>45</v>
      </c>
      <c r="G25" s="5">
        <v>2</v>
      </c>
      <c r="H25" s="69" t="s">
        <v>46</v>
      </c>
      <c r="I25" s="69" t="s">
        <v>47</v>
      </c>
      <c r="J25" s="69" t="s">
        <v>48</v>
      </c>
      <c r="K25" s="69" t="s">
        <v>79</v>
      </c>
      <c r="L25" s="69" t="s">
        <v>64</v>
      </c>
      <c r="M25" s="69" t="s">
        <v>72</v>
      </c>
      <c r="N25" s="69" t="s">
        <v>52</v>
      </c>
      <c r="O25" s="69" t="s">
        <v>53</v>
      </c>
      <c r="P25" s="69" t="s">
        <v>54</v>
      </c>
      <c r="Q25" s="69" t="s">
        <v>55</v>
      </c>
      <c r="R25" s="69" t="s">
        <v>56</v>
      </c>
      <c r="S25" s="69" t="s">
        <v>57</v>
      </c>
      <c r="T25" s="69" t="s">
        <v>58</v>
      </c>
      <c r="U25" s="69" t="s">
        <v>69</v>
      </c>
      <c r="V25" s="69" t="s">
        <v>106</v>
      </c>
      <c r="W25" s="6">
        <v>2.9</v>
      </c>
      <c r="X25" s="6">
        <v>0</v>
      </c>
      <c r="Y25" s="6">
        <v>0</v>
      </c>
      <c r="Z25" s="6">
        <f>0.208-0.125</f>
        <v>8.299999999999999E-2</v>
      </c>
      <c r="AA25" s="6">
        <f>0.233-0.125</f>
        <v>0.10800000000000001</v>
      </c>
      <c r="AB25" s="6">
        <f>0.213-0.125</f>
        <v>8.7999999999999995E-2</v>
      </c>
      <c r="AC25" s="6">
        <v>0</v>
      </c>
      <c r="AD25" s="6">
        <v>0</v>
      </c>
      <c r="AE25" s="6">
        <v>0</v>
      </c>
      <c r="AF25" s="6">
        <f>2.68-0.125</f>
        <v>2.5550000000000002</v>
      </c>
      <c r="AG25" s="7">
        <f t="shared" si="4"/>
        <v>5.734</v>
      </c>
      <c r="AH25" s="7">
        <f t="shared" si="2"/>
        <v>0.81914285714285717</v>
      </c>
      <c r="AI25" s="7">
        <f t="shared" si="1"/>
        <v>0.40957142857142859</v>
      </c>
      <c r="AJ25" s="6">
        <v>34</v>
      </c>
      <c r="AK25" s="6">
        <f t="shared" si="3"/>
        <v>0.1686470588235294</v>
      </c>
    </row>
    <row r="26" spans="1:37" ht="15.5" x14ac:dyDescent="0.35">
      <c r="A26" s="3">
        <v>22</v>
      </c>
      <c r="B26" s="133" t="s">
        <v>109</v>
      </c>
      <c r="C26" s="5" t="s">
        <v>42</v>
      </c>
      <c r="D26" s="5" t="s">
        <v>43</v>
      </c>
      <c r="E26" s="69" t="s">
        <v>102</v>
      </c>
      <c r="F26" s="5" t="s">
        <v>45</v>
      </c>
      <c r="G26" s="5">
        <v>6</v>
      </c>
      <c r="H26" s="69" t="s">
        <v>62</v>
      </c>
      <c r="I26" s="69" t="s">
        <v>71</v>
      </c>
      <c r="J26" s="69" t="s">
        <v>63</v>
      </c>
      <c r="K26" s="69" t="s">
        <v>103</v>
      </c>
      <c r="L26" s="69" t="s">
        <v>50</v>
      </c>
      <c r="M26" s="69" t="s">
        <v>72</v>
      </c>
      <c r="N26" s="69" t="s">
        <v>66</v>
      </c>
      <c r="O26" s="69" t="s">
        <v>67</v>
      </c>
      <c r="P26" s="69" t="s">
        <v>54</v>
      </c>
      <c r="Q26" s="69" t="s">
        <v>55</v>
      </c>
      <c r="R26" s="69" t="s">
        <v>56</v>
      </c>
      <c r="S26" s="69" t="s">
        <v>57</v>
      </c>
      <c r="T26" s="69" t="s">
        <v>81</v>
      </c>
      <c r="U26" s="69" t="s">
        <v>69</v>
      </c>
      <c r="V26" s="69" t="s">
        <v>106</v>
      </c>
      <c r="W26" s="6">
        <v>12.18</v>
      </c>
      <c r="X26" s="6">
        <v>0</v>
      </c>
      <c r="Y26" s="6">
        <v>0</v>
      </c>
      <c r="Z26" s="6">
        <f>0.142-0.125</f>
        <v>1.6999999999999987E-2</v>
      </c>
      <c r="AA26" s="6">
        <f>0.159-0.125</f>
        <v>3.4000000000000002E-2</v>
      </c>
      <c r="AB26" s="6">
        <f>2-0.33</f>
        <v>1.67</v>
      </c>
      <c r="AC26" s="6">
        <f>0.277-0.125</f>
        <v>0.15200000000000002</v>
      </c>
      <c r="AD26" s="6">
        <v>0</v>
      </c>
      <c r="AE26" s="6">
        <v>0.151</v>
      </c>
      <c r="AF26" s="6">
        <v>0</v>
      </c>
      <c r="AG26" s="7">
        <f t="shared" si="4"/>
        <v>14.203999999999999</v>
      </c>
      <c r="AH26" s="7">
        <f t="shared" si="2"/>
        <v>2.0291428571428569</v>
      </c>
      <c r="AI26" s="7">
        <f t="shared" si="1"/>
        <v>0.33819047619047615</v>
      </c>
      <c r="AJ26" s="6">
        <v>30</v>
      </c>
      <c r="AK26" s="6">
        <f t="shared" si="3"/>
        <v>0.47346666666666665</v>
      </c>
    </row>
    <row r="27" spans="1:37" ht="15.5" x14ac:dyDescent="0.35">
      <c r="A27" s="3">
        <v>23</v>
      </c>
      <c r="B27" s="133" t="s">
        <v>110</v>
      </c>
      <c r="C27" s="5" t="s">
        <v>42</v>
      </c>
      <c r="D27" s="5" t="s">
        <v>43</v>
      </c>
      <c r="E27" s="69" t="s">
        <v>102</v>
      </c>
      <c r="F27" s="5" t="s">
        <v>45</v>
      </c>
      <c r="G27" s="5">
        <v>3</v>
      </c>
      <c r="H27" s="69" t="s">
        <v>46</v>
      </c>
      <c r="I27" s="69" t="s">
        <v>47</v>
      </c>
      <c r="J27" s="69" t="s">
        <v>78</v>
      </c>
      <c r="K27" s="69" t="s">
        <v>79</v>
      </c>
      <c r="L27" s="69" t="s">
        <v>64</v>
      </c>
      <c r="M27" s="69" t="s">
        <v>51</v>
      </c>
      <c r="N27" s="69" t="s">
        <v>52</v>
      </c>
      <c r="O27" s="69" t="s">
        <v>53</v>
      </c>
      <c r="P27" s="69" t="s">
        <v>54</v>
      </c>
      <c r="Q27" s="69" t="s">
        <v>55</v>
      </c>
      <c r="R27" s="69" t="s">
        <v>56</v>
      </c>
      <c r="S27" s="69" t="s">
        <v>57</v>
      </c>
      <c r="T27" s="69" t="s">
        <v>84</v>
      </c>
      <c r="U27" s="69" t="s">
        <v>69</v>
      </c>
      <c r="V27" s="69" t="s">
        <v>106</v>
      </c>
      <c r="W27" s="6">
        <f>0.221-0.125</f>
        <v>9.6000000000000002E-2</v>
      </c>
      <c r="X27" s="6">
        <v>0</v>
      </c>
      <c r="Y27" s="6">
        <v>0</v>
      </c>
      <c r="Z27" s="6">
        <v>0</v>
      </c>
      <c r="AA27" s="6">
        <f>0.15+0.148-0.125*2</f>
        <v>4.7999999999999987E-2</v>
      </c>
      <c r="AB27" s="6">
        <f>0.177-0.125</f>
        <v>5.1999999999999991E-2</v>
      </c>
      <c r="AC27" s="6">
        <f>0.271-0.125</f>
        <v>0.14600000000000002</v>
      </c>
      <c r="AD27" s="6">
        <v>0</v>
      </c>
      <c r="AE27" s="6">
        <v>0</v>
      </c>
      <c r="AF27" s="6">
        <v>0</v>
      </c>
      <c r="AG27" s="7">
        <f t="shared" si="4"/>
        <v>0.34199999999999997</v>
      </c>
      <c r="AH27" s="7">
        <f t="shared" si="2"/>
        <v>4.8857142857142856E-2</v>
      </c>
      <c r="AI27" s="7">
        <f t="shared" si="1"/>
        <v>1.6285714285714285E-2</v>
      </c>
      <c r="AJ27" s="6">
        <v>4</v>
      </c>
      <c r="AK27" s="6">
        <f t="shared" si="3"/>
        <v>8.5499999999999993E-2</v>
      </c>
    </row>
    <row r="28" spans="1:37" ht="15.5" x14ac:dyDescent="0.35">
      <c r="A28" s="3">
        <v>24</v>
      </c>
      <c r="B28" s="133" t="s">
        <v>111</v>
      </c>
      <c r="C28" s="5" t="s">
        <v>42</v>
      </c>
      <c r="D28" s="5" t="s">
        <v>43</v>
      </c>
      <c r="E28" s="69" t="s">
        <v>102</v>
      </c>
      <c r="F28" s="5" t="s">
        <v>45</v>
      </c>
      <c r="G28" s="5">
        <v>3</v>
      </c>
      <c r="H28" s="69" t="s">
        <v>46</v>
      </c>
      <c r="I28" s="69" t="s">
        <v>47</v>
      </c>
      <c r="J28" s="69" t="s">
        <v>78</v>
      </c>
      <c r="K28" s="69" t="s">
        <v>49</v>
      </c>
      <c r="L28" s="69" t="s">
        <v>64</v>
      </c>
      <c r="M28" s="69" t="s">
        <v>72</v>
      </c>
      <c r="N28" s="69" t="s">
        <v>52</v>
      </c>
      <c r="O28" s="69" t="s">
        <v>53</v>
      </c>
      <c r="P28" s="69" t="s">
        <v>54</v>
      </c>
      <c r="Q28" s="69" t="s">
        <v>55</v>
      </c>
      <c r="R28" s="69" t="s">
        <v>56</v>
      </c>
      <c r="S28" s="69" t="s">
        <v>57</v>
      </c>
      <c r="T28" s="69" t="s">
        <v>58</v>
      </c>
      <c r="U28" s="69" t="s">
        <v>69</v>
      </c>
      <c r="V28" s="69" t="s">
        <v>106</v>
      </c>
      <c r="W28" s="6">
        <f>0.689-0.125</f>
        <v>0.56399999999999995</v>
      </c>
      <c r="X28" s="6">
        <v>0</v>
      </c>
      <c r="Y28" s="6">
        <v>0</v>
      </c>
      <c r="Z28" s="6">
        <v>0</v>
      </c>
      <c r="AA28" s="6">
        <v>0</v>
      </c>
      <c r="AB28" s="6">
        <f>0.204-0.125</f>
        <v>7.8999999999999987E-2</v>
      </c>
      <c r="AC28" s="6">
        <v>0.14199999999999999</v>
      </c>
      <c r="AD28" s="6">
        <v>0</v>
      </c>
      <c r="AE28" s="6">
        <v>0</v>
      </c>
      <c r="AF28" s="6">
        <v>0</v>
      </c>
      <c r="AG28" s="7">
        <f t="shared" si="4"/>
        <v>0.78499999999999992</v>
      </c>
      <c r="AH28" s="7">
        <f t="shared" si="2"/>
        <v>0.11214285714285713</v>
      </c>
      <c r="AI28" s="7">
        <f t="shared" si="1"/>
        <v>3.7380952380952376E-2</v>
      </c>
      <c r="AJ28" s="6">
        <v>8</v>
      </c>
      <c r="AK28" s="6">
        <f t="shared" si="3"/>
        <v>9.812499999999999E-2</v>
      </c>
    </row>
    <row r="29" spans="1:37" ht="15.5" x14ac:dyDescent="0.35">
      <c r="A29" s="86">
        <v>25</v>
      </c>
      <c r="B29" s="134" t="s">
        <v>112</v>
      </c>
      <c r="C29" s="13" t="s">
        <v>42</v>
      </c>
      <c r="D29" s="13" t="s">
        <v>43</v>
      </c>
      <c r="E29" s="14" t="s">
        <v>102</v>
      </c>
      <c r="F29" s="13" t="s">
        <v>45</v>
      </c>
      <c r="G29" s="13">
        <v>4</v>
      </c>
      <c r="H29" s="14" t="s">
        <v>46</v>
      </c>
      <c r="I29" s="14" t="s">
        <v>47</v>
      </c>
      <c r="J29" s="14" t="s">
        <v>48</v>
      </c>
      <c r="K29" s="14" t="s">
        <v>79</v>
      </c>
      <c r="L29" s="14" t="s">
        <v>50</v>
      </c>
      <c r="M29" s="14" t="s">
        <v>51</v>
      </c>
      <c r="N29" s="14" t="s">
        <v>87</v>
      </c>
      <c r="O29" s="14" t="s">
        <v>53</v>
      </c>
      <c r="P29" s="14" t="s">
        <v>54</v>
      </c>
      <c r="Q29" s="14" t="s">
        <v>55</v>
      </c>
      <c r="R29" s="14" t="s">
        <v>56</v>
      </c>
      <c r="S29" s="14" t="s">
        <v>57</v>
      </c>
      <c r="T29" s="14" t="s">
        <v>58</v>
      </c>
      <c r="U29" s="14" t="s">
        <v>69</v>
      </c>
      <c r="V29" s="14" t="s">
        <v>106</v>
      </c>
      <c r="W29" s="15">
        <v>7.1</v>
      </c>
      <c r="X29" s="16">
        <v>0</v>
      </c>
      <c r="Y29" s="16">
        <v>0</v>
      </c>
      <c r="Z29" s="16">
        <f>0.405-0.125</f>
        <v>0.28000000000000003</v>
      </c>
      <c r="AA29" s="16">
        <v>0</v>
      </c>
      <c r="AB29" s="16">
        <f>0.585-0.125</f>
        <v>0.45999999999999996</v>
      </c>
      <c r="AC29" s="16">
        <f>0.22-0.125</f>
        <v>9.5000000000000001E-2</v>
      </c>
      <c r="AD29" s="16">
        <v>0</v>
      </c>
      <c r="AE29" s="16">
        <v>0</v>
      </c>
      <c r="AF29" s="17">
        <v>0</v>
      </c>
      <c r="AG29" s="18">
        <f t="shared" si="4"/>
        <v>7.9349999999999996</v>
      </c>
      <c r="AH29" s="18">
        <f t="shared" si="2"/>
        <v>1.1335714285714285</v>
      </c>
      <c r="AI29" s="7">
        <f t="shared" si="1"/>
        <v>0.28339285714285711</v>
      </c>
      <c r="AJ29" s="16">
        <v>20</v>
      </c>
      <c r="AK29" s="16">
        <f t="shared" si="3"/>
        <v>0.39674999999999999</v>
      </c>
    </row>
    <row r="30" spans="1:37" ht="15.5" x14ac:dyDescent="0.35">
      <c r="A30" s="86">
        <v>26</v>
      </c>
      <c r="B30" s="133" t="s">
        <v>113</v>
      </c>
      <c r="C30" s="5" t="s">
        <v>42</v>
      </c>
      <c r="D30" s="5" t="s">
        <v>43</v>
      </c>
      <c r="E30" s="69" t="s">
        <v>102</v>
      </c>
      <c r="F30" s="5" t="s">
        <v>45</v>
      </c>
      <c r="G30" s="5">
        <v>2</v>
      </c>
      <c r="H30" s="69" t="s">
        <v>62</v>
      </c>
      <c r="I30" s="69" t="s">
        <v>47</v>
      </c>
      <c r="J30" s="69" t="s">
        <v>48</v>
      </c>
      <c r="K30" s="69" t="s">
        <v>49</v>
      </c>
      <c r="L30" s="69" t="s">
        <v>50</v>
      </c>
      <c r="M30" s="69" t="s">
        <v>51</v>
      </c>
      <c r="N30" s="69" t="s">
        <v>52</v>
      </c>
      <c r="O30" s="69" t="s">
        <v>53</v>
      </c>
      <c r="P30" s="69" t="s">
        <v>54</v>
      </c>
      <c r="Q30" s="69" t="s">
        <v>55</v>
      </c>
      <c r="R30" s="69" t="s">
        <v>56</v>
      </c>
      <c r="S30" s="69" t="s">
        <v>57</v>
      </c>
      <c r="T30" s="69" t="s">
        <v>58</v>
      </c>
      <c r="U30" s="69" t="s">
        <v>59</v>
      </c>
      <c r="V30" s="69" t="s">
        <v>106</v>
      </c>
      <c r="W30" s="19">
        <v>14.06</v>
      </c>
      <c r="X30" s="6">
        <v>0</v>
      </c>
      <c r="Y30" s="6">
        <v>0</v>
      </c>
      <c r="Z30" s="6">
        <v>0</v>
      </c>
      <c r="AA30" s="6">
        <f>0.138-0.125</f>
        <v>1.3000000000000012E-2</v>
      </c>
      <c r="AB30" s="6">
        <f>0.252-0.125</f>
        <v>0.127</v>
      </c>
      <c r="AC30" s="6">
        <f>0.214-0.125</f>
        <v>8.8999999999999996E-2</v>
      </c>
      <c r="AD30" s="6">
        <v>0</v>
      </c>
      <c r="AE30" s="6">
        <f>0.237-0.125</f>
        <v>0.11199999999999999</v>
      </c>
      <c r="AF30" s="20">
        <f>0.332-0.125</f>
        <v>0.20700000000000002</v>
      </c>
      <c r="AG30" s="7">
        <f t="shared" si="4"/>
        <v>14.608000000000002</v>
      </c>
      <c r="AH30" s="7">
        <f t="shared" si="2"/>
        <v>2.0868571428571432</v>
      </c>
      <c r="AI30" s="7">
        <f t="shared" si="1"/>
        <v>1.0434285714285716</v>
      </c>
      <c r="AJ30" s="6">
        <v>34</v>
      </c>
      <c r="AK30" s="6">
        <f t="shared" si="3"/>
        <v>0.42964705882352949</v>
      </c>
    </row>
    <row r="31" spans="1:37" ht="15.5" x14ac:dyDescent="0.35">
      <c r="A31" s="86">
        <v>27</v>
      </c>
      <c r="B31" s="133" t="s">
        <v>114</v>
      </c>
      <c r="C31" s="5" t="s">
        <v>42</v>
      </c>
      <c r="D31" s="5" t="s">
        <v>43</v>
      </c>
      <c r="E31" s="69" t="s">
        <v>102</v>
      </c>
      <c r="F31" s="5" t="s">
        <v>45</v>
      </c>
      <c r="G31" s="5">
        <v>5</v>
      </c>
      <c r="H31" s="69" t="s">
        <v>46</v>
      </c>
      <c r="I31" s="69" t="s">
        <v>47</v>
      </c>
      <c r="J31" s="69" t="s">
        <v>48</v>
      </c>
      <c r="K31" s="69" t="s">
        <v>49</v>
      </c>
      <c r="L31" s="69" t="s">
        <v>50</v>
      </c>
      <c r="M31" s="69" t="s">
        <v>51</v>
      </c>
      <c r="N31" s="69" t="s">
        <v>355</v>
      </c>
      <c r="O31" s="69" t="s">
        <v>53</v>
      </c>
      <c r="P31" s="69" t="s">
        <v>54</v>
      </c>
      <c r="Q31" s="69" t="s">
        <v>55</v>
      </c>
      <c r="R31" s="69" t="s">
        <v>56</v>
      </c>
      <c r="S31" s="69" t="s">
        <v>57</v>
      </c>
      <c r="T31" s="69" t="s">
        <v>58</v>
      </c>
      <c r="U31" s="69" t="s">
        <v>59</v>
      </c>
      <c r="V31" s="69" t="s">
        <v>106</v>
      </c>
      <c r="W31" s="7">
        <v>29.38</v>
      </c>
      <c r="X31" s="7">
        <v>9.35</v>
      </c>
      <c r="Y31" s="6">
        <v>0</v>
      </c>
      <c r="Z31" s="6">
        <v>0</v>
      </c>
      <c r="AA31" s="6">
        <v>0</v>
      </c>
      <c r="AB31" s="7">
        <v>3.28</v>
      </c>
      <c r="AC31" s="7">
        <v>1.99</v>
      </c>
      <c r="AD31" s="6">
        <v>0</v>
      </c>
      <c r="AE31" s="6">
        <v>0</v>
      </c>
      <c r="AF31" s="20">
        <v>0</v>
      </c>
      <c r="AG31" s="7">
        <f>34+10</f>
        <v>44</v>
      </c>
      <c r="AH31" s="7">
        <f t="shared" si="2"/>
        <v>6.2857142857142856</v>
      </c>
      <c r="AI31" s="7">
        <f t="shared" si="1"/>
        <v>1.2571428571428571</v>
      </c>
      <c r="AJ31" s="7">
        <v>140</v>
      </c>
      <c r="AK31" s="7">
        <f t="shared" si="3"/>
        <v>0.31428571428571428</v>
      </c>
    </row>
    <row r="32" spans="1:37" ht="15.5" x14ac:dyDescent="0.35">
      <c r="A32" s="86">
        <v>28</v>
      </c>
      <c r="B32" s="133" t="s">
        <v>115</v>
      </c>
      <c r="C32" s="5" t="s">
        <v>42</v>
      </c>
      <c r="D32" s="5" t="s">
        <v>43</v>
      </c>
      <c r="E32" s="69" t="s">
        <v>102</v>
      </c>
      <c r="F32" s="5" t="s">
        <v>45</v>
      </c>
      <c r="G32" s="5">
        <v>3</v>
      </c>
      <c r="H32" s="69" t="s">
        <v>62</v>
      </c>
      <c r="I32" s="69" t="s">
        <v>47</v>
      </c>
      <c r="J32" s="69" t="s">
        <v>83</v>
      </c>
      <c r="K32" s="69" t="s">
        <v>49</v>
      </c>
      <c r="L32" s="69" t="s">
        <v>50</v>
      </c>
      <c r="M32" s="69" t="s">
        <v>51</v>
      </c>
      <c r="N32" s="69" t="s">
        <v>52</v>
      </c>
      <c r="O32" s="69" t="s">
        <v>53</v>
      </c>
      <c r="P32" s="69" t="s">
        <v>80</v>
      </c>
      <c r="Q32" s="69" t="s">
        <v>55</v>
      </c>
      <c r="R32" s="69" t="s">
        <v>56</v>
      </c>
      <c r="S32" s="69" t="s">
        <v>57</v>
      </c>
      <c r="T32" s="69" t="s">
        <v>84</v>
      </c>
      <c r="U32" s="69" t="s">
        <v>59</v>
      </c>
      <c r="V32" s="69" t="s">
        <v>106</v>
      </c>
      <c r="W32" s="6">
        <v>6.68</v>
      </c>
      <c r="X32" s="6">
        <v>0</v>
      </c>
      <c r="Y32" s="6">
        <v>0</v>
      </c>
      <c r="Z32" s="6">
        <v>0</v>
      </c>
      <c r="AA32" s="6">
        <v>2.9000000000000001E-2</v>
      </c>
      <c r="AB32" s="6">
        <f>0.505-0.125</f>
        <v>0.38</v>
      </c>
      <c r="AC32" s="6">
        <f>0.157-0.125</f>
        <v>3.2000000000000001E-2</v>
      </c>
      <c r="AD32" s="6">
        <v>0</v>
      </c>
      <c r="AE32" s="6">
        <v>0</v>
      </c>
      <c r="AF32" s="20">
        <f>0.362-0.125</f>
        <v>0.23699999999999999</v>
      </c>
      <c r="AG32" s="7">
        <f t="shared" ref="AG32:AG43" si="5">SUM(W32:AF32)</f>
        <v>7.3579999999999997</v>
      </c>
      <c r="AH32" s="7">
        <f t="shared" si="2"/>
        <v>1.0511428571428572</v>
      </c>
      <c r="AI32" s="7">
        <f t="shared" si="1"/>
        <v>0.3503809523809524</v>
      </c>
      <c r="AJ32" s="6">
        <v>18</v>
      </c>
      <c r="AK32" s="6">
        <f t="shared" si="3"/>
        <v>0.40877777777777774</v>
      </c>
    </row>
    <row r="33" spans="1:37" ht="15.5" x14ac:dyDescent="0.35">
      <c r="A33" s="86">
        <v>29</v>
      </c>
      <c r="B33" s="133" t="s">
        <v>116</v>
      </c>
      <c r="C33" s="5" t="s">
        <v>42</v>
      </c>
      <c r="D33" s="5" t="s">
        <v>43</v>
      </c>
      <c r="E33" s="69" t="s">
        <v>117</v>
      </c>
      <c r="F33" s="5" t="s">
        <v>45</v>
      </c>
      <c r="G33" s="5">
        <v>8</v>
      </c>
      <c r="H33" s="69" t="s">
        <v>75</v>
      </c>
      <c r="I33" s="69" t="s">
        <v>71</v>
      </c>
      <c r="J33" s="69" t="s">
        <v>83</v>
      </c>
      <c r="K33" s="69" t="s">
        <v>76</v>
      </c>
      <c r="L33" s="69" t="s">
        <v>50</v>
      </c>
      <c r="M33" s="69" t="s">
        <v>72</v>
      </c>
      <c r="N33" s="69" t="s">
        <v>87</v>
      </c>
      <c r="O33" s="69" t="s">
        <v>67</v>
      </c>
      <c r="P33" s="69" t="s">
        <v>54</v>
      </c>
      <c r="Q33" s="69" t="s">
        <v>55</v>
      </c>
      <c r="R33" s="69" t="s">
        <v>56</v>
      </c>
      <c r="S33" s="69" t="s">
        <v>57</v>
      </c>
      <c r="T33" s="69" t="s">
        <v>58</v>
      </c>
      <c r="U33" s="69" t="s">
        <v>69</v>
      </c>
      <c r="V33" s="69" t="s">
        <v>106</v>
      </c>
      <c r="W33" s="6">
        <v>5.26</v>
      </c>
      <c r="X33" s="6">
        <v>0</v>
      </c>
      <c r="Y33" s="6">
        <v>0</v>
      </c>
      <c r="Z33" s="6">
        <f>0.463-0.33</f>
        <v>0.13300000000000001</v>
      </c>
      <c r="AA33" s="6">
        <f>0.322-0.125</f>
        <v>0.19700000000000001</v>
      </c>
      <c r="AB33" s="15">
        <f>1.591-0.33</f>
        <v>1.2609999999999999</v>
      </c>
      <c r="AC33" s="6">
        <v>1.18</v>
      </c>
      <c r="AD33" s="6">
        <v>0</v>
      </c>
      <c r="AE33" s="6">
        <v>0</v>
      </c>
      <c r="AF33" s="20">
        <v>0</v>
      </c>
      <c r="AG33" s="7">
        <f t="shared" si="5"/>
        <v>8.0310000000000006</v>
      </c>
      <c r="AH33" s="7">
        <f t="shared" si="2"/>
        <v>1.1472857142857145</v>
      </c>
      <c r="AI33" s="7">
        <f t="shared" si="1"/>
        <v>0.14341071428571431</v>
      </c>
      <c r="AJ33" s="6">
        <v>24</v>
      </c>
      <c r="AK33" s="6">
        <f t="shared" si="3"/>
        <v>0.33462500000000001</v>
      </c>
    </row>
    <row r="34" spans="1:37" ht="15.5" x14ac:dyDescent="0.35">
      <c r="A34" s="86">
        <v>30</v>
      </c>
      <c r="B34" s="133" t="s">
        <v>118</v>
      </c>
      <c r="C34" s="5" t="s">
        <v>42</v>
      </c>
      <c r="D34" s="5" t="s">
        <v>43</v>
      </c>
      <c r="E34" s="69" t="s">
        <v>117</v>
      </c>
      <c r="F34" s="5" t="s">
        <v>45</v>
      </c>
      <c r="G34" s="5">
        <v>3</v>
      </c>
      <c r="H34" s="69" t="s">
        <v>62</v>
      </c>
      <c r="I34" s="69" t="s">
        <v>47</v>
      </c>
      <c r="J34" s="69" t="s">
        <v>78</v>
      </c>
      <c r="K34" s="69" t="s">
        <v>103</v>
      </c>
      <c r="L34" s="69" t="s">
        <v>64</v>
      </c>
      <c r="M34" s="69" t="s">
        <v>72</v>
      </c>
      <c r="N34" s="69" t="s">
        <v>66</v>
      </c>
      <c r="O34" s="69" t="s">
        <v>67</v>
      </c>
      <c r="P34" s="69" t="s">
        <v>54</v>
      </c>
      <c r="Q34" s="69" t="s">
        <v>55</v>
      </c>
      <c r="R34" s="69" t="s">
        <v>56</v>
      </c>
      <c r="S34" s="69" t="s">
        <v>57</v>
      </c>
      <c r="T34" s="69" t="s">
        <v>81</v>
      </c>
      <c r="U34" s="69" t="s">
        <v>69</v>
      </c>
      <c r="V34" s="69" t="s">
        <v>106</v>
      </c>
      <c r="W34" s="6">
        <v>1.38</v>
      </c>
      <c r="X34" s="6">
        <v>0</v>
      </c>
      <c r="Y34" s="6">
        <v>0</v>
      </c>
      <c r="Z34" s="6">
        <v>0</v>
      </c>
      <c r="AA34" s="6">
        <f>0.296-0.125</f>
        <v>0.17099999999999999</v>
      </c>
      <c r="AB34" s="15">
        <f>0.342-0.125</f>
        <v>0.21700000000000003</v>
      </c>
      <c r="AC34" s="6">
        <f>0.419-0.33</f>
        <v>8.8999999999999968E-2</v>
      </c>
      <c r="AD34" s="6">
        <v>0</v>
      </c>
      <c r="AE34" s="6">
        <f>0.163-0.125</f>
        <v>3.8000000000000006E-2</v>
      </c>
      <c r="AF34" s="20">
        <v>0</v>
      </c>
      <c r="AG34" s="7">
        <f t="shared" si="5"/>
        <v>1.895</v>
      </c>
      <c r="AH34" s="7">
        <f t="shared" si="2"/>
        <v>0.27071428571428574</v>
      </c>
      <c r="AI34" s="7">
        <f t="shared" si="1"/>
        <v>9.0238095238095242E-2</v>
      </c>
      <c r="AJ34" s="6">
        <v>4</v>
      </c>
      <c r="AK34" s="6">
        <f t="shared" si="3"/>
        <v>0.47375</v>
      </c>
    </row>
    <row r="35" spans="1:37" ht="15.5" x14ac:dyDescent="0.35">
      <c r="A35" s="86">
        <v>31</v>
      </c>
      <c r="B35" s="133" t="s">
        <v>119</v>
      </c>
      <c r="C35" s="5" t="s">
        <v>42</v>
      </c>
      <c r="D35" s="5" t="s">
        <v>43</v>
      </c>
      <c r="E35" s="69" t="s">
        <v>120</v>
      </c>
      <c r="F35" s="5" t="s">
        <v>45</v>
      </c>
      <c r="G35" s="5">
        <v>2</v>
      </c>
      <c r="H35" s="69" t="s">
        <v>75</v>
      </c>
      <c r="I35" s="69" t="s">
        <v>71</v>
      </c>
      <c r="J35" s="69" t="s">
        <v>63</v>
      </c>
      <c r="K35" s="69" t="s">
        <v>76</v>
      </c>
      <c r="L35" s="69" t="s">
        <v>50</v>
      </c>
      <c r="M35" s="69" t="s">
        <v>65</v>
      </c>
      <c r="N35" s="69" t="s">
        <v>66</v>
      </c>
      <c r="O35" s="69" t="s">
        <v>67</v>
      </c>
      <c r="P35" s="69" t="s">
        <v>54</v>
      </c>
      <c r="Q35" s="69" t="s">
        <v>55</v>
      </c>
      <c r="R35" s="69" t="s">
        <v>56</v>
      </c>
      <c r="S35" s="69" t="s">
        <v>57</v>
      </c>
      <c r="T35" s="69" t="s">
        <v>58</v>
      </c>
      <c r="U35" s="69" t="s">
        <v>59</v>
      </c>
      <c r="V35" s="69" t="s">
        <v>106</v>
      </c>
      <c r="W35" s="6">
        <v>8.24</v>
      </c>
      <c r="X35" s="6">
        <v>0</v>
      </c>
      <c r="Y35" s="6">
        <v>0</v>
      </c>
      <c r="Z35" s="6">
        <v>7.0000000000000007E-2</v>
      </c>
      <c r="AA35" s="6">
        <f>0.216-0.125</f>
        <v>9.0999999999999998E-2</v>
      </c>
      <c r="AB35" s="6">
        <f>0.571-0.125</f>
        <v>0.44599999999999995</v>
      </c>
      <c r="AC35" s="6">
        <f>0.164-0.125</f>
        <v>3.9000000000000007E-2</v>
      </c>
      <c r="AD35" s="6">
        <v>0</v>
      </c>
      <c r="AE35" s="6">
        <v>0</v>
      </c>
      <c r="AF35" s="20">
        <v>0</v>
      </c>
      <c r="AG35" s="7">
        <f t="shared" si="5"/>
        <v>8.8859999999999992</v>
      </c>
      <c r="AH35" s="7">
        <f t="shared" si="2"/>
        <v>1.2694285714285714</v>
      </c>
      <c r="AI35" s="7">
        <f t="shared" si="1"/>
        <v>0.63471428571428568</v>
      </c>
      <c r="AJ35" s="6">
        <v>20</v>
      </c>
      <c r="AK35" s="6">
        <f t="shared" si="3"/>
        <v>0.44429999999999997</v>
      </c>
    </row>
    <row r="36" spans="1:37" ht="15.5" x14ac:dyDescent="0.35">
      <c r="A36" s="86">
        <v>32</v>
      </c>
      <c r="B36" s="133" t="s">
        <v>121</v>
      </c>
      <c r="C36" s="5" t="s">
        <v>42</v>
      </c>
      <c r="D36" s="5" t="s">
        <v>43</v>
      </c>
      <c r="E36" s="69" t="s">
        <v>120</v>
      </c>
      <c r="F36" s="5" t="s">
        <v>45</v>
      </c>
      <c r="G36" s="5">
        <v>4</v>
      </c>
      <c r="H36" s="69" t="s">
        <v>46</v>
      </c>
      <c r="I36" s="69" t="s">
        <v>47</v>
      </c>
      <c r="J36" s="69" t="s">
        <v>48</v>
      </c>
      <c r="K36" s="69" t="s">
        <v>79</v>
      </c>
      <c r="L36" s="69" t="s">
        <v>64</v>
      </c>
      <c r="M36" s="69" t="s">
        <v>51</v>
      </c>
      <c r="N36" s="69" t="s">
        <v>52</v>
      </c>
      <c r="O36" s="69" t="s">
        <v>53</v>
      </c>
      <c r="P36" s="69" t="s">
        <v>54</v>
      </c>
      <c r="Q36" s="69" t="s">
        <v>55</v>
      </c>
      <c r="R36" s="69" t="s">
        <v>56</v>
      </c>
      <c r="S36" s="69" t="s">
        <v>57</v>
      </c>
      <c r="T36" s="69" t="s">
        <v>84</v>
      </c>
      <c r="U36" s="69" t="s">
        <v>69</v>
      </c>
      <c r="V36" s="69" t="s">
        <v>106</v>
      </c>
      <c r="W36" s="6">
        <v>4</v>
      </c>
      <c r="X36" s="6">
        <v>0</v>
      </c>
      <c r="Y36" s="6">
        <v>0</v>
      </c>
      <c r="Z36" s="6">
        <v>0</v>
      </c>
      <c r="AA36" s="6">
        <f>0.175-0.125</f>
        <v>4.9999999999999989E-2</v>
      </c>
      <c r="AB36" s="6">
        <f>0.246-0.125</f>
        <v>0.121</v>
      </c>
      <c r="AC36" s="6">
        <v>0</v>
      </c>
      <c r="AD36" s="6">
        <v>0</v>
      </c>
      <c r="AE36" s="6">
        <v>0</v>
      </c>
      <c r="AF36" s="20">
        <v>0</v>
      </c>
      <c r="AG36" s="7">
        <f t="shared" si="5"/>
        <v>4.1709999999999994</v>
      </c>
      <c r="AH36" s="7">
        <f t="shared" si="2"/>
        <v>0.59585714285714275</v>
      </c>
      <c r="AI36" s="7">
        <f t="shared" si="1"/>
        <v>0.14896428571428569</v>
      </c>
      <c r="AJ36" s="6">
        <v>8</v>
      </c>
      <c r="AK36" s="6">
        <f t="shared" si="3"/>
        <v>0.52137499999999992</v>
      </c>
    </row>
    <row r="37" spans="1:37" ht="15.5" x14ac:dyDescent="0.35">
      <c r="A37" s="86">
        <v>33</v>
      </c>
      <c r="B37" s="133" t="s">
        <v>122</v>
      </c>
      <c r="C37" s="5" t="s">
        <v>42</v>
      </c>
      <c r="D37" s="5" t="s">
        <v>43</v>
      </c>
      <c r="E37" s="69" t="s">
        <v>120</v>
      </c>
      <c r="F37" s="5" t="s">
        <v>45</v>
      </c>
      <c r="G37" s="5">
        <v>6</v>
      </c>
      <c r="H37" s="69" t="s">
        <v>62</v>
      </c>
      <c r="I37" s="69" t="s">
        <v>47</v>
      </c>
      <c r="J37" s="69" t="s">
        <v>48</v>
      </c>
      <c r="K37" s="69" t="s">
        <v>49</v>
      </c>
      <c r="L37" s="69" t="s">
        <v>64</v>
      </c>
      <c r="M37" s="69" t="s">
        <v>51</v>
      </c>
      <c r="N37" s="69" t="s">
        <v>66</v>
      </c>
      <c r="O37" s="69" t="s">
        <v>53</v>
      </c>
      <c r="P37" s="69" t="s">
        <v>54</v>
      </c>
      <c r="Q37" s="69" t="s">
        <v>55</v>
      </c>
      <c r="R37" s="69" t="s">
        <v>56</v>
      </c>
      <c r="S37" s="69" t="s">
        <v>57</v>
      </c>
      <c r="T37" s="69" t="s">
        <v>84</v>
      </c>
      <c r="U37" s="69" t="s">
        <v>59</v>
      </c>
      <c r="V37" s="69" t="s">
        <v>106</v>
      </c>
      <c r="W37" s="6">
        <v>18</v>
      </c>
      <c r="X37" s="6">
        <v>0</v>
      </c>
      <c r="Y37" s="6">
        <v>0</v>
      </c>
      <c r="Z37" s="6">
        <v>0</v>
      </c>
      <c r="AA37" s="6">
        <f>0.198-0.125</f>
        <v>7.3000000000000009E-2</v>
      </c>
      <c r="AB37" s="15">
        <f>3.4-1.5-0.33</f>
        <v>1.5699999999999998</v>
      </c>
      <c r="AC37" s="6">
        <f>1.166-0.5-0.33</f>
        <v>0.33599999999999991</v>
      </c>
      <c r="AD37" s="6">
        <v>0</v>
      </c>
      <c r="AE37" s="6">
        <v>0</v>
      </c>
      <c r="AF37" s="20">
        <v>0</v>
      </c>
      <c r="AG37" s="7">
        <f t="shared" si="5"/>
        <v>19.978999999999999</v>
      </c>
      <c r="AH37" s="7">
        <f t="shared" si="2"/>
        <v>2.8541428571428571</v>
      </c>
      <c r="AI37" s="7">
        <f t="shared" si="1"/>
        <v>0.47569047619047616</v>
      </c>
      <c r="AJ37" s="6">
        <v>74</v>
      </c>
      <c r="AK37" s="6">
        <f t="shared" si="3"/>
        <v>0.26998648648648649</v>
      </c>
    </row>
    <row r="38" spans="1:37" ht="15.5" x14ac:dyDescent="0.35">
      <c r="A38" s="86">
        <v>34</v>
      </c>
      <c r="B38" s="133" t="s">
        <v>123</v>
      </c>
      <c r="C38" s="5" t="s">
        <v>42</v>
      </c>
      <c r="D38" s="5" t="s">
        <v>43</v>
      </c>
      <c r="E38" s="69" t="s">
        <v>120</v>
      </c>
      <c r="F38" s="5" t="s">
        <v>45</v>
      </c>
      <c r="G38" s="5">
        <v>4</v>
      </c>
      <c r="H38" s="69" t="s">
        <v>75</v>
      </c>
      <c r="I38" s="69" t="s">
        <v>71</v>
      </c>
      <c r="J38" s="69" t="s">
        <v>48</v>
      </c>
      <c r="K38" s="69" t="s">
        <v>49</v>
      </c>
      <c r="L38" s="69" t="s">
        <v>50</v>
      </c>
      <c r="M38" s="69" t="s">
        <v>72</v>
      </c>
      <c r="N38" s="69" t="s">
        <v>66</v>
      </c>
      <c r="O38" s="69" t="s">
        <v>67</v>
      </c>
      <c r="P38" s="69" t="s">
        <v>54</v>
      </c>
      <c r="Q38" s="69" t="s">
        <v>55</v>
      </c>
      <c r="R38" s="69" t="s">
        <v>56</v>
      </c>
      <c r="S38" s="69" t="s">
        <v>57</v>
      </c>
      <c r="T38" s="69" t="s">
        <v>58</v>
      </c>
      <c r="U38" s="69" t="s">
        <v>69</v>
      </c>
      <c r="V38" s="69" t="s">
        <v>106</v>
      </c>
      <c r="W38" s="6">
        <v>23.44</v>
      </c>
      <c r="X38" s="6">
        <v>0</v>
      </c>
      <c r="Y38" s="6">
        <v>0</v>
      </c>
      <c r="Z38" s="6">
        <v>0</v>
      </c>
      <c r="AA38" s="6">
        <v>0</v>
      </c>
      <c r="AB38" s="6">
        <v>2.2599999999999998</v>
      </c>
      <c r="AC38" s="15">
        <f>6.68-2.26</f>
        <v>4.42</v>
      </c>
      <c r="AD38" s="6">
        <v>0</v>
      </c>
      <c r="AE38" s="6">
        <v>0</v>
      </c>
      <c r="AF38" s="20">
        <v>10.18</v>
      </c>
      <c r="AG38" s="7">
        <f t="shared" si="5"/>
        <v>40.300000000000004</v>
      </c>
      <c r="AH38" s="7">
        <f t="shared" si="2"/>
        <v>5.757142857142858</v>
      </c>
      <c r="AI38" s="7">
        <f t="shared" si="1"/>
        <v>1.4392857142857145</v>
      </c>
      <c r="AJ38" s="6">
        <v>160</v>
      </c>
      <c r="AK38" s="6">
        <f t="shared" si="3"/>
        <v>0.25187500000000002</v>
      </c>
    </row>
    <row r="39" spans="1:37" ht="15.5" x14ac:dyDescent="0.35">
      <c r="A39" s="86">
        <v>35</v>
      </c>
      <c r="B39" s="133" t="s">
        <v>124</v>
      </c>
      <c r="C39" s="5" t="s">
        <v>42</v>
      </c>
      <c r="D39" s="5" t="s">
        <v>43</v>
      </c>
      <c r="E39" s="69" t="s">
        <v>120</v>
      </c>
      <c r="F39" s="5" t="s">
        <v>45</v>
      </c>
      <c r="G39" s="5">
        <v>8</v>
      </c>
      <c r="H39" s="69" t="s">
        <v>75</v>
      </c>
      <c r="I39" s="69" t="s">
        <v>71</v>
      </c>
      <c r="J39" s="69" t="s">
        <v>48</v>
      </c>
      <c r="K39" s="69" t="s">
        <v>49</v>
      </c>
      <c r="L39" s="69" t="s">
        <v>50</v>
      </c>
      <c r="M39" s="69" t="s">
        <v>72</v>
      </c>
      <c r="N39" s="69" t="s">
        <v>66</v>
      </c>
      <c r="O39" s="69" t="s">
        <v>67</v>
      </c>
      <c r="P39" s="69" t="s">
        <v>54</v>
      </c>
      <c r="Q39" s="69" t="s">
        <v>55</v>
      </c>
      <c r="R39" s="69" t="s">
        <v>56</v>
      </c>
      <c r="S39" s="69" t="s">
        <v>57</v>
      </c>
      <c r="T39" s="69" t="s">
        <v>58</v>
      </c>
      <c r="U39" s="69" t="s">
        <v>59</v>
      </c>
      <c r="V39" s="69" t="s">
        <v>106</v>
      </c>
      <c r="W39" s="6">
        <v>8.6999999999999993</v>
      </c>
      <c r="X39" s="6">
        <v>7.08</v>
      </c>
      <c r="Y39" s="6">
        <v>0</v>
      </c>
      <c r="Z39" s="6">
        <f>0.206-0.125</f>
        <v>8.0999999999999989E-2</v>
      </c>
      <c r="AA39" s="6">
        <f>0.156-0.125</f>
        <v>3.1E-2</v>
      </c>
      <c r="AB39" s="6">
        <f>0.592-0.125</f>
        <v>0.46699999999999997</v>
      </c>
      <c r="AC39" s="6">
        <f>0.174-0.125</f>
        <v>4.8999999999999988E-2</v>
      </c>
      <c r="AD39" s="6">
        <v>0</v>
      </c>
      <c r="AE39" s="6">
        <v>0</v>
      </c>
      <c r="AF39" s="20">
        <v>0</v>
      </c>
      <c r="AG39" s="7">
        <f t="shared" si="5"/>
        <v>16.407999999999998</v>
      </c>
      <c r="AH39" s="7">
        <f t="shared" si="2"/>
        <v>2.3439999999999999</v>
      </c>
      <c r="AI39" s="7">
        <f t="shared" si="1"/>
        <v>0.29299999999999998</v>
      </c>
      <c r="AJ39" s="6">
        <v>44</v>
      </c>
      <c r="AK39" s="6">
        <f t="shared" si="3"/>
        <v>0.37290909090909086</v>
      </c>
    </row>
    <row r="40" spans="1:37" ht="15.5" x14ac:dyDescent="0.35">
      <c r="A40" s="86">
        <v>36</v>
      </c>
      <c r="B40" s="133" t="s">
        <v>125</v>
      </c>
      <c r="C40" s="5" t="s">
        <v>42</v>
      </c>
      <c r="D40" s="5" t="s">
        <v>43</v>
      </c>
      <c r="E40" s="69" t="s">
        <v>120</v>
      </c>
      <c r="F40" s="5" t="s">
        <v>45</v>
      </c>
      <c r="G40" s="5">
        <v>6</v>
      </c>
      <c r="H40" s="69" t="s">
        <v>75</v>
      </c>
      <c r="I40" s="69" t="s">
        <v>47</v>
      </c>
      <c r="J40" s="69" t="s">
        <v>48</v>
      </c>
      <c r="K40" s="69" t="s">
        <v>79</v>
      </c>
      <c r="L40" s="69" t="s">
        <v>64</v>
      </c>
      <c r="M40" s="69" t="s">
        <v>51</v>
      </c>
      <c r="N40" s="69" t="s">
        <v>66</v>
      </c>
      <c r="O40" s="69" t="s">
        <v>67</v>
      </c>
      <c r="P40" s="69" t="s">
        <v>54</v>
      </c>
      <c r="Q40" s="69" t="s">
        <v>55</v>
      </c>
      <c r="R40" s="69" t="s">
        <v>56</v>
      </c>
      <c r="S40" s="69" t="s">
        <v>57</v>
      </c>
      <c r="T40" s="69" t="s">
        <v>81</v>
      </c>
      <c r="U40" s="69" t="s">
        <v>69</v>
      </c>
      <c r="V40" s="69" t="s">
        <v>106</v>
      </c>
      <c r="W40" s="6">
        <f>4.64+4.2+6.44+1.24-1.42-0.33*4</f>
        <v>13.78</v>
      </c>
      <c r="X40" s="6">
        <v>10.99</v>
      </c>
      <c r="Y40" s="6">
        <f>0.355-0.125</f>
        <v>0.22999999999999998</v>
      </c>
      <c r="Z40" s="6">
        <f>1.026-0.125</f>
        <v>0.90100000000000002</v>
      </c>
      <c r="AA40" s="6">
        <f>0.148-0.125</f>
        <v>2.2999999999999993E-2</v>
      </c>
      <c r="AB40" s="6">
        <f>0.737-0.125</f>
        <v>0.61199999999999999</v>
      </c>
      <c r="AC40" s="6">
        <f>0.205-0.125</f>
        <v>7.9999999999999988E-2</v>
      </c>
      <c r="AD40" s="6">
        <v>0</v>
      </c>
      <c r="AE40" s="6">
        <f>0.168-0.125</f>
        <v>4.300000000000001E-2</v>
      </c>
      <c r="AF40" s="20">
        <v>0</v>
      </c>
      <c r="AG40" s="7">
        <f t="shared" si="5"/>
        <v>26.658999999999995</v>
      </c>
      <c r="AH40" s="7">
        <f t="shared" si="2"/>
        <v>3.8084285714285708</v>
      </c>
      <c r="AI40" s="7">
        <f t="shared" si="1"/>
        <v>0.6347380952380951</v>
      </c>
      <c r="AJ40" s="6">
        <v>70</v>
      </c>
      <c r="AK40" s="6">
        <f t="shared" si="3"/>
        <v>0.38084285714285709</v>
      </c>
    </row>
    <row r="41" spans="1:37" ht="15.5" x14ac:dyDescent="0.35">
      <c r="A41" s="86">
        <v>37</v>
      </c>
      <c r="B41" s="133" t="s">
        <v>126</v>
      </c>
      <c r="C41" s="5" t="s">
        <v>42</v>
      </c>
      <c r="D41" s="5" t="s">
        <v>43</v>
      </c>
      <c r="E41" s="69" t="s">
        <v>120</v>
      </c>
      <c r="F41" s="5" t="s">
        <v>45</v>
      </c>
      <c r="G41" s="5">
        <v>7</v>
      </c>
      <c r="H41" s="69" t="s">
        <v>62</v>
      </c>
      <c r="I41" s="69" t="s">
        <v>71</v>
      </c>
      <c r="J41" s="69" t="s">
        <v>48</v>
      </c>
      <c r="K41" s="69" t="s">
        <v>49</v>
      </c>
      <c r="L41" s="69" t="s">
        <v>50</v>
      </c>
      <c r="M41" s="69" t="s">
        <v>72</v>
      </c>
      <c r="N41" s="69" t="s">
        <v>66</v>
      </c>
      <c r="O41" s="69" t="s">
        <v>67</v>
      </c>
      <c r="P41" s="69" t="s">
        <v>54</v>
      </c>
      <c r="Q41" s="69" t="s">
        <v>55</v>
      </c>
      <c r="R41" s="69" t="s">
        <v>56</v>
      </c>
      <c r="S41" s="69" t="s">
        <v>57</v>
      </c>
      <c r="T41" s="69" t="s">
        <v>58</v>
      </c>
      <c r="U41" s="69" t="s">
        <v>69</v>
      </c>
      <c r="V41" s="69" t="s">
        <v>106</v>
      </c>
      <c r="W41" s="6">
        <v>5.66</v>
      </c>
      <c r="X41" s="6">
        <v>0</v>
      </c>
      <c r="Y41" s="6">
        <v>0</v>
      </c>
      <c r="Z41" s="6">
        <v>0</v>
      </c>
      <c r="AA41" s="6">
        <f>0.14-0.125</f>
        <v>1.5000000000000013E-2</v>
      </c>
      <c r="AB41" s="6">
        <f>0.315-0.125</f>
        <v>0.19</v>
      </c>
      <c r="AC41" s="6">
        <f>0.187-0.125</f>
        <v>6.2E-2</v>
      </c>
      <c r="AD41" s="6">
        <v>0</v>
      </c>
      <c r="AE41" s="6">
        <v>0</v>
      </c>
      <c r="AF41" s="20">
        <v>0</v>
      </c>
      <c r="AG41" s="7">
        <f t="shared" si="5"/>
        <v>5.9270000000000005</v>
      </c>
      <c r="AH41" s="7">
        <f t="shared" si="2"/>
        <v>0.84671428571428575</v>
      </c>
      <c r="AI41" s="7">
        <f t="shared" si="1"/>
        <v>0.12095918367346939</v>
      </c>
      <c r="AJ41" s="6">
        <v>12</v>
      </c>
      <c r="AK41" s="6">
        <f t="shared" si="3"/>
        <v>0.49391666666666673</v>
      </c>
    </row>
    <row r="42" spans="1:37" ht="15.5" x14ac:dyDescent="0.35">
      <c r="A42" s="86">
        <v>38</v>
      </c>
      <c r="B42" s="135" t="s">
        <v>127</v>
      </c>
      <c r="C42" s="5" t="s">
        <v>42</v>
      </c>
      <c r="D42" s="5" t="s">
        <v>43</v>
      </c>
      <c r="E42" s="69" t="s">
        <v>120</v>
      </c>
      <c r="F42" s="21" t="s">
        <v>45</v>
      </c>
      <c r="G42" s="21">
        <v>6</v>
      </c>
      <c r="H42" s="70" t="s">
        <v>62</v>
      </c>
      <c r="I42" s="70" t="s">
        <v>47</v>
      </c>
      <c r="J42" s="70" t="s">
        <v>48</v>
      </c>
      <c r="K42" s="70" t="s">
        <v>49</v>
      </c>
      <c r="L42" s="70" t="s">
        <v>50</v>
      </c>
      <c r="M42" s="70" t="s">
        <v>51</v>
      </c>
      <c r="N42" s="70" t="s">
        <v>66</v>
      </c>
      <c r="O42" s="70" t="s">
        <v>53</v>
      </c>
      <c r="P42" s="70" t="s">
        <v>54</v>
      </c>
      <c r="Q42" s="70" t="s">
        <v>55</v>
      </c>
      <c r="R42" s="70" t="s">
        <v>56</v>
      </c>
      <c r="S42" s="70" t="s">
        <v>57</v>
      </c>
      <c r="T42" s="70" t="s">
        <v>84</v>
      </c>
      <c r="U42" s="70" t="s">
        <v>69</v>
      </c>
      <c r="V42" s="70" t="s">
        <v>106</v>
      </c>
      <c r="W42" s="23">
        <f>1.76+0.366-0.125</f>
        <v>2.0009999999999999</v>
      </c>
      <c r="X42" s="23">
        <v>0</v>
      </c>
      <c r="Y42" s="23">
        <v>0</v>
      </c>
      <c r="Z42" s="23">
        <f>0.148-0.125</f>
        <v>2.2999999999999993E-2</v>
      </c>
      <c r="AA42" s="23">
        <v>0</v>
      </c>
      <c r="AB42" s="23">
        <f>0.38-0.125</f>
        <v>0.255</v>
      </c>
      <c r="AC42" s="23">
        <f>0.146-0.125</f>
        <v>2.0999999999999991E-2</v>
      </c>
      <c r="AD42" s="23">
        <v>0</v>
      </c>
      <c r="AE42" s="23">
        <v>0</v>
      </c>
      <c r="AF42" s="23">
        <f>0.209-0.125</f>
        <v>8.3999999999999991E-2</v>
      </c>
      <c r="AG42" s="24">
        <f t="shared" si="5"/>
        <v>2.3839999999999999</v>
      </c>
      <c r="AH42" s="7">
        <f t="shared" si="2"/>
        <v>0.34057142857142858</v>
      </c>
      <c r="AI42" s="7">
        <f t="shared" si="1"/>
        <v>5.6761904761904763E-2</v>
      </c>
      <c r="AJ42" s="23">
        <v>6</v>
      </c>
      <c r="AK42" s="23">
        <f t="shared" si="3"/>
        <v>0.39733333333333332</v>
      </c>
    </row>
    <row r="43" spans="1:37" ht="15.5" x14ac:dyDescent="0.35">
      <c r="A43" s="3">
        <v>39</v>
      </c>
      <c r="B43" s="133" t="s">
        <v>128</v>
      </c>
      <c r="C43" s="5" t="s">
        <v>42</v>
      </c>
      <c r="D43" s="5" t="s">
        <v>43</v>
      </c>
      <c r="E43" s="69" t="s">
        <v>120</v>
      </c>
      <c r="F43" s="5" t="s">
        <v>45</v>
      </c>
      <c r="G43" s="5">
        <v>2</v>
      </c>
      <c r="H43" s="69" t="s">
        <v>46</v>
      </c>
      <c r="I43" s="69" t="s">
        <v>47</v>
      </c>
      <c r="J43" s="69" t="s">
        <v>48</v>
      </c>
      <c r="K43" s="69" t="s">
        <v>49</v>
      </c>
      <c r="L43" s="69" t="s">
        <v>50</v>
      </c>
      <c r="M43" s="69" t="s">
        <v>51</v>
      </c>
      <c r="N43" s="69" t="s">
        <v>52</v>
      </c>
      <c r="O43" s="69" t="s">
        <v>53</v>
      </c>
      <c r="P43" s="69" t="s">
        <v>54</v>
      </c>
      <c r="Q43" s="69" t="s">
        <v>55</v>
      </c>
      <c r="R43" s="69" t="s">
        <v>129</v>
      </c>
      <c r="S43" s="69" t="s">
        <v>57</v>
      </c>
      <c r="T43" s="69" t="s">
        <v>58</v>
      </c>
      <c r="U43" s="69" t="s">
        <v>356</v>
      </c>
      <c r="V43" s="69" t="s">
        <v>106</v>
      </c>
      <c r="W43" s="6">
        <f>5.24+2.5</f>
        <v>7.74</v>
      </c>
      <c r="X43" s="6">
        <v>0</v>
      </c>
      <c r="Y43" s="6">
        <v>0</v>
      </c>
      <c r="Z43" s="6">
        <v>0</v>
      </c>
      <c r="AA43" s="6">
        <f>0.301-0.125</f>
        <v>0.17599999999999999</v>
      </c>
      <c r="AB43" s="6">
        <v>0.03</v>
      </c>
      <c r="AC43" s="6">
        <v>0</v>
      </c>
      <c r="AD43" s="6">
        <v>0</v>
      </c>
      <c r="AE43" s="6">
        <v>0</v>
      </c>
      <c r="AF43" s="6">
        <v>0</v>
      </c>
      <c r="AG43" s="7">
        <f t="shared" si="5"/>
        <v>7.9460000000000006</v>
      </c>
      <c r="AH43" s="7">
        <f>(AG43/7)</f>
        <v>1.1351428571428572</v>
      </c>
      <c r="AI43" s="7">
        <f t="shared" si="1"/>
        <v>0.56757142857142862</v>
      </c>
      <c r="AJ43" s="6">
        <v>10</v>
      </c>
      <c r="AK43" s="6">
        <f t="shared" si="3"/>
        <v>0.79460000000000008</v>
      </c>
    </row>
    <row r="44" spans="1:37" ht="15.5" x14ac:dyDescent="0.35">
      <c r="A44" s="86"/>
      <c r="B44" s="86"/>
      <c r="C44" s="86"/>
      <c r="D44" s="86"/>
      <c r="E44" s="86"/>
      <c r="F44" s="3"/>
      <c r="G44" s="3"/>
      <c r="H44" s="86"/>
      <c r="I44" s="86"/>
      <c r="J44" s="86"/>
      <c r="K44" s="86"/>
      <c r="L44" s="86"/>
      <c r="M44" s="86"/>
      <c r="N44" s="86"/>
      <c r="O44" s="86"/>
      <c r="P44" s="86"/>
      <c r="Q44" s="86"/>
      <c r="R44" s="86"/>
      <c r="S44" s="86"/>
      <c r="T44" s="86"/>
      <c r="U44" s="3"/>
      <c r="V44" s="3"/>
      <c r="W44" s="59"/>
      <c r="X44" s="59"/>
      <c r="Y44" s="59"/>
      <c r="Z44" s="59"/>
      <c r="AA44" s="59"/>
      <c r="AB44" s="59"/>
      <c r="AC44" s="59"/>
      <c r="AD44" s="59"/>
      <c r="AE44" s="59"/>
      <c r="AF44" s="59"/>
      <c r="AG44" s="195"/>
      <c r="AH44" s="198"/>
      <c r="AI44" s="199">
        <f>AVERAGE(AI5:AI43)</f>
        <v>0.42662958271886847</v>
      </c>
      <c r="AJ44" s="203">
        <f>AVERAGE(AJ5:AJ43)</f>
        <v>39.435897435897438</v>
      </c>
      <c r="AK44" s="203">
        <f>AVERAGE(AK5:AK43)</f>
        <v>0.36811795614608123</v>
      </c>
    </row>
    <row r="45" spans="1:37" ht="15.5" x14ac:dyDescent="0.35">
      <c r="A45" s="86"/>
      <c r="B45" s="86"/>
      <c r="C45" s="86"/>
      <c r="D45" s="86"/>
      <c r="E45" s="86"/>
      <c r="F45" s="190" t="s">
        <v>357</v>
      </c>
      <c r="G45" s="191">
        <f>AVERAGE(G5:G43)</f>
        <v>4.8461538461538458</v>
      </c>
      <c r="H45" s="86"/>
      <c r="I45" s="86"/>
      <c r="J45" s="86"/>
      <c r="K45" s="86"/>
      <c r="L45" s="86"/>
      <c r="M45" s="86"/>
      <c r="N45" s="86"/>
      <c r="O45" s="86"/>
      <c r="P45" s="86"/>
      <c r="Q45" s="86"/>
      <c r="R45" s="86"/>
      <c r="S45" s="86"/>
      <c r="T45" s="86"/>
      <c r="U45" s="136">
        <f>SUM(W45:AF45)</f>
        <v>503.14400000000001</v>
      </c>
      <c r="V45" s="133" t="s">
        <v>327</v>
      </c>
      <c r="W45" s="6">
        <f>SUM(W5:W43)</f>
        <v>395.01</v>
      </c>
      <c r="X45" s="6">
        <f>SUM(X5:X43)</f>
        <v>38.399000000000001</v>
      </c>
      <c r="Y45" s="6">
        <f t="shared" ref="Y45:AF45" si="6">SUM(Y5:Y43)</f>
        <v>0.45299999999999996</v>
      </c>
      <c r="Z45" s="6">
        <f t="shared" si="6"/>
        <v>7.1989999999999998</v>
      </c>
      <c r="AA45" s="6">
        <f t="shared" si="6"/>
        <v>2.3420000000000005</v>
      </c>
      <c r="AB45" s="6">
        <f t="shared" si="6"/>
        <v>27.085999999999995</v>
      </c>
      <c r="AC45" s="6">
        <f t="shared" si="6"/>
        <v>14.788</v>
      </c>
      <c r="AD45" s="6">
        <f t="shared" si="6"/>
        <v>2.9000000000000001E-2</v>
      </c>
      <c r="AE45" s="6">
        <f t="shared" si="6"/>
        <v>0.46800000000000008</v>
      </c>
      <c r="AF45" s="6">
        <f t="shared" si="6"/>
        <v>17.369999999999997</v>
      </c>
      <c r="AG45" s="196"/>
      <c r="AH45" s="198"/>
      <c r="AI45" s="200"/>
      <c r="AJ45" s="203"/>
      <c r="AK45" s="203"/>
    </row>
    <row r="46" spans="1:37" ht="15.5" x14ac:dyDescent="0.35">
      <c r="A46" s="86"/>
      <c r="B46" s="86"/>
      <c r="C46" s="86"/>
      <c r="D46" s="86"/>
      <c r="E46" s="86"/>
      <c r="F46" s="190"/>
      <c r="G46" s="191"/>
      <c r="H46" s="86"/>
      <c r="I46" s="86"/>
      <c r="J46" s="86"/>
      <c r="K46" s="86"/>
      <c r="L46" s="86"/>
      <c r="M46" s="86"/>
      <c r="N46" s="86"/>
      <c r="O46" s="86"/>
      <c r="P46" s="86"/>
      <c r="Q46" s="86"/>
      <c r="R46" s="86"/>
      <c r="S46" s="86"/>
      <c r="T46" s="86"/>
      <c r="U46" s="137">
        <f>SUM(W46:AF46)</f>
        <v>0.99999999999999989</v>
      </c>
      <c r="V46" s="133" t="s">
        <v>328</v>
      </c>
      <c r="W46" s="138">
        <f>(W45/$U$45)</f>
        <v>0.78508339560841423</v>
      </c>
      <c r="X46" s="138">
        <f t="shared" ref="X46:AF46" si="7">(X45/$U$45)</f>
        <v>7.6318111713545231E-2</v>
      </c>
      <c r="Y46" s="138">
        <f t="shared" si="7"/>
        <v>9.0033867044027143E-4</v>
      </c>
      <c r="Z46" s="138">
        <f t="shared" si="7"/>
        <v>1.4308031100440431E-2</v>
      </c>
      <c r="AA46" s="138">
        <f t="shared" si="7"/>
        <v>4.6547310511503674E-3</v>
      </c>
      <c r="AB46" s="138">
        <f t="shared" si="7"/>
        <v>5.3833494983543471E-2</v>
      </c>
      <c r="AC46" s="138">
        <f t="shared" si="7"/>
        <v>2.939118820854467E-2</v>
      </c>
      <c r="AD46" s="138">
        <f t="shared" si="7"/>
        <v>5.7637574928847413E-5</v>
      </c>
      <c r="AE46" s="138">
        <f t="shared" si="7"/>
        <v>9.3015120919657211E-4</v>
      </c>
      <c r="AF46" s="138">
        <f t="shared" si="7"/>
        <v>3.4522919879795839E-2</v>
      </c>
      <c r="AG46" s="196"/>
      <c r="AH46" s="198"/>
      <c r="AI46" s="200"/>
      <c r="AJ46" s="203"/>
      <c r="AK46" s="203"/>
    </row>
    <row r="47" spans="1:37" ht="15.5" x14ac:dyDescent="0.35">
      <c r="A47" s="86"/>
      <c r="B47" s="86"/>
      <c r="C47" s="86"/>
      <c r="D47" s="86"/>
      <c r="E47" s="86"/>
      <c r="F47" s="190"/>
      <c r="G47" s="191"/>
      <c r="H47" s="86"/>
      <c r="I47" s="86"/>
      <c r="J47" s="86"/>
      <c r="K47" s="86"/>
      <c r="L47" s="86"/>
      <c r="M47" s="86"/>
      <c r="N47" s="86"/>
      <c r="O47" s="86"/>
      <c r="P47" s="86"/>
      <c r="Q47" s="86"/>
      <c r="R47" s="86"/>
      <c r="S47" s="86"/>
      <c r="T47" s="86"/>
      <c r="U47" s="3"/>
      <c r="V47" s="88" t="s">
        <v>329</v>
      </c>
      <c r="W47" s="192"/>
      <c r="X47" s="193"/>
      <c r="Y47" s="193"/>
      <c r="Z47" s="193"/>
      <c r="AA47" s="193"/>
      <c r="AB47" s="193"/>
      <c r="AC47" s="193"/>
      <c r="AD47" s="193"/>
      <c r="AE47" s="193"/>
      <c r="AF47" s="194"/>
      <c r="AG47" s="197"/>
      <c r="AH47" s="198"/>
      <c r="AI47" s="201"/>
      <c r="AJ47" s="203"/>
      <c r="AK47" s="203"/>
    </row>
    <row r="48" spans="1:37" ht="15.5" x14ac:dyDescent="0.35">
      <c r="A48" s="86"/>
      <c r="B48" s="86"/>
      <c r="C48" s="86"/>
      <c r="D48" s="86"/>
      <c r="E48" s="86"/>
      <c r="F48" s="86"/>
      <c r="G48" s="86"/>
      <c r="H48" s="86"/>
      <c r="I48" s="86"/>
      <c r="J48" s="86"/>
      <c r="K48" s="86"/>
      <c r="L48" s="86"/>
      <c r="M48" s="86"/>
      <c r="N48" s="86"/>
      <c r="O48" s="86"/>
      <c r="P48" s="86"/>
      <c r="Q48" s="86"/>
      <c r="R48" s="86"/>
      <c r="S48" s="86"/>
      <c r="T48" s="86"/>
      <c r="U48" s="64"/>
      <c r="V48" s="64"/>
      <c r="W48" s="62"/>
      <c r="X48" s="62"/>
      <c r="Y48" s="62"/>
      <c r="Z48" s="62"/>
      <c r="AA48" s="62"/>
      <c r="AB48" s="62"/>
      <c r="AC48" s="62"/>
      <c r="AD48" s="62"/>
      <c r="AE48" s="62"/>
      <c r="AF48" s="62"/>
      <c r="AG48" s="139"/>
      <c r="AH48" s="139"/>
      <c r="AI48" s="139"/>
      <c r="AJ48" s="62"/>
      <c r="AK48" s="140"/>
    </row>
  </sheetData>
  <mergeCells count="24">
    <mergeCell ref="A1:AK1"/>
    <mergeCell ref="B2:AK2"/>
    <mergeCell ref="A3:A4"/>
    <mergeCell ref="B3:B4"/>
    <mergeCell ref="C3:C4"/>
    <mergeCell ref="D3:D4"/>
    <mergeCell ref="E3:E4"/>
    <mergeCell ref="F3:J3"/>
    <mergeCell ref="K3:N3"/>
    <mergeCell ref="O3:V3"/>
    <mergeCell ref="W3:AF3"/>
    <mergeCell ref="AG3:AG4"/>
    <mergeCell ref="AH3:AH4"/>
    <mergeCell ref="AI3:AI4"/>
    <mergeCell ref="AI44:AI47"/>
    <mergeCell ref="AJ3:AJ4"/>
    <mergeCell ref="AJ44:AJ47"/>
    <mergeCell ref="AK44:AK47"/>
    <mergeCell ref="AK3:AK4"/>
    <mergeCell ref="F45:F47"/>
    <mergeCell ref="G45:G47"/>
    <mergeCell ref="W47:AF47"/>
    <mergeCell ref="AG44:AG47"/>
    <mergeCell ref="AH44:AH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0"/>
  <sheetViews>
    <sheetView zoomScale="74" workbookViewId="0">
      <selection activeCell="K21" sqref="K21"/>
    </sheetView>
  </sheetViews>
  <sheetFormatPr defaultRowHeight="14.5" x14ac:dyDescent="0.35"/>
  <cols>
    <col min="1" max="1" width="5.453125" customWidth="1"/>
    <col min="2" max="2" width="15.453125" customWidth="1"/>
    <col min="3" max="3" width="8.81640625" bestFit="1" customWidth="1"/>
    <col min="5" max="5" width="16.81640625" customWidth="1"/>
    <col min="6" max="6" width="16.7265625" customWidth="1"/>
    <col min="7" max="7" width="12.7265625" customWidth="1"/>
    <col min="8" max="8" width="19.7265625" customWidth="1"/>
    <col min="9" max="9" width="17.54296875" customWidth="1"/>
    <col min="10" max="10" width="18.81640625" customWidth="1"/>
    <col min="11" max="11" width="19.7265625" customWidth="1"/>
    <col min="12" max="12" width="19.81640625" bestFit="1" customWidth="1"/>
    <col min="13" max="13" width="15.7265625" bestFit="1" customWidth="1"/>
    <col min="14" max="14" width="16.453125" customWidth="1"/>
    <col min="15" max="15" width="19" bestFit="1" customWidth="1"/>
    <col min="16" max="16" width="10.453125" bestFit="1" customWidth="1"/>
    <col min="17" max="17" width="14.26953125" bestFit="1" customWidth="1"/>
    <col min="18" max="18" width="8.81640625" bestFit="1" customWidth="1"/>
    <col min="19" max="19" width="15.1796875" bestFit="1" customWidth="1"/>
    <col min="20" max="20" width="20" bestFit="1" customWidth="1"/>
    <col min="21" max="21" width="11.1796875" bestFit="1" customWidth="1"/>
    <col min="22" max="22" width="19.7265625" bestFit="1" customWidth="1"/>
    <col min="23" max="23" width="12.453125" bestFit="1" customWidth="1"/>
    <col min="24" max="24" width="14" bestFit="1" customWidth="1"/>
    <col min="25" max="25" width="7.26953125" bestFit="1" customWidth="1"/>
    <col min="26" max="26" width="8.7265625" bestFit="1" customWidth="1"/>
    <col min="27" max="27" width="10.54296875" bestFit="1" customWidth="1"/>
    <col min="28" max="28" width="10.453125" bestFit="1" customWidth="1"/>
    <col min="29" max="29" width="12.26953125" bestFit="1" customWidth="1"/>
    <col min="30" max="30" width="7.26953125" bestFit="1" customWidth="1"/>
    <col min="31" max="31" width="7.81640625" bestFit="1" customWidth="1"/>
    <col min="32" max="32" width="7.54296875" bestFit="1" customWidth="1"/>
    <col min="33" max="33" width="14.7265625" customWidth="1"/>
    <col min="34" max="35" width="15" customWidth="1"/>
    <col min="36" max="36" width="10.7265625" customWidth="1"/>
    <col min="37" max="37" width="14.453125" bestFit="1" customWidth="1"/>
  </cols>
  <sheetData>
    <row r="1" spans="1:37" ht="45.5" x14ac:dyDescent="0.9">
      <c r="A1" s="219" t="s">
        <v>358</v>
      </c>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220"/>
      <c r="AC1" s="220"/>
      <c r="AD1" s="220"/>
      <c r="AE1" s="220"/>
      <c r="AF1" s="220"/>
      <c r="AG1" s="220"/>
      <c r="AH1" s="220"/>
      <c r="AI1" s="220"/>
      <c r="AJ1" s="220"/>
      <c r="AK1" s="220"/>
    </row>
    <row r="2" spans="1:37" ht="18" x14ac:dyDescent="0.4">
      <c r="A2" s="221" t="s">
        <v>359</v>
      </c>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221"/>
      <c r="AD2" s="221"/>
      <c r="AE2" s="221"/>
      <c r="AF2" s="221"/>
      <c r="AG2" s="221"/>
      <c r="AH2" s="221"/>
      <c r="AI2" s="221"/>
      <c r="AJ2" s="221"/>
      <c r="AK2" s="221"/>
    </row>
    <row r="3" spans="1:37" ht="15" x14ac:dyDescent="0.35">
      <c r="A3" s="222" t="s">
        <v>0</v>
      </c>
      <c r="B3" s="222" t="s">
        <v>1</v>
      </c>
      <c r="C3" s="223" t="s">
        <v>2</v>
      </c>
      <c r="D3" s="223" t="s">
        <v>3</v>
      </c>
      <c r="E3" s="223" t="s">
        <v>4</v>
      </c>
      <c r="F3" s="223" t="s">
        <v>5</v>
      </c>
      <c r="G3" s="223"/>
      <c r="H3" s="223"/>
      <c r="I3" s="223"/>
      <c r="J3" s="223"/>
      <c r="K3" s="215" t="s">
        <v>6</v>
      </c>
      <c r="L3" s="215"/>
      <c r="M3" s="215"/>
      <c r="N3" s="215"/>
      <c r="O3" s="215" t="s">
        <v>7</v>
      </c>
      <c r="P3" s="215"/>
      <c r="Q3" s="215"/>
      <c r="R3" s="215"/>
      <c r="S3" s="215"/>
      <c r="T3" s="215"/>
      <c r="U3" s="215"/>
      <c r="V3" s="215"/>
      <c r="W3" s="223" t="s">
        <v>360</v>
      </c>
      <c r="X3" s="223"/>
      <c r="Y3" s="223"/>
      <c r="Z3" s="223"/>
      <c r="AA3" s="223"/>
      <c r="AB3" s="223"/>
      <c r="AC3" s="223"/>
      <c r="AD3" s="223"/>
      <c r="AE3" s="223"/>
      <c r="AF3" s="223"/>
      <c r="AG3" s="224" t="s">
        <v>361</v>
      </c>
      <c r="AH3" s="224" t="s">
        <v>10</v>
      </c>
      <c r="AI3" s="224" t="s">
        <v>321</v>
      </c>
      <c r="AJ3" s="225" t="s">
        <v>362</v>
      </c>
      <c r="AK3" s="218" t="s">
        <v>322</v>
      </c>
    </row>
    <row r="4" spans="1:37" ht="30" x14ac:dyDescent="0.35">
      <c r="A4" s="222"/>
      <c r="B4" s="222"/>
      <c r="C4" s="223"/>
      <c r="D4" s="223"/>
      <c r="E4" s="223"/>
      <c r="F4" s="68" t="s">
        <v>14</v>
      </c>
      <c r="G4" s="68" t="s">
        <v>363</v>
      </c>
      <c r="H4" s="85" t="s">
        <v>16</v>
      </c>
      <c r="I4" s="85" t="s">
        <v>17</v>
      </c>
      <c r="J4" s="85" t="s">
        <v>18</v>
      </c>
      <c r="K4" s="85" t="s">
        <v>19</v>
      </c>
      <c r="L4" s="85" t="s">
        <v>20</v>
      </c>
      <c r="M4" s="85" t="s">
        <v>21</v>
      </c>
      <c r="N4" s="85" t="s">
        <v>22</v>
      </c>
      <c r="O4" s="85" t="s">
        <v>23</v>
      </c>
      <c r="P4" s="85" t="s">
        <v>24</v>
      </c>
      <c r="Q4" s="85" t="s">
        <v>25</v>
      </c>
      <c r="R4" s="85" t="s">
        <v>26</v>
      </c>
      <c r="S4" s="85" t="s">
        <v>27</v>
      </c>
      <c r="T4" s="85" t="s">
        <v>28</v>
      </c>
      <c r="U4" s="85" t="s">
        <v>29</v>
      </c>
      <c r="V4" s="85" t="s">
        <v>30</v>
      </c>
      <c r="W4" s="141" t="s">
        <v>31</v>
      </c>
      <c r="X4" s="141" t="s">
        <v>364</v>
      </c>
      <c r="Y4" s="141" t="s">
        <v>33</v>
      </c>
      <c r="Z4" s="141" t="s">
        <v>34</v>
      </c>
      <c r="AA4" s="141" t="s">
        <v>35</v>
      </c>
      <c r="AB4" s="141" t="s">
        <v>36</v>
      </c>
      <c r="AC4" s="141" t="s">
        <v>37</v>
      </c>
      <c r="AD4" s="141" t="s">
        <v>38</v>
      </c>
      <c r="AE4" s="141" t="s">
        <v>39</v>
      </c>
      <c r="AF4" s="141" t="s">
        <v>40</v>
      </c>
      <c r="AG4" s="224"/>
      <c r="AH4" s="224"/>
      <c r="AI4" s="224"/>
      <c r="AJ4" s="225"/>
      <c r="AK4" s="218"/>
    </row>
    <row r="5" spans="1:37" ht="15.5" x14ac:dyDescent="0.35">
      <c r="A5" s="26">
        <v>1</v>
      </c>
      <c r="B5" s="27" t="s">
        <v>41</v>
      </c>
      <c r="C5" s="26" t="s">
        <v>130</v>
      </c>
      <c r="D5" s="26" t="s">
        <v>131</v>
      </c>
      <c r="E5" s="26" t="s">
        <v>132</v>
      </c>
      <c r="F5" s="26" t="s">
        <v>133</v>
      </c>
      <c r="G5" s="28">
        <v>4</v>
      </c>
      <c r="H5" s="71" t="s">
        <v>62</v>
      </c>
      <c r="I5" s="26" t="s">
        <v>47</v>
      </c>
      <c r="J5" s="26" t="s">
        <v>78</v>
      </c>
      <c r="K5" s="26" t="s">
        <v>49</v>
      </c>
      <c r="L5" s="26" t="s">
        <v>365</v>
      </c>
      <c r="M5" s="26" t="s">
        <v>134</v>
      </c>
      <c r="N5" s="71" t="s">
        <v>66</v>
      </c>
      <c r="O5" s="26" t="s">
        <v>135</v>
      </c>
      <c r="P5" s="71" t="s">
        <v>54</v>
      </c>
      <c r="Q5" s="71" t="s">
        <v>366</v>
      </c>
      <c r="R5" s="71" t="s">
        <v>56</v>
      </c>
      <c r="S5" s="26" t="s">
        <v>68</v>
      </c>
      <c r="T5" s="26" t="s">
        <v>136</v>
      </c>
      <c r="U5" s="26" t="s">
        <v>367</v>
      </c>
      <c r="V5" s="71" t="s">
        <v>106</v>
      </c>
      <c r="W5" s="30">
        <v>15</v>
      </c>
      <c r="X5" s="30">
        <v>0</v>
      </c>
      <c r="Y5" s="30">
        <v>0</v>
      </c>
      <c r="Z5" s="30">
        <v>0</v>
      </c>
      <c r="AA5" s="31">
        <f>0.19-0.125</f>
        <v>6.5000000000000002E-2</v>
      </c>
      <c r="AB5" s="31">
        <f>0.569-0.33</f>
        <v>0.23899999999999993</v>
      </c>
      <c r="AC5" s="31">
        <f>0.272-0.125</f>
        <v>0.14700000000000002</v>
      </c>
      <c r="AD5" s="30">
        <v>0</v>
      </c>
      <c r="AE5" s="30">
        <v>0</v>
      </c>
      <c r="AF5" s="30">
        <f>1.51-0.125</f>
        <v>1.385</v>
      </c>
      <c r="AG5" s="32">
        <v>16.84</v>
      </c>
      <c r="AH5" s="33">
        <f>AG5/7</f>
        <v>2.4057142857142857</v>
      </c>
      <c r="AI5" s="33">
        <f t="shared" ref="AI5:AI36" si="0">AH5/G5</f>
        <v>0.60142857142857142</v>
      </c>
      <c r="AJ5" s="34">
        <v>70</v>
      </c>
      <c r="AK5" s="34">
        <v>0.24</v>
      </c>
    </row>
    <row r="6" spans="1:37" ht="15.5" x14ac:dyDescent="0.35">
      <c r="A6" s="26">
        <f>A5+1</f>
        <v>2</v>
      </c>
      <c r="B6" s="27" t="s">
        <v>61</v>
      </c>
      <c r="C6" s="26" t="s">
        <v>130</v>
      </c>
      <c r="D6" s="26" t="s">
        <v>131</v>
      </c>
      <c r="E6" s="26" t="s">
        <v>132</v>
      </c>
      <c r="F6" s="26" t="s">
        <v>133</v>
      </c>
      <c r="G6" s="28">
        <v>2</v>
      </c>
      <c r="H6" s="71" t="s">
        <v>62</v>
      </c>
      <c r="I6" s="26" t="s">
        <v>47</v>
      </c>
      <c r="J6" s="26" t="s">
        <v>368</v>
      </c>
      <c r="K6" s="26" t="s">
        <v>79</v>
      </c>
      <c r="L6" s="26" t="s">
        <v>369</v>
      </c>
      <c r="M6" s="26" t="s">
        <v>134</v>
      </c>
      <c r="N6" s="26" t="s">
        <v>52</v>
      </c>
      <c r="O6" s="26" t="s">
        <v>53</v>
      </c>
      <c r="P6" s="71" t="s">
        <v>54</v>
      </c>
      <c r="Q6" s="71" t="s">
        <v>366</v>
      </c>
      <c r="R6" s="71" t="s">
        <v>56</v>
      </c>
      <c r="S6" s="26" t="s">
        <v>57</v>
      </c>
      <c r="T6" s="26" t="s">
        <v>58</v>
      </c>
      <c r="U6" s="26" t="s">
        <v>370</v>
      </c>
      <c r="V6" s="71" t="s">
        <v>106</v>
      </c>
      <c r="W6" s="30">
        <v>5.46</v>
      </c>
      <c r="X6" s="30">
        <f>0.38-0.125</f>
        <v>0.255</v>
      </c>
      <c r="Y6" s="30">
        <v>0</v>
      </c>
      <c r="Z6" s="30">
        <v>0</v>
      </c>
      <c r="AA6" s="31">
        <f>0.159-0.125</f>
        <v>3.4000000000000002E-2</v>
      </c>
      <c r="AB6" s="31">
        <f>0.31-0.125</f>
        <v>0.185</v>
      </c>
      <c r="AC6" s="31">
        <f>0.214-0.125</f>
        <v>8.8999999999999996E-2</v>
      </c>
      <c r="AD6" s="30">
        <v>0</v>
      </c>
      <c r="AE6" s="30">
        <v>0</v>
      </c>
      <c r="AF6" s="30">
        <f>0.311-0.125</f>
        <v>0.186</v>
      </c>
      <c r="AG6" s="32">
        <v>6.21</v>
      </c>
      <c r="AH6" s="33">
        <f t="shared" ref="AH6:AH36" si="1">AG6/7</f>
        <v>0.88714285714285712</v>
      </c>
      <c r="AI6" s="33">
        <f t="shared" si="0"/>
        <v>0.44357142857142856</v>
      </c>
      <c r="AJ6" s="34">
        <v>8</v>
      </c>
      <c r="AK6" s="34">
        <v>0.78</v>
      </c>
    </row>
    <row r="7" spans="1:37" ht="15.5" x14ac:dyDescent="0.35">
      <c r="A7" s="26">
        <f t="shared" ref="A7:A36" si="2">A6+1</f>
        <v>3</v>
      </c>
      <c r="B7" s="27" t="s">
        <v>70</v>
      </c>
      <c r="C7" s="26" t="s">
        <v>130</v>
      </c>
      <c r="D7" s="26" t="s">
        <v>131</v>
      </c>
      <c r="E7" s="26" t="s">
        <v>132</v>
      </c>
      <c r="F7" s="26" t="s">
        <v>133</v>
      </c>
      <c r="G7" s="28">
        <v>4</v>
      </c>
      <c r="H7" s="71" t="s">
        <v>62</v>
      </c>
      <c r="I7" s="71" t="s">
        <v>71</v>
      </c>
      <c r="J7" s="71" t="s">
        <v>371</v>
      </c>
      <c r="K7" s="26" t="s">
        <v>79</v>
      </c>
      <c r="L7" s="71" t="s">
        <v>372</v>
      </c>
      <c r="M7" s="26" t="s">
        <v>134</v>
      </c>
      <c r="N7" s="71" t="s">
        <v>373</v>
      </c>
      <c r="O7" s="71" t="s">
        <v>53</v>
      </c>
      <c r="P7" s="71" t="s">
        <v>54</v>
      </c>
      <c r="Q7" s="71" t="s">
        <v>366</v>
      </c>
      <c r="R7" s="71" t="s">
        <v>56</v>
      </c>
      <c r="S7" s="26" t="s">
        <v>68</v>
      </c>
      <c r="T7" s="71" t="s">
        <v>136</v>
      </c>
      <c r="U7" s="71" t="s">
        <v>367</v>
      </c>
      <c r="V7" s="71" t="s">
        <v>106</v>
      </c>
      <c r="W7" s="30">
        <v>19.28</v>
      </c>
      <c r="X7" s="30">
        <v>0</v>
      </c>
      <c r="Y7" s="30">
        <v>0</v>
      </c>
      <c r="Z7" s="30">
        <v>0</v>
      </c>
      <c r="AA7" s="31">
        <f>0.134-0.125</f>
        <v>9.000000000000008E-3</v>
      </c>
      <c r="AB7" s="31">
        <f>0.684-0.33</f>
        <v>0.35400000000000004</v>
      </c>
      <c r="AC7" s="31">
        <f>0.322-0.125</f>
        <v>0.19700000000000001</v>
      </c>
      <c r="AD7" s="30">
        <v>0</v>
      </c>
      <c r="AE7" s="30">
        <v>0</v>
      </c>
      <c r="AF7" s="30">
        <v>0.18</v>
      </c>
      <c r="AG7" s="32">
        <v>20.02</v>
      </c>
      <c r="AH7" s="33">
        <f t="shared" si="1"/>
        <v>2.86</v>
      </c>
      <c r="AI7" s="33">
        <f t="shared" si="0"/>
        <v>0.71499999999999997</v>
      </c>
      <c r="AJ7" s="34">
        <v>40</v>
      </c>
      <c r="AK7" s="34">
        <v>0.5</v>
      </c>
    </row>
    <row r="8" spans="1:37" ht="15.5" x14ac:dyDescent="0.35">
      <c r="A8" s="26">
        <f t="shared" si="2"/>
        <v>4</v>
      </c>
      <c r="B8" s="27" t="s">
        <v>137</v>
      </c>
      <c r="C8" s="26" t="s">
        <v>130</v>
      </c>
      <c r="D8" s="26" t="s">
        <v>131</v>
      </c>
      <c r="E8" s="26" t="s">
        <v>132</v>
      </c>
      <c r="F8" s="26" t="s">
        <v>133</v>
      </c>
      <c r="G8" s="28">
        <v>1</v>
      </c>
      <c r="H8" s="71" t="s">
        <v>62</v>
      </c>
      <c r="I8" s="26" t="s">
        <v>47</v>
      </c>
      <c r="J8" s="71" t="s">
        <v>371</v>
      </c>
      <c r="K8" s="71" t="s">
        <v>49</v>
      </c>
      <c r="L8" s="71" t="s">
        <v>372</v>
      </c>
      <c r="M8" s="71" t="s">
        <v>325</v>
      </c>
      <c r="N8" s="71" t="s">
        <v>66</v>
      </c>
      <c r="O8" s="71" t="s">
        <v>53</v>
      </c>
      <c r="P8" s="71" t="s">
        <v>54</v>
      </c>
      <c r="Q8" s="71" t="s">
        <v>366</v>
      </c>
      <c r="R8" s="71" t="s">
        <v>56</v>
      </c>
      <c r="S8" s="26" t="s">
        <v>57</v>
      </c>
      <c r="T8" s="26" t="s">
        <v>136</v>
      </c>
      <c r="U8" s="71" t="s">
        <v>367</v>
      </c>
      <c r="V8" s="71" t="s">
        <v>106</v>
      </c>
      <c r="W8" s="33">
        <v>5.2</v>
      </c>
      <c r="X8" s="33">
        <v>0</v>
      </c>
      <c r="Y8" s="33">
        <v>0</v>
      </c>
      <c r="Z8" s="33">
        <v>0</v>
      </c>
      <c r="AA8" s="35">
        <v>0</v>
      </c>
      <c r="AB8" s="35">
        <f>0.212-0.125</f>
        <v>8.6999999999999994E-2</v>
      </c>
      <c r="AC8" s="35">
        <f>0.44-0.33</f>
        <v>0.10999999999999999</v>
      </c>
      <c r="AD8" s="33">
        <v>0</v>
      </c>
      <c r="AE8" s="33">
        <f>0.22-0.125</f>
        <v>9.5000000000000001E-2</v>
      </c>
      <c r="AF8" s="33">
        <v>0</v>
      </c>
      <c r="AG8" s="32">
        <v>5.49</v>
      </c>
      <c r="AH8" s="33">
        <f t="shared" si="1"/>
        <v>0.78428571428571436</v>
      </c>
      <c r="AI8" s="33">
        <f t="shared" si="0"/>
        <v>0.78428571428571436</v>
      </c>
      <c r="AJ8" s="36">
        <v>8</v>
      </c>
      <c r="AK8" s="36">
        <v>0.69</v>
      </c>
    </row>
    <row r="9" spans="1:37" ht="15.5" x14ac:dyDescent="0.35">
      <c r="A9" s="26">
        <f t="shared" si="2"/>
        <v>5</v>
      </c>
      <c r="B9" s="27" t="s">
        <v>85</v>
      </c>
      <c r="C9" s="26" t="s">
        <v>130</v>
      </c>
      <c r="D9" s="26" t="s">
        <v>131</v>
      </c>
      <c r="E9" s="26" t="s">
        <v>132</v>
      </c>
      <c r="F9" s="26" t="s">
        <v>133</v>
      </c>
      <c r="G9" s="28">
        <v>3</v>
      </c>
      <c r="H9" s="71" t="s">
        <v>62</v>
      </c>
      <c r="I9" s="71" t="s">
        <v>71</v>
      </c>
      <c r="J9" s="26" t="s">
        <v>78</v>
      </c>
      <c r="K9" s="71" t="s">
        <v>79</v>
      </c>
      <c r="L9" s="71" t="s">
        <v>372</v>
      </c>
      <c r="M9" s="71" t="s">
        <v>51</v>
      </c>
      <c r="N9" s="71" t="s">
        <v>66</v>
      </c>
      <c r="O9" s="71" t="s">
        <v>53</v>
      </c>
      <c r="P9" s="71" t="s">
        <v>54</v>
      </c>
      <c r="Q9" s="71" t="s">
        <v>366</v>
      </c>
      <c r="R9" s="71" t="s">
        <v>56</v>
      </c>
      <c r="S9" s="71" t="s">
        <v>68</v>
      </c>
      <c r="T9" s="26" t="s">
        <v>136</v>
      </c>
      <c r="U9" s="71" t="s">
        <v>367</v>
      </c>
      <c r="V9" s="71" t="s">
        <v>106</v>
      </c>
      <c r="W9" s="30">
        <v>10.67</v>
      </c>
      <c r="X9" s="30">
        <v>3.68</v>
      </c>
      <c r="Y9" s="30">
        <v>0</v>
      </c>
      <c r="Z9" s="30">
        <v>0</v>
      </c>
      <c r="AA9" s="31">
        <v>1.56</v>
      </c>
      <c r="AB9" s="31">
        <v>1</v>
      </c>
      <c r="AC9" s="31">
        <v>0.32</v>
      </c>
      <c r="AD9" s="30">
        <v>0.32</v>
      </c>
      <c r="AE9" s="30">
        <v>0</v>
      </c>
      <c r="AF9" s="30">
        <v>0.96</v>
      </c>
      <c r="AG9" s="32">
        <v>18.510000000000002</v>
      </c>
      <c r="AH9" s="33">
        <f t="shared" si="1"/>
        <v>2.6442857142857146</v>
      </c>
      <c r="AI9" s="33">
        <f t="shared" si="0"/>
        <v>0.88142857142857156</v>
      </c>
      <c r="AJ9" s="34">
        <v>50</v>
      </c>
      <c r="AK9" s="34">
        <v>0.37</v>
      </c>
    </row>
    <row r="10" spans="1:37" ht="15.5" x14ac:dyDescent="0.35">
      <c r="A10" s="26">
        <f t="shared" si="2"/>
        <v>6</v>
      </c>
      <c r="B10" s="27" t="s">
        <v>374</v>
      </c>
      <c r="C10" s="26" t="s">
        <v>130</v>
      </c>
      <c r="D10" s="26" t="s">
        <v>131</v>
      </c>
      <c r="E10" s="26" t="s">
        <v>132</v>
      </c>
      <c r="F10" s="26" t="s">
        <v>133</v>
      </c>
      <c r="G10" s="28">
        <v>2</v>
      </c>
      <c r="H10" s="71" t="s">
        <v>46</v>
      </c>
      <c r="I10" s="26" t="s">
        <v>71</v>
      </c>
      <c r="J10" s="26" t="s">
        <v>371</v>
      </c>
      <c r="K10" s="26" t="s">
        <v>49</v>
      </c>
      <c r="L10" s="26" t="s">
        <v>372</v>
      </c>
      <c r="M10" s="26" t="s">
        <v>134</v>
      </c>
      <c r="N10" s="71" t="s">
        <v>138</v>
      </c>
      <c r="O10" s="26" t="s">
        <v>53</v>
      </c>
      <c r="P10" s="71" t="s">
        <v>54</v>
      </c>
      <c r="Q10" s="71" t="s">
        <v>366</v>
      </c>
      <c r="R10" s="71" t="s">
        <v>56</v>
      </c>
      <c r="S10" s="26" t="s">
        <v>57</v>
      </c>
      <c r="T10" s="26" t="s">
        <v>139</v>
      </c>
      <c r="U10" s="71" t="s">
        <v>370</v>
      </c>
      <c r="V10" s="71" t="s">
        <v>140</v>
      </c>
      <c r="W10" s="37">
        <v>5</v>
      </c>
      <c r="X10" s="30">
        <v>2.34</v>
      </c>
      <c r="Y10" s="30">
        <v>0</v>
      </c>
      <c r="Z10" s="30">
        <v>0</v>
      </c>
      <c r="AA10" s="31">
        <v>0.05</v>
      </c>
      <c r="AB10" s="31">
        <v>4.4999999999999998E-2</v>
      </c>
      <c r="AC10" s="31">
        <v>0.24299999999999999</v>
      </c>
      <c r="AD10" s="30">
        <v>0</v>
      </c>
      <c r="AE10" s="30">
        <v>0</v>
      </c>
      <c r="AF10" s="30">
        <v>0.36</v>
      </c>
      <c r="AG10" s="32">
        <f>SUM(W10:AF10)</f>
        <v>8.0380000000000003</v>
      </c>
      <c r="AH10" s="33">
        <f>AG10/7</f>
        <v>1.1482857142857144</v>
      </c>
      <c r="AI10" s="33">
        <f t="shared" si="0"/>
        <v>0.57414285714285718</v>
      </c>
      <c r="AJ10" s="34">
        <v>10</v>
      </c>
      <c r="AK10" s="38">
        <f>AG10/AJ10</f>
        <v>0.80380000000000007</v>
      </c>
    </row>
    <row r="11" spans="1:37" ht="15.5" x14ac:dyDescent="0.35">
      <c r="A11" s="26">
        <f t="shared" si="2"/>
        <v>7</v>
      </c>
      <c r="B11" s="27" t="s">
        <v>88</v>
      </c>
      <c r="C11" s="26" t="s">
        <v>130</v>
      </c>
      <c r="D11" s="26" t="s">
        <v>131</v>
      </c>
      <c r="E11" s="26" t="s">
        <v>132</v>
      </c>
      <c r="F11" s="26" t="s">
        <v>133</v>
      </c>
      <c r="G11" s="28">
        <v>2</v>
      </c>
      <c r="H11" s="71" t="s">
        <v>62</v>
      </c>
      <c r="I11" s="26" t="s">
        <v>47</v>
      </c>
      <c r="J11" s="26" t="s">
        <v>78</v>
      </c>
      <c r="K11" s="26" t="s">
        <v>79</v>
      </c>
      <c r="L11" s="26" t="s">
        <v>372</v>
      </c>
      <c r="M11" s="26" t="s">
        <v>134</v>
      </c>
      <c r="N11" s="71" t="s">
        <v>66</v>
      </c>
      <c r="O11" s="26" t="s">
        <v>135</v>
      </c>
      <c r="P11" s="71" t="s">
        <v>54</v>
      </c>
      <c r="Q11" s="71" t="s">
        <v>366</v>
      </c>
      <c r="R11" s="71" t="s">
        <v>56</v>
      </c>
      <c r="S11" s="26" t="s">
        <v>57</v>
      </c>
      <c r="T11" s="26" t="s">
        <v>58</v>
      </c>
      <c r="U11" s="71" t="s">
        <v>370</v>
      </c>
      <c r="V11" s="71" t="s">
        <v>106</v>
      </c>
      <c r="W11" s="37">
        <v>8.17</v>
      </c>
      <c r="X11" s="30">
        <v>0</v>
      </c>
      <c r="Y11" s="30">
        <v>0</v>
      </c>
      <c r="Z11" s="30">
        <v>0</v>
      </c>
      <c r="AA11" s="31">
        <f>0.472-0.125</f>
        <v>0.34699999999999998</v>
      </c>
      <c r="AB11" s="31">
        <f>0.127-0.125</f>
        <v>2.0000000000000018E-3</v>
      </c>
      <c r="AC11" s="31">
        <v>0</v>
      </c>
      <c r="AD11" s="30">
        <v>0</v>
      </c>
      <c r="AE11" s="30">
        <v>0</v>
      </c>
      <c r="AF11" s="30">
        <f>1.3</f>
        <v>1.3</v>
      </c>
      <c r="AG11" s="32">
        <v>9.82</v>
      </c>
      <c r="AH11" s="33">
        <f>AG11/7</f>
        <v>1.4028571428571428</v>
      </c>
      <c r="AI11" s="33">
        <f t="shared" si="0"/>
        <v>0.7014285714285714</v>
      </c>
      <c r="AJ11" s="34">
        <v>12</v>
      </c>
      <c r="AK11" s="34">
        <v>0.82</v>
      </c>
    </row>
    <row r="12" spans="1:37" ht="15.5" x14ac:dyDescent="0.35">
      <c r="A12" s="26">
        <f t="shared" si="2"/>
        <v>8</v>
      </c>
      <c r="B12" s="27" t="s">
        <v>89</v>
      </c>
      <c r="C12" s="26" t="s">
        <v>130</v>
      </c>
      <c r="D12" s="26" t="s">
        <v>131</v>
      </c>
      <c r="E12" s="26" t="s">
        <v>132</v>
      </c>
      <c r="F12" s="26" t="s">
        <v>133</v>
      </c>
      <c r="G12" s="28">
        <v>1</v>
      </c>
      <c r="H12" s="71" t="s">
        <v>62</v>
      </c>
      <c r="I12" s="26" t="s">
        <v>47</v>
      </c>
      <c r="J12" s="26" t="s">
        <v>78</v>
      </c>
      <c r="K12" s="26" t="s">
        <v>103</v>
      </c>
      <c r="L12" s="26" t="s">
        <v>372</v>
      </c>
      <c r="M12" s="26" t="s">
        <v>51</v>
      </c>
      <c r="N12" s="26" t="s">
        <v>52</v>
      </c>
      <c r="O12" s="26" t="s">
        <v>53</v>
      </c>
      <c r="P12" s="71" t="s">
        <v>54</v>
      </c>
      <c r="Q12" s="71" t="s">
        <v>366</v>
      </c>
      <c r="R12" s="71" t="s">
        <v>56</v>
      </c>
      <c r="S12" s="26" t="s">
        <v>57</v>
      </c>
      <c r="T12" s="26" t="s">
        <v>58</v>
      </c>
      <c r="U12" s="71" t="s">
        <v>370</v>
      </c>
      <c r="V12" s="71" t="s">
        <v>106</v>
      </c>
      <c r="W12" s="39">
        <f>2.286-0.125</f>
        <v>2.161</v>
      </c>
      <c r="X12" s="30">
        <v>0</v>
      </c>
      <c r="Y12" s="30">
        <v>0</v>
      </c>
      <c r="Z12" s="30">
        <v>0</v>
      </c>
      <c r="AA12" s="31">
        <f>0.171-0.125</f>
        <v>4.6000000000000013E-2</v>
      </c>
      <c r="AB12" s="31">
        <v>0.2</v>
      </c>
      <c r="AC12" s="31">
        <f>0.141-0.125</f>
        <v>1.5999999999999986E-2</v>
      </c>
      <c r="AD12" s="30">
        <v>0</v>
      </c>
      <c r="AE12" s="30">
        <v>0</v>
      </c>
      <c r="AF12" s="30">
        <f>0.329-0.125</f>
        <v>0.20400000000000001</v>
      </c>
      <c r="AG12" s="32">
        <v>2.63</v>
      </c>
      <c r="AH12" s="33">
        <f t="shared" si="1"/>
        <v>0.37571428571428572</v>
      </c>
      <c r="AI12" s="33">
        <f t="shared" si="0"/>
        <v>0.37571428571428572</v>
      </c>
      <c r="AJ12" s="34">
        <v>6</v>
      </c>
      <c r="AK12" s="34">
        <v>0.44</v>
      </c>
    </row>
    <row r="13" spans="1:37" ht="15.5" x14ac:dyDescent="0.35">
      <c r="A13" s="26">
        <f t="shared" si="2"/>
        <v>9</v>
      </c>
      <c r="B13" s="27" t="s">
        <v>90</v>
      </c>
      <c r="C13" s="26" t="s">
        <v>130</v>
      </c>
      <c r="D13" s="26" t="s">
        <v>131</v>
      </c>
      <c r="E13" s="26" t="s">
        <v>132</v>
      </c>
      <c r="F13" s="71" t="s">
        <v>133</v>
      </c>
      <c r="G13" s="28">
        <v>2</v>
      </c>
      <c r="H13" s="71" t="s">
        <v>62</v>
      </c>
      <c r="I13" s="26" t="s">
        <v>71</v>
      </c>
      <c r="J13" s="26" t="s">
        <v>78</v>
      </c>
      <c r="K13" s="26" t="s">
        <v>79</v>
      </c>
      <c r="L13" s="26" t="s">
        <v>372</v>
      </c>
      <c r="M13" s="26" t="s">
        <v>325</v>
      </c>
      <c r="N13" s="71" t="s">
        <v>66</v>
      </c>
      <c r="O13" s="26" t="s">
        <v>135</v>
      </c>
      <c r="P13" s="71" t="s">
        <v>54</v>
      </c>
      <c r="Q13" s="71" t="s">
        <v>366</v>
      </c>
      <c r="R13" s="71" t="s">
        <v>56</v>
      </c>
      <c r="S13" s="26" t="s">
        <v>57</v>
      </c>
      <c r="T13" s="26" t="s">
        <v>58</v>
      </c>
      <c r="U13" s="71" t="s">
        <v>370</v>
      </c>
      <c r="V13" s="71" t="s">
        <v>106</v>
      </c>
      <c r="W13" s="30">
        <f>0.88+6</f>
        <v>6.88</v>
      </c>
      <c r="X13" s="30">
        <v>0</v>
      </c>
      <c r="Y13" s="30">
        <f>0.225-0.125</f>
        <v>0.1</v>
      </c>
      <c r="Z13" s="30">
        <f>0.164-0.125</f>
        <v>3.9000000000000007E-2</v>
      </c>
      <c r="AA13" s="31">
        <f>0.48-0.125</f>
        <v>0.35499999999999998</v>
      </c>
      <c r="AB13" s="31">
        <f>0.562-0.125</f>
        <v>0.43700000000000006</v>
      </c>
      <c r="AC13" s="31">
        <f>0.472-0.125</f>
        <v>0.34699999999999998</v>
      </c>
      <c r="AD13" s="30">
        <v>0</v>
      </c>
      <c r="AE13" s="30">
        <v>0</v>
      </c>
      <c r="AF13" s="30">
        <f>0.138-0.125</f>
        <v>1.3000000000000012E-2</v>
      </c>
      <c r="AG13" s="32">
        <v>8.17</v>
      </c>
      <c r="AH13" s="33">
        <f t="shared" si="1"/>
        <v>1.167142857142857</v>
      </c>
      <c r="AI13" s="33">
        <f t="shared" si="0"/>
        <v>0.58357142857142852</v>
      </c>
      <c r="AJ13" s="34">
        <v>10</v>
      </c>
      <c r="AK13" s="34">
        <v>0.82</v>
      </c>
    </row>
    <row r="14" spans="1:37" ht="15.5" x14ac:dyDescent="0.35">
      <c r="A14" s="26">
        <f t="shared" si="2"/>
        <v>10</v>
      </c>
      <c r="B14" s="27" t="s">
        <v>141</v>
      </c>
      <c r="C14" s="26" t="s">
        <v>130</v>
      </c>
      <c r="D14" s="26" t="s">
        <v>131</v>
      </c>
      <c r="E14" s="26" t="s">
        <v>132</v>
      </c>
      <c r="F14" s="71" t="s">
        <v>133</v>
      </c>
      <c r="G14" s="28">
        <v>4</v>
      </c>
      <c r="H14" s="71" t="s">
        <v>46</v>
      </c>
      <c r="I14" s="26" t="s">
        <v>47</v>
      </c>
      <c r="J14" s="26" t="s">
        <v>78</v>
      </c>
      <c r="K14" s="26" t="s">
        <v>49</v>
      </c>
      <c r="L14" s="26" t="s">
        <v>372</v>
      </c>
      <c r="M14" s="26" t="s">
        <v>51</v>
      </c>
      <c r="N14" s="26" t="s">
        <v>373</v>
      </c>
      <c r="O14" s="26" t="s">
        <v>53</v>
      </c>
      <c r="P14" s="71" t="s">
        <v>54</v>
      </c>
      <c r="Q14" s="71" t="s">
        <v>366</v>
      </c>
      <c r="R14" s="71" t="s">
        <v>56</v>
      </c>
      <c r="S14" s="26" t="s">
        <v>68</v>
      </c>
      <c r="T14" s="26" t="s">
        <v>136</v>
      </c>
      <c r="U14" s="26" t="s">
        <v>367</v>
      </c>
      <c r="V14" s="71" t="s">
        <v>106</v>
      </c>
      <c r="W14" s="37">
        <v>18.2</v>
      </c>
      <c r="X14" s="37">
        <v>0</v>
      </c>
      <c r="Y14" s="30">
        <v>0</v>
      </c>
      <c r="Z14" s="30">
        <f>0.741-0.33</f>
        <v>0.41099999999999998</v>
      </c>
      <c r="AA14" s="31">
        <f>0.293-0.125</f>
        <v>0.16799999999999998</v>
      </c>
      <c r="AB14" s="31">
        <f>0.575-0.125</f>
        <v>0.44999999999999996</v>
      </c>
      <c r="AC14" s="31">
        <f>0.186-0.125</f>
        <v>6.0999999999999999E-2</v>
      </c>
      <c r="AD14" s="30">
        <v>0</v>
      </c>
      <c r="AE14" s="30">
        <v>0</v>
      </c>
      <c r="AF14" s="30">
        <v>1.48</v>
      </c>
      <c r="AG14" s="32">
        <v>20.77</v>
      </c>
      <c r="AH14" s="33">
        <f t="shared" si="1"/>
        <v>2.9671428571428571</v>
      </c>
      <c r="AI14" s="33">
        <f t="shared" si="0"/>
        <v>0.74178571428571427</v>
      </c>
      <c r="AJ14" s="34">
        <v>64</v>
      </c>
      <c r="AK14" s="34">
        <v>0.32</v>
      </c>
    </row>
    <row r="15" spans="1:37" ht="15.5" x14ac:dyDescent="0.35">
      <c r="A15" s="26">
        <f t="shared" si="2"/>
        <v>11</v>
      </c>
      <c r="B15" s="27" t="s">
        <v>375</v>
      </c>
      <c r="C15" s="26" t="s">
        <v>130</v>
      </c>
      <c r="D15" s="26" t="s">
        <v>131</v>
      </c>
      <c r="E15" s="26" t="s">
        <v>132</v>
      </c>
      <c r="F15" s="71" t="s">
        <v>133</v>
      </c>
      <c r="G15" s="28">
        <v>7</v>
      </c>
      <c r="H15" s="71" t="s">
        <v>62</v>
      </c>
      <c r="I15" s="26" t="s">
        <v>71</v>
      </c>
      <c r="J15" s="26" t="s">
        <v>78</v>
      </c>
      <c r="K15" s="26" t="s">
        <v>76</v>
      </c>
      <c r="L15" s="26" t="s">
        <v>369</v>
      </c>
      <c r="M15" s="26" t="s">
        <v>325</v>
      </c>
      <c r="N15" s="71" t="s">
        <v>66</v>
      </c>
      <c r="O15" s="26" t="s">
        <v>135</v>
      </c>
      <c r="P15" s="71" t="s">
        <v>54</v>
      </c>
      <c r="Q15" s="71" t="s">
        <v>366</v>
      </c>
      <c r="R15" s="71" t="s">
        <v>56</v>
      </c>
      <c r="S15" s="26" t="s">
        <v>68</v>
      </c>
      <c r="T15" s="26" t="s">
        <v>136</v>
      </c>
      <c r="U15" s="26" t="s">
        <v>367</v>
      </c>
      <c r="V15" s="71" t="s">
        <v>106</v>
      </c>
      <c r="W15" s="37">
        <v>32</v>
      </c>
      <c r="X15" s="37">
        <v>1.73</v>
      </c>
      <c r="Y15" s="30">
        <v>0</v>
      </c>
      <c r="Z15" s="30">
        <v>0</v>
      </c>
      <c r="AA15" s="31">
        <v>2.14</v>
      </c>
      <c r="AB15" s="31">
        <v>0.98</v>
      </c>
      <c r="AC15" s="31">
        <v>5.1999999999999998E-2</v>
      </c>
      <c r="AD15" s="30">
        <v>0</v>
      </c>
      <c r="AE15" s="30">
        <v>0</v>
      </c>
      <c r="AF15" s="30">
        <v>1.0900000000000001</v>
      </c>
      <c r="AG15" s="32">
        <v>37.99</v>
      </c>
      <c r="AH15" s="33">
        <f t="shared" si="1"/>
        <v>5.427142857142857</v>
      </c>
      <c r="AI15" s="33">
        <f t="shared" si="0"/>
        <v>0.77530612244897956</v>
      </c>
      <c r="AJ15" s="34">
        <v>120</v>
      </c>
      <c r="AK15" s="34">
        <v>0.32</v>
      </c>
    </row>
    <row r="16" spans="1:37" ht="15.5" x14ac:dyDescent="0.35">
      <c r="A16" s="26">
        <f t="shared" si="2"/>
        <v>12</v>
      </c>
      <c r="B16" s="27" t="s">
        <v>97</v>
      </c>
      <c r="C16" s="26" t="s">
        <v>130</v>
      </c>
      <c r="D16" s="26" t="s">
        <v>131</v>
      </c>
      <c r="E16" s="26" t="s">
        <v>132</v>
      </c>
      <c r="F16" s="26" t="s">
        <v>133</v>
      </c>
      <c r="G16" s="28">
        <v>4</v>
      </c>
      <c r="H16" s="71" t="s">
        <v>62</v>
      </c>
      <c r="I16" s="26" t="s">
        <v>71</v>
      </c>
      <c r="J16" s="26" t="s">
        <v>78</v>
      </c>
      <c r="K16" s="26" t="s">
        <v>79</v>
      </c>
      <c r="L16" s="26" t="s">
        <v>372</v>
      </c>
      <c r="M16" s="26" t="s">
        <v>325</v>
      </c>
      <c r="N16" s="71" t="s">
        <v>66</v>
      </c>
      <c r="O16" s="26" t="s">
        <v>53</v>
      </c>
      <c r="P16" s="71" t="s">
        <v>54</v>
      </c>
      <c r="Q16" s="71" t="s">
        <v>366</v>
      </c>
      <c r="R16" s="71" t="s">
        <v>56</v>
      </c>
      <c r="S16" s="26" t="s">
        <v>57</v>
      </c>
      <c r="T16" s="26" t="s">
        <v>58</v>
      </c>
      <c r="U16" s="26" t="s">
        <v>370</v>
      </c>
      <c r="V16" s="71" t="s">
        <v>106</v>
      </c>
      <c r="W16" s="30">
        <v>14.62</v>
      </c>
      <c r="X16" s="30">
        <v>2.21</v>
      </c>
      <c r="Y16" s="30">
        <v>0</v>
      </c>
      <c r="Z16" s="30">
        <v>0.8</v>
      </c>
      <c r="AA16" s="31">
        <v>0.64</v>
      </c>
      <c r="AB16" s="31">
        <v>0.24</v>
      </c>
      <c r="AC16" s="31">
        <v>7.8E-2</v>
      </c>
      <c r="AD16" s="30">
        <v>0</v>
      </c>
      <c r="AE16" s="30">
        <v>0</v>
      </c>
      <c r="AF16" s="30">
        <v>3.67</v>
      </c>
      <c r="AG16" s="32">
        <v>22.26</v>
      </c>
      <c r="AH16" s="33">
        <f t="shared" si="1"/>
        <v>3.18</v>
      </c>
      <c r="AI16" s="33">
        <f t="shared" si="0"/>
        <v>0.79500000000000004</v>
      </c>
      <c r="AJ16" s="34">
        <v>54</v>
      </c>
      <c r="AK16" s="34">
        <v>0.41</v>
      </c>
    </row>
    <row r="17" spans="1:37" ht="15.5" x14ac:dyDescent="0.35">
      <c r="A17" s="26">
        <f t="shared" si="2"/>
        <v>13</v>
      </c>
      <c r="B17" s="27" t="s">
        <v>100</v>
      </c>
      <c r="C17" s="26" t="s">
        <v>130</v>
      </c>
      <c r="D17" s="26" t="s">
        <v>131</v>
      </c>
      <c r="E17" s="26" t="s">
        <v>132</v>
      </c>
      <c r="F17" s="26" t="s">
        <v>133</v>
      </c>
      <c r="G17" s="28">
        <v>9</v>
      </c>
      <c r="H17" s="71" t="s">
        <v>46</v>
      </c>
      <c r="I17" s="26" t="s">
        <v>71</v>
      </c>
      <c r="J17" s="26" t="s">
        <v>78</v>
      </c>
      <c r="K17" s="26" t="s">
        <v>103</v>
      </c>
      <c r="L17" s="26" t="s">
        <v>372</v>
      </c>
      <c r="M17" s="26" t="s">
        <v>376</v>
      </c>
      <c r="N17" s="26" t="s">
        <v>87</v>
      </c>
      <c r="O17" s="26" t="s">
        <v>53</v>
      </c>
      <c r="P17" s="71" t="s">
        <v>54</v>
      </c>
      <c r="Q17" s="71" t="s">
        <v>366</v>
      </c>
      <c r="R17" s="71" t="s">
        <v>56</v>
      </c>
      <c r="S17" s="26" t="s">
        <v>57</v>
      </c>
      <c r="T17" s="26" t="s">
        <v>136</v>
      </c>
      <c r="U17" s="26" t="s">
        <v>367</v>
      </c>
      <c r="V17" s="71" t="s">
        <v>106</v>
      </c>
      <c r="W17" s="33">
        <f>31+9.72</f>
        <v>40.72</v>
      </c>
      <c r="X17" s="30">
        <v>0</v>
      </c>
      <c r="Y17" s="30">
        <v>0</v>
      </c>
      <c r="Z17" s="30">
        <v>1.76</v>
      </c>
      <c r="AA17" s="31">
        <f>0.4-0.125</f>
        <v>0.27500000000000002</v>
      </c>
      <c r="AB17" s="31">
        <f>2-0.33</f>
        <v>1.67</v>
      </c>
      <c r="AC17" s="31">
        <f>(0.546+0.758-0.125*2)</f>
        <v>1.054</v>
      </c>
      <c r="AD17" s="30">
        <v>0</v>
      </c>
      <c r="AE17" s="30">
        <v>0</v>
      </c>
      <c r="AF17" s="30">
        <v>0</v>
      </c>
      <c r="AG17" s="32">
        <v>45.478999999999999</v>
      </c>
      <c r="AH17" s="33">
        <f t="shared" si="1"/>
        <v>6.4969999999999999</v>
      </c>
      <c r="AI17" s="33">
        <f t="shared" si="0"/>
        <v>0.72188888888888891</v>
      </c>
      <c r="AJ17" s="34">
        <v>140</v>
      </c>
      <c r="AK17" s="34">
        <v>0.32500000000000001</v>
      </c>
    </row>
    <row r="18" spans="1:37" ht="15.5" x14ac:dyDescent="0.35">
      <c r="A18" s="26">
        <f t="shared" si="2"/>
        <v>14</v>
      </c>
      <c r="B18" s="27" t="s">
        <v>142</v>
      </c>
      <c r="C18" s="26" t="s">
        <v>130</v>
      </c>
      <c r="D18" s="26" t="s">
        <v>131</v>
      </c>
      <c r="E18" s="26" t="s">
        <v>132</v>
      </c>
      <c r="F18" s="26" t="s">
        <v>133</v>
      </c>
      <c r="G18" s="28">
        <v>6</v>
      </c>
      <c r="H18" s="71" t="s">
        <v>62</v>
      </c>
      <c r="I18" s="26" t="s">
        <v>47</v>
      </c>
      <c r="J18" s="71" t="s">
        <v>371</v>
      </c>
      <c r="K18" s="71" t="s">
        <v>103</v>
      </c>
      <c r="L18" s="71" t="s">
        <v>372</v>
      </c>
      <c r="M18" s="71" t="s">
        <v>325</v>
      </c>
      <c r="N18" s="71" t="s">
        <v>66</v>
      </c>
      <c r="O18" s="71" t="s">
        <v>135</v>
      </c>
      <c r="P18" s="71" t="s">
        <v>54</v>
      </c>
      <c r="Q18" s="71" t="s">
        <v>366</v>
      </c>
      <c r="R18" s="71" t="s">
        <v>56</v>
      </c>
      <c r="S18" s="26" t="s">
        <v>57</v>
      </c>
      <c r="T18" s="26" t="s">
        <v>136</v>
      </c>
      <c r="U18" s="26" t="s">
        <v>367</v>
      </c>
      <c r="V18" s="71" t="s">
        <v>106</v>
      </c>
      <c r="W18" s="30">
        <f>2.88*3</f>
        <v>8.64</v>
      </c>
      <c r="X18" s="30">
        <v>0</v>
      </c>
      <c r="Y18" s="30">
        <v>0</v>
      </c>
      <c r="Z18" s="30">
        <f>(1.3088-0.125)*3</f>
        <v>3.5514000000000001</v>
      </c>
      <c r="AA18" s="31">
        <f>(0.339-0.125)*3</f>
        <v>0.64200000000000013</v>
      </c>
      <c r="AB18" s="31">
        <f>1.086-0.33</f>
        <v>0.75600000000000001</v>
      </c>
      <c r="AC18" s="31">
        <f>(0.155-0.125)*3</f>
        <v>0.09</v>
      </c>
      <c r="AD18" s="30">
        <v>0</v>
      </c>
      <c r="AE18" s="30">
        <f>0.164-0.125</f>
        <v>3.9000000000000007E-2</v>
      </c>
      <c r="AF18" s="30">
        <v>0</v>
      </c>
      <c r="AG18" s="32">
        <v>13.718400000000001</v>
      </c>
      <c r="AH18" s="33">
        <f t="shared" si="1"/>
        <v>1.9597714285714287</v>
      </c>
      <c r="AI18" s="33">
        <f t="shared" si="0"/>
        <v>0.32662857142857143</v>
      </c>
      <c r="AJ18" s="34">
        <v>20</v>
      </c>
      <c r="AK18" s="34">
        <v>0.68600000000000005</v>
      </c>
    </row>
    <row r="19" spans="1:37" ht="15.5" x14ac:dyDescent="0.35">
      <c r="A19" s="26">
        <f t="shared" si="2"/>
        <v>15</v>
      </c>
      <c r="B19" s="27" t="s">
        <v>101</v>
      </c>
      <c r="C19" s="26" t="s">
        <v>130</v>
      </c>
      <c r="D19" s="26" t="s">
        <v>131</v>
      </c>
      <c r="E19" s="26" t="s">
        <v>132</v>
      </c>
      <c r="F19" s="26" t="s">
        <v>133</v>
      </c>
      <c r="G19" s="28">
        <v>2</v>
      </c>
      <c r="H19" s="71" t="s">
        <v>62</v>
      </c>
      <c r="I19" s="26" t="s">
        <v>71</v>
      </c>
      <c r="J19" s="26" t="s">
        <v>78</v>
      </c>
      <c r="K19" s="26" t="s">
        <v>103</v>
      </c>
      <c r="L19" s="26" t="s">
        <v>377</v>
      </c>
      <c r="M19" s="26" t="s">
        <v>325</v>
      </c>
      <c r="N19" s="26" t="s">
        <v>52</v>
      </c>
      <c r="O19" s="26" t="s">
        <v>53</v>
      </c>
      <c r="P19" s="71" t="s">
        <v>54</v>
      </c>
      <c r="Q19" s="71" t="s">
        <v>366</v>
      </c>
      <c r="R19" s="71" t="s">
        <v>56</v>
      </c>
      <c r="S19" s="26" t="s">
        <v>57</v>
      </c>
      <c r="T19" s="26" t="s">
        <v>58</v>
      </c>
      <c r="U19" s="26" t="s">
        <v>370</v>
      </c>
      <c r="V19" s="71" t="s">
        <v>106</v>
      </c>
      <c r="W19" s="30">
        <v>7.61</v>
      </c>
      <c r="X19" s="30">
        <v>0</v>
      </c>
      <c r="Y19" s="30">
        <v>0</v>
      </c>
      <c r="Z19" s="30">
        <v>0</v>
      </c>
      <c r="AA19" s="31">
        <v>5.0000000000000001E-3</v>
      </c>
      <c r="AB19" s="31">
        <v>0.21</v>
      </c>
      <c r="AC19" s="31">
        <v>0.19400000000000001</v>
      </c>
      <c r="AD19" s="30">
        <v>0</v>
      </c>
      <c r="AE19" s="30">
        <v>0</v>
      </c>
      <c r="AF19" s="30">
        <v>0</v>
      </c>
      <c r="AG19" s="32">
        <v>8.0190000000000001</v>
      </c>
      <c r="AH19" s="33">
        <f t="shared" si="1"/>
        <v>1.1455714285714287</v>
      </c>
      <c r="AI19" s="33">
        <f t="shared" si="0"/>
        <v>0.57278571428571434</v>
      </c>
      <c r="AJ19" s="34">
        <v>10</v>
      </c>
      <c r="AK19" s="34">
        <v>0.80200000000000005</v>
      </c>
    </row>
    <row r="20" spans="1:37" ht="15.5" x14ac:dyDescent="0.35">
      <c r="A20" s="26">
        <f t="shared" si="2"/>
        <v>16</v>
      </c>
      <c r="B20" s="27" t="s">
        <v>105</v>
      </c>
      <c r="C20" s="26" t="s">
        <v>130</v>
      </c>
      <c r="D20" s="26" t="s">
        <v>131</v>
      </c>
      <c r="E20" s="26" t="s">
        <v>132</v>
      </c>
      <c r="F20" s="26" t="s">
        <v>133</v>
      </c>
      <c r="G20" s="28">
        <v>4</v>
      </c>
      <c r="H20" s="71" t="s">
        <v>143</v>
      </c>
      <c r="I20" s="26" t="s">
        <v>71</v>
      </c>
      <c r="J20" s="26" t="s">
        <v>78</v>
      </c>
      <c r="K20" s="26" t="s">
        <v>76</v>
      </c>
      <c r="L20" s="26" t="s">
        <v>372</v>
      </c>
      <c r="M20" s="26" t="s">
        <v>134</v>
      </c>
      <c r="N20" s="71" t="s">
        <v>66</v>
      </c>
      <c r="O20" s="71" t="s">
        <v>135</v>
      </c>
      <c r="P20" s="71" t="s">
        <v>54</v>
      </c>
      <c r="Q20" s="71" t="s">
        <v>366</v>
      </c>
      <c r="R20" s="71" t="s">
        <v>56</v>
      </c>
      <c r="S20" s="26" t="s">
        <v>68</v>
      </c>
      <c r="T20" s="26" t="s">
        <v>136</v>
      </c>
      <c r="U20" s="26" t="s">
        <v>367</v>
      </c>
      <c r="V20" s="71" t="s">
        <v>106</v>
      </c>
      <c r="W20" s="30">
        <v>20.6</v>
      </c>
      <c r="X20" s="30">
        <v>0</v>
      </c>
      <c r="Y20" s="30">
        <v>0</v>
      </c>
      <c r="Z20" s="30">
        <v>0</v>
      </c>
      <c r="AA20" s="31">
        <v>0</v>
      </c>
      <c r="AB20" s="31">
        <f>0.527-0.125</f>
        <v>0.40200000000000002</v>
      </c>
      <c r="AC20" s="31">
        <f>0.265-0.125</f>
        <v>0.14000000000000001</v>
      </c>
      <c r="AD20" s="30">
        <v>0</v>
      </c>
      <c r="AE20" s="30">
        <v>0</v>
      </c>
      <c r="AF20" s="30">
        <v>1.48</v>
      </c>
      <c r="AG20" s="32">
        <v>22.622</v>
      </c>
      <c r="AH20" s="33">
        <f t="shared" si="1"/>
        <v>3.2317142857142858</v>
      </c>
      <c r="AI20" s="33">
        <f t="shared" si="0"/>
        <v>0.80792857142857144</v>
      </c>
      <c r="AJ20" s="34">
        <v>50</v>
      </c>
      <c r="AK20" s="34">
        <v>0.45200000000000001</v>
      </c>
    </row>
    <row r="21" spans="1:37" ht="15.5" x14ac:dyDescent="0.35">
      <c r="A21" s="26">
        <f t="shared" si="2"/>
        <v>17</v>
      </c>
      <c r="B21" s="27" t="s">
        <v>107</v>
      </c>
      <c r="C21" s="26" t="s">
        <v>130</v>
      </c>
      <c r="D21" s="26" t="s">
        <v>131</v>
      </c>
      <c r="E21" s="26" t="s">
        <v>132</v>
      </c>
      <c r="F21" s="26" t="s">
        <v>133</v>
      </c>
      <c r="G21" s="28">
        <v>2</v>
      </c>
      <c r="H21" s="71" t="s">
        <v>46</v>
      </c>
      <c r="I21" s="26" t="s">
        <v>47</v>
      </c>
      <c r="J21" s="26" t="s">
        <v>371</v>
      </c>
      <c r="K21" s="26" t="s">
        <v>49</v>
      </c>
      <c r="L21" s="26" t="s">
        <v>372</v>
      </c>
      <c r="M21" s="26" t="s">
        <v>134</v>
      </c>
      <c r="N21" s="26" t="s">
        <v>52</v>
      </c>
      <c r="O21" s="26" t="s">
        <v>53</v>
      </c>
      <c r="P21" s="71" t="s">
        <v>54</v>
      </c>
      <c r="Q21" s="71" t="s">
        <v>366</v>
      </c>
      <c r="R21" s="71" t="s">
        <v>56</v>
      </c>
      <c r="S21" s="26" t="s">
        <v>68</v>
      </c>
      <c r="T21" s="26" t="s">
        <v>58</v>
      </c>
      <c r="U21" s="26" t="s">
        <v>370</v>
      </c>
      <c r="V21" s="71" t="s">
        <v>106</v>
      </c>
      <c r="W21" s="30">
        <v>7</v>
      </c>
      <c r="X21" s="30">
        <v>0</v>
      </c>
      <c r="Y21" s="30">
        <v>0</v>
      </c>
      <c r="Z21" s="30">
        <v>0</v>
      </c>
      <c r="AA21" s="31">
        <v>0</v>
      </c>
      <c r="AB21" s="31">
        <v>0</v>
      </c>
      <c r="AC21" s="31">
        <f>0.251+0.066-0.125</f>
        <v>0.192</v>
      </c>
      <c r="AD21" s="30">
        <v>0.193</v>
      </c>
      <c r="AE21" s="30">
        <v>8.8999999999999996E-2</v>
      </c>
      <c r="AF21" s="30">
        <v>0</v>
      </c>
      <c r="AG21" s="32">
        <v>7.4740000000000002</v>
      </c>
      <c r="AH21" s="33">
        <f>AG21/7</f>
        <v>1.0677142857142858</v>
      </c>
      <c r="AI21" s="33">
        <f t="shared" si="0"/>
        <v>0.53385714285714292</v>
      </c>
      <c r="AJ21" s="34">
        <v>10</v>
      </c>
      <c r="AK21" s="34">
        <v>0.747</v>
      </c>
    </row>
    <row r="22" spans="1:37" ht="15.5" x14ac:dyDescent="0.35">
      <c r="A22" s="26">
        <f t="shared" si="2"/>
        <v>18</v>
      </c>
      <c r="B22" s="27" t="s">
        <v>108</v>
      </c>
      <c r="C22" s="26" t="s">
        <v>130</v>
      </c>
      <c r="D22" s="26" t="s">
        <v>131</v>
      </c>
      <c r="E22" s="26" t="s">
        <v>132</v>
      </c>
      <c r="F22" s="26" t="s">
        <v>133</v>
      </c>
      <c r="G22" s="28">
        <v>3</v>
      </c>
      <c r="H22" s="71" t="s">
        <v>62</v>
      </c>
      <c r="I22" s="26" t="s">
        <v>47</v>
      </c>
      <c r="J22" s="26" t="s">
        <v>371</v>
      </c>
      <c r="K22" s="26" t="s">
        <v>49</v>
      </c>
      <c r="L22" s="26" t="s">
        <v>372</v>
      </c>
      <c r="M22" s="26" t="s">
        <v>51</v>
      </c>
      <c r="N22" s="71" t="s">
        <v>66</v>
      </c>
      <c r="O22" s="26" t="s">
        <v>135</v>
      </c>
      <c r="P22" s="71" t="s">
        <v>54</v>
      </c>
      <c r="Q22" s="71" t="s">
        <v>366</v>
      </c>
      <c r="R22" s="71" t="s">
        <v>56</v>
      </c>
      <c r="S22" s="26" t="s">
        <v>68</v>
      </c>
      <c r="T22" s="26" t="s">
        <v>136</v>
      </c>
      <c r="U22" s="26" t="s">
        <v>367</v>
      </c>
      <c r="V22" s="71" t="s">
        <v>106</v>
      </c>
      <c r="W22" s="33">
        <f>0.577-0.125+4.32+0.2</f>
        <v>4.9720000000000004</v>
      </c>
      <c r="X22" s="33">
        <v>0</v>
      </c>
      <c r="Y22" s="33">
        <v>0</v>
      </c>
      <c r="Z22" s="33">
        <v>0.34</v>
      </c>
      <c r="AA22" s="35">
        <v>0</v>
      </c>
      <c r="AB22" s="35">
        <v>0.22</v>
      </c>
      <c r="AC22" s="35">
        <f>0.44-0.125</f>
        <v>0.315</v>
      </c>
      <c r="AD22" s="33">
        <v>0.218</v>
      </c>
      <c r="AE22" s="33">
        <v>0</v>
      </c>
      <c r="AF22" s="33">
        <v>0</v>
      </c>
      <c r="AG22" s="32">
        <f>SUM(W22:AF22)</f>
        <v>6.0650000000000004</v>
      </c>
      <c r="AH22" s="33">
        <f>AG22/7</f>
        <v>0.86642857142857144</v>
      </c>
      <c r="AI22" s="33">
        <f t="shared" si="0"/>
        <v>0.28880952380952379</v>
      </c>
      <c r="AJ22" s="36">
        <v>12</v>
      </c>
      <c r="AK22" s="40">
        <f>AG22/AJ22</f>
        <v>0.50541666666666674</v>
      </c>
    </row>
    <row r="23" spans="1:37" ht="15.5" x14ac:dyDescent="0.35">
      <c r="A23" s="26">
        <f t="shared" si="2"/>
        <v>19</v>
      </c>
      <c r="B23" s="27" t="s">
        <v>109</v>
      </c>
      <c r="C23" s="26" t="s">
        <v>130</v>
      </c>
      <c r="D23" s="26" t="s">
        <v>131</v>
      </c>
      <c r="E23" s="26" t="s">
        <v>144</v>
      </c>
      <c r="F23" s="26" t="s">
        <v>133</v>
      </c>
      <c r="G23" s="28">
        <v>2</v>
      </c>
      <c r="H23" s="71" t="s">
        <v>62</v>
      </c>
      <c r="I23" s="26" t="s">
        <v>47</v>
      </c>
      <c r="J23" s="26" t="s">
        <v>371</v>
      </c>
      <c r="K23" s="26" t="s">
        <v>79</v>
      </c>
      <c r="L23" s="26" t="s">
        <v>372</v>
      </c>
      <c r="M23" s="26" t="s">
        <v>51</v>
      </c>
      <c r="N23" s="26" t="s">
        <v>373</v>
      </c>
      <c r="O23" s="26" t="s">
        <v>53</v>
      </c>
      <c r="P23" s="71" t="s">
        <v>54</v>
      </c>
      <c r="Q23" s="71" t="s">
        <v>366</v>
      </c>
      <c r="R23" s="71" t="s">
        <v>56</v>
      </c>
      <c r="S23" s="26" t="s">
        <v>57</v>
      </c>
      <c r="T23" s="26" t="s">
        <v>58</v>
      </c>
      <c r="U23" s="26" t="s">
        <v>370</v>
      </c>
      <c r="V23" s="71" t="s">
        <v>106</v>
      </c>
      <c r="W23" s="30">
        <v>3.57</v>
      </c>
      <c r="X23" s="30">
        <v>0</v>
      </c>
      <c r="Y23" s="30">
        <v>0</v>
      </c>
      <c r="Z23" s="30">
        <v>0</v>
      </c>
      <c r="AA23" s="31">
        <f>0.202-0.125</f>
        <v>7.7000000000000013E-2</v>
      </c>
      <c r="AB23" s="31">
        <f>0.415-0.125</f>
        <v>0.28999999999999998</v>
      </c>
      <c r="AC23" s="31">
        <v>0.19500000000000001</v>
      </c>
      <c r="AD23" s="30">
        <v>0</v>
      </c>
      <c r="AE23" s="30">
        <v>0.17699999999999999</v>
      </c>
      <c r="AF23" s="30">
        <v>2.64</v>
      </c>
      <c r="AG23" s="32">
        <v>3.379</v>
      </c>
      <c r="AH23" s="33">
        <f t="shared" si="1"/>
        <v>0.48271428571428571</v>
      </c>
      <c r="AI23" s="33">
        <f t="shared" si="0"/>
        <v>0.24135714285714285</v>
      </c>
      <c r="AJ23" s="34">
        <v>6</v>
      </c>
      <c r="AK23" s="34">
        <v>0.56299999999999994</v>
      </c>
    </row>
    <row r="24" spans="1:37" ht="15.5" x14ac:dyDescent="0.35">
      <c r="A24" s="26">
        <f t="shared" si="2"/>
        <v>20</v>
      </c>
      <c r="B24" s="142" t="s">
        <v>145</v>
      </c>
      <c r="C24" s="26" t="s">
        <v>130</v>
      </c>
      <c r="D24" s="26" t="s">
        <v>131</v>
      </c>
      <c r="E24" s="26" t="s">
        <v>144</v>
      </c>
      <c r="F24" s="26" t="s">
        <v>133</v>
      </c>
      <c r="G24" s="28">
        <v>1</v>
      </c>
      <c r="H24" s="71" t="s">
        <v>46</v>
      </c>
      <c r="I24" s="71" t="s">
        <v>71</v>
      </c>
      <c r="J24" s="71" t="s">
        <v>78</v>
      </c>
      <c r="K24" s="71" t="s">
        <v>79</v>
      </c>
      <c r="L24" s="71" t="s">
        <v>372</v>
      </c>
      <c r="M24" s="71" t="s">
        <v>134</v>
      </c>
      <c r="N24" s="71" t="s">
        <v>66</v>
      </c>
      <c r="O24" s="71" t="s">
        <v>135</v>
      </c>
      <c r="P24" s="71" t="s">
        <v>54</v>
      </c>
      <c r="Q24" s="71" t="s">
        <v>366</v>
      </c>
      <c r="R24" s="71" t="s">
        <v>56</v>
      </c>
      <c r="S24" s="71" t="s">
        <v>68</v>
      </c>
      <c r="T24" s="26" t="s">
        <v>136</v>
      </c>
      <c r="U24" s="26" t="s">
        <v>367</v>
      </c>
      <c r="V24" s="71" t="s">
        <v>106</v>
      </c>
      <c r="W24" s="33">
        <f>0.577-0.125+4.32</f>
        <v>4.7720000000000002</v>
      </c>
      <c r="X24" s="33">
        <v>0</v>
      </c>
      <c r="Y24" s="33">
        <v>0</v>
      </c>
      <c r="Z24" s="33">
        <v>0</v>
      </c>
      <c r="AA24" s="35">
        <v>0</v>
      </c>
      <c r="AB24" s="35">
        <v>0.16</v>
      </c>
      <c r="AC24" s="35">
        <f>0.44-0.125</f>
        <v>0.315</v>
      </c>
      <c r="AD24" s="33">
        <v>0</v>
      </c>
      <c r="AE24" s="33">
        <v>0</v>
      </c>
      <c r="AF24" s="33">
        <v>0</v>
      </c>
      <c r="AG24" s="32">
        <v>5.2469999999999999</v>
      </c>
      <c r="AH24" s="33">
        <f t="shared" si="1"/>
        <v>0.74957142857142856</v>
      </c>
      <c r="AI24" s="33">
        <f t="shared" si="0"/>
        <v>0.74957142857142856</v>
      </c>
      <c r="AJ24" s="36">
        <v>8</v>
      </c>
      <c r="AK24" s="36">
        <v>0.65600000000000003</v>
      </c>
    </row>
    <row r="25" spans="1:37" ht="15.5" x14ac:dyDescent="0.35">
      <c r="A25" s="26">
        <f t="shared" si="2"/>
        <v>21</v>
      </c>
      <c r="B25" s="27" t="s">
        <v>146</v>
      </c>
      <c r="C25" s="26" t="s">
        <v>130</v>
      </c>
      <c r="D25" s="26" t="s">
        <v>131</v>
      </c>
      <c r="E25" s="26" t="s">
        <v>144</v>
      </c>
      <c r="F25" s="26" t="s">
        <v>133</v>
      </c>
      <c r="G25" s="28">
        <v>6</v>
      </c>
      <c r="H25" s="71" t="s">
        <v>46</v>
      </c>
      <c r="I25" s="26" t="s">
        <v>47</v>
      </c>
      <c r="J25" s="71" t="s">
        <v>371</v>
      </c>
      <c r="K25" s="71" t="s">
        <v>79</v>
      </c>
      <c r="L25" s="71" t="s">
        <v>372</v>
      </c>
      <c r="M25" s="71" t="s">
        <v>134</v>
      </c>
      <c r="N25" s="71" t="s">
        <v>66</v>
      </c>
      <c r="O25" s="26" t="s">
        <v>53</v>
      </c>
      <c r="P25" s="71" t="s">
        <v>54</v>
      </c>
      <c r="Q25" s="71" t="s">
        <v>366</v>
      </c>
      <c r="R25" s="71" t="s">
        <v>56</v>
      </c>
      <c r="S25" s="71" t="s">
        <v>68</v>
      </c>
      <c r="T25" s="26" t="s">
        <v>136</v>
      </c>
      <c r="U25" s="26" t="s">
        <v>367</v>
      </c>
      <c r="V25" s="71" t="s">
        <v>106</v>
      </c>
      <c r="W25" s="30">
        <v>6.28</v>
      </c>
      <c r="X25" s="30">
        <v>0</v>
      </c>
      <c r="Y25" s="30">
        <v>0</v>
      </c>
      <c r="Z25" s="30">
        <v>0.13700000000000001</v>
      </c>
      <c r="AA25" s="31">
        <v>0.52500000000000002</v>
      </c>
      <c r="AB25" s="31">
        <f>0.583-0.125</f>
        <v>0.45799999999999996</v>
      </c>
      <c r="AC25" s="31">
        <f>0.174+0.097</f>
        <v>0.27100000000000002</v>
      </c>
      <c r="AD25" s="30">
        <v>0</v>
      </c>
      <c r="AE25" s="30">
        <v>2E-3</v>
      </c>
      <c r="AF25" s="30">
        <v>0</v>
      </c>
      <c r="AG25" s="32">
        <v>7.67</v>
      </c>
      <c r="AH25" s="33">
        <f t="shared" si="1"/>
        <v>1.0957142857142856</v>
      </c>
      <c r="AI25" s="33">
        <f t="shared" si="0"/>
        <v>0.1826190476190476</v>
      </c>
      <c r="AJ25" s="34">
        <v>10</v>
      </c>
      <c r="AK25" s="34">
        <v>0.76700000000000002</v>
      </c>
    </row>
    <row r="26" spans="1:37" ht="15.5" x14ac:dyDescent="0.35">
      <c r="A26" s="26">
        <f t="shared" si="2"/>
        <v>22</v>
      </c>
      <c r="B26" s="27" t="s">
        <v>112</v>
      </c>
      <c r="C26" s="26" t="s">
        <v>130</v>
      </c>
      <c r="D26" s="26" t="s">
        <v>131</v>
      </c>
      <c r="E26" s="26" t="s">
        <v>144</v>
      </c>
      <c r="F26" s="26" t="s">
        <v>133</v>
      </c>
      <c r="G26" s="28">
        <v>2</v>
      </c>
      <c r="H26" s="71" t="s">
        <v>46</v>
      </c>
      <c r="I26" s="71" t="s">
        <v>47</v>
      </c>
      <c r="J26" s="71" t="s">
        <v>78</v>
      </c>
      <c r="K26" s="71" t="s">
        <v>49</v>
      </c>
      <c r="L26" s="71" t="s">
        <v>372</v>
      </c>
      <c r="M26" s="71" t="s">
        <v>134</v>
      </c>
      <c r="N26" s="71" t="s">
        <v>66</v>
      </c>
      <c r="O26" s="71" t="s">
        <v>135</v>
      </c>
      <c r="P26" s="71" t="s">
        <v>54</v>
      </c>
      <c r="Q26" s="71" t="s">
        <v>366</v>
      </c>
      <c r="R26" s="71" t="s">
        <v>56</v>
      </c>
      <c r="S26" s="71" t="s">
        <v>57</v>
      </c>
      <c r="T26" s="71" t="s">
        <v>58</v>
      </c>
      <c r="U26" s="71" t="s">
        <v>370</v>
      </c>
      <c r="V26" s="71" t="s">
        <v>106</v>
      </c>
      <c r="W26" s="30">
        <v>5.22</v>
      </c>
      <c r="X26" s="30">
        <v>0</v>
      </c>
      <c r="Y26" s="30">
        <v>0</v>
      </c>
      <c r="Z26" s="30">
        <f>0.381-0.125</f>
        <v>0.25600000000000001</v>
      </c>
      <c r="AA26" s="31">
        <f>0.305-0.125</f>
        <v>0.18</v>
      </c>
      <c r="AB26" s="31">
        <f>1.224-0.33</f>
        <v>0.89399999999999991</v>
      </c>
      <c r="AC26" s="31">
        <f>0.182</f>
        <v>0.182</v>
      </c>
      <c r="AD26" s="30">
        <v>0</v>
      </c>
      <c r="AE26" s="30">
        <f>0.138-0.125</f>
        <v>1.3000000000000012E-2</v>
      </c>
      <c r="AF26" s="30">
        <v>1.66</v>
      </c>
      <c r="AG26" s="32">
        <v>8.41</v>
      </c>
      <c r="AH26" s="33">
        <f t="shared" si="1"/>
        <v>1.2014285714285715</v>
      </c>
      <c r="AI26" s="33">
        <f t="shared" si="0"/>
        <v>0.60071428571428576</v>
      </c>
      <c r="AJ26" s="34">
        <v>10</v>
      </c>
      <c r="AK26" s="34">
        <v>0.84099999999999997</v>
      </c>
    </row>
    <row r="27" spans="1:37" ht="15.5" x14ac:dyDescent="0.35">
      <c r="A27" s="26">
        <f t="shared" si="2"/>
        <v>23</v>
      </c>
      <c r="B27" s="27" t="s">
        <v>113</v>
      </c>
      <c r="C27" s="26" t="s">
        <v>130</v>
      </c>
      <c r="D27" s="26" t="s">
        <v>131</v>
      </c>
      <c r="E27" s="26" t="s">
        <v>144</v>
      </c>
      <c r="F27" s="26" t="s">
        <v>133</v>
      </c>
      <c r="G27" s="28">
        <v>6</v>
      </c>
      <c r="H27" s="71" t="s">
        <v>46</v>
      </c>
      <c r="I27" s="71" t="s">
        <v>47</v>
      </c>
      <c r="J27" s="71" t="s">
        <v>83</v>
      </c>
      <c r="K27" s="71" t="s">
        <v>103</v>
      </c>
      <c r="L27" s="71" t="s">
        <v>372</v>
      </c>
      <c r="M27" s="71" t="s">
        <v>325</v>
      </c>
      <c r="N27" s="71" t="s">
        <v>52</v>
      </c>
      <c r="O27" s="71" t="s">
        <v>53</v>
      </c>
      <c r="P27" s="71" t="s">
        <v>54</v>
      </c>
      <c r="Q27" s="71" t="s">
        <v>366</v>
      </c>
      <c r="R27" s="71" t="s">
        <v>56</v>
      </c>
      <c r="S27" s="71" t="s">
        <v>68</v>
      </c>
      <c r="T27" s="71" t="s">
        <v>136</v>
      </c>
      <c r="U27" s="71" t="s">
        <v>367</v>
      </c>
      <c r="V27" s="71" t="s">
        <v>106</v>
      </c>
      <c r="W27" s="30">
        <v>4.4800000000000004</v>
      </c>
      <c r="X27" s="30">
        <v>0</v>
      </c>
      <c r="Y27" s="30">
        <v>0</v>
      </c>
      <c r="Z27" s="30">
        <v>0</v>
      </c>
      <c r="AA27" s="31">
        <f>0.614-0.33</f>
        <v>0.28399999999999997</v>
      </c>
      <c r="AB27" s="31">
        <v>0.29499999999999998</v>
      </c>
      <c r="AC27" s="31">
        <v>0</v>
      </c>
      <c r="AD27" s="30">
        <v>0</v>
      </c>
      <c r="AE27" s="30">
        <v>0.14499999999999999</v>
      </c>
      <c r="AF27" s="30">
        <f>0.788-0.33</f>
        <v>0.45800000000000002</v>
      </c>
      <c r="AG27" s="32">
        <v>5.6619999999999999</v>
      </c>
      <c r="AH27" s="33">
        <f t="shared" si="1"/>
        <v>0.80885714285714283</v>
      </c>
      <c r="AI27" s="33">
        <f t="shared" si="0"/>
        <v>0.1348095238095238</v>
      </c>
      <c r="AJ27" s="34">
        <v>8</v>
      </c>
      <c r="AK27" s="34">
        <v>0.70799999999999996</v>
      </c>
    </row>
    <row r="28" spans="1:37" ht="15.5" x14ac:dyDescent="0.35">
      <c r="A28" s="26">
        <f t="shared" si="2"/>
        <v>24</v>
      </c>
      <c r="B28" s="27" t="s">
        <v>147</v>
      </c>
      <c r="C28" s="26" t="s">
        <v>130</v>
      </c>
      <c r="D28" s="26" t="s">
        <v>131</v>
      </c>
      <c r="E28" s="26" t="s">
        <v>144</v>
      </c>
      <c r="F28" s="26" t="s">
        <v>133</v>
      </c>
      <c r="G28" s="28">
        <v>3</v>
      </c>
      <c r="H28" s="71" t="s">
        <v>46</v>
      </c>
      <c r="I28" s="71" t="s">
        <v>71</v>
      </c>
      <c r="J28" s="71" t="s">
        <v>371</v>
      </c>
      <c r="K28" s="71" t="s">
        <v>148</v>
      </c>
      <c r="L28" s="71" t="s">
        <v>378</v>
      </c>
      <c r="M28" s="71" t="s">
        <v>134</v>
      </c>
      <c r="N28" s="71" t="s">
        <v>66</v>
      </c>
      <c r="O28" s="71" t="s">
        <v>53</v>
      </c>
      <c r="P28" s="71" t="s">
        <v>54</v>
      </c>
      <c r="Q28" s="71" t="s">
        <v>366</v>
      </c>
      <c r="R28" s="71" t="s">
        <v>56</v>
      </c>
      <c r="S28" s="71" t="s">
        <v>57</v>
      </c>
      <c r="T28" s="71" t="s">
        <v>58</v>
      </c>
      <c r="U28" s="71" t="s">
        <v>370</v>
      </c>
      <c r="V28" s="71" t="s">
        <v>106</v>
      </c>
      <c r="W28" s="30">
        <v>4.5199999999999996</v>
      </c>
      <c r="X28" s="30">
        <v>0</v>
      </c>
      <c r="Y28" s="30">
        <v>0</v>
      </c>
      <c r="Z28" s="30">
        <v>0</v>
      </c>
      <c r="AA28" s="31">
        <v>0.35</v>
      </c>
      <c r="AB28" s="31">
        <v>0.36399999999999999</v>
      </c>
      <c r="AC28" s="31">
        <v>0.154</v>
      </c>
      <c r="AD28" s="30">
        <v>0</v>
      </c>
      <c r="AE28" s="30">
        <v>0</v>
      </c>
      <c r="AF28" s="30">
        <v>1.03</v>
      </c>
      <c r="AG28" s="32">
        <v>6.42</v>
      </c>
      <c r="AH28" s="33">
        <f t="shared" si="1"/>
        <v>0.91714285714285715</v>
      </c>
      <c r="AI28" s="33">
        <f t="shared" si="0"/>
        <v>0.30571428571428572</v>
      </c>
      <c r="AJ28" s="34">
        <v>10</v>
      </c>
      <c r="AK28" s="34">
        <v>0.64200000000000002</v>
      </c>
    </row>
    <row r="29" spans="1:37" ht="15.5" x14ac:dyDescent="0.35">
      <c r="A29" s="26">
        <f t="shared" si="2"/>
        <v>25</v>
      </c>
      <c r="B29" s="27" t="s">
        <v>149</v>
      </c>
      <c r="C29" s="26" t="s">
        <v>130</v>
      </c>
      <c r="D29" s="26" t="s">
        <v>131</v>
      </c>
      <c r="E29" s="26" t="s">
        <v>144</v>
      </c>
      <c r="F29" s="26" t="s">
        <v>133</v>
      </c>
      <c r="G29" s="28">
        <v>2</v>
      </c>
      <c r="H29" s="71" t="s">
        <v>46</v>
      </c>
      <c r="I29" s="71" t="s">
        <v>47</v>
      </c>
      <c r="J29" s="71" t="s">
        <v>371</v>
      </c>
      <c r="K29" s="71" t="s">
        <v>49</v>
      </c>
      <c r="L29" s="71" t="s">
        <v>372</v>
      </c>
      <c r="M29" s="71" t="s">
        <v>134</v>
      </c>
      <c r="N29" s="71" t="s">
        <v>52</v>
      </c>
      <c r="O29" s="71" t="s">
        <v>53</v>
      </c>
      <c r="P29" s="71" t="s">
        <v>54</v>
      </c>
      <c r="Q29" s="71" t="s">
        <v>366</v>
      </c>
      <c r="R29" s="71" t="s">
        <v>56</v>
      </c>
      <c r="S29" s="71" t="s">
        <v>57</v>
      </c>
      <c r="T29" s="71" t="s">
        <v>58</v>
      </c>
      <c r="U29" s="71" t="s">
        <v>370</v>
      </c>
      <c r="V29" s="71" t="s">
        <v>106</v>
      </c>
      <c r="W29" s="30">
        <v>2</v>
      </c>
      <c r="X29" s="30">
        <v>0</v>
      </c>
      <c r="Y29" s="30">
        <v>0</v>
      </c>
      <c r="Z29" s="30">
        <v>0</v>
      </c>
      <c r="AA29" s="31">
        <f>0.439-0.125</f>
        <v>0.314</v>
      </c>
      <c r="AB29" s="31">
        <v>0.191</v>
      </c>
      <c r="AC29" s="31">
        <v>0.183</v>
      </c>
      <c r="AD29" s="30">
        <v>0</v>
      </c>
      <c r="AE29" s="30">
        <v>0</v>
      </c>
      <c r="AF29" s="30">
        <v>0</v>
      </c>
      <c r="AG29" s="32">
        <v>2.6880000000000002</v>
      </c>
      <c r="AH29" s="33">
        <f t="shared" si="1"/>
        <v>0.38400000000000001</v>
      </c>
      <c r="AI29" s="33">
        <f t="shared" si="0"/>
        <v>0.192</v>
      </c>
      <c r="AJ29" s="34">
        <v>4</v>
      </c>
      <c r="AK29" s="34">
        <v>0.67200000000000004</v>
      </c>
    </row>
    <row r="30" spans="1:37" ht="15.5" x14ac:dyDescent="0.35">
      <c r="A30" s="26">
        <f t="shared" si="2"/>
        <v>26</v>
      </c>
      <c r="B30" s="27" t="s">
        <v>114</v>
      </c>
      <c r="C30" s="26" t="s">
        <v>130</v>
      </c>
      <c r="D30" s="26" t="s">
        <v>131</v>
      </c>
      <c r="E30" s="26" t="s">
        <v>144</v>
      </c>
      <c r="F30" s="26" t="s">
        <v>133</v>
      </c>
      <c r="G30" s="28">
        <v>1</v>
      </c>
      <c r="H30" s="71" t="s">
        <v>46</v>
      </c>
      <c r="I30" s="71" t="s">
        <v>71</v>
      </c>
      <c r="J30" s="71" t="s">
        <v>371</v>
      </c>
      <c r="K30" s="71" t="s">
        <v>148</v>
      </c>
      <c r="L30" s="71" t="s">
        <v>379</v>
      </c>
      <c r="M30" s="71" t="s">
        <v>134</v>
      </c>
      <c r="N30" s="71" t="s">
        <v>373</v>
      </c>
      <c r="O30" s="71">
        <v>0</v>
      </c>
      <c r="P30" s="71" t="s">
        <v>54</v>
      </c>
      <c r="Q30" s="71" t="s">
        <v>366</v>
      </c>
      <c r="R30" s="71" t="s">
        <v>56</v>
      </c>
      <c r="S30" s="71" t="s">
        <v>57</v>
      </c>
      <c r="T30" s="71" t="s">
        <v>58</v>
      </c>
      <c r="U30" s="71" t="s">
        <v>370</v>
      </c>
      <c r="V30" s="71" t="s">
        <v>106</v>
      </c>
      <c r="W30" s="30">
        <v>3.89</v>
      </c>
      <c r="X30" s="30">
        <v>0</v>
      </c>
      <c r="Y30" s="30">
        <v>0</v>
      </c>
      <c r="Z30" s="30">
        <v>0</v>
      </c>
      <c r="AA30" s="31">
        <f>0.506-0.125</f>
        <v>0.38100000000000001</v>
      </c>
      <c r="AB30" s="31">
        <f>0.414-0.125</f>
        <v>0.28899999999999998</v>
      </c>
      <c r="AC30" s="31">
        <f>0.399-0.125</f>
        <v>0.27400000000000002</v>
      </c>
      <c r="AD30" s="30">
        <v>0</v>
      </c>
      <c r="AE30" s="30">
        <v>0</v>
      </c>
      <c r="AF30" s="30">
        <v>0.53</v>
      </c>
      <c r="AG30" s="32">
        <v>4.8339999999999996</v>
      </c>
      <c r="AH30" s="33">
        <f t="shared" si="1"/>
        <v>0.6905714285714285</v>
      </c>
      <c r="AI30" s="33">
        <f t="shared" si="0"/>
        <v>0.6905714285714285</v>
      </c>
      <c r="AJ30" s="34">
        <v>6</v>
      </c>
      <c r="AK30" s="34">
        <v>0.80600000000000005</v>
      </c>
    </row>
    <row r="31" spans="1:37" ht="15.5" x14ac:dyDescent="0.35">
      <c r="A31" s="26">
        <f t="shared" si="2"/>
        <v>27</v>
      </c>
      <c r="B31" s="27" t="s">
        <v>115</v>
      </c>
      <c r="C31" s="26" t="s">
        <v>130</v>
      </c>
      <c r="D31" s="26" t="s">
        <v>131</v>
      </c>
      <c r="E31" s="26" t="s">
        <v>144</v>
      </c>
      <c r="F31" s="26" t="s">
        <v>133</v>
      </c>
      <c r="G31" s="28">
        <v>2</v>
      </c>
      <c r="H31" s="71" t="s">
        <v>62</v>
      </c>
      <c r="I31" s="71" t="s">
        <v>47</v>
      </c>
      <c r="J31" s="71" t="s">
        <v>371</v>
      </c>
      <c r="K31" s="71" t="s">
        <v>79</v>
      </c>
      <c r="L31" s="71" t="s">
        <v>372</v>
      </c>
      <c r="M31" s="71" t="s">
        <v>134</v>
      </c>
      <c r="N31" s="71" t="s">
        <v>66</v>
      </c>
      <c r="O31" s="71" t="s">
        <v>53</v>
      </c>
      <c r="P31" s="71" t="s">
        <v>54</v>
      </c>
      <c r="Q31" s="71" t="s">
        <v>366</v>
      </c>
      <c r="R31" s="71" t="s">
        <v>56</v>
      </c>
      <c r="S31" s="71" t="s">
        <v>57</v>
      </c>
      <c r="T31" s="71" t="s">
        <v>58</v>
      </c>
      <c r="U31" s="71" t="s">
        <v>367</v>
      </c>
      <c r="V31" s="71" t="s">
        <v>106</v>
      </c>
      <c r="W31" s="30">
        <v>0.77500000000000002</v>
      </c>
      <c r="X31" s="30">
        <v>0</v>
      </c>
      <c r="Y31" s="30">
        <v>0</v>
      </c>
      <c r="Z31" s="30">
        <v>0.23799999999999999</v>
      </c>
      <c r="AA31" s="31">
        <v>0.33200000000000002</v>
      </c>
      <c r="AB31" s="31">
        <v>0.48899999999999999</v>
      </c>
      <c r="AC31" s="31">
        <v>0.33300000000000002</v>
      </c>
      <c r="AD31" s="30">
        <v>0</v>
      </c>
      <c r="AE31" s="30">
        <v>0.16500000000000001</v>
      </c>
      <c r="AF31" s="30">
        <v>0.189</v>
      </c>
      <c r="AG31" s="32">
        <v>2.5209999999999999</v>
      </c>
      <c r="AH31" s="33">
        <f t="shared" si="1"/>
        <v>0.36014285714285715</v>
      </c>
      <c r="AI31" s="33">
        <f t="shared" si="0"/>
        <v>0.18007142857142858</v>
      </c>
      <c r="AJ31" s="34">
        <v>4</v>
      </c>
      <c r="AK31" s="34">
        <v>0.63</v>
      </c>
    </row>
    <row r="32" spans="1:37" ht="15.5" x14ac:dyDescent="0.35">
      <c r="A32" s="26">
        <f t="shared" si="2"/>
        <v>28</v>
      </c>
      <c r="B32" s="27" t="s">
        <v>150</v>
      </c>
      <c r="C32" s="26" t="s">
        <v>130</v>
      </c>
      <c r="D32" s="26" t="s">
        <v>131</v>
      </c>
      <c r="E32" s="26" t="s">
        <v>144</v>
      </c>
      <c r="F32" s="26" t="s">
        <v>133</v>
      </c>
      <c r="G32" s="28">
        <v>6</v>
      </c>
      <c r="H32" s="71" t="s">
        <v>62</v>
      </c>
      <c r="I32" s="71" t="s">
        <v>47</v>
      </c>
      <c r="J32" s="71" t="s">
        <v>78</v>
      </c>
      <c r="K32" s="71" t="s">
        <v>79</v>
      </c>
      <c r="L32" s="71" t="s">
        <v>372</v>
      </c>
      <c r="M32" s="71" t="s">
        <v>380</v>
      </c>
      <c r="N32" s="71" t="s">
        <v>66</v>
      </c>
      <c r="O32" s="71" t="s">
        <v>135</v>
      </c>
      <c r="P32" s="71" t="s">
        <v>54</v>
      </c>
      <c r="Q32" s="71" t="s">
        <v>366</v>
      </c>
      <c r="R32" s="71" t="s">
        <v>56</v>
      </c>
      <c r="S32" s="71" t="s">
        <v>68</v>
      </c>
      <c r="T32" s="71" t="s">
        <v>136</v>
      </c>
      <c r="U32" s="71" t="s">
        <v>370</v>
      </c>
      <c r="V32" s="71" t="s">
        <v>106</v>
      </c>
      <c r="W32" s="30">
        <v>16.12</v>
      </c>
      <c r="X32" s="30">
        <v>0</v>
      </c>
      <c r="Y32" s="30">
        <v>0</v>
      </c>
      <c r="Z32" s="30">
        <v>0</v>
      </c>
      <c r="AA32" s="31">
        <v>0.31900000000000001</v>
      </c>
      <c r="AB32" s="31">
        <v>0.56100000000000005</v>
      </c>
      <c r="AC32" s="31">
        <v>0.59899999999999998</v>
      </c>
      <c r="AD32" s="30">
        <v>0</v>
      </c>
      <c r="AE32" s="30">
        <v>0.14199999999999999</v>
      </c>
      <c r="AF32" s="30">
        <v>0.75700000000000001</v>
      </c>
      <c r="AG32" s="32">
        <v>18.498000000000001</v>
      </c>
      <c r="AH32" s="33">
        <f t="shared" si="1"/>
        <v>2.6425714285714288</v>
      </c>
      <c r="AI32" s="33">
        <f t="shared" si="0"/>
        <v>0.44042857142857145</v>
      </c>
      <c r="AJ32" s="34">
        <v>54</v>
      </c>
      <c r="AK32" s="34">
        <v>0.34300000000000003</v>
      </c>
    </row>
    <row r="33" spans="1:37" ht="15.5" x14ac:dyDescent="0.35">
      <c r="A33" s="26">
        <f t="shared" si="2"/>
        <v>29</v>
      </c>
      <c r="B33" s="27" t="s">
        <v>116</v>
      </c>
      <c r="C33" s="26" t="s">
        <v>130</v>
      </c>
      <c r="D33" s="26" t="s">
        <v>131</v>
      </c>
      <c r="E33" s="26" t="s">
        <v>144</v>
      </c>
      <c r="F33" s="26" t="s">
        <v>133</v>
      </c>
      <c r="G33" s="28">
        <v>3</v>
      </c>
      <c r="H33" s="71" t="s">
        <v>46</v>
      </c>
      <c r="I33" s="71" t="s">
        <v>47</v>
      </c>
      <c r="J33" s="71" t="s">
        <v>78</v>
      </c>
      <c r="K33" s="71" t="s">
        <v>79</v>
      </c>
      <c r="L33" s="71" t="s">
        <v>372</v>
      </c>
      <c r="M33" s="71" t="s">
        <v>134</v>
      </c>
      <c r="N33" s="71" t="s">
        <v>52</v>
      </c>
      <c r="O33" s="71" t="s">
        <v>53</v>
      </c>
      <c r="P33" s="71" t="s">
        <v>54</v>
      </c>
      <c r="Q33" s="71" t="s">
        <v>366</v>
      </c>
      <c r="R33" s="71" t="s">
        <v>56</v>
      </c>
      <c r="S33" s="71" t="s">
        <v>68</v>
      </c>
      <c r="T33" s="71" t="s">
        <v>136</v>
      </c>
      <c r="U33" s="71" t="s">
        <v>367</v>
      </c>
      <c r="V33" s="71" t="s">
        <v>106</v>
      </c>
      <c r="W33" s="30">
        <v>10.34</v>
      </c>
      <c r="X33" s="30">
        <v>0</v>
      </c>
      <c r="Y33" s="30">
        <v>0</v>
      </c>
      <c r="Z33" s="30">
        <v>0</v>
      </c>
      <c r="AA33" s="31">
        <v>0.38400000000000001</v>
      </c>
      <c r="AB33" s="31">
        <v>0.34799999999999998</v>
      </c>
      <c r="AC33" s="31">
        <v>0.38800000000000001</v>
      </c>
      <c r="AD33" s="30">
        <v>0</v>
      </c>
      <c r="AE33" s="30">
        <v>0</v>
      </c>
      <c r="AF33" s="30">
        <v>1.129</v>
      </c>
      <c r="AG33" s="32">
        <f>SUM(W33:AF33)</f>
        <v>12.589</v>
      </c>
      <c r="AH33" s="33">
        <f t="shared" si="1"/>
        <v>1.7984285714285715</v>
      </c>
      <c r="AI33" s="33">
        <f t="shared" si="0"/>
        <v>0.5994761904761905</v>
      </c>
      <c r="AJ33" s="34">
        <v>32</v>
      </c>
      <c r="AK33" s="38">
        <f>AG33/AJ33</f>
        <v>0.39340625000000001</v>
      </c>
    </row>
    <row r="34" spans="1:37" ht="15.5" x14ac:dyDescent="0.35">
      <c r="A34" s="26">
        <f t="shared" si="2"/>
        <v>30</v>
      </c>
      <c r="B34" s="27" t="s">
        <v>118</v>
      </c>
      <c r="C34" s="26" t="s">
        <v>130</v>
      </c>
      <c r="D34" s="26" t="s">
        <v>131</v>
      </c>
      <c r="E34" s="26" t="s">
        <v>144</v>
      </c>
      <c r="F34" s="26" t="s">
        <v>133</v>
      </c>
      <c r="G34" s="28">
        <v>6</v>
      </c>
      <c r="H34" s="71" t="s">
        <v>46</v>
      </c>
      <c r="I34" s="71" t="s">
        <v>47</v>
      </c>
      <c r="J34" s="71" t="s">
        <v>78</v>
      </c>
      <c r="K34" s="71" t="s">
        <v>79</v>
      </c>
      <c r="L34" s="71" t="s">
        <v>372</v>
      </c>
      <c r="M34" s="71" t="s">
        <v>51</v>
      </c>
      <c r="N34" s="71" t="s">
        <v>52</v>
      </c>
      <c r="O34" s="71" t="s">
        <v>53</v>
      </c>
      <c r="P34" s="71" t="s">
        <v>54</v>
      </c>
      <c r="Q34" s="71" t="s">
        <v>366</v>
      </c>
      <c r="R34" s="71" t="s">
        <v>56</v>
      </c>
      <c r="S34" s="71" t="s">
        <v>68</v>
      </c>
      <c r="T34" s="71" t="s">
        <v>136</v>
      </c>
      <c r="U34" s="71" t="s">
        <v>367</v>
      </c>
      <c r="V34" s="71" t="s">
        <v>106</v>
      </c>
      <c r="W34" s="30">
        <v>11.34</v>
      </c>
      <c r="X34" s="30">
        <v>0</v>
      </c>
      <c r="Y34" s="30">
        <v>0</v>
      </c>
      <c r="Z34" s="30">
        <v>1.2999999999999999E-2</v>
      </c>
      <c r="AA34" s="31">
        <v>0.29399999999999998</v>
      </c>
      <c r="AB34" s="31">
        <v>0.63400000000000001</v>
      </c>
      <c r="AC34" s="31">
        <v>0.627</v>
      </c>
      <c r="AD34" s="30">
        <v>0</v>
      </c>
      <c r="AE34" s="30">
        <v>0</v>
      </c>
      <c r="AF34" s="30">
        <v>0</v>
      </c>
      <c r="AG34" s="32">
        <f>SUM(W34:AF34)</f>
        <v>12.908000000000001</v>
      </c>
      <c r="AH34" s="33">
        <f t="shared" si="1"/>
        <v>1.8440000000000001</v>
      </c>
      <c r="AI34" s="33">
        <f t="shared" si="0"/>
        <v>0.30733333333333335</v>
      </c>
      <c r="AJ34" s="34">
        <v>36</v>
      </c>
      <c r="AK34" s="38">
        <f>AG34/AJ34</f>
        <v>0.35855555555555557</v>
      </c>
    </row>
    <row r="35" spans="1:37" ht="15.5" x14ac:dyDescent="0.35">
      <c r="A35" s="26">
        <f t="shared" si="2"/>
        <v>31</v>
      </c>
      <c r="B35" s="27" t="s">
        <v>151</v>
      </c>
      <c r="C35" s="26" t="s">
        <v>130</v>
      </c>
      <c r="D35" s="26" t="s">
        <v>131</v>
      </c>
      <c r="E35" s="26" t="s">
        <v>144</v>
      </c>
      <c r="F35" s="26" t="s">
        <v>133</v>
      </c>
      <c r="G35" s="28">
        <v>7</v>
      </c>
      <c r="H35" s="71" t="s">
        <v>143</v>
      </c>
      <c r="I35" s="71" t="s">
        <v>71</v>
      </c>
      <c r="J35" s="71" t="s">
        <v>368</v>
      </c>
      <c r="K35" s="71" t="s">
        <v>49</v>
      </c>
      <c r="L35" s="71" t="s">
        <v>372</v>
      </c>
      <c r="M35" s="71" t="s">
        <v>134</v>
      </c>
      <c r="N35" s="71" t="s">
        <v>66</v>
      </c>
      <c r="O35" s="71" t="s">
        <v>135</v>
      </c>
      <c r="P35" s="71" t="s">
        <v>54</v>
      </c>
      <c r="Q35" s="71" t="s">
        <v>366</v>
      </c>
      <c r="R35" s="71" t="s">
        <v>56</v>
      </c>
      <c r="S35" s="71" t="s">
        <v>57</v>
      </c>
      <c r="T35" s="71" t="s">
        <v>139</v>
      </c>
      <c r="U35" s="71" t="s">
        <v>370</v>
      </c>
      <c r="V35" s="71" t="s">
        <v>106</v>
      </c>
      <c r="W35" s="30">
        <v>22.38</v>
      </c>
      <c r="X35" s="30">
        <v>0</v>
      </c>
      <c r="Y35" s="30">
        <v>0.23</v>
      </c>
      <c r="Z35" s="30">
        <v>0</v>
      </c>
      <c r="AA35" s="31">
        <v>0.69099999999999995</v>
      </c>
      <c r="AB35" s="31">
        <v>0.57899999999999996</v>
      </c>
      <c r="AC35" s="31">
        <v>0.34499999999999997</v>
      </c>
      <c r="AD35" s="30">
        <v>0.37</v>
      </c>
      <c r="AE35" s="30">
        <v>0</v>
      </c>
      <c r="AF35" s="30">
        <v>2.78</v>
      </c>
      <c r="AG35" s="32">
        <v>27.375</v>
      </c>
      <c r="AH35" s="33">
        <f>AG35/7</f>
        <v>3.9107142857142856</v>
      </c>
      <c r="AI35" s="33">
        <f t="shared" si="0"/>
        <v>0.55867346938775508</v>
      </c>
      <c r="AJ35" s="34">
        <v>64</v>
      </c>
      <c r="AK35" s="34">
        <v>0.42799999999999999</v>
      </c>
    </row>
    <row r="36" spans="1:37" ht="15.5" x14ac:dyDescent="0.35">
      <c r="A36" s="26">
        <f t="shared" si="2"/>
        <v>32</v>
      </c>
      <c r="B36" s="27" t="s">
        <v>152</v>
      </c>
      <c r="C36" s="26" t="s">
        <v>130</v>
      </c>
      <c r="D36" s="26" t="s">
        <v>131</v>
      </c>
      <c r="E36" s="26" t="s">
        <v>144</v>
      </c>
      <c r="F36" s="26" t="s">
        <v>133</v>
      </c>
      <c r="G36" s="28">
        <v>8</v>
      </c>
      <c r="H36" s="71" t="s">
        <v>62</v>
      </c>
      <c r="I36" s="71" t="s">
        <v>47</v>
      </c>
      <c r="J36" s="71" t="s">
        <v>78</v>
      </c>
      <c r="K36" s="71" t="s">
        <v>49</v>
      </c>
      <c r="L36" s="71" t="s">
        <v>372</v>
      </c>
      <c r="M36" s="71" t="s">
        <v>380</v>
      </c>
      <c r="N36" s="71" t="s">
        <v>66</v>
      </c>
      <c r="O36" s="71" t="s">
        <v>53</v>
      </c>
      <c r="P36" s="71" t="s">
        <v>54</v>
      </c>
      <c r="Q36" s="71" t="s">
        <v>366</v>
      </c>
      <c r="R36" s="71" t="s">
        <v>56</v>
      </c>
      <c r="S36" s="71" t="s">
        <v>68</v>
      </c>
      <c r="T36" s="71" t="s">
        <v>136</v>
      </c>
      <c r="U36" s="71" t="s">
        <v>367</v>
      </c>
      <c r="V36" s="71" t="s">
        <v>106</v>
      </c>
      <c r="W36" s="30">
        <f>16.2+7.34</f>
        <v>23.54</v>
      </c>
      <c r="X36" s="30">
        <v>0</v>
      </c>
      <c r="Y36" s="30">
        <v>0</v>
      </c>
      <c r="Z36" s="30">
        <v>0</v>
      </c>
      <c r="AA36" s="31">
        <v>0.67800000000000005</v>
      </c>
      <c r="AB36" s="31">
        <v>0.41199999999999998</v>
      </c>
      <c r="AC36" s="31">
        <v>0.23400000000000001</v>
      </c>
      <c r="AD36" s="30">
        <v>0</v>
      </c>
      <c r="AE36" s="30">
        <v>0</v>
      </c>
      <c r="AF36" s="30">
        <v>1.68</v>
      </c>
      <c r="AG36" s="32">
        <v>26.544</v>
      </c>
      <c r="AH36" s="33">
        <f t="shared" si="1"/>
        <v>3.7920000000000003</v>
      </c>
      <c r="AI36" s="33">
        <f t="shared" si="0"/>
        <v>0.47400000000000003</v>
      </c>
      <c r="AJ36" s="34">
        <v>60</v>
      </c>
      <c r="AK36" s="34">
        <v>0.442</v>
      </c>
    </row>
    <row r="37" spans="1:37" ht="15.5" x14ac:dyDescent="0.35">
      <c r="A37" s="143"/>
      <c r="B37" s="144"/>
      <c r="C37" s="143"/>
      <c r="D37" s="143"/>
      <c r="E37" s="143"/>
      <c r="F37" s="26"/>
      <c r="G37" s="28"/>
      <c r="H37" s="145"/>
      <c r="I37" s="145"/>
      <c r="J37" s="145"/>
      <c r="K37" s="145"/>
      <c r="L37" s="145"/>
      <c r="M37" s="145"/>
      <c r="N37" s="145"/>
      <c r="O37" s="145"/>
      <c r="P37" s="145"/>
      <c r="Q37" s="145"/>
      <c r="R37" s="145"/>
      <c r="S37" s="145"/>
      <c r="T37" s="145"/>
      <c r="U37" s="61"/>
      <c r="V37" s="61"/>
      <c r="W37" s="146"/>
      <c r="X37" s="146"/>
      <c r="Y37" s="146"/>
      <c r="Z37" s="146"/>
      <c r="AA37" s="147"/>
      <c r="AB37" s="147"/>
      <c r="AC37" s="147"/>
      <c r="AD37" s="146"/>
      <c r="AE37" s="146"/>
      <c r="AF37" s="146"/>
      <c r="AG37" s="148"/>
      <c r="AH37" s="149"/>
      <c r="AI37" s="149"/>
      <c r="AJ37" s="150"/>
      <c r="AK37" s="150"/>
    </row>
    <row r="38" spans="1:37" ht="15.5" x14ac:dyDescent="0.35">
      <c r="A38" s="86"/>
      <c r="B38" s="151"/>
      <c r="C38" s="152"/>
      <c r="D38" s="152"/>
      <c r="E38" s="153"/>
      <c r="F38" s="215" t="s">
        <v>357</v>
      </c>
      <c r="G38" s="216">
        <f>AVERAGE(G5:G36)</f>
        <v>3.65625</v>
      </c>
      <c r="H38" s="154"/>
      <c r="I38" s="155"/>
      <c r="J38" s="155"/>
      <c r="K38" s="155"/>
      <c r="L38" s="155"/>
      <c r="M38" s="155"/>
      <c r="N38" s="155"/>
      <c r="O38" s="155"/>
      <c r="P38" s="155"/>
      <c r="Q38" s="155"/>
      <c r="R38" s="155"/>
      <c r="S38" s="155"/>
      <c r="T38" s="156"/>
      <c r="U38" s="7">
        <f>SUM(W38:AF38)</f>
        <v>428.96039999999994</v>
      </c>
      <c r="V38" s="157" t="s">
        <v>327</v>
      </c>
      <c r="W38" s="6">
        <f t="shared" ref="W38:AF38" si="3">SUM(W5:W36)</f>
        <v>351.40999999999997</v>
      </c>
      <c r="X38" s="6">
        <f t="shared" si="3"/>
        <v>10.215</v>
      </c>
      <c r="Y38" s="6">
        <f t="shared" si="3"/>
        <v>0.33</v>
      </c>
      <c r="Z38" s="6">
        <f t="shared" si="3"/>
        <v>7.545399999999999</v>
      </c>
      <c r="AA38" s="6">
        <f t="shared" si="3"/>
        <v>11.145000000000005</v>
      </c>
      <c r="AB38" s="6">
        <f t="shared" si="3"/>
        <v>13.441000000000004</v>
      </c>
      <c r="AC38" s="6">
        <f t="shared" si="3"/>
        <v>7.7450000000000001</v>
      </c>
      <c r="AD38" s="6">
        <f t="shared" si="3"/>
        <v>1.101</v>
      </c>
      <c r="AE38" s="6">
        <f t="shared" si="3"/>
        <v>0.8670000000000001</v>
      </c>
      <c r="AF38" s="6">
        <f t="shared" si="3"/>
        <v>25.161000000000005</v>
      </c>
      <c r="AG38" s="198"/>
      <c r="AH38" s="217"/>
      <c r="AI38" s="203">
        <f ca="1">AVERAGE(AI6:AI38)</f>
        <v>0.53161746740362825</v>
      </c>
      <c r="AJ38" s="211">
        <f>AVERAGE(AJ5:AJ36)</f>
        <v>31.4375</v>
      </c>
      <c r="AK38" s="211">
        <f>AVERAGE(AK5:AK36)</f>
        <v>0.57128682725694457</v>
      </c>
    </row>
    <row r="39" spans="1:37" ht="15.5" x14ac:dyDescent="0.35">
      <c r="A39" s="86"/>
      <c r="B39" s="158"/>
      <c r="C39" s="159"/>
      <c r="D39" s="159"/>
      <c r="E39" s="160"/>
      <c r="F39" s="215"/>
      <c r="G39" s="216"/>
      <c r="H39" s="161"/>
      <c r="I39" s="162"/>
      <c r="J39" s="162"/>
      <c r="K39" s="162"/>
      <c r="L39" s="162"/>
      <c r="M39" s="162"/>
      <c r="N39" s="162"/>
      <c r="O39" s="162"/>
      <c r="P39" s="162"/>
      <c r="Q39" s="162"/>
      <c r="R39" s="162"/>
      <c r="S39" s="162"/>
      <c r="T39" s="163"/>
      <c r="U39" s="164">
        <f>SUM(W39:AF39)</f>
        <v>1.0000000000000002</v>
      </c>
      <c r="V39" s="133" t="s">
        <v>328</v>
      </c>
      <c r="W39" s="90">
        <f>W38/U38</f>
        <v>0.81921314881280416</v>
      </c>
      <c r="X39" s="90">
        <f>X38/U38</f>
        <v>2.3813386969986045E-2</v>
      </c>
      <c r="Y39" s="90">
        <f>Y38/U38</f>
        <v>7.6930178170292658E-4</v>
      </c>
      <c r="Z39" s="90">
        <f>Z38/U38</f>
        <v>1.7589968677761397E-2</v>
      </c>
      <c r="AA39" s="90">
        <f>AA38/U38</f>
        <v>2.5981419263876121E-2</v>
      </c>
      <c r="AB39" s="90">
        <f>AB38/U38</f>
        <v>3.1333894690512239E-2</v>
      </c>
      <c r="AC39" s="90">
        <f>AC38/U38</f>
        <v>1.8055279694815653E-2</v>
      </c>
      <c r="AD39" s="90">
        <f>AD38/U38</f>
        <v>2.5666704898634003E-3</v>
      </c>
      <c r="AE39" s="90">
        <f>AE38/U38</f>
        <v>2.0211655901104164E-3</v>
      </c>
      <c r="AF39" s="90">
        <f>AF38/U38</f>
        <v>5.8655764028567689E-2</v>
      </c>
      <c r="AG39" s="198"/>
      <c r="AH39" s="217"/>
      <c r="AI39" s="203"/>
      <c r="AJ39" s="211"/>
      <c r="AK39" s="211"/>
    </row>
    <row r="40" spans="1:37" ht="15.5" x14ac:dyDescent="0.35">
      <c r="A40" s="86"/>
      <c r="B40" s="158"/>
      <c r="C40" s="159"/>
      <c r="D40" s="159"/>
      <c r="E40" s="160"/>
      <c r="F40" s="215"/>
      <c r="G40" s="216"/>
      <c r="H40" s="161"/>
      <c r="I40" s="162"/>
      <c r="J40" s="162"/>
      <c r="K40" s="162"/>
      <c r="L40" s="162"/>
      <c r="M40" s="162"/>
      <c r="N40" s="162"/>
      <c r="O40" s="162"/>
      <c r="P40" s="162"/>
      <c r="Q40" s="162"/>
      <c r="R40" s="162"/>
      <c r="S40" s="162"/>
      <c r="T40" s="163"/>
      <c r="U40" s="69"/>
      <c r="V40" s="133" t="s">
        <v>329</v>
      </c>
      <c r="W40" s="212"/>
      <c r="X40" s="213"/>
      <c r="Y40" s="213"/>
      <c r="Z40" s="213"/>
      <c r="AA40" s="213"/>
      <c r="AB40" s="213"/>
      <c r="AC40" s="213"/>
      <c r="AD40" s="213"/>
      <c r="AE40" s="213"/>
      <c r="AF40" s="214"/>
      <c r="AG40" s="198"/>
      <c r="AH40" s="217"/>
      <c r="AI40" s="203"/>
      <c r="AJ40" s="211"/>
      <c r="AK40" s="211"/>
    </row>
  </sheetData>
  <mergeCells count="24">
    <mergeCell ref="AK3:AK4"/>
    <mergeCell ref="A1:AK1"/>
    <mergeCell ref="A2:AK2"/>
    <mergeCell ref="A3:A4"/>
    <mergeCell ref="B3:B4"/>
    <mergeCell ref="C3:C4"/>
    <mergeCell ref="D3:D4"/>
    <mergeCell ref="E3:E4"/>
    <mergeCell ref="F3:J3"/>
    <mergeCell ref="K3:N3"/>
    <mergeCell ref="O3:V3"/>
    <mergeCell ref="W3:AF3"/>
    <mergeCell ref="AG3:AG4"/>
    <mergeCell ref="AH3:AH4"/>
    <mergeCell ref="AI3:AI4"/>
    <mergeCell ref="AJ3:AJ4"/>
    <mergeCell ref="AK38:AK40"/>
    <mergeCell ref="W40:AF40"/>
    <mergeCell ref="F38:F40"/>
    <mergeCell ref="G38:G40"/>
    <mergeCell ref="AG38:AG40"/>
    <mergeCell ref="AH38:AH40"/>
    <mergeCell ref="AI38:AI40"/>
    <mergeCell ref="AJ38:AJ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1"/>
  <sheetViews>
    <sheetView zoomScale="56" workbookViewId="0">
      <selection sqref="A1:AK1"/>
    </sheetView>
  </sheetViews>
  <sheetFormatPr defaultRowHeight="14.5" x14ac:dyDescent="0.35"/>
  <cols>
    <col min="1" max="1" width="5.54296875" customWidth="1"/>
    <col min="2" max="2" width="20.81640625" bestFit="1" customWidth="1"/>
    <col min="3" max="3" width="17.453125" bestFit="1" customWidth="1"/>
    <col min="4" max="4" width="7" bestFit="1" customWidth="1"/>
    <col min="5" max="5" width="17.1796875" bestFit="1" customWidth="1"/>
    <col min="6" max="6" width="16" bestFit="1" customWidth="1"/>
    <col min="7" max="7" width="13.81640625" customWidth="1"/>
    <col min="8" max="8" width="21.26953125" customWidth="1"/>
    <col min="9" max="9" width="16.453125" bestFit="1" customWidth="1"/>
    <col min="10" max="10" width="18.26953125" bestFit="1" customWidth="1"/>
    <col min="11" max="11" width="23.26953125" bestFit="1" customWidth="1"/>
    <col min="12" max="12" width="25.7265625" bestFit="1" customWidth="1"/>
    <col min="13" max="13" width="20.453125" customWidth="1"/>
    <col min="14" max="14" width="20.1796875" customWidth="1"/>
    <col min="15" max="15" width="19" bestFit="1" customWidth="1"/>
    <col min="16" max="16" width="14.7265625" bestFit="1" customWidth="1"/>
    <col min="17" max="17" width="11" customWidth="1"/>
    <col min="18" max="18" width="15.7265625" bestFit="1" customWidth="1"/>
    <col min="19" max="19" width="14.7265625" bestFit="1" customWidth="1"/>
    <col min="20" max="20" width="19.453125" bestFit="1" customWidth="1"/>
    <col min="21" max="21" width="20" bestFit="1" customWidth="1"/>
    <col min="22" max="22" width="19.7265625" bestFit="1" customWidth="1"/>
    <col min="23" max="23" width="12.26953125" customWidth="1"/>
    <col min="24" max="24" width="12.54296875" bestFit="1" customWidth="1"/>
    <col min="25" max="25" width="7.26953125" bestFit="1" customWidth="1"/>
    <col min="26" max="26" width="10.453125" customWidth="1"/>
    <col min="27" max="27" width="11.81640625" customWidth="1"/>
    <col min="28" max="28" width="11.1796875" customWidth="1"/>
    <col min="29" max="29" width="12.26953125" bestFit="1" customWidth="1"/>
    <col min="30" max="30" width="7.26953125" bestFit="1" customWidth="1"/>
    <col min="31" max="31" width="7.81640625" bestFit="1" customWidth="1"/>
    <col min="32" max="32" width="7.54296875" bestFit="1" customWidth="1"/>
    <col min="33" max="33" width="18" customWidth="1"/>
    <col min="34" max="34" width="15.7265625" customWidth="1"/>
    <col min="35" max="35" width="18.81640625" customWidth="1"/>
    <col min="36" max="36" width="12.26953125" customWidth="1"/>
    <col min="37" max="37" width="12.81640625" customWidth="1"/>
  </cols>
  <sheetData>
    <row r="1" spans="1:37" ht="30" x14ac:dyDescent="0.6">
      <c r="A1" s="230" t="s">
        <v>319</v>
      </c>
      <c r="B1" s="230"/>
      <c r="C1" s="230"/>
      <c r="D1" s="230"/>
      <c r="E1" s="230"/>
      <c r="F1" s="230"/>
      <c r="G1" s="230"/>
      <c r="H1" s="230"/>
      <c r="I1" s="230"/>
      <c r="J1" s="230"/>
      <c r="K1" s="230"/>
      <c r="L1" s="230"/>
      <c r="M1" s="230"/>
      <c r="N1" s="230"/>
      <c r="O1" s="230"/>
      <c r="P1" s="230"/>
      <c r="Q1" s="230"/>
      <c r="R1" s="230"/>
      <c r="S1" s="230"/>
      <c r="T1" s="230"/>
      <c r="U1" s="230"/>
      <c r="V1" s="230"/>
      <c r="W1" s="230"/>
      <c r="X1" s="230"/>
      <c r="Y1" s="230"/>
      <c r="Z1" s="230"/>
      <c r="AA1" s="230"/>
      <c r="AB1" s="230"/>
      <c r="AC1" s="230"/>
      <c r="AD1" s="230"/>
      <c r="AE1" s="230"/>
      <c r="AF1" s="230"/>
      <c r="AG1" s="230"/>
      <c r="AH1" s="230"/>
      <c r="AI1" s="230"/>
      <c r="AJ1" s="230"/>
      <c r="AK1" s="230"/>
    </row>
    <row r="2" spans="1:37" ht="15.5" x14ac:dyDescent="0.35">
      <c r="A2" s="3"/>
      <c r="B2" s="231" t="s">
        <v>320</v>
      </c>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row>
    <row r="3" spans="1:37" ht="15" x14ac:dyDescent="0.35">
      <c r="A3" s="222" t="s">
        <v>0</v>
      </c>
      <c r="B3" s="222" t="s">
        <v>1</v>
      </c>
      <c r="C3" s="223" t="s">
        <v>2</v>
      </c>
      <c r="D3" s="223" t="s">
        <v>3</v>
      </c>
      <c r="E3" s="223" t="s">
        <v>4</v>
      </c>
      <c r="F3" s="223" t="s">
        <v>5</v>
      </c>
      <c r="G3" s="223"/>
      <c r="H3" s="223"/>
      <c r="I3" s="223"/>
      <c r="J3" s="223"/>
      <c r="K3" s="215" t="s">
        <v>6</v>
      </c>
      <c r="L3" s="215"/>
      <c r="M3" s="215"/>
      <c r="N3" s="215"/>
      <c r="O3" s="215" t="s">
        <v>7</v>
      </c>
      <c r="P3" s="215"/>
      <c r="Q3" s="215"/>
      <c r="R3" s="215"/>
      <c r="S3" s="215"/>
      <c r="T3" s="215"/>
      <c r="U3" s="215"/>
      <c r="V3" s="215"/>
      <c r="W3" s="223" t="s">
        <v>8</v>
      </c>
      <c r="X3" s="223"/>
      <c r="Y3" s="223"/>
      <c r="Z3" s="223"/>
      <c r="AA3" s="223"/>
      <c r="AB3" s="223"/>
      <c r="AC3" s="223"/>
      <c r="AD3" s="223"/>
      <c r="AE3" s="223"/>
      <c r="AF3" s="223"/>
      <c r="AG3" s="215" t="s">
        <v>9</v>
      </c>
      <c r="AH3" s="215" t="s">
        <v>10</v>
      </c>
      <c r="AI3" s="215" t="s">
        <v>321</v>
      </c>
      <c r="AJ3" s="215" t="s">
        <v>12</v>
      </c>
      <c r="AK3" s="229" t="s">
        <v>322</v>
      </c>
    </row>
    <row r="4" spans="1:37" ht="30" x14ac:dyDescent="0.35">
      <c r="A4" s="222"/>
      <c r="B4" s="222"/>
      <c r="C4" s="223"/>
      <c r="D4" s="223"/>
      <c r="E4" s="223"/>
      <c r="F4" s="68" t="s">
        <v>14</v>
      </c>
      <c r="G4" s="68" t="s">
        <v>15</v>
      </c>
      <c r="H4" s="85" t="s">
        <v>224</v>
      </c>
      <c r="I4" s="85" t="s">
        <v>17</v>
      </c>
      <c r="J4" s="85" t="s">
        <v>18</v>
      </c>
      <c r="K4" s="85" t="s">
        <v>19</v>
      </c>
      <c r="L4" s="85" t="s">
        <v>20</v>
      </c>
      <c r="M4" s="85" t="s">
        <v>21</v>
      </c>
      <c r="N4" s="85" t="s">
        <v>22</v>
      </c>
      <c r="O4" s="85" t="s">
        <v>23</v>
      </c>
      <c r="P4" s="85" t="s">
        <v>24</v>
      </c>
      <c r="Q4" s="85" t="s">
        <v>25</v>
      </c>
      <c r="R4" s="85" t="s">
        <v>26</v>
      </c>
      <c r="S4" s="85" t="s">
        <v>27</v>
      </c>
      <c r="T4" s="85" t="s">
        <v>28</v>
      </c>
      <c r="U4" s="85" t="s">
        <v>29</v>
      </c>
      <c r="V4" s="85" t="s">
        <v>30</v>
      </c>
      <c r="W4" s="85" t="s">
        <v>31</v>
      </c>
      <c r="X4" s="85" t="s">
        <v>32</v>
      </c>
      <c r="Y4" s="85" t="s">
        <v>33</v>
      </c>
      <c r="Z4" s="85" t="s">
        <v>34</v>
      </c>
      <c r="AA4" s="85" t="s">
        <v>35</v>
      </c>
      <c r="AB4" s="85" t="s">
        <v>36</v>
      </c>
      <c r="AC4" s="85" t="s">
        <v>37</v>
      </c>
      <c r="AD4" s="85" t="s">
        <v>38</v>
      </c>
      <c r="AE4" s="85" t="s">
        <v>39</v>
      </c>
      <c r="AF4" s="85" t="s">
        <v>40</v>
      </c>
      <c r="AG4" s="215"/>
      <c r="AH4" s="215"/>
      <c r="AI4" s="215"/>
      <c r="AJ4" s="215"/>
      <c r="AK4" s="229"/>
    </row>
    <row r="5" spans="1:37" ht="31" x14ac:dyDescent="0.35">
      <c r="A5" s="3">
        <f>1</f>
        <v>1</v>
      </c>
      <c r="B5" s="68" t="s">
        <v>41</v>
      </c>
      <c r="C5" s="5" t="s">
        <v>153</v>
      </c>
      <c r="D5" s="5" t="s">
        <v>154</v>
      </c>
      <c r="E5" s="5" t="s">
        <v>155</v>
      </c>
      <c r="F5" s="5" t="s">
        <v>156</v>
      </c>
      <c r="G5" s="5">
        <v>6</v>
      </c>
      <c r="H5" s="5" t="s">
        <v>75</v>
      </c>
      <c r="I5" s="5" t="s">
        <v>47</v>
      </c>
      <c r="J5" s="5" t="s">
        <v>323</v>
      </c>
      <c r="K5" s="5" t="s">
        <v>49</v>
      </c>
      <c r="L5" s="5" t="s">
        <v>157</v>
      </c>
      <c r="M5" s="5" t="s">
        <v>51</v>
      </c>
      <c r="N5" s="5" t="s">
        <v>66</v>
      </c>
      <c r="O5" s="5" t="s">
        <v>67</v>
      </c>
      <c r="P5" s="5" t="s">
        <v>158</v>
      </c>
      <c r="Q5" s="5" t="s">
        <v>68</v>
      </c>
      <c r="R5" s="5" t="s">
        <v>56</v>
      </c>
      <c r="S5" s="5" t="s">
        <v>68</v>
      </c>
      <c r="T5" s="5" t="s">
        <v>159</v>
      </c>
      <c r="U5" s="5" t="s">
        <v>160</v>
      </c>
      <c r="V5" s="5" t="s">
        <v>161</v>
      </c>
      <c r="W5" s="6">
        <f>21.2+21</f>
        <v>42.2</v>
      </c>
      <c r="X5" s="6">
        <v>0</v>
      </c>
      <c r="Y5" s="6">
        <v>0</v>
      </c>
      <c r="Z5" s="6">
        <v>0.153</v>
      </c>
      <c r="AA5" s="6">
        <v>0.58599999999999997</v>
      </c>
      <c r="AB5" s="6">
        <v>0.66800000000000004</v>
      </c>
      <c r="AC5" s="6">
        <v>1.03</v>
      </c>
      <c r="AD5" s="6">
        <v>0</v>
      </c>
      <c r="AE5" s="6">
        <v>0.96299999999999997</v>
      </c>
      <c r="AF5" s="6">
        <v>4.38</v>
      </c>
      <c r="AG5" s="6">
        <f t="shared" ref="AG5:AG21" si="0">SUM(W5:AF5)</f>
        <v>49.980000000000004</v>
      </c>
      <c r="AH5" s="6">
        <f t="shared" ref="AH5:AH36" si="1">AG5/7</f>
        <v>7.1400000000000006</v>
      </c>
      <c r="AI5" s="6">
        <f t="shared" ref="AI5:AI16" si="2">AH5/G5</f>
        <v>1.1900000000000002</v>
      </c>
      <c r="AJ5" s="6">
        <v>160</v>
      </c>
      <c r="AK5" s="6">
        <f t="shared" ref="AK5:AK22" si="3">AG5/AJ5</f>
        <v>0.31237500000000001</v>
      </c>
    </row>
    <row r="6" spans="1:37" ht="31" x14ac:dyDescent="0.35">
      <c r="A6" s="3">
        <f>A5+1</f>
        <v>2</v>
      </c>
      <c r="B6" s="68" t="s">
        <v>70</v>
      </c>
      <c r="C6" s="5" t="s">
        <v>153</v>
      </c>
      <c r="D6" s="5" t="s">
        <v>154</v>
      </c>
      <c r="E6" s="5" t="s">
        <v>155</v>
      </c>
      <c r="F6" s="5" t="s">
        <v>156</v>
      </c>
      <c r="G6" s="5">
        <v>9</v>
      </c>
      <c r="H6" s="5" t="s">
        <v>46</v>
      </c>
      <c r="I6" s="5" t="s">
        <v>71</v>
      </c>
      <c r="J6" s="5" t="s">
        <v>323</v>
      </c>
      <c r="K6" s="5" t="s">
        <v>103</v>
      </c>
      <c r="L6" s="5" t="s">
        <v>324</v>
      </c>
      <c r="M6" s="5" t="s">
        <v>134</v>
      </c>
      <c r="N6" s="5" t="s">
        <v>66</v>
      </c>
      <c r="O6" s="5" t="s">
        <v>67</v>
      </c>
      <c r="P6" s="5" t="s">
        <v>158</v>
      </c>
      <c r="Q6" s="5" t="s">
        <v>68</v>
      </c>
      <c r="R6" s="5" t="s">
        <v>56</v>
      </c>
      <c r="S6" s="5" t="s">
        <v>68</v>
      </c>
      <c r="T6" s="5" t="s">
        <v>159</v>
      </c>
      <c r="U6" s="5" t="s">
        <v>160</v>
      </c>
      <c r="V6" s="5" t="s">
        <v>161</v>
      </c>
      <c r="W6" s="6">
        <f>18.5+18.48</f>
        <v>36.980000000000004</v>
      </c>
      <c r="X6" s="6">
        <v>2.4</v>
      </c>
      <c r="Y6" s="6">
        <v>0</v>
      </c>
      <c r="Z6" s="6">
        <v>0.16700000000000001</v>
      </c>
      <c r="AA6" s="6">
        <v>0.34499999999999997</v>
      </c>
      <c r="AB6" s="6">
        <v>0.54300000000000004</v>
      </c>
      <c r="AC6" s="6">
        <v>0.879</v>
      </c>
      <c r="AD6" s="6">
        <v>0</v>
      </c>
      <c r="AE6" s="6">
        <v>0</v>
      </c>
      <c r="AF6" s="6">
        <v>5.67</v>
      </c>
      <c r="AG6" s="6">
        <f t="shared" si="0"/>
        <v>46.984000000000002</v>
      </c>
      <c r="AH6" s="6">
        <f t="shared" si="1"/>
        <v>6.7120000000000006</v>
      </c>
      <c r="AI6" s="6">
        <f t="shared" si="2"/>
        <v>0.74577777777777787</v>
      </c>
      <c r="AJ6" s="6">
        <v>150</v>
      </c>
      <c r="AK6" s="6">
        <f t="shared" si="3"/>
        <v>0.31322666666666665</v>
      </c>
    </row>
    <row r="7" spans="1:37" ht="31" x14ac:dyDescent="0.35">
      <c r="A7" s="3">
        <f t="shared" ref="A7:A36" si="4">A6+1</f>
        <v>3</v>
      </c>
      <c r="B7" s="68" t="s">
        <v>137</v>
      </c>
      <c r="C7" s="5" t="s">
        <v>153</v>
      </c>
      <c r="D7" s="5" t="s">
        <v>154</v>
      </c>
      <c r="E7" s="5" t="s">
        <v>155</v>
      </c>
      <c r="F7" s="5" t="s">
        <v>156</v>
      </c>
      <c r="G7" s="5">
        <v>8</v>
      </c>
      <c r="H7" s="5" t="s">
        <v>75</v>
      </c>
      <c r="I7" s="5" t="s">
        <v>47</v>
      </c>
      <c r="J7" s="5" t="s">
        <v>323</v>
      </c>
      <c r="K7" s="5" t="s">
        <v>79</v>
      </c>
      <c r="L7" s="5" t="s">
        <v>157</v>
      </c>
      <c r="M7" s="5" t="s">
        <v>134</v>
      </c>
      <c r="N7" s="5" t="s">
        <v>66</v>
      </c>
      <c r="O7" s="5" t="s">
        <v>67</v>
      </c>
      <c r="P7" s="5" t="s">
        <v>158</v>
      </c>
      <c r="Q7" s="5" t="s">
        <v>68</v>
      </c>
      <c r="R7" s="5" t="s">
        <v>162</v>
      </c>
      <c r="S7" s="5" t="s">
        <v>68</v>
      </c>
      <c r="T7" s="5" t="s">
        <v>159</v>
      </c>
      <c r="U7" s="5" t="s">
        <v>160</v>
      </c>
      <c r="V7" s="5" t="s">
        <v>161</v>
      </c>
      <c r="W7" s="6">
        <v>18.62</v>
      </c>
      <c r="X7" s="6">
        <v>0.53400000000000003</v>
      </c>
      <c r="Y7" s="6">
        <v>0</v>
      </c>
      <c r="Z7" s="6">
        <v>0</v>
      </c>
      <c r="AA7" s="6">
        <v>0.52300000000000002</v>
      </c>
      <c r="AB7" s="6">
        <v>0.78200000000000003</v>
      </c>
      <c r="AC7" s="6">
        <v>0.94599999999999995</v>
      </c>
      <c r="AD7" s="6">
        <v>0</v>
      </c>
      <c r="AE7" s="6">
        <v>0.83399999999999996</v>
      </c>
      <c r="AF7" s="6">
        <v>0.26100000000000001</v>
      </c>
      <c r="AG7" s="6">
        <f t="shared" si="0"/>
        <v>22.5</v>
      </c>
      <c r="AH7" s="6">
        <f t="shared" si="1"/>
        <v>3.2142857142857144</v>
      </c>
      <c r="AI7" s="6">
        <f t="shared" si="2"/>
        <v>0.4017857142857143</v>
      </c>
      <c r="AJ7" s="6">
        <v>80</v>
      </c>
      <c r="AK7" s="6">
        <f t="shared" si="3"/>
        <v>0.28125</v>
      </c>
    </row>
    <row r="8" spans="1:37" ht="31" x14ac:dyDescent="0.35">
      <c r="A8" s="3">
        <f t="shared" si="4"/>
        <v>4</v>
      </c>
      <c r="B8" s="68" t="s">
        <v>73</v>
      </c>
      <c r="C8" s="5" t="s">
        <v>153</v>
      </c>
      <c r="D8" s="5" t="s">
        <v>154</v>
      </c>
      <c r="E8" s="5" t="s">
        <v>155</v>
      </c>
      <c r="F8" s="5" t="s">
        <v>156</v>
      </c>
      <c r="G8" s="5">
        <v>2</v>
      </c>
      <c r="H8" s="5" t="s">
        <v>75</v>
      </c>
      <c r="I8" s="5" t="s">
        <v>47</v>
      </c>
      <c r="J8" s="5" t="s">
        <v>323</v>
      </c>
      <c r="K8" s="5" t="s">
        <v>76</v>
      </c>
      <c r="L8" s="5" t="s">
        <v>324</v>
      </c>
      <c r="M8" s="5" t="s">
        <v>134</v>
      </c>
      <c r="N8" s="5" t="s">
        <v>66</v>
      </c>
      <c r="O8" s="5" t="s">
        <v>67</v>
      </c>
      <c r="P8" s="5" t="s">
        <v>158</v>
      </c>
      <c r="Q8" s="5" t="s">
        <v>68</v>
      </c>
      <c r="R8" s="5" t="s">
        <v>56</v>
      </c>
      <c r="S8" s="5" t="s">
        <v>68</v>
      </c>
      <c r="T8" s="5" t="s">
        <v>159</v>
      </c>
      <c r="U8" s="5" t="s">
        <v>160</v>
      </c>
      <c r="V8" s="5" t="s">
        <v>161</v>
      </c>
      <c r="W8" s="6">
        <v>4.32</v>
      </c>
      <c r="X8" s="6">
        <v>6.12</v>
      </c>
      <c r="Y8" s="6">
        <v>0</v>
      </c>
      <c r="Z8" s="6">
        <v>0</v>
      </c>
      <c r="AA8" s="6">
        <v>0.128</v>
      </c>
      <c r="AB8" s="6">
        <v>0.45</v>
      </c>
      <c r="AC8" s="6">
        <v>0.54</v>
      </c>
      <c r="AD8" s="6">
        <v>0</v>
      </c>
      <c r="AE8" s="6">
        <v>0</v>
      </c>
      <c r="AF8" s="6">
        <v>0</v>
      </c>
      <c r="AG8" s="6">
        <f t="shared" si="0"/>
        <v>11.558</v>
      </c>
      <c r="AH8" s="6">
        <f t="shared" si="1"/>
        <v>1.651142857142857</v>
      </c>
      <c r="AI8" s="6">
        <f t="shared" si="2"/>
        <v>0.82557142857142851</v>
      </c>
      <c r="AJ8" s="6">
        <v>36</v>
      </c>
      <c r="AK8" s="6">
        <f t="shared" si="3"/>
        <v>0.32105555555555554</v>
      </c>
    </row>
    <row r="9" spans="1:37" ht="31" x14ac:dyDescent="0.35">
      <c r="A9" s="3">
        <f t="shared" si="4"/>
        <v>5</v>
      </c>
      <c r="B9" s="68" t="s">
        <v>77</v>
      </c>
      <c r="C9" s="5" t="s">
        <v>153</v>
      </c>
      <c r="D9" s="5" t="s">
        <v>154</v>
      </c>
      <c r="E9" s="5" t="s">
        <v>155</v>
      </c>
      <c r="F9" s="5" t="s">
        <v>156</v>
      </c>
      <c r="G9" s="5">
        <v>4</v>
      </c>
      <c r="H9" s="5" t="s">
        <v>62</v>
      </c>
      <c r="I9" s="5" t="s">
        <v>47</v>
      </c>
      <c r="J9" s="5" t="s">
        <v>323</v>
      </c>
      <c r="K9" s="5" t="s">
        <v>79</v>
      </c>
      <c r="L9" s="5" t="s">
        <v>324</v>
      </c>
      <c r="M9" s="5" t="s">
        <v>134</v>
      </c>
      <c r="N9" s="5" t="s">
        <v>66</v>
      </c>
      <c r="O9" s="5" t="s">
        <v>67</v>
      </c>
      <c r="P9" s="5" t="s">
        <v>54</v>
      </c>
      <c r="Q9" s="5" t="s">
        <v>57</v>
      </c>
      <c r="R9" s="5" t="s">
        <v>56</v>
      </c>
      <c r="S9" s="5" t="s">
        <v>68</v>
      </c>
      <c r="T9" s="5" t="s">
        <v>159</v>
      </c>
      <c r="U9" s="5" t="s">
        <v>160</v>
      </c>
      <c r="V9" s="5" t="s">
        <v>161</v>
      </c>
      <c r="W9" s="6">
        <v>16.28</v>
      </c>
      <c r="X9" s="6">
        <v>0</v>
      </c>
      <c r="Y9" s="6">
        <v>0</v>
      </c>
      <c r="Z9" s="6">
        <v>0</v>
      </c>
      <c r="AA9" s="6">
        <v>0</v>
      </c>
      <c r="AB9" s="6">
        <v>0.34499999999999997</v>
      </c>
      <c r="AC9" s="6">
        <v>0.56299999999999994</v>
      </c>
      <c r="AD9" s="6">
        <v>0</v>
      </c>
      <c r="AE9" s="6">
        <v>0.69599999999999995</v>
      </c>
      <c r="AF9" s="6">
        <v>3.2160000000000002</v>
      </c>
      <c r="AG9" s="6">
        <f t="shared" si="0"/>
        <v>21.1</v>
      </c>
      <c r="AH9" s="6">
        <f t="shared" si="1"/>
        <v>3.0142857142857147</v>
      </c>
      <c r="AI9" s="6">
        <f t="shared" si="2"/>
        <v>0.75357142857142867</v>
      </c>
      <c r="AJ9" s="6">
        <v>68</v>
      </c>
      <c r="AK9" s="6">
        <f t="shared" si="3"/>
        <v>0.31029411764705883</v>
      </c>
    </row>
    <row r="10" spans="1:37" ht="31" x14ac:dyDescent="0.35">
      <c r="A10" s="3">
        <f t="shared" si="4"/>
        <v>6</v>
      </c>
      <c r="B10" s="68" t="s">
        <v>82</v>
      </c>
      <c r="C10" s="5" t="s">
        <v>153</v>
      </c>
      <c r="D10" s="5" t="s">
        <v>154</v>
      </c>
      <c r="E10" s="5" t="s">
        <v>155</v>
      </c>
      <c r="F10" s="5" t="s">
        <v>156</v>
      </c>
      <c r="G10" s="5">
        <v>6</v>
      </c>
      <c r="H10" s="5" t="s">
        <v>62</v>
      </c>
      <c r="I10" s="5" t="s">
        <v>47</v>
      </c>
      <c r="J10" s="5" t="s">
        <v>323</v>
      </c>
      <c r="K10" s="5" t="s">
        <v>103</v>
      </c>
      <c r="L10" s="5" t="s">
        <v>157</v>
      </c>
      <c r="M10" s="5" t="s">
        <v>134</v>
      </c>
      <c r="N10" s="5" t="s">
        <v>66</v>
      </c>
      <c r="O10" s="5" t="s">
        <v>67</v>
      </c>
      <c r="P10" s="5" t="s">
        <v>54</v>
      </c>
      <c r="Q10" s="5" t="s">
        <v>68</v>
      </c>
      <c r="R10" s="5" t="s">
        <v>56</v>
      </c>
      <c r="S10" s="5" t="s">
        <v>68</v>
      </c>
      <c r="T10" s="5" t="s">
        <v>159</v>
      </c>
      <c r="U10" s="5" t="s">
        <v>160</v>
      </c>
      <c r="V10" s="5" t="s">
        <v>161</v>
      </c>
      <c r="W10" s="6">
        <v>42</v>
      </c>
      <c r="X10" s="6">
        <v>5.7839999999999998</v>
      </c>
      <c r="Y10" s="6">
        <v>0</v>
      </c>
      <c r="Z10" s="6">
        <v>0.216</v>
      </c>
      <c r="AA10" s="6">
        <v>0.83499999999999996</v>
      </c>
      <c r="AB10" s="6">
        <v>2.452</v>
      </c>
      <c r="AC10" s="6">
        <v>2.6749999999999998</v>
      </c>
      <c r="AD10" s="6">
        <v>0</v>
      </c>
      <c r="AE10" s="6" t="s">
        <v>163</v>
      </c>
      <c r="AF10" s="6">
        <v>6.12</v>
      </c>
      <c r="AG10" s="6">
        <f t="shared" si="0"/>
        <v>60.081999999999994</v>
      </c>
      <c r="AH10" s="6">
        <f t="shared" si="1"/>
        <v>8.5831428571428567</v>
      </c>
      <c r="AI10" s="6">
        <f t="shared" si="2"/>
        <v>1.4305238095238095</v>
      </c>
      <c r="AJ10" s="6">
        <v>200</v>
      </c>
      <c r="AK10" s="20">
        <f t="shared" si="3"/>
        <v>0.30040999999999995</v>
      </c>
    </row>
    <row r="11" spans="1:37" ht="31" x14ac:dyDescent="0.35">
      <c r="A11" s="3">
        <f t="shared" si="4"/>
        <v>7</v>
      </c>
      <c r="B11" s="68" t="s">
        <v>85</v>
      </c>
      <c r="C11" s="5" t="s">
        <v>153</v>
      </c>
      <c r="D11" s="5" t="s">
        <v>154</v>
      </c>
      <c r="E11" s="5" t="s">
        <v>155</v>
      </c>
      <c r="F11" s="5" t="s">
        <v>156</v>
      </c>
      <c r="G11" s="5">
        <v>7</v>
      </c>
      <c r="H11" s="5" t="s">
        <v>62</v>
      </c>
      <c r="I11" s="5" t="s">
        <v>47</v>
      </c>
      <c r="J11" s="5" t="s">
        <v>323</v>
      </c>
      <c r="K11" s="5" t="s">
        <v>103</v>
      </c>
      <c r="L11" s="5" t="s">
        <v>157</v>
      </c>
      <c r="M11" s="5" t="s">
        <v>51</v>
      </c>
      <c r="N11" s="5" t="s">
        <v>66</v>
      </c>
      <c r="O11" s="5" t="s">
        <v>67</v>
      </c>
      <c r="P11" s="5" t="s">
        <v>158</v>
      </c>
      <c r="Q11" s="5" t="s">
        <v>68</v>
      </c>
      <c r="R11" s="5" t="s">
        <v>56</v>
      </c>
      <c r="S11" s="5" t="s">
        <v>68</v>
      </c>
      <c r="T11" s="5" t="s">
        <v>159</v>
      </c>
      <c r="U11" s="5" t="s">
        <v>160</v>
      </c>
      <c r="V11" s="5" t="s">
        <v>161</v>
      </c>
      <c r="W11" s="6">
        <v>46.34</v>
      </c>
      <c r="X11" s="6">
        <v>4.2839999999999998</v>
      </c>
      <c r="Y11" s="6">
        <v>0</v>
      </c>
      <c r="Z11" s="6">
        <v>0.34599999999999997</v>
      </c>
      <c r="AA11" s="6">
        <v>0.78500000000000003</v>
      </c>
      <c r="AB11" s="6">
        <v>1.552</v>
      </c>
      <c r="AC11" s="6">
        <v>0.80600000000000005</v>
      </c>
      <c r="AD11" s="6">
        <v>0</v>
      </c>
      <c r="AE11" s="6">
        <v>0</v>
      </c>
      <c r="AF11" s="6">
        <v>0</v>
      </c>
      <c r="AG11" s="6">
        <f t="shared" si="0"/>
        <v>54.112999999999992</v>
      </c>
      <c r="AH11" s="6">
        <f t="shared" si="1"/>
        <v>7.7304285714285701</v>
      </c>
      <c r="AI11" s="6">
        <f t="shared" si="2"/>
        <v>1.10434693877551</v>
      </c>
      <c r="AJ11" s="6">
        <v>186</v>
      </c>
      <c r="AK11" s="6">
        <f t="shared" si="3"/>
        <v>0.2909301075268817</v>
      </c>
    </row>
    <row r="12" spans="1:37" ht="31" x14ac:dyDescent="0.35">
      <c r="A12" s="3">
        <f>A11+1</f>
        <v>8</v>
      </c>
      <c r="B12" s="68" t="s">
        <v>86</v>
      </c>
      <c r="C12" s="5" t="s">
        <v>153</v>
      </c>
      <c r="D12" s="5" t="s">
        <v>154</v>
      </c>
      <c r="E12" s="5" t="s">
        <v>155</v>
      </c>
      <c r="F12" s="5" t="s">
        <v>156</v>
      </c>
      <c r="G12" s="5">
        <v>3</v>
      </c>
      <c r="H12" s="5" t="s">
        <v>46</v>
      </c>
      <c r="I12" s="5" t="s">
        <v>47</v>
      </c>
      <c r="J12" s="5" t="s">
        <v>323</v>
      </c>
      <c r="K12" s="5" t="s">
        <v>79</v>
      </c>
      <c r="L12" s="5" t="s">
        <v>324</v>
      </c>
      <c r="M12" s="5" t="s">
        <v>134</v>
      </c>
      <c r="N12" s="5" t="s">
        <v>66</v>
      </c>
      <c r="O12" s="5" t="s">
        <v>67</v>
      </c>
      <c r="P12" s="5" t="s">
        <v>158</v>
      </c>
      <c r="Q12" s="5" t="s">
        <v>68</v>
      </c>
      <c r="R12" s="5" t="s">
        <v>56</v>
      </c>
      <c r="S12" s="5" t="s">
        <v>68</v>
      </c>
      <c r="T12" s="5" t="s">
        <v>159</v>
      </c>
      <c r="U12" s="5" t="s">
        <v>160</v>
      </c>
      <c r="V12" s="5" t="s">
        <v>161</v>
      </c>
      <c r="W12" s="9">
        <v>8.3659999999999997</v>
      </c>
      <c r="X12" s="6">
        <v>2.56</v>
      </c>
      <c r="Y12" s="6">
        <v>0</v>
      </c>
      <c r="Z12" s="6">
        <v>0.17</v>
      </c>
      <c r="AA12" s="6">
        <v>0.38</v>
      </c>
      <c r="AB12" s="6">
        <v>0.51</v>
      </c>
      <c r="AC12" s="6">
        <v>0.42</v>
      </c>
      <c r="AD12" s="6">
        <v>0</v>
      </c>
      <c r="AE12" s="6">
        <v>0</v>
      </c>
      <c r="AF12" s="6">
        <v>0</v>
      </c>
      <c r="AG12" s="6">
        <f t="shared" si="0"/>
        <v>12.406000000000001</v>
      </c>
      <c r="AH12" s="6">
        <f t="shared" si="1"/>
        <v>1.7722857142857145</v>
      </c>
      <c r="AI12" s="6">
        <f t="shared" si="2"/>
        <v>0.59076190476190482</v>
      </c>
      <c r="AJ12" s="6">
        <v>24</v>
      </c>
      <c r="AK12" s="20">
        <f>AG12/AJ12</f>
        <v>0.51691666666666669</v>
      </c>
    </row>
    <row r="13" spans="1:37" ht="31" x14ac:dyDescent="0.35">
      <c r="A13" s="3">
        <f t="shared" si="4"/>
        <v>9</v>
      </c>
      <c r="B13" s="68" t="s">
        <v>88</v>
      </c>
      <c r="C13" s="5" t="s">
        <v>153</v>
      </c>
      <c r="D13" s="5" t="s">
        <v>154</v>
      </c>
      <c r="E13" s="5" t="s">
        <v>155</v>
      </c>
      <c r="F13" s="5" t="s">
        <v>156</v>
      </c>
      <c r="G13" s="5">
        <v>3</v>
      </c>
      <c r="H13" s="5" t="s">
        <v>75</v>
      </c>
      <c r="I13" s="5" t="s">
        <v>47</v>
      </c>
      <c r="J13" s="5" t="s">
        <v>323</v>
      </c>
      <c r="K13" s="5" t="s">
        <v>79</v>
      </c>
      <c r="L13" s="5" t="s">
        <v>157</v>
      </c>
      <c r="M13" s="5" t="s">
        <v>134</v>
      </c>
      <c r="N13" s="5" t="s">
        <v>66</v>
      </c>
      <c r="O13" s="5" t="s">
        <v>67</v>
      </c>
      <c r="P13" s="5" t="s">
        <v>158</v>
      </c>
      <c r="Q13" s="5" t="s">
        <v>68</v>
      </c>
      <c r="R13" s="5" t="s">
        <v>56</v>
      </c>
      <c r="S13" s="5" t="s">
        <v>68</v>
      </c>
      <c r="T13" s="5" t="s">
        <v>159</v>
      </c>
      <c r="U13" s="5" t="s">
        <v>160</v>
      </c>
      <c r="V13" s="5" t="s">
        <v>106</v>
      </c>
      <c r="W13" s="10">
        <v>20.46</v>
      </c>
      <c r="X13" s="6">
        <v>0.56499999999999995</v>
      </c>
      <c r="Y13" s="6">
        <v>0</v>
      </c>
      <c r="Z13" s="6">
        <v>0</v>
      </c>
      <c r="AA13" s="6">
        <v>0.32700000000000001</v>
      </c>
      <c r="AB13" s="6">
        <v>0.50900000000000001</v>
      </c>
      <c r="AC13" s="6">
        <v>0.873</v>
      </c>
      <c r="AD13" s="6">
        <v>0</v>
      </c>
      <c r="AE13" s="6">
        <v>0</v>
      </c>
      <c r="AF13" s="6">
        <v>2.0299999999999998</v>
      </c>
      <c r="AG13" s="6">
        <f t="shared" si="0"/>
        <v>24.764000000000006</v>
      </c>
      <c r="AH13" s="6">
        <f t="shared" si="1"/>
        <v>3.5377142857142867</v>
      </c>
      <c r="AI13" s="6">
        <f t="shared" si="2"/>
        <v>1.1792380952380956</v>
      </c>
      <c r="AJ13" s="6">
        <v>74</v>
      </c>
      <c r="AK13" s="20">
        <f t="shared" si="3"/>
        <v>0.33464864864864874</v>
      </c>
    </row>
    <row r="14" spans="1:37" ht="31" x14ac:dyDescent="0.35">
      <c r="A14" s="3">
        <f t="shared" si="4"/>
        <v>10</v>
      </c>
      <c r="B14" s="68" t="s">
        <v>89</v>
      </c>
      <c r="C14" s="5" t="s">
        <v>153</v>
      </c>
      <c r="D14" s="5" t="s">
        <v>154</v>
      </c>
      <c r="E14" s="5" t="s">
        <v>155</v>
      </c>
      <c r="F14" s="5" t="s">
        <v>156</v>
      </c>
      <c r="G14" s="5">
        <v>5</v>
      </c>
      <c r="H14" s="5" t="s">
        <v>62</v>
      </c>
      <c r="I14" s="5" t="s">
        <v>47</v>
      </c>
      <c r="J14" s="5" t="s">
        <v>323</v>
      </c>
      <c r="K14" s="5" t="s">
        <v>103</v>
      </c>
      <c r="L14" s="5" t="s">
        <v>157</v>
      </c>
      <c r="M14" s="5" t="s">
        <v>134</v>
      </c>
      <c r="N14" s="5" t="s">
        <v>66</v>
      </c>
      <c r="O14" s="5" t="s">
        <v>53</v>
      </c>
      <c r="P14" s="5" t="s">
        <v>158</v>
      </c>
      <c r="Q14" s="5" t="s">
        <v>68</v>
      </c>
      <c r="R14" s="5" t="s">
        <v>56</v>
      </c>
      <c r="S14" s="5" t="s">
        <v>68</v>
      </c>
      <c r="T14" s="5" t="s">
        <v>159</v>
      </c>
      <c r="U14" s="5" t="s">
        <v>160</v>
      </c>
      <c r="V14" s="5" t="s">
        <v>161</v>
      </c>
      <c r="W14" s="6">
        <v>53.52</v>
      </c>
      <c r="X14" s="6">
        <v>6.3419999999999996</v>
      </c>
      <c r="Y14" s="6">
        <v>0</v>
      </c>
      <c r="Z14" s="6">
        <v>0.23400000000000001</v>
      </c>
      <c r="AA14" s="6">
        <v>0.47599999999999998</v>
      </c>
      <c r="AB14" s="6">
        <v>1.673</v>
      </c>
      <c r="AC14" s="6">
        <v>2.3460000000000001</v>
      </c>
      <c r="AD14" s="6">
        <v>0</v>
      </c>
      <c r="AE14" s="6">
        <v>1.095</v>
      </c>
      <c r="AF14" s="6">
        <v>2.3450000000000002</v>
      </c>
      <c r="AG14" s="6">
        <f t="shared" si="0"/>
        <v>68.031000000000006</v>
      </c>
      <c r="AH14" s="6">
        <f t="shared" si="1"/>
        <v>9.7187142857142863</v>
      </c>
      <c r="AI14" s="6">
        <f t="shared" si="2"/>
        <v>1.9437428571428572</v>
      </c>
      <c r="AJ14" s="6">
        <v>224</v>
      </c>
      <c r="AK14" s="20">
        <f t="shared" si="3"/>
        <v>0.30370982142857145</v>
      </c>
    </row>
    <row r="15" spans="1:37" ht="31" x14ac:dyDescent="0.35">
      <c r="A15" s="3">
        <f t="shared" si="4"/>
        <v>11</v>
      </c>
      <c r="B15" s="68" t="s">
        <v>90</v>
      </c>
      <c r="C15" s="5" t="s">
        <v>153</v>
      </c>
      <c r="D15" s="5" t="s">
        <v>154</v>
      </c>
      <c r="E15" s="5" t="s">
        <v>155</v>
      </c>
      <c r="F15" s="5" t="s">
        <v>156</v>
      </c>
      <c r="G15" s="5">
        <v>4</v>
      </c>
      <c r="H15" s="5" t="s">
        <v>62</v>
      </c>
      <c r="I15" s="5" t="s">
        <v>47</v>
      </c>
      <c r="J15" s="5" t="s">
        <v>323</v>
      </c>
      <c r="K15" s="5" t="s">
        <v>103</v>
      </c>
      <c r="L15" s="5" t="s">
        <v>157</v>
      </c>
      <c r="M15" s="5" t="s">
        <v>134</v>
      </c>
      <c r="N15" s="5" t="s">
        <v>66</v>
      </c>
      <c r="O15" s="5" t="s">
        <v>53</v>
      </c>
      <c r="P15" s="5" t="s">
        <v>158</v>
      </c>
      <c r="Q15" s="5" t="s">
        <v>68</v>
      </c>
      <c r="R15" s="5" t="s">
        <v>56</v>
      </c>
      <c r="S15" s="5" t="s">
        <v>68</v>
      </c>
      <c r="T15" s="5" t="s">
        <v>159</v>
      </c>
      <c r="U15" s="5" t="s">
        <v>160</v>
      </c>
      <c r="V15" s="5" t="s">
        <v>161</v>
      </c>
      <c r="W15" s="6">
        <v>42.62</v>
      </c>
      <c r="X15" s="6">
        <v>3.3919999999999999</v>
      </c>
      <c r="Y15" s="6">
        <v>0</v>
      </c>
      <c r="Z15" s="6">
        <v>0.434</v>
      </c>
      <c r="AA15" s="6">
        <v>0.69599999999999995</v>
      </c>
      <c r="AB15" s="6">
        <v>1.873</v>
      </c>
      <c r="AC15" s="6">
        <v>1.38</v>
      </c>
      <c r="AD15" s="6">
        <v>0</v>
      </c>
      <c r="AE15" s="6">
        <v>0</v>
      </c>
      <c r="AF15" s="6">
        <v>1.3480000000000001</v>
      </c>
      <c r="AG15" s="6">
        <f t="shared" si="0"/>
        <v>51.742999999999995</v>
      </c>
      <c r="AH15" s="6">
        <f t="shared" si="1"/>
        <v>7.391857142857142</v>
      </c>
      <c r="AI15" s="6">
        <f t="shared" si="2"/>
        <v>1.8479642857142855</v>
      </c>
      <c r="AJ15" s="6">
        <v>174</v>
      </c>
      <c r="AK15" s="20">
        <f t="shared" si="3"/>
        <v>0.29737356321839076</v>
      </c>
    </row>
    <row r="16" spans="1:37" ht="31" x14ac:dyDescent="0.35">
      <c r="A16" s="3">
        <f>A15+1</f>
        <v>12</v>
      </c>
      <c r="B16" s="68" t="s">
        <v>141</v>
      </c>
      <c r="C16" s="5" t="s">
        <v>153</v>
      </c>
      <c r="D16" s="5" t="s">
        <v>154</v>
      </c>
      <c r="E16" s="5" t="s">
        <v>155</v>
      </c>
      <c r="F16" s="5" t="s">
        <v>156</v>
      </c>
      <c r="G16" s="5">
        <v>7</v>
      </c>
      <c r="H16" s="5" t="s">
        <v>62</v>
      </c>
      <c r="I16" s="5" t="s">
        <v>47</v>
      </c>
      <c r="J16" s="5" t="s">
        <v>323</v>
      </c>
      <c r="K16" s="5" t="s">
        <v>79</v>
      </c>
      <c r="L16" s="5" t="s">
        <v>157</v>
      </c>
      <c r="M16" s="5" t="s">
        <v>134</v>
      </c>
      <c r="N16" s="5" t="s">
        <v>87</v>
      </c>
      <c r="O16" s="5" t="s">
        <v>53</v>
      </c>
      <c r="P16" s="5" t="s">
        <v>158</v>
      </c>
      <c r="Q16" s="5" t="s">
        <v>68</v>
      </c>
      <c r="R16" s="5" t="s">
        <v>56</v>
      </c>
      <c r="S16" s="5" t="s">
        <v>68</v>
      </c>
      <c r="T16" s="5" t="s">
        <v>159</v>
      </c>
      <c r="U16" s="5" t="s">
        <v>160</v>
      </c>
      <c r="V16" s="5" t="s">
        <v>161</v>
      </c>
      <c r="W16" s="6">
        <v>33.5</v>
      </c>
      <c r="X16" s="6">
        <v>0</v>
      </c>
      <c r="Y16" s="6">
        <v>0</v>
      </c>
      <c r="Z16" s="6">
        <v>0.28899999999999998</v>
      </c>
      <c r="AA16" s="6">
        <v>0.128</v>
      </c>
      <c r="AB16" s="6">
        <v>0.54300000000000004</v>
      </c>
      <c r="AC16" s="6">
        <v>0.32600000000000001</v>
      </c>
      <c r="AD16" s="6">
        <v>0</v>
      </c>
      <c r="AE16" s="6">
        <v>0</v>
      </c>
      <c r="AF16" s="41">
        <v>6.08</v>
      </c>
      <c r="AG16" s="6">
        <f t="shared" si="0"/>
        <v>40.866</v>
      </c>
      <c r="AH16" s="6">
        <f t="shared" si="1"/>
        <v>5.8380000000000001</v>
      </c>
      <c r="AI16" s="6">
        <f t="shared" si="2"/>
        <v>0.83399999999999996</v>
      </c>
      <c r="AJ16" s="10">
        <v>110</v>
      </c>
      <c r="AK16" s="6">
        <f t="shared" si="3"/>
        <v>0.3715090909090909</v>
      </c>
    </row>
    <row r="17" spans="1:37" ht="31" x14ac:dyDescent="0.35">
      <c r="A17" s="3">
        <f t="shared" si="4"/>
        <v>13</v>
      </c>
      <c r="B17" s="68" t="s">
        <v>94</v>
      </c>
      <c r="C17" s="5" t="s">
        <v>153</v>
      </c>
      <c r="D17" s="5" t="s">
        <v>154</v>
      </c>
      <c r="E17" s="5" t="s">
        <v>155</v>
      </c>
      <c r="F17" s="5" t="s">
        <v>156</v>
      </c>
      <c r="G17" s="5">
        <v>3</v>
      </c>
      <c r="H17" s="5" t="s">
        <v>75</v>
      </c>
      <c r="I17" s="5" t="s">
        <v>47</v>
      </c>
      <c r="J17" s="5" t="s">
        <v>323</v>
      </c>
      <c r="K17" s="5" t="s">
        <v>79</v>
      </c>
      <c r="L17" s="5" t="s">
        <v>157</v>
      </c>
      <c r="M17" s="5" t="s">
        <v>134</v>
      </c>
      <c r="N17" s="5" t="s">
        <v>66</v>
      </c>
      <c r="O17" s="5" t="s">
        <v>67</v>
      </c>
      <c r="P17" s="5" t="s">
        <v>158</v>
      </c>
      <c r="Q17" s="5" t="s">
        <v>68</v>
      </c>
      <c r="R17" s="5" t="s">
        <v>56</v>
      </c>
      <c r="S17" s="5" t="s">
        <v>68</v>
      </c>
      <c r="T17" s="5" t="s">
        <v>159</v>
      </c>
      <c r="U17" s="5" t="s">
        <v>160</v>
      </c>
      <c r="V17" s="5" t="s">
        <v>161</v>
      </c>
      <c r="W17" s="9">
        <v>9.68</v>
      </c>
      <c r="X17" s="6">
        <v>0</v>
      </c>
      <c r="Y17" s="6">
        <v>0</v>
      </c>
      <c r="Z17" s="6">
        <v>0</v>
      </c>
      <c r="AA17" s="6">
        <v>0.32</v>
      </c>
      <c r="AB17" s="6">
        <v>0.372</v>
      </c>
      <c r="AC17" s="6">
        <v>0.42899999999999999</v>
      </c>
      <c r="AD17" s="6">
        <v>0</v>
      </c>
      <c r="AE17" s="6">
        <v>0</v>
      </c>
      <c r="AF17" s="6">
        <v>3.94</v>
      </c>
      <c r="AG17" s="6">
        <f t="shared" si="0"/>
        <v>14.741</v>
      </c>
      <c r="AH17" s="6">
        <f t="shared" si="1"/>
        <v>2.1058571428571429</v>
      </c>
      <c r="AI17" s="6">
        <f>AH17/3</f>
        <v>0.70195238095238099</v>
      </c>
      <c r="AJ17" s="6">
        <v>54</v>
      </c>
      <c r="AK17" s="6">
        <f t="shared" si="3"/>
        <v>0.27298148148148149</v>
      </c>
    </row>
    <row r="18" spans="1:37" ht="31" x14ac:dyDescent="0.35">
      <c r="A18" s="3">
        <f t="shared" si="4"/>
        <v>14</v>
      </c>
      <c r="B18" s="68" t="s">
        <v>95</v>
      </c>
      <c r="C18" s="5" t="s">
        <v>153</v>
      </c>
      <c r="D18" s="5" t="s">
        <v>154</v>
      </c>
      <c r="E18" s="5" t="s">
        <v>155</v>
      </c>
      <c r="F18" s="5" t="s">
        <v>156</v>
      </c>
      <c r="G18" s="5">
        <v>8</v>
      </c>
      <c r="H18" s="5" t="s">
        <v>75</v>
      </c>
      <c r="I18" s="5" t="s">
        <v>47</v>
      </c>
      <c r="J18" s="5" t="s">
        <v>323</v>
      </c>
      <c r="K18" s="5" t="s">
        <v>79</v>
      </c>
      <c r="L18" s="5" t="s">
        <v>157</v>
      </c>
      <c r="M18" s="5" t="s">
        <v>51</v>
      </c>
      <c r="N18" s="5" t="s">
        <v>66</v>
      </c>
      <c r="O18" s="5" t="s">
        <v>67</v>
      </c>
      <c r="P18" s="5" t="s">
        <v>54</v>
      </c>
      <c r="Q18" s="5" t="s">
        <v>68</v>
      </c>
      <c r="R18" s="5" t="s">
        <v>56</v>
      </c>
      <c r="S18" s="5" t="s">
        <v>68</v>
      </c>
      <c r="T18" s="5" t="s">
        <v>159</v>
      </c>
      <c r="U18" s="5" t="s">
        <v>160</v>
      </c>
      <c r="V18" s="5" t="s">
        <v>106</v>
      </c>
      <c r="W18" s="9">
        <v>21.341999999999999</v>
      </c>
      <c r="X18" s="6">
        <v>0</v>
      </c>
      <c r="Y18" s="6">
        <v>0</v>
      </c>
      <c r="Z18" s="6">
        <v>0</v>
      </c>
      <c r="AA18" s="6">
        <f>0.908+0.643</f>
        <v>1.5510000000000002</v>
      </c>
      <c r="AB18" s="42">
        <v>1.8129999999999999</v>
      </c>
      <c r="AC18" s="6">
        <f>1.14+0.149</f>
        <v>1.2889999999999999</v>
      </c>
      <c r="AD18" s="6">
        <f>0.205</f>
        <v>0.20499999999999999</v>
      </c>
      <c r="AE18" s="6">
        <v>0.123</v>
      </c>
      <c r="AF18" s="6">
        <v>0</v>
      </c>
      <c r="AG18" s="6">
        <f t="shared" si="0"/>
        <v>26.323</v>
      </c>
      <c r="AH18" s="6">
        <f t="shared" si="1"/>
        <v>3.7604285714285717</v>
      </c>
      <c r="AI18" s="6">
        <f>AH18/8</f>
        <v>0.47005357142857146</v>
      </c>
      <c r="AJ18" s="6">
        <v>80</v>
      </c>
      <c r="AK18" s="20">
        <f t="shared" si="3"/>
        <v>0.32903749999999998</v>
      </c>
    </row>
    <row r="19" spans="1:37" ht="31" x14ac:dyDescent="0.35">
      <c r="A19" s="3">
        <f t="shared" si="4"/>
        <v>15</v>
      </c>
      <c r="B19" s="68" t="s">
        <v>96</v>
      </c>
      <c r="C19" s="5" t="s">
        <v>153</v>
      </c>
      <c r="D19" s="5" t="s">
        <v>154</v>
      </c>
      <c r="E19" s="5" t="s">
        <v>155</v>
      </c>
      <c r="F19" s="5" t="s">
        <v>156</v>
      </c>
      <c r="G19" s="5">
        <v>12</v>
      </c>
      <c r="H19" s="5" t="s">
        <v>62</v>
      </c>
      <c r="I19" s="5" t="s">
        <v>47</v>
      </c>
      <c r="J19" s="5" t="s">
        <v>48</v>
      </c>
      <c r="K19" s="5" t="s">
        <v>49</v>
      </c>
      <c r="L19" s="5" t="s">
        <v>157</v>
      </c>
      <c r="M19" s="5" t="s">
        <v>134</v>
      </c>
      <c r="N19" s="5" t="s">
        <v>66</v>
      </c>
      <c r="O19" s="5" t="s">
        <v>67</v>
      </c>
      <c r="P19" s="5" t="s">
        <v>158</v>
      </c>
      <c r="Q19" s="5" t="s">
        <v>68</v>
      </c>
      <c r="R19" s="5" t="s">
        <v>56</v>
      </c>
      <c r="S19" s="5" t="s">
        <v>68</v>
      </c>
      <c r="T19" s="5" t="s">
        <v>159</v>
      </c>
      <c r="U19" s="5" t="s">
        <v>160</v>
      </c>
      <c r="V19" s="5" t="s">
        <v>161</v>
      </c>
      <c r="W19" s="6">
        <f>16.8+2.32</f>
        <v>19.12</v>
      </c>
      <c r="X19" s="6">
        <v>7.26</v>
      </c>
      <c r="Y19" s="6">
        <v>0</v>
      </c>
      <c r="Z19" s="6">
        <v>0.55000000000000004</v>
      </c>
      <c r="AA19" s="6">
        <v>0.56699999999999995</v>
      </c>
      <c r="AB19" s="6">
        <v>0.92300000000000004</v>
      </c>
      <c r="AC19" s="6">
        <v>2.125</v>
      </c>
      <c r="AD19" s="6">
        <v>0</v>
      </c>
      <c r="AE19" s="6">
        <v>0</v>
      </c>
      <c r="AF19" s="6">
        <v>3.12</v>
      </c>
      <c r="AG19" s="6">
        <f t="shared" si="0"/>
        <v>33.664999999999999</v>
      </c>
      <c r="AH19" s="6">
        <f t="shared" si="1"/>
        <v>4.8092857142857142</v>
      </c>
      <c r="AI19" s="6">
        <f>AH19/12</f>
        <v>0.40077380952380953</v>
      </c>
      <c r="AJ19" s="6">
        <v>100</v>
      </c>
      <c r="AK19" s="20">
        <f t="shared" si="3"/>
        <v>0.33665</v>
      </c>
    </row>
    <row r="20" spans="1:37" ht="31" x14ac:dyDescent="0.35">
      <c r="A20" s="3">
        <f t="shared" si="4"/>
        <v>16</v>
      </c>
      <c r="B20" s="68" t="s">
        <v>100</v>
      </c>
      <c r="C20" s="5" t="s">
        <v>153</v>
      </c>
      <c r="D20" s="5" t="s">
        <v>154</v>
      </c>
      <c r="E20" s="5" t="s">
        <v>155</v>
      </c>
      <c r="F20" s="5" t="s">
        <v>156</v>
      </c>
      <c r="G20" s="5">
        <v>4</v>
      </c>
      <c r="H20" s="5" t="s">
        <v>62</v>
      </c>
      <c r="I20" s="5" t="s">
        <v>47</v>
      </c>
      <c r="J20" s="5" t="s">
        <v>323</v>
      </c>
      <c r="K20" s="5" t="s">
        <v>79</v>
      </c>
      <c r="L20" s="5" t="s">
        <v>324</v>
      </c>
      <c r="M20" s="5" t="s">
        <v>134</v>
      </c>
      <c r="N20" s="5" t="s">
        <v>66</v>
      </c>
      <c r="O20" s="5" t="s">
        <v>67</v>
      </c>
      <c r="P20" s="5" t="s">
        <v>158</v>
      </c>
      <c r="Q20" s="5" t="s">
        <v>68</v>
      </c>
      <c r="R20" s="5" t="s">
        <v>56</v>
      </c>
      <c r="S20" s="5" t="s">
        <v>68</v>
      </c>
      <c r="T20" s="5" t="s">
        <v>159</v>
      </c>
      <c r="U20" s="5" t="s">
        <v>160</v>
      </c>
      <c r="V20" s="5" t="s">
        <v>161</v>
      </c>
      <c r="W20" s="6">
        <f>16+16.19</f>
        <v>32.19</v>
      </c>
      <c r="X20" s="6">
        <v>0</v>
      </c>
      <c r="Y20" s="6">
        <v>0</v>
      </c>
      <c r="Z20" s="6">
        <v>0</v>
      </c>
      <c r="AA20" s="6">
        <v>0.58699999999999997</v>
      </c>
      <c r="AB20" s="6">
        <v>0.82</v>
      </c>
      <c r="AC20" s="6">
        <v>0.96299999999999997</v>
      </c>
      <c r="AD20" s="6">
        <v>0</v>
      </c>
      <c r="AE20" s="6">
        <v>0</v>
      </c>
      <c r="AF20" s="6">
        <v>0</v>
      </c>
      <c r="AG20" s="6">
        <f t="shared" si="0"/>
        <v>34.56</v>
      </c>
      <c r="AH20" s="6">
        <f t="shared" si="1"/>
        <v>4.9371428571428577</v>
      </c>
      <c r="AI20" s="6">
        <f>AH20/G20</f>
        <v>1.2342857142857144</v>
      </c>
      <c r="AJ20" s="6">
        <v>112</v>
      </c>
      <c r="AK20" s="20">
        <f t="shared" si="3"/>
        <v>0.30857142857142861</v>
      </c>
    </row>
    <row r="21" spans="1:37" ht="31" x14ac:dyDescent="0.35">
      <c r="A21" s="3">
        <f>A20+1</f>
        <v>17</v>
      </c>
      <c r="B21" s="68" t="s">
        <v>142</v>
      </c>
      <c r="C21" s="5" t="s">
        <v>153</v>
      </c>
      <c r="D21" s="5" t="s">
        <v>154</v>
      </c>
      <c r="E21" s="5" t="s">
        <v>155</v>
      </c>
      <c r="F21" s="5" t="s">
        <v>156</v>
      </c>
      <c r="G21" s="5">
        <v>7</v>
      </c>
      <c r="H21" s="5" t="s">
        <v>75</v>
      </c>
      <c r="I21" s="5" t="s">
        <v>47</v>
      </c>
      <c r="J21" s="5" t="s">
        <v>323</v>
      </c>
      <c r="K21" s="5" t="s">
        <v>76</v>
      </c>
      <c r="L21" s="5" t="s">
        <v>324</v>
      </c>
      <c r="M21" s="5" t="s">
        <v>134</v>
      </c>
      <c r="N21" s="5" t="s">
        <v>66</v>
      </c>
      <c r="O21" s="5" t="s">
        <v>67</v>
      </c>
      <c r="P21" s="5" t="s">
        <v>54</v>
      </c>
      <c r="Q21" s="5" t="s">
        <v>68</v>
      </c>
      <c r="R21" s="5" t="s">
        <v>56</v>
      </c>
      <c r="S21" s="5" t="s">
        <v>68</v>
      </c>
      <c r="T21" s="5" t="s">
        <v>159</v>
      </c>
      <c r="U21" s="5" t="s">
        <v>160</v>
      </c>
      <c r="V21" s="5" t="s">
        <v>161</v>
      </c>
      <c r="W21" s="6">
        <f>37.58+16.3</f>
        <v>53.879999999999995</v>
      </c>
      <c r="X21" s="6">
        <v>8.0299999999999994</v>
      </c>
      <c r="Y21" s="6">
        <v>0</v>
      </c>
      <c r="Z21" s="6">
        <v>0</v>
      </c>
      <c r="AA21" s="6">
        <v>0.92500000000000004</v>
      </c>
      <c r="AB21" s="6">
        <v>0.75860000000000005</v>
      </c>
      <c r="AC21" s="6">
        <v>1.0429999999999999</v>
      </c>
      <c r="AD21" s="6">
        <v>0</v>
      </c>
      <c r="AE21" s="6">
        <v>0</v>
      </c>
      <c r="AF21" s="6">
        <v>4.07</v>
      </c>
      <c r="AG21" s="6">
        <f t="shared" si="0"/>
        <v>68.706600000000009</v>
      </c>
      <c r="AH21" s="6">
        <f t="shared" si="1"/>
        <v>9.8152285714285732</v>
      </c>
      <c r="AI21" s="6">
        <f>AH21/G21</f>
        <v>1.4021755102040818</v>
      </c>
      <c r="AJ21" s="6">
        <v>244</v>
      </c>
      <c r="AK21" s="6">
        <f t="shared" si="3"/>
        <v>0.28158442622950824</v>
      </c>
    </row>
    <row r="22" spans="1:37" ht="31" x14ac:dyDescent="0.35">
      <c r="A22" s="3">
        <f t="shared" si="4"/>
        <v>18</v>
      </c>
      <c r="B22" s="68" t="s">
        <v>101</v>
      </c>
      <c r="C22" s="5" t="s">
        <v>153</v>
      </c>
      <c r="D22" s="5" t="s">
        <v>154</v>
      </c>
      <c r="E22" s="5" t="s">
        <v>155</v>
      </c>
      <c r="F22" s="5" t="s">
        <v>156</v>
      </c>
      <c r="G22" s="5">
        <v>5</v>
      </c>
      <c r="H22" s="5" t="s">
        <v>75</v>
      </c>
      <c r="I22" s="5" t="s">
        <v>47</v>
      </c>
      <c r="J22" s="5" t="s">
        <v>323</v>
      </c>
      <c r="K22" s="5" t="s">
        <v>76</v>
      </c>
      <c r="L22" s="5" t="s">
        <v>324</v>
      </c>
      <c r="M22" s="5" t="s">
        <v>51</v>
      </c>
      <c r="N22" s="5" t="s">
        <v>66</v>
      </c>
      <c r="O22" s="5" t="s">
        <v>67</v>
      </c>
      <c r="P22" s="5" t="s">
        <v>54</v>
      </c>
      <c r="Q22" s="5" t="s">
        <v>68</v>
      </c>
      <c r="R22" s="5" t="s">
        <v>56</v>
      </c>
      <c r="S22" s="5" t="s">
        <v>68</v>
      </c>
      <c r="T22" s="5" t="s">
        <v>159</v>
      </c>
      <c r="U22" s="5" t="s">
        <v>160</v>
      </c>
      <c r="V22" s="5" t="s">
        <v>161</v>
      </c>
      <c r="W22" s="6">
        <v>5.89</v>
      </c>
      <c r="X22" s="6">
        <v>4.76</v>
      </c>
      <c r="Y22" s="6">
        <v>0.8</v>
      </c>
      <c r="Z22" s="6">
        <v>0</v>
      </c>
      <c r="AA22" s="6">
        <v>0.28999999999999998</v>
      </c>
      <c r="AB22" s="6">
        <v>0.45</v>
      </c>
      <c r="AC22" s="6">
        <v>0.54</v>
      </c>
      <c r="AD22" s="6">
        <v>0</v>
      </c>
      <c r="AE22" s="6">
        <v>0</v>
      </c>
      <c r="AF22" s="6">
        <v>0</v>
      </c>
      <c r="AG22" s="6">
        <f t="shared" ref="AG22" si="5">SUM(W22:AF22)</f>
        <v>12.729999999999997</v>
      </c>
      <c r="AH22" s="6">
        <f t="shared" si="1"/>
        <v>1.8185714285714281</v>
      </c>
      <c r="AI22" s="6">
        <f>AH22/G22</f>
        <v>0.3637142857142856</v>
      </c>
      <c r="AJ22" s="6">
        <v>34</v>
      </c>
      <c r="AK22" s="6">
        <f t="shared" si="3"/>
        <v>0.37441176470588228</v>
      </c>
    </row>
    <row r="23" spans="1:37" ht="31" x14ac:dyDescent="0.35">
      <c r="A23" s="3">
        <f t="shared" si="4"/>
        <v>19</v>
      </c>
      <c r="B23" s="68" t="s">
        <v>105</v>
      </c>
      <c r="C23" s="5" t="s">
        <v>153</v>
      </c>
      <c r="D23" s="5" t="s">
        <v>154</v>
      </c>
      <c r="E23" s="5" t="s">
        <v>155</v>
      </c>
      <c r="F23" s="5" t="s">
        <v>156</v>
      </c>
      <c r="G23" s="5">
        <v>3</v>
      </c>
      <c r="H23" s="5" t="s">
        <v>75</v>
      </c>
      <c r="I23" s="5" t="s">
        <v>71</v>
      </c>
      <c r="J23" s="5" t="s">
        <v>323</v>
      </c>
      <c r="K23" s="5" t="s">
        <v>76</v>
      </c>
      <c r="L23" s="5" t="s">
        <v>324</v>
      </c>
      <c r="M23" s="5" t="s">
        <v>134</v>
      </c>
      <c r="N23" s="5" t="s">
        <v>66</v>
      </c>
      <c r="O23" s="5" t="s">
        <v>67</v>
      </c>
      <c r="P23" s="5" t="s">
        <v>158</v>
      </c>
      <c r="Q23" s="5" t="s">
        <v>68</v>
      </c>
      <c r="R23" s="5" t="s">
        <v>56</v>
      </c>
      <c r="S23" s="5" t="s">
        <v>68</v>
      </c>
      <c r="T23" s="5" t="s">
        <v>159</v>
      </c>
      <c r="U23" s="5" t="s">
        <v>160</v>
      </c>
      <c r="V23" s="5" t="s">
        <v>161</v>
      </c>
      <c r="W23" s="6">
        <f>10+16.18</f>
        <v>26.18</v>
      </c>
      <c r="X23" s="6">
        <v>0</v>
      </c>
      <c r="Y23" s="6">
        <v>0</v>
      </c>
      <c r="Z23" s="6">
        <v>0</v>
      </c>
      <c r="AA23" s="6">
        <v>0.23699999999999999</v>
      </c>
      <c r="AB23" s="6">
        <v>0.72</v>
      </c>
      <c r="AC23" s="6">
        <v>0.76300000000000001</v>
      </c>
      <c r="AD23" s="6">
        <v>0</v>
      </c>
      <c r="AE23" s="6">
        <v>0</v>
      </c>
      <c r="AF23" s="6">
        <v>0</v>
      </c>
      <c r="AG23" s="6">
        <f>SUM(W23:AF23)</f>
        <v>27.9</v>
      </c>
      <c r="AH23" s="6">
        <f>AG23/7</f>
        <v>3.9857142857142853</v>
      </c>
      <c r="AI23" s="6">
        <f>AH23/G23</f>
        <v>1.3285714285714285</v>
      </c>
      <c r="AJ23" s="6">
        <v>84</v>
      </c>
      <c r="AK23" s="20">
        <f>AG23/AJ23</f>
        <v>0.33214285714285713</v>
      </c>
    </row>
    <row r="24" spans="1:37" ht="31" x14ac:dyDescent="0.35">
      <c r="A24" s="3">
        <f t="shared" si="4"/>
        <v>20</v>
      </c>
      <c r="B24" s="68" t="s">
        <v>107</v>
      </c>
      <c r="C24" s="5" t="s">
        <v>153</v>
      </c>
      <c r="D24" s="5" t="s">
        <v>154</v>
      </c>
      <c r="E24" s="5" t="s">
        <v>155</v>
      </c>
      <c r="F24" s="5" t="s">
        <v>156</v>
      </c>
      <c r="G24" s="5">
        <v>3</v>
      </c>
      <c r="H24" s="5" t="s">
        <v>75</v>
      </c>
      <c r="I24" s="5" t="s">
        <v>47</v>
      </c>
      <c r="J24" s="5" t="s">
        <v>323</v>
      </c>
      <c r="K24" s="5" t="s">
        <v>49</v>
      </c>
      <c r="L24" s="5" t="s">
        <v>157</v>
      </c>
      <c r="M24" s="5" t="s">
        <v>51</v>
      </c>
      <c r="N24" s="5" t="s">
        <v>66</v>
      </c>
      <c r="O24" s="5" t="s">
        <v>67</v>
      </c>
      <c r="P24" s="5" t="s">
        <v>158</v>
      </c>
      <c r="Q24" s="5" t="s">
        <v>68</v>
      </c>
      <c r="R24" s="5" t="s">
        <v>56</v>
      </c>
      <c r="S24" s="5" t="s">
        <v>68</v>
      </c>
      <c r="T24" s="5" t="s">
        <v>159</v>
      </c>
      <c r="U24" s="5" t="s">
        <v>160</v>
      </c>
      <c r="V24" s="5" t="s">
        <v>161</v>
      </c>
      <c r="W24" s="6">
        <v>12.66</v>
      </c>
      <c r="X24" s="6">
        <v>0</v>
      </c>
      <c r="Y24" s="6">
        <v>0</v>
      </c>
      <c r="Z24" s="6">
        <v>0.16</v>
      </c>
      <c r="AA24" s="6">
        <v>0.69</v>
      </c>
      <c r="AB24" s="6">
        <v>0.48</v>
      </c>
      <c r="AC24" s="6">
        <v>0.47</v>
      </c>
      <c r="AD24" s="6">
        <v>0</v>
      </c>
      <c r="AE24" s="6">
        <v>0</v>
      </c>
      <c r="AF24" s="6">
        <v>1.26</v>
      </c>
      <c r="AG24" s="6">
        <f t="shared" ref="AG24:AG36" si="6">SUM(W24:AF24)</f>
        <v>15.72</v>
      </c>
      <c r="AH24" s="6">
        <f t="shared" si="1"/>
        <v>2.245714285714286</v>
      </c>
      <c r="AI24" s="6">
        <f>AH24/G24</f>
        <v>0.74857142857142867</v>
      </c>
      <c r="AJ24" s="6">
        <v>44</v>
      </c>
      <c r="AK24" s="6">
        <f t="shared" ref="AK24:AK36" si="7">AG24/AJ24</f>
        <v>0.3572727272727273</v>
      </c>
    </row>
    <row r="25" spans="1:37" ht="31" x14ac:dyDescent="0.35">
      <c r="A25" s="3">
        <f t="shared" si="4"/>
        <v>21</v>
      </c>
      <c r="B25" s="68" t="s">
        <v>164</v>
      </c>
      <c r="C25" s="5" t="s">
        <v>153</v>
      </c>
      <c r="D25" s="5" t="s">
        <v>154</v>
      </c>
      <c r="E25" s="5" t="s">
        <v>155</v>
      </c>
      <c r="F25" s="5" t="s">
        <v>156</v>
      </c>
      <c r="G25" s="5">
        <v>6</v>
      </c>
      <c r="H25" s="5" t="s">
        <v>62</v>
      </c>
      <c r="I25" s="5" t="s">
        <v>47</v>
      </c>
      <c r="J25" s="5" t="s">
        <v>323</v>
      </c>
      <c r="K25" s="5" t="s">
        <v>103</v>
      </c>
      <c r="L25" s="5" t="s">
        <v>324</v>
      </c>
      <c r="M25" s="5" t="s">
        <v>134</v>
      </c>
      <c r="N25" s="5" t="s">
        <v>66</v>
      </c>
      <c r="O25" s="5" t="s">
        <v>67</v>
      </c>
      <c r="P25" s="5" t="s">
        <v>158</v>
      </c>
      <c r="Q25" s="5" t="s">
        <v>68</v>
      </c>
      <c r="R25" s="5" t="s">
        <v>56</v>
      </c>
      <c r="S25" s="5" t="s">
        <v>68</v>
      </c>
      <c r="T25" s="5" t="s">
        <v>159</v>
      </c>
      <c r="U25" s="5" t="s">
        <v>160</v>
      </c>
      <c r="V25" s="5" t="s">
        <v>161</v>
      </c>
      <c r="W25" s="6">
        <v>34.42</v>
      </c>
      <c r="X25" s="6">
        <v>6.42</v>
      </c>
      <c r="Y25" s="6">
        <v>0</v>
      </c>
      <c r="Z25" s="6">
        <v>0</v>
      </c>
      <c r="AA25" s="6">
        <v>0.63100000000000001</v>
      </c>
      <c r="AB25" s="6">
        <v>0.31900000000000001</v>
      </c>
      <c r="AC25" s="6">
        <v>1.173</v>
      </c>
      <c r="AD25" s="6">
        <v>0</v>
      </c>
      <c r="AE25" s="6">
        <v>0.40799999999999997</v>
      </c>
      <c r="AF25" s="6">
        <v>1.9079999999999999</v>
      </c>
      <c r="AG25" s="6">
        <f t="shared" si="6"/>
        <v>45.279000000000011</v>
      </c>
      <c r="AH25" s="6">
        <f t="shared" si="1"/>
        <v>6.4684285714285732</v>
      </c>
      <c r="AI25" s="6">
        <f>AH25/6</f>
        <v>1.0780714285714288</v>
      </c>
      <c r="AJ25" s="6">
        <v>148</v>
      </c>
      <c r="AK25" s="6">
        <f t="shared" si="7"/>
        <v>0.30593918918918928</v>
      </c>
    </row>
    <row r="26" spans="1:37" ht="31" x14ac:dyDescent="0.35">
      <c r="A26" s="3">
        <f t="shared" si="4"/>
        <v>22</v>
      </c>
      <c r="B26" s="68" t="s">
        <v>108</v>
      </c>
      <c r="C26" s="5" t="s">
        <v>153</v>
      </c>
      <c r="D26" s="5" t="s">
        <v>154</v>
      </c>
      <c r="E26" s="5" t="s">
        <v>155</v>
      </c>
      <c r="F26" s="5" t="s">
        <v>156</v>
      </c>
      <c r="G26" s="5">
        <v>3</v>
      </c>
      <c r="H26" s="5" t="s">
        <v>75</v>
      </c>
      <c r="I26" s="5" t="s">
        <v>47</v>
      </c>
      <c r="J26" s="5" t="s">
        <v>323</v>
      </c>
      <c r="K26" s="5" t="s">
        <v>49</v>
      </c>
      <c r="L26" s="5" t="s">
        <v>324</v>
      </c>
      <c r="M26" s="5" t="s">
        <v>325</v>
      </c>
      <c r="N26" s="5" t="s">
        <v>66</v>
      </c>
      <c r="O26" s="5" t="s">
        <v>67</v>
      </c>
      <c r="P26" s="5" t="s">
        <v>54</v>
      </c>
      <c r="Q26" s="5" t="s">
        <v>68</v>
      </c>
      <c r="R26" s="5" t="s">
        <v>56</v>
      </c>
      <c r="S26" s="5" t="s">
        <v>68</v>
      </c>
      <c r="T26" s="5" t="s">
        <v>159</v>
      </c>
      <c r="U26" s="5" t="s">
        <v>160</v>
      </c>
      <c r="V26" s="5" t="s">
        <v>161</v>
      </c>
      <c r="W26" s="6">
        <v>15.62</v>
      </c>
      <c r="X26" s="6">
        <v>3.7</v>
      </c>
      <c r="Y26" s="6">
        <v>0</v>
      </c>
      <c r="Z26" s="6">
        <v>0</v>
      </c>
      <c r="AA26" s="6">
        <v>0.313</v>
      </c>
      <c r="AB26" s="6">
        <v>0.497</v>
      </c>
      <c r="AC26" s="6">
        <v>0.68100000000000005</v>
      </c>
      <c r="AD26" s="6">
        <v>0</v>
      </c>
      <c r="AE26" s="6">
        <v>0</v>
      </c>
      <c r="AF26" s="20">
        <v>0</v>
      </c>
      <c r="AG26" s="6">
        <f t="shared" si="6"/>
        <v>20.811</v>
      </c>
      <c r="AH26" s="6">
        <f t="shared" si="1"/>
        <v>2.9729999999999999</v>
      </c>
      <c r="AI26" s="6">
        <f>AH26/4</f>
        <v>0.74324999999999997</v>
      </c>
      <c r="AJ26" s="6">
        <v>64</v>
      </c>
      <c r="AK26" s="6">
        <f t="shared" si="7"/>
        <v>0.325171875</v>
      </c>
    </row>
    <row r="27" spans="1:37" ht="31" x14ac:dyDescent="0.35">
      <c r="A27" s="3">
        <f>A26+1</f>
        <v>23</v>
      </c>
      <c r="B27" s="68" t="s">
        <v>109</v>
      </c>
      <c r="C27" s="5" t="s">
        <v>153</v>
      </c>
      <c r="D27" s="5" t="s">
        <v>154</v>
      </c>
      <c r="E27" s="5" t="s">
        <v>155</v>
      </c>
      <c r="F27" s="5" t="s">
        <v>156</v>
      </c>
      <c r="G27" s="5">
        <v>7</v>
      </c>
      <c r="H27" s="5" t="s">
        <v>62</v>
      </c>
      <c r="I27" s="5" t="s">
        <v>47</v>
      </c>
      <c r="J27" s="5" t="s">
        <v>323</v>
      </c>
      <c r="K27" s="5" t="s">
        <v>103</v>
      </c>
      <c r="L27" s="5" t="s">
        <v>157</v>
      </c>
      <c r="M27" s="5" t="s">
        <v>134</v>
      </c>
      <c r="N27" s="5" t="s">
        <v>66</v>
      </c>
      <c r="O27" s="5" t="s">
        <v>67</v>
      </c>
      <c r="P27" s="5" t="s">
        <v>54</v>
      </c>
      <c r="Q27" s="5" t="s">
        <v>68</v>
      </c>
      <c r="R27" s="5" t="s">
        <v>56</v>
      </c>
      <c r="S27" s="5" t="s">
        <v>68</v>
      </c>
      <c r="T27" s="5" t="s">
        <v>159</v>
      </c>
      <c r="U27" s="5" t="s">
        <v>160</v>
      </c>
      <c r="V27" s="5" t="s">
        <v>161</v>
      </c>
      <c r="W27" s="19">
        <v>37.58</v>
      </c>
      <c r="X27" s="6">
        <v>8</v>
      </c>
      <c r="Y27" s="6">
        <v>0</v>
      </c>
      <c r="Z27" s="6">
        <v>0</v>
      </c>
      <c r="AA27" s="6">
        <v>2.5059999999999998</v>
      </c>
      <c r="AB27" s="6">
        <v>3.14</v>
      </c>
      <c r="AC27" s="6">
        <v>5.13</v>
      </c>
      <c r="AD27" s="6">
        <v>0</v>
      </c>
      <c r="AE27" s="6">
        <v>0.95399999999999996</v>
      </c>
      <c r="AF27" s="20">
        <v>7.3120000000000003</v>
      </c>
      <c r="AG27" s="6">
        <f t="shared" si="6"/>
        <v>64.622</v>
      </c>
      <c r="AH27" s="6">
        <f t="shared" si="1"/>
        <v>9.2317142857142862</v>
      </c>
      <c r="AI27" s="6">
        <f>AH27/G27</f>
        <v>1.3188163265306123</v>
      </c>
      <c r="AJ27" s="6">
        <v>220</v>
      </c>
      <c r="AK27" s="6">
        <f t="shared" si="7"/>
        <v>0.29373636363636363</v>
      </c>
    </row>
    <row r="28" spans="1:37" ht="31" x14ac:dyDescent="0.35">
      <c r="A28" s="3">
        <f t="shared" si="4"/>
        <v>24</v>
      </c>
      <c r="B28" s="68" t="s">
        <v>110</v>
      </c>
      <c r="C28" s="5" t="s">
        <v>153</v>
      </c>
      <c r="D28" s="5" t="s">
        <v>154</v>
      </c>
      <c r="E28" s="5" t="s">
        <v>155</v>
      </c>
      <c r="F28" s="5" t="s">
        <v>156</v>
      </c>
      <c r="G28" s="5">
        <v>6</v>
      </c>
      <c r="H28" s="5" t="s">
        <v>62</v>
      </c>
      <c r="I28" s="5" t="s">
        <v>71</v>
      </c>
      <c r="J28" s="5" t="s">
        <v>323</v>
      </c>
      <c r="K28" s="5" t="s">
        <v>79</v>
      </c>
      <c r="L28" s="5" t="s">
        <v>157</v>
      </c>
      <c r="M28" s="5" t="s">
        <v>134</v>
      </c>
      <c r="N28" s="5" t="s">
        <v>66</v>
      </c>
      <c r="O28" s="5" t="s">
        <v>67</v>
      </c>
      <c r="P28" s="5" t="s">
        <v>54</v>
      </c>
      <c r="Q28" s="5" t="s">
        <v>68</v>
      </c>
      <c r="R28" s="5" t="s">
        <v>56</v>
      </c>
      <c r="S28" s="5" t="s">
        <v>68</v>
      </c>
      <c r="T28" s="5" t="s">
        <v>159</v>
      </c>
      <c r="U28" s="5" t="s">
        <v>160</v>
      </c>
      <c r="V28" s="5" t="s">
        <v>161</v>
      </c>
      <c r="W28" s="6">
        <v>33.380000000000003</v>
      </c>
      <c r="X28" s="6">
        <v>2.38</v>
      </c>
      <c r="Y28" s="6">
        <v>0</v>
      </c>
      <c r="Z28" s="6">
        <v>0.67300000000000004</v>
      </c>
      <c r="AA28" s="6">
        <v>0.56699999999999995</v>
      </c>
      <c r="AB28" s="6">
        <v>0.88100000000000001</v>
      </c>
      <c r="AC28" s="6">
        <v>2.1800000000000002</v>
      </c>
      <c r="AD28" s="6">
        <v>0.219</v>
      </c>
      <c r="AE28" s="6">
        <v>0.71399999999999997</v>
      </c>
      <c r="AF28" s="20">
        <v>3.07</v>
      </c>
      <c r="AG28" s="6">
        <f t="shared" si="6"/>
        <v>44.064000000000007</v>
      </c>
      <c r="AH28" s="6">
        <f t="shared" si="1"/>
        <v>6.2948571428571443</v>
      </c>
      <c r="AI28" s="6">
        <f>AH28/G28</f>
        <v>1.0491428571428574</v>
      </c>
      <c r="AJ28" s="6">
        <v>144</v>
      </c>
      <c r="AK28" s="6">
        <f t="shared" si="7"/>
        <v>0.30600000000000005</v>
      </c>
    </row>
    <row r="29" spans="1:37" ht="31" x14ac:dyDescent="0.35">
      <c r="A29" s="3">
        <f t="shared" si="4"/>
        <v>25</v>
      </c>
      <c r="B29" s="68" t="s">
        <v>111</v>
      </c>
      <c r="C29" s="5" t="s">
        <v>153</v>
      </c>
      <c r="D29" s="5" t="s">
        <v>154</v>
      </c>
      <c r="E29" s="5" t="s">
        <v>155</v>
      </c>
      <c r="F29" s="5" t="s">
        <v>156</v>
      </c>
      <c r="G29" s="5">
        <v>4</v>
      </c>
      <c r="H29" s="5" t="s">
        <v>62</v>
      </c>
      <c r="I29" s="5" t="s">
        <v>71</v>
      </c>
      <c r="J29" s="5" t="s">
        <v>323</v>
      </c>
      <c r="K29" s="5" t="s">
        <v>49</v>
      </c>
      <c r="L29" s="5" t="s">
        <v>324</v>
      </c>
      <c r="M29" s="5" t="s">
        <v>325</v>
      </c>
      <c r="N29" s="5" t="s">
        <v>66</v>
      </c>
      <c r="O29" s="5" t="s">
        <v>67</v>
      </c>
      <c r="P29" s="5" t="s">
        <v>54</v>
      </c>
      <c r="Q29" s="5" t="s">
        <v>68</v>
      </c>
      <c r="R29" s="5" t="s">
        <v>56</v>
      </c>
      <c r="S29" s="5" t="s">
        <v>68</v>
      </c>
      <c r="T29" s="5" t="s">
        <v>159</v>
      </c>
      <c r="U29" s="5" t="s">
        <v>160</v>
      </c>
      <c r="V29" s="5" t="s">
        <v>161</v>
      </c>
      <c r="W29" s="6">
        <v>18.82</v>
      </c>
      <c r="X29" s="6">
        <v>4.76</v>
      </c>
      <c r="Y29" s="6">
        <v>0</v>
      </c>
      <c r="Z29" s="6">
        <v>0</v>
      </c>
      <c r="AA29" s="6">
        <v>0.21299999999999999</v>
      </c>
      <c r="AB29" s="6">
        <v>0.32700000000000001</v>
      </c>
      <c r="AC29" s="6">
        <v>0.46800000000000003</v>
      </c>
      <c r="AD29" s="6">
        <v>0</v>
      </c>
      <c r="AE29" s="6">
        <v>0</v>
      </c>
      <c r="AF29" s="20">
        <v>0</v>
      </c>
      <c r="AG29" s="6">
        <f t="shared" si="6"/>
        <v>24.588000000000001</v>
      </c>
      <c r="AH29" s="6">
        <f t="shared" si="1"/>
        <v>3.5125714285714289</v>
      </c>
      <c r="AI29" s="6">
        <f>AH29/4</f>
        <v>0.87814285714285722</v>
      </c>
      <c r="AJ29" s="6">
        <v>70</v>
      </c>
      <c r="AK29" s="6">
        <f t="shared" si="7"/>
        <v>0.35125714285714288</v>
      </c>
    </row>
    <row r="30" spans="1:37" ht="31" x14ac:dyDescent="0.35">
      <c r="A30" s="3">
        <f t="shared" si="4"/>
        <v>26</v>
      </c>
      <c r="B30" s="68" t="s">
        <v>145</v>
      </c>
      <c r="C30" s="5" t="s">
        <v>153</v>
      </c>
      <c r="D30" s="5" t="s">
        <v>154</v>
      </c>
      <c r="E30" s="5" t="s">
        <v>155</v>
      </c>
      <c r="F30" s="5" t="s">
        <v>156</v>
      </c>
      <c r="G30" s="5">
        <v>4</v>
      </c>
      <c r="H30" s="5" t="s">
        <v>46</v>
      </c>
      <c r="I30" s="5" t="s">
        <v>71</v>
      </c>
      <c r="J30" s="5" t="s">
        <v>323</v>
      </c>
      <c r="K30" s="5" t="s">
        <v>79</v>
      </c>
      <c r="L30" s="5" t="s">
        <v>324</v>
      </c>
      <c r="M30" s="5" t="s">
        <v>134</v>
      </c>
      <c r="N30" s="5" t="s">
        <v>66</v>
      </c>
      <c r="O30" s="5" t="s">
        <v>67</v>
      </c>
      <c r="P30" s="5" t="s">
        <v>158</v>
      </c>
      <c r="Q30" s="5" t="s">
        <v>68</v>
      </c>
      <c r="R30" s="5" t="s">
        <v>56</v>
      </c>
      <c r="S30" s="5" t="s">
        <v>68</v>
      </c>
      <c r="T30" s="5" t="s">
        <v>159</v>
      </c>
      <c r="U30" s="5" t="s">
        <v>160</v>
      </c>
      <c r="V30" s="5" t="s">
        <v>161</v>
      </c>
      <c r="W30" s="43">
        <v>20.5</v>
      </c>
      <c r="X30" s="43">
        <v>2.5</v>
      </c>
      <c r="Y30" s="44">
        <v>0</v>
      </c>
      <c r="Z30" s="44">
        <v>0</v>
      </c>
      <c r="AA30" s="44">
        <v>0</v>
      </c>
      <c r="AB30" s="43">
        <v>0.5</v>
      </c>
      <c r="AC30" s="43">
        <v>1.5</v>
      </c>
      <c r="AD30" s="44">
        <v>0</v>
      </c>
      <c r="AE30" s="44">
        <v>0</v>
      </c>
      <c r="AF30" s="45">
        <v>1.05</v>
      </c>
      <c r="AG30" s="6">
        <f t="shared" si="6"/>
        <v>26.05</v>
      </c>
      <c r="AH30" s="6">
        <f t="shared" si="1"/>
        <v>3.7214285714285715</v>
      </c>
      <c r="AI30" s="6">
        <f>AH30/G30</f>
        <v>0.93035714285714288</v>
      </c>
      <c r="AJ30" s="6">
        <v>74</v>
      </c>
      <c r="AK30" s="6">
        <f t="shared" si="7"/>
        <v>0.35202702702702704</v>
      </c>
    </row>
    <row r="31" spans="1:37" ht="31" x14ac:dyDescent="0.35">
      <c r="A31" s="3">
        <f t="shared" si="4"/>
        <v>27</v>
      </c>
      <c r="B31" s="68" t="s">
        <v>146</v>
      </c>
      <c r="C31" s="5" t="s">
        <v>153</v>
      </c>
      <c r="D31" s="5" t="s">
        <v>154</v>
      </c>
      <c r="E31" s="5" t="s">
        <v>155</v>
      </c>
      <c r="F31" s="5" t="s">
        <v>156</v>
      </c>
      <c r="G31" s="5">
        <v>5</v>
      </c>
      <c r="H31" s="5" t="s">
        <v>46</v>
      </c>
      <c r="I31" s="5" t="s">
        <v>71</v>
      </c>
      <c r="J31" s="5" t="s">
        <v>323</v>
      </c>
      <c r="K31" s="5" t="s">
        <v>79</v>
      </c>
      <c r="L31" s="5" t="s">
        <v>324</v>
      </c>
      <c r="M31" s="5" t="s">
        <v>134</v>
      </c>
      <c r="N31" s="5" t="s">
        <v>66</v>
      </c>
      <c r="O31" s="5" t="s">
        <v>67</v>
      </c>
      <c r="P31" s="5" t="s">
        <v>54</v>
      </c>
      <c r="Q31" s="5" t="s">
        <v>68</v>
      </c>
      <c r="R31" s="5" t="s">
        <v>56</v>
      </c>
      <c r="S31" s="5" t="s">
        <v>68</v>
      </c>
      <c r="T31" s="5" t="s">
        <v>159</v>
      </c>
      <c r="U31" s="5" t="s">
        <v>160</v>
      </c>
      <c r="V31" s="5" t="s">
        <v>161</v>
      </c>
      <c r="W31" s="43">
        <v>28.31</v>
      </c>
      <c r="X31" s="43">
        <v>3.25</v>
      </c>
      <c r="Y31" s="44">
        <v>0</v>
      </c>
      <c r="Z31" s="44">
        <v>0</v>
      </c>
      <c r="AA31" s="44">
        <v>0</v>
      </c>
      <c r="AB31" s="43">
        <v>0.70299999999999996</v>
      </c>
      <c r="AC31" s="43">
        <v>1.8120000000000001</v>
      </c>
      <c r="AD31" s="44">
        <v>0</v>
      </c>
      <c r="AE31" s="44">
        <v>0</v>
      </c>
      <c r="AF31" s="45">
        <v>0.34599999999999997</v>
      </c>
      <c r="AG31" s="6">
        <f t="shared" si="6"/>
        <v>34.420999999999992</v>
      </c>
      <c r="AH31" s="6">
        <f t="shared" si="1"/>
        <v>4.9172857142857129</v>
      </c>
      <c r="AI31" s="6">
        <f>AH31/G31</f>
        <v>0.98345714285714259</v>
      </c>
      <c r="AJ31" s="6">
        <v>110</v>
      </c>
      <c r="AK31" s="6">
        <f t="shared" si="7"/>
        <v>0.31291818181818176</v>
      </c>
    </row>
    <row r="32" spans="1:37" ht="31" x14ac:dyDescent="0.35">
      <c r="A32" s="3">
        <f>A31+1</f>
        <v>28</v>
      </c>
      <c r="B32" s="68" t="s">
        <v>112</v>
      </c>
      <c r="C32" s="5" t="s">
        <v>153</v>
      </c>
      <c r="D32" s="5" t="s">
        <v>154</v>
      </c>
      <c r="E32" s="5" t="s">
        <v>155</v>
      </c>
      <c r="F32" s="5" t="s">
        <v>156</v>
      </c>
      <c r="G32" s="5">
        <v>5</v>
      </c>
      <c r="H32" s="5" t="s">
        <v>62</v>
      </c>
      <c r="I32" s="5" t="s">
        <v>47</v>
      </c>
      <c r="J32" s="5" t="s">
        <v>323</v>
      </c>
      <c r="K32" s="5" t="s">
        <v>103</v>
      </c>
      <c r="L32" s="5" t="s">
        <v>157</v>
      </c>
      <c r="M32" s="5" t="s">
        <v>134</v>
      </c>
      <c r="N32" s="5" t="s">
        <v>66</v>
      </c>
      <c r="O32" s="5" t="s">
        <v>53</v>
      </c>
      <c r="P32" s="5" t="s">
        <v>158</v>
      </c>
      <c r="Q32" s="5" t="s">
        <v>68</v>
      </c>
      <c r="R32" s="5" t="s">
        <v>56</v>
      </c>
      <c r="S32" s="5" t="s">
        <v>68</v>
      </c>
      <c r="T32" s="5" t="s">
        <v>159</v>
      </c>
      <c r="U32" s="5" t="s">
        <v>160</v>
      </c>
      <c r="V32" s="5" t="s">
        <v>161</v>
      </c>
      <c r="W32" s="6">
        <v>53.52</v>
      </c>
      <c r="X32" s="6">
        <v>6.3419999999999996</v>
      </c>
      <c r="Y32" s="6">
        <v>0</v>
      </c>
      <c r="Z32" s="6">
        <v>0.23400000000000001</v>
      </c>
      <c r="AA32" s="6">
        <v>0.47599999999999998</v>
      </c>
      <c r="AB32" s="6">
        <v>1.673</v>
      </c>
      <c r="AC32" s="6">
        <v>2.3460000000000001</v>
      </c>
      <c r="AD32" s="6">
        <v>0</v>
      </c>
      <c r="AE32" s="6">
        <v>1.095</v>
      </c>
      <c r="AF32" s="6">
        <v>2.3450000000000002</v>
      </c>
      <c r="AG32" s="6">
        <f t="shared" si="6"/>
        <v>68.031000000000006</v>
      </c>
      <c r="AH32" s="6">
        <f t="shared" si="1"/>
        <v>9.7187142857142863</v>
      </c>
      <c r="AI32" s="6">
        <f>AH32/G32</f>
        <v>1.9437428571428572</v>
      </c>
      <c r="AJ32" s="6">
        <v>224</v>
      </c>
      <c r="AK32" s="6">
        <f t="shared" si="7"/>
        <v>0.30370982142857145</v>
      </c>
    </row>
    <row r="33" spans="1:37" ht="31" x14ac:dyDescent="0.35">
      <c r="A33" s="3">
        <f t="shared" si="4"/>
        <v>29</v>
      </c>
      <c r="B33" s="68" t="s">
        <v>113</v>
      </c>
      <c r="C33" s="5" t="s">
        <v>153</v>
      </c>
      <c r="D33" s="5" t="s">
        <v>154</v>
      </c>
      <c r="E33" s="5" t="s">
        <v>155</v>
      </c>
      <c r="F33" s="5" t="s">
        <v>156</v>
      </c>
      <c r="G33" s="5">
        <v>9</v>
      </c>
      <c r="H33" s="5" t="s">
        <v>62</v>
      </c>
      <c r="I33" s="5" t="s">
        <v>47</v>
      </c>
      <c r="J33" s="5" t="s">
        <v>323</v>
      </c>
      <c r="K33" s="5" t="s">
        <v>103</v>
      </c>
      <c r="L33" s="5" t="s">
        <v>157</v>
      </c>
      <c r="M33" s="5" t="s">
        <v>134</v>
      </c>
      <c r="N33" s="5" t="s">
        <v>66</v>
      </c>
      <c r="O33" s="5" t="s">
        <v>67</v>
      </c>
      <c r="P33" s="5" t="s">
        <v>158</v>
      </c>
      <c r="Q33" s="5" t="s">
        <v>68</v>
      </c>
      <c r="R33" s="5" t="s">
        <v>165</v>
      </c>
      <c r="S33" s="5" t="s">
        <v>68</v>
      </c>
      <c r="T33" s="5" t="s">
        <v>159</v>
      </c>
      <c r="U33" s="5" t="s">
        <v>160</v>
      </c>
      <c r="V33" s="5" t="s">
        <v>161</v>
      </c>
      <c r="W33" s="19">
        <v>40.49</v>
      </c>
      <c r="X33" s="6">
        <v>7.09</v>
      </c>
      <c r="Y33" s="6">
        <v>0</v>
      </c>
      <c r="Z33" s="6">
        <v>0</v>
      </c>
      <c r="AA33" s="6">
        <v>2.5979999999999999</v>
      </c>
      <c r="AB33" s="6">
        <v>2.54</v>
      </c>
      <c r="AC33" s="6">
        <v>4.83</v>
      </c>
      <c r="AD33" s="6">
        <v>0</v>
      </c>
      <c r="AE33" s="6">
        <v>1.2030000000000001</v>
      </c>
      <c r="AF33" s="20">
        <v>6.3920000000000003</v>
      </c>
      <c r="AG33" s="6">
        <f t="shared" si="6"/>
        <v>65.143000000000001</v>
      </c>
      <c r="AH33" s="6">
        <f t="shared" si="1"/>
        <v>9.3061428571428575</v>
      </c>
      <c r="AI33" s="6">
        <f>AH33/G33</f>
        <v>1.0340158730158731</v>
      </c>
      <c r="AJ33" s="6">
        <v>220</v>
      </c>
      <c r="AK33" s="6">
        <f t="shared" si="7"/>
        <v>0.29610454545454545</v>
      </c>
    </row>
    <row r="34" spans="1:37" ht="31" x14ac:dyDescent="0.35">
      <c r="A34" s="3">
        <f t="shared" si="4"/>
        <v>30</v>
      </c>
      <c r="B34" s="68" t="s">
        <v>147</v>
      </c>
      <c r="C34" s="5" t="s">
        <v>153</v>
      </c>
      <c r="D34" s="5" t="s">
        <v>154</v>
      </c>
      <c r="E34" s="5" t="s">
        <v>155</v>
      </c>
      <c r="F34" s="5" t="s">
        <v>156</v>
      </c>
      <c r="G34" s="5">
        <v>14</v>
      </c>
      <c r="H34" s="5" t="s">
        <v>62</v>
      </c>
      <c r="I34" s="5" t="s">
        <v>47</v>
      </c>
      <c r="J34" s="5" t="s">
        <v>323</v>
      </c>
      <c r="K34" s="5" t="s">
        <v>49</v>
      </c>
      <c r="L34" s="5" t="s">
        <v>157</v>
      </c>
      <c r="M34" s="5" t="s">
        <v>134</v>
      </c>
      <c r="N34" s="5" t="s">
        <v>66</v>
      </c>
      <c r="O34" s="5" t="s">
        <v>67</v>
      </c>
      <c r="P34" s="5" t="s">
        <v>158</v>
      </c>
      <c r="Q34" s="5" t="s">
        <v>68</v>
      </c>
      <c r="R34" s="5" t="s">
        <v>56</v>
      </c>
      <c r="S34" s="5" t="s">
        <v>68</v>
      </c>
      <c r="T34" s="5" t="s">
        <v>159</v>
      </c>
      <c r="U34" s="5" t="s">
        <v>160</v>
      </c>
      <c r="V34" s="5" t="s">
        <v>161</v>
      </c>
      <c r="W34" s="6">
        <f>20.8+2.02</f>
        <v>22.82</v>
      </c>
      <c r="X34" s="6">
        <v>9.4600000000000009</v>
      </c>
      <c r="Y34" s="6">
        <v>0</v>
      </c>
      <c r="Z34" s="6">
        <v>0</v>
      </c>
      <c r="AA34" s="6">
        <v>0.96699999999999997</v>
      </c>
      <c r="AB34" s="6">
        <v>2.923</v>
      </c>
      <c r="AC34" s="6">
        <v>1.165</v>
      </c>
      <c r="AD34" s="6">
        <v>0</v>
      </c>
      <c r="AE34" s="6">
        <v>0</v>
      </c>
      <c r="AF34" s="6">
        <v>5.12</v>
      </c>
      <c r="AG34" s="6">
        <f t="shared" si="6"/>
        <v>42.454999999999998</v>
      </c>
      <c r="AH34" s="6">
        <f t="shared" si="1"/>
        <v>6.0649999999999995</v>
      </c>
      <c r="AI34" s="6">
        <f>AH34/12</f>
        <v>0.50541666666666663</v>
      </c>
      <c r="AJ34" s="6">
        <v>134</v>
      </c>
      <c r="AK34" s="6">
        <f t="shared" si="7"/>
        <v>0.31682835820895522</v>
      </c>
    </row>
    <row r="35" spans="1:37" ht="31" x14ac:dyDescent="0.35">
      <c r="A35" s="3">
        <f t="shared" si="4"/>
        <v>31</v>
      </c>
      <c r="B35" s="68" t="s">
        <v>115</v>
      </c>
      <c r="C35" s="5" t="s">
        <v>153</v>
      </c>
      <c r="D35" s="5" t="s">
        <v>154</v>
      </c>
      <c r="E35" s="5" t="s">
        <v>155</v>
      </c>
      <c r="F35" s="5" t="s">
        <v>156</v>
      </c>
      <c r="G35" s="5">
        <v>8</v>
      </c>
      <c r="H35" s="5" t="s">
        <v>75</v>
      </c>
      <c r="I35" s="5" t="s">
        <v>71</v>
      </c>
      <c r="J35" s="5" t="s">
        <v>323</v>
      </c>
      <c r="K35" s="5" t="s">
        <v>79</v>
      </c>
      <c r="L35" s="5" t="s">
        <v>324</v>
      </c>
      <c r="M35" s="5" t="s">
        <v>51</v>
      </c>
      <c r="N35" s="5" t="s">
        <v>66</v>
      </c>
      <c r="O35" s="5" t="s">
        <v>67</v>
      </c>
      <c r="P35" s="5" t="s">
        <v>54</v>
      </c>
      <c r="Q35" s="5" t="s">
        <v>68</v>
      </c>
      <c r="R35" s="5" t="s">
        <v>56</v>
      </c>
      <c r="S35" s="5" t="s">
        <v>68</v>
      </c>
      <c r="T35" s="5" t="s">
        <v>159</v>
      </c>
      <c r="U35" s="5" t="s">
        <v>160</v>
      </c>
      <c r="V35" s="5" t="s">
        <v>106</v>
      </c>
      <c r="W35" s="9">
        <v>19.442</v>
      </c>
      <c r="X35" s="6">
        <v>0</v>
      </c>
      <c r="Y35" s="6">
        <v>0</v>
      </c>
      <c r="Z35" s="6">
        <v>0</v>
      </c>
      <c r="AA35" s="6">
        <f>0.808+0.843</f>
        <v>1.651</v>
      </c>
      <c r="AB35" s="42">
        <v>0.83299999999999996</v>
      </c>
      <c r="AC35" s="6">
        <f>1.48+0.176</f>
        <v>1.6559999999999999</v>
      </c>
      <c r="AD35" s="6">
        <f>0.306</f>
        <v>0.30599999999999999</v>
      </c>
      <c r="AE35" s="6">
        <v>0.123</v>
      </c>
      <c r="AF35" s="6">
        <v>1.0980000000000001</v>
      </c>
      <c r="AG35" s="6">
        <f t="shared" si="6"/>
        <v>25.108999999999998</v>
      </c>
      <c r="AH35" s="6">
        <f t="shared" si="1"/>
        <v>3.5869999999999997</v>
      </c>
      <c r="AI35" s="6">
        <f>AH35/8</f>
        <v>0.44837499999999997</v>
      </c>
      <c r="AJ35" s="6">
        <v>80</v>
      </c>
      <c r="AK35" s="6">
        <f t="shared" si="7"/>
        <v>0.31386249999999999</v>
      </c>
    </row>
    <row r="36" spans="1:37" ht="31" x14ac:dyDescent="0.35">
      <c r="A36" s="3">
        <f t="shared" si="4"/>
        <v>32</v>
      </c>
      <c r="B36" s="68" t="s">
        <v>166</v>
      </c>
      <c r="C36" s="5" t="s">
        <v>153</v>
      </c>
      <c r="D36" s="5" t="s">
        <v>154</v>
      </c>
      <c r="E36" s="5" t="s">
        <v>155</v>
      </c>
      <c r="F36" s="5" t="s">
        <v>156</v>
      </c>
      <c r="G36" s="5">
        <v>6</v>
      </c>
      <c r="H36" s="5" t="s">
        <v>46</v>
      </c>
      <c r="I36" s="5" t="s">
        <v>47</v>
      </c>
      <c r="J36" s="5" t="s">
        <v>323</v>
      </c>
      <c r="K36" s="5" t="s">
        <v>103</v>
      </c>
      <c r="L36" s="5" t="s">
        <v>157</v>
      </c>
      <c r="M36" s="5" t="s">
        <v>134</v>
      </c>
      <c r="N36" s="5" t="s">
        <v>66</v>
      </c>
      <c r="O36" s="5" t="s">
        <v>53</v>
      </c>
      <c r="P36" s="5" t="s">
        <v>158</v>
      </c>
      <c r="Q36" s="5" t="s">
        <v>68</v>
      </c>
      <c r="R36" s="5" t="s">
        <v>56</v>
      </c>
      <c r="S36" s="5" t="s">
        <v>68</v>
      </c>
      <c r="T36" s="5" t="s">
        <v>159</v>
      </c>
      <c r="U36" s="5" t="s">
        <v>160</v>
      </c>
      <c r="V36" s="5" t="s">
        <v>161</v>
      </c>
      <c r="W36" s="6">
        <f>13.5+18.48</f>
        <v>31.98</v>
      </c>
      <c r="X36" s="6">
        <v>1.45</v>
      </c>
      <c r="Y36" s="6">
        <v>0</v>
      </c>
      <c r="Z36" s="6">
        <v>0.36699999999999999</v>
      </c>
      <c r="AA36" s="6">
        <v>0.64500000000000002</v>
      </c>
      <c r="AB36" s="6">
        <v>0.24299999999999999</v>
      </c>
      <c r="AC36" s="6">
        <v>0.61899999999999999</v>
      </c>
      <c r="AD36" s="6">
        <v>0</v>
      </c>
      <c r="AE36" s="6">
        <v>0</v>
      </c>
      <c r="AF36" s="6">
        <v>3.79</v>
      </c>
      <c r="AG36" s="6">
        <f t="shared" si="6"/>
        <v>39.094000000000001</v>
      </c>
      <c r="AH36" s="6">
        <f t="shared" si="1"/>
        <v>5.5848571428571434</v>
      </c>
      <c r="AI36" s="6">
        <f>AH36/G36</f>
        <v>0.93080952380952386</v>
      </c>
      <c r="AJ36" s="10">
        <v>104</v>
      </c>
      <c r="AK36" s="6">
        <f t="shared" si="7"/>
        <v>0.37590384615384614</v>
      </c>
    </row>
    <row r="37" spans="1:37" ht="15.5" x14ac:dyDescent="0.35">
      <c r="A37" s="86"/>
      <c r="B37" s="86"/>
      <c r="C37" s="86"/>
      <c r="D37" s="86"/>
      <c r="E37" s="86"/>
      <c r="F37" s="3"/>
      <c r="G37" s="3"/>
      <c r="H37" s="86"/>
      <c r="I37" s="86"/>
      <c r="J37" s="86"/>
      <c r="K37" s="86"/>
      <c r="L37" s="86"/>
      <c r="M37" s="86"/>
      <c r="N37" s="86"/>
      <c r="O37" s="86"/>
      <c r="P37" s="86"/>
      <c r="Q37" s="86"/>
      <c r="R37" s="86"/>
      <c r="S37" s="86"/>
      <c r="T37" s="86"/>
      <c r="U37" s="3"/>
      <c r="V37" s="3"/>
      <c r="W37" s="3"/>
      <c r="X37" s="3"/>
      <c r="Y37" s="3"/>
      <c r="Z37" s="3"/>
      <c r="AA37" s="3"/>
      <c r="AB37" s="3"/>
      <c r="AC37" s="3"/>
      <c r="AD37" s="3"/>
      <c r="AE37" s="3"/>
      <c r="AF37" s="3"/>
      <c r="AG37" s="211">
        <f>AVERAGE(AG5:AG36)</f>
        <v>37.441862499999992</v>
      </c>
      <c r="AH37" s="211">
        <f>AVERAGE(AH5:AH36)</f>
        <v>5.3488375000000001</v>
      </c>
      <c r="AI37" s="211">
        <f>AVERAGE(AI5:AI36)</f>
        <v>0.97940562641723372</v>
      </c>
      <c r="AJ37" s="211">
        <f>AVERAGE(AJ5:AJ36)</f>
        <v>119.6875</v>
      </c>
      <c r="AK37" s="211">
        <f>AVERAGE(AK5:AK36)</f>
        <v>0.3249940710764137</v>
      </c>
    </row>
    <row r="38" spans="1:37" ht="15.5" x14ac:dyDescent="0.35">
      <c r="A38" s="86"/>
      <c r="B38" s="86"/>
      <c r="C38" s="86"/>
      <c r="D38" s="86"/>
      <c r="E38" s="86"/>
      <c r="F38" s="190" t="s">
        <v>326</v>
      </c>
      <c r="G38" s="191">
        <f>AVERAGE(G5:G36)</f>
        <v>5.8125</v>
      </c>
      <c r="H38" s="86"/>
      <c r="I38" s="86"/>
      <c r="J38" s="86"/>
      <c r="K38" s="86"/>
      <c r="L38" s="86"/>
      <c r="M38" s="86"/>
      <c r="N38" s="86"/>
      <c r="O38" s="86"/>
      <c r="P38" s="86"/>
      <c r="Q38" s="86"/>
      <c r="R38" s="86"/>
      <c r="S38" s="86"/>
      <c r="T38" s="86"/>
      <c r="U38" s="87">
        <f>SUM(W38:AF38)</f>
        <v>1198.1396</v>
      </c>
      <c r="V38" s="88" t="s">
        <v>327</v>
      </c>
      <c r="W38" s="6">
        <f t="shared" ref="W38:AF38" si="8">SUM(W5:W36)</f>
        <v>903.03</v>
      </c>
      <c r="X38" s="6">
        <f t="shared" si="8"/>
        <v>107.38300000000002</v>
      </c>
      <c r="Y38" s="6">
        <f t="shared" si="8"/>
        <v>0.8</v>
      </c>
      <c r="Z38" s="6">
        <f t="shared" si="8"/>
        <v>3.9930000000000003</v>
      </c>
      <c r="AA38" s="6">
        <f t="shared" si="8"/>
        <v>20.942999999999998</v>
      </c>
      <c r="AB38" s="6">
        <f t="shared" si="8"/>
        <v>32.815600000000003</v>
      </c>
      <c r="AC38" s="6">
        <f t="shared" si="8"/>
        <v>43.965999999999994</v>
      </c>
      <c r="AD38" s="6">
        <f t="shared" si="8"/>
        <v>0.73</v>
      </c>
      <c r="AE38" s="6">
        <f t="shared" si="8"/>
        <v>8.2080000000000002</v>
      </c>
      <c r="AF38" s="6">
        <f t="shared" si="8"/>
        <v>76.271000000000001</v>
      </c>
      <c r="AG38" s="220"/>
      <c r="AH38" s="211"/>
      <c r="AI38" s="211"/>
      <c r="AJ38" s="211"/>
      <c r="AK38" s="211"/>
    </row>
    <row r="39" spans="1:37" ht="15.5" x14ac:dyDescent="0.35">
      <c r="A39" s="86"/>
      <c r="B39" s="86"/>
      <c r="C39" s="86"/>
      <c r="D39" s="86"/>
      <c r="E39" s="86"/>
      <c r="F39" s="190"/>
      <c r="G39" s="191"/>
      <c r="H39" s="86"/>
      <c r="I39" s="86"/>
      <c r="J39" s="86"/>
      <c r="K39" s="86"/>
      <c r="L39" s="86"/>
      <c r="M39" s="86"/>
      <c r="N39" s="86"/>
      <c r="O39" s="86"/>
      <c r="P39" s="86"/>
      <c r="Q39" s="86"/>
      <c r="R39" s="86"/>
      <c r="S39" s="86"/>
      <c r="T39" s="86"/>
      <c r="U39" s="89">
        <f>SUM(W39:AF39)</f>
        <v>1</v>
      </c>
      <c r="V39" s="88" t="s">
        <v>328</v>
      </c>
      <c r="W39" s="90">
        <f>W38/U38</f>
        <v>0.75369347611914339</v>
      </c>
      <c r="X39" s="90">
        <f>X38/U38</f>
        <v>8.9624781619771207E-2</v>
      </c>
      <c r="Y39" s="90">
        <f>Y38/U38</f>
        <v>6.6770182706589454E-4</v>
      </c>
      <c r="Z39" s="90">
        <f>Z38/U38</f>
        <v>3.3326667443426463E-3</v>
      </c>
      <c r="AA39" s="90">
        <f>AA38/U38</f>
        <v>1.7479599205301285E-2</v>
      </c>
      <c r="AB39" s="90">
        <f>AB38/U38</f>
        <v>2.7388795095329464E-2</v>
      </c>
      <c r="AC39" s="90">
        <f>AC38/U38</f>
        <v>3.6695223160973893E-2</v>
      </c>
      <c r="AD39" s="90">
        <f>AD38/U38</f>
        <v>6.0927791719762869E-4</v>
      </c>
      <c r="AE39" s="90">
        <f>AE38/U38</f>
        <v>6.8506207456960778E-3</v>
      </c>
      <c r="AF39" s="90">
        <f>AF38/U38</f>
        <v>6.3657857565178555E-2</v>
      </c>
      <c r="AG39" s="220"/>
      <c r="AH39" s="211"/>
      <c r="AI39" s="211"/>
      <c r="AJ39" s="211"/>
      <c r="AK39" s="211"/>
    </row>
    <row r="40" spans="1:37" ht="15.5" x14ac:dyDescent="0.35">
      <c r="A40" s="86"/>
      <c r="B40" s="86"/>
      <c r="C40" s="86"/>
      <c r="D40" s="86"/>
      <c r="E40" s="86"/>
      <c r="F40" s="190"/>
      <c r="G40" s="191"/>
      <c r="H40" s="86"/>
      <c r="I40" s="86"/>
      <c r="J40" s="86"/>
      <c r="K40" s="86"/>
      <c r="L40" s="86"/>
      <c r="M40" s="86"/>
      <c r="N40" s="86"/>
      <c r="O40" s="86"/>
      <c r="P40" s="86"/>
      <c r="Q40" s="86"/>
      <c r="R40" s="86"/>
      <c r="S40" s="91"/>
      <c r="T40" s="91"/>
      <c r="U40" s="88"/>
      <c r="V40" s="88" t="s">
        <v>329</v>
      </c>
      <c r="W40" s="226"/>
      <c r="X40" s="227"/>
      <c r="Y40" s="227"/>
      <c r="Z40" s="227"/>
      <c r="AA40" s="227"/>
      <c r="AB40" s="227"/>
      <c r="AC40" s="227"/>
      <c r="AD40" s="227"/>
      <c r="AE40" s="227"/>
      <c r="AF40" s="228"/>
      <c r="AG40" s="220"/>
      <c r="AH40" s="211"/>
      <c r="AI40" s="211"/>
      <c r="AJ40" s="211"/>
      <c r="AK40" s="211"/>
    </row>
    <row r="41" spans="1:37" x14ac:dyDescent="0.35">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row>
  </sheetData>
  <mergeCells count="24">
    <mergeCell ref="A1:AK1"/>
    <mergeCell ref="B2:AK2"/>
    <mergeCell ref="A3:A4"/>
    <mergeCell ref="B3:B4"/>
    <mergeCell ref="C3:C4"/>
    <mergeCell ref="D3:D4"/>
    <mergeCell ref="E3:E4"/>
    <mergeCell ref="F3:J3"/>
    <mergeCell ref="K3:N3"/>
    <mergeCell ref="O3:V3"/>
    <mergeCell ref="W3:AF3"/>
    <mergeCell ref="AG3:AG4"/>
    <mergeCell ref="AH3:AH4"/>
    <mergeCell ref="AI3:AI4"/>
    <mergeCell ref="AI37:AI40"/>
    <mergeCell ref="AJ3:AJ4"/>
    <mergeCell ref="AJ37:AJ40"/>
    <mergeCell ref="AK37:AK40"/>
    <mergeCell ref="AK3:AK4"/>
    <mergeCell ref="F38:F40"/>
    <mergeCell ref="G38:G40"/>
    <mergeCell ref="W40:AF40"/>
    <mergeCell ref="AG37:AG40"/>
    <mergeCell ref="AH37:AH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5"/>
  <sheetViews>
    <sheetView topLeftCell="A10" zoomScale="77" workbookViewId="0">
      <selection activeCell="K84" sqref="K84"/>
    </sheetView>
  </sheetViews>
  <sheetFormatPr defaultRowHeight="14.5" x14ac:dyDescent="0.35"/>
  <cols>
    <col min="1" max="1" width="5.7265625" customWidth="1"/>
    <col min="2" max="2" width="17.26953125" customWidth="1"/>
    <col min="3" max="3" width="18" customWidth="1"/>
    <col min="4" max="4" width="11.26953125" bestFit="1" customWidth="1"/>
    <col min="5" max="5" width="18.1796875" customWidth="1"/>
    <col min="6" max="6" width="17.453125" bestFit="1" customWidth="1"/>
    <col min="7" max="7" width="13.26953125" customWidth="1"/>
    <col min="8" max="8" width="20.7265625" customWidth="1"/>
    <col min="9" max="9" width="20.54296875" customWidth="1"/>
    <col min="10" max="10" width="22.26953125" customWidth="1"/>
    <col min="11" max="11" width="31.54296875" customWidth="1"/>
    <col min="12" max="12" width="30" bestFit="1" customWidth="1"/>
    <col min="13" max="13" width="24" bestFit="1" customWidth="1"/>
    <col min="14" max="14" width="17.453125" customWidth="1"/>
    <col min="15" max="15" width="27.1796875" bestFit="1" customWidth="1"/>
    <col min="16" max="16" width="19.81640625" customWidth="1"/>
    <col min="17" max="17" width="25.54296875" bestFit="1" customWidth="1"/>
    <col min="18" max="18" width="16.26953125" bestFit="1" customWidth="1"/>
    <col min="19" max="19" width="15.453125" customWidth="1"/>
    <col min="20" max="20" width="26.81640625" bestFit="1" customWidth="1"/>
    <col min="21" max="21" width="30.81640625" bestFit="1" customWidth="1"/>
    <col min="22" max="22" width="22.26953125" bestFit="1" customWidth="1"/>
    <col min="23" max="23" width="12.453125" bestFit="1" customWidth="1"/>
    <col min="24" max="24" width="15.81640625" bestFit="1" customWidth="1"/>
    <col min="25" max="25" width="12" customWidth="1"/>
    <col min="26" max="26" width="13.54296875" customWidth="1"/>
    <col min="27" max="28" width="11.7265625" customWidth="1"/>
    <col min="29" max="29" width="13.453125" customWidth="1"/>
    <col min="30" max="30" width="11" customWidth="1"/>
    <col min="31" max="31" width="12.54296875" customWidth="1"/>
    <col min="32" max="32" width="11.7265625" customWidth="1"/>
    <col min="33" max="33" width="15.453125" customWidth="1"/>
    <col min="34" max="34" width="18.7265625" customWidth="1"/>
    <col min="35" max="35" width="17.81640625" customWidth="1"/>
    <col min="36" max="37" width="17.26953125" customWidth="1"/>
  </cols>
  <sheetData>
    <row r="1" spans="1:37" ht="17.5" x14ac:dyDescent="0.35">
      <c r="A1" s="208" t="s">
        <v>0</v>
      </c>
      <c r="B1" s="208" t="s">
        <v>1</v>
      </c>
      <c r="C1" s="209" t="s">
        <v>2</v>
      </c>
      <c r="D1" s="209" t="s">
        <v>3</v>
      </c>
      <c r="E1" s="209" t="s">
        <v>4</v>
      </c>
      <c r="F1" s="209" t="s">
        <v>5</v>
      </c>
      <c r="G1" s="209"/>
      <c r="H1" s="209"/>
      <c r="I1" s="209"/>
      <c r="J1" s="209"/>
      <c r="K1" s="202" t="s">
        <v>6</v>
      </c>
      <c r="L1" s="202"/>
      <c r="M1" s="202"/>
      <c r="N1" s="202"/>
      <c r="O1" s="202" t="s">
        <v>7</v>
      </c>
      <c r="P1" s="202"/>
      <c r="Q1" s="202"/>
      <c r="R1" s="202"/>
      <c r="S1" s="202"/>
      <c r="T1" s="202"/>
      <c r="U1" s="202"/>
      <c r="V1" s="202"/>
      <c r="W1" s="209" t="s">
        <v>8</v>
      </c>
      <c r="X1" s="209"/>
      <c r="Y1" s="209"/>
      <c r="Z1" s="209"/>
      <c r="AA1" s="209"/>
      <c r="AB1" s="209"/>
      <c r="AC1" s="209"/>
      <c r="AD1" s="209"/>
      <c r="AE1" s="209"/>
      <c r="AF1" s="209"/>
      <c r="AG1" s="210" t="s">
        <v>9</v>
      </c>
      <c r="AH1" s="210" t="s">
        <v>10</v>
      </c>
      <c r="AI1" s="202" t="s">
        <v>11</v>
      </c>
      <c r="AJ1" s="202" t="s">
        <v>12</v>
      </c>
      <c r="AK1" s="204" t="s">
        <v>13</v>
      </c>
    </row>
    <row r="2" spans="1:37" ht="52.5" x14ac:dyDescent="0.35">
      <c r="A2" s="208"/>
      <c r="B2" s="208"/>
      <c r="C2" s="209"/>
      <c r="D2" s="209"/>
      <c r="E2" s="209"/>
      <c r="F2" s="1" t="s">
        <v>14</v>
      </c>
      <c r="G2" s="1" t="s">
        <v>15</v>
      </c>
      <c r="H2" s="2" t="s">
        <v>16</v>
      </c>
      <c r="I2" s="2" t="s">
        <v>17</v>
      </c>
      <c r="J2" s="2" t="s">
        <v>18</v>
      </c>
      <c r="K2" s="2" t="s">
        <v>19</v>
      </c>
      <c r="L2" s="2" t="s">
        <v>20</v>
      </c>
      <c r="M2" s="2" t="s">
        <v>21</v>
      </c>
      <c r="N2" s="2" t="s">
        <v>22</v>
      </c>
      <c r="O2" s="2" t="s">
        <v>23</v>
      </c>
      <c r="P2" s="2" t="s">
        <v>24</v>
      </c>
      <c r="Q2" s="2" t="s">
        <v>25</v>
      </c>
      <c r="R2" s="2" t="s">
        <v>26</v>
      </c>
      <c r="S2" s="2" t="s">
        <v>27</v>
      </c>
      <c r="T2" s="2" t="s">
        <v>28</v>
      </c>
      <c r="U2" s="2" t="s">
        <v>29</v>
      </c>
      <c r="V2" s="2" t="s">
        <v>30</v>
      </c>
      <c r="W2" s="2" t="s">
        <v>31</v>
      </c>
      <c r="X2" s="2" t="s">
        <v>32</v>
      </c>
      <c r="Y2" s="2" t="s">
        <v>33</v>
      </c>
      <c r="Z2" s="2" t="s">
        <v>34</v>
      </c>
      <c r="AA2" s="2" t="s">
        <v>35</v>
      </c>
      <c r="AB2" s="2" t="s">
        <v>36</v>
      </c>
      <c r="AC2" s="2" t="s">
        <v>37</v>
      </c>
      <c r="AD2" s="2" t="s">
        <v>38</v>
      </c>
      <c r="AE2" s="2" t="s">
        <v>39</v>
      </c>
      <c r="AF2" s="2" t="s">
        <v>40</v>
      </c>
      <c r="AG2" s="210"/>
      <c r="AH2" s="210"/>
      <c r="AI2" s="202"/>
      <c r="AJ2" s="202"/>
      <c r="AK2" s="204"/>
    </row>
    <row r="3" spans="1:37" ht="15.5" x14ac:dyDescent="0.35">
      <c r="A3" s="3">
        <v>1</v>
      </c>
      <c r="B3" s="4" t="s">
        <v>41</v>
      </c>
      <c r="C3" s="5" t="s">
        <v>42</v>
      </c>
      <c r="D3" s="5" t="s">
        <v>43</v>
      </c>
      <c r="E3" s="5" t="s">
        <v>44</v>
      </c>
      <c r="F3" s="5" t="s">
        <v>45</v>
      </c>
      <c r="G3" s="5">
        <v>3</v>
      </c>
      <c r="H3" s="5" t="s">
        <v>46</v>
      </c>
      <c r="I3" s="5" t="s">
        <v>47</v>
      </c>
      <c r="J3" s="5" t="s">
        <v>48</v>
      </c>
      <c r="K3" s="5" t="s">
        <v>49</v>
      </c>
      <c r="L3" s="5" t="s">
        <v>50</v>
      </c>
      <c r="M3" s="5" t="s">
        <v>51</v>
      </c>
      <c r="N3" s="5" t="s">
        <v>52</v>
      </c>
      <c r="O3" s="5" t="s">
        <v>53</v>
      </c>
      <c r="P3" s="5" t="s">
        <v>54</v>
      </c>
      <c r="Q3" s="5" t="s">
        <v>55</v>
      </c>
      <c r="R3" s="5" t="s">
        <v>56</v>
      </c>
      <c r="S3" s="5" t="s">
        <v>57</v>
      </c>
      <c r="T3" s="5" t="s">
        <v>58</v>
      </c>
      <c r="U3" s="5" t="s">
        <v>59</v>
      </c>
      <c r="V3" s="5" t="s">
        <v>60</v>
      </c>
      <c r="W3" s="6">
        <f>7.32-0.33</f>
        <v>6.99</v>
      </c>
      <c r="X3" s="6">
        <f>(219-125)/1000</f>
        <v>9.4E-2</v>
      </c>
      <c r="Y3" s="6">
        <v>0</v>
      </c>
      <c r="Z3" s="6">
        <f>(152-125)/1000</f>
        <v>2.7E-2</v>
      </c>
      <c r="AA3" s="6">
        <f>(142-125)/1000</f>
        <v>1.7000000000000001E-2</v>
      </c>
      <c r="AB3" s="6">
        <f>(202-125)/1000</f>
        <v>7.6999999999999999E-2</v>
      </c>
      <c r="AC3" s="6">
        <f>(202-125)/1000</f>
        <v>7.6999999999999999E-2</v>
      </c>
      <c r="AD3" s="6">
        <v>0</v>
      </c>
      <c r="AE3" s="6">
        <v>0</v>
      </c>
      <c r="AF3" s="6">
        <f>(167-125)/1000</f>
        <v>4.2000000000000003E-2</v>
      </c>
      <c r="AG3" s="7">
        <f t="shared" ref="AG3:AG17" si="0">SUM(W3:AF3)</f>
        <v>7.3240000000000007</v>
      </c>
      <c r="AH3" s="7">
        <f>(AG3/7)</f>
        <v>1.0462857142857145</v>
      </c>
      <c r="AI3" s="7">
        <f t="shared" ref="AI3:AI66" si="1">AH3/G3</f>
        <v>0.34876190476190483</v>
      </c>
      <c r="AJ3" s="6">
        <v>10</v>
      </c>
      <c r="AK3" s="6">
        <f>4.74/10</f>
        <v>0.47400000000000003</v>
      </c>
    </row>
    <row r="4" spans="1:37" ht="15.5" x14ac:dyDescent="0.35">
      <c r="A4" s="3">
        <v>2</v>
      </c>
      <c r="B4" s="4" t="s">
        <v>61</v>
      </c>
      <c r="C4" s="5" t="s">
        <v>42</v>
      </c>
      <c r="D4" s="5" t="s">
        <v>43</v>
      </c>
      <c r="E4" s="5" t="s">
        <v>44</v>
      </c>
      <c r="F4" s="5" t="s">
        <v>45</v>
      </c>
      <c r="G4" s="5">
        <v>7</v>
      </c>
      <c r="H4" s="5" t="s">
        <v>62</v>
      </c>
      <c r="I4" s="5" t="s">
        <v>47</v>
      </c>
      <c r="J4" s="5" t="s">
        <v>63</v>
      </c>
      <c r="K4" s="5" t="s">
        <v>49</v>
      </c>
      <c r="L4" s="5" t="s">
        <v>64</v>
      </c>
      <c r="M4" s="5" t="s">
        <v>65</v>
      </c>
      <c r="N4" s="5" t="s">
        <v>66</v>
      </c>
      <c r="O4" s="5" t="s">
        <v>67</v>
      </c>
      <c r="P4" s="5" t="s">
        <v>54</v>
      </c>
      <c r="Q4" s="5" t="s">
        <v>55</v>
      </c>
      <c r="R4" s="5" t="s">
        <v>56</v>
      </c>
      <c r="S4" s="5" t="s">
        <v>68</v>
      </c>
      <c r="T4" s="5" t="s">
        <v>58</v>
      </c>
      <c r="U4" s="5" t="s">
        <v>69</v>
      </c>
      <c r="V4" s="5" t="s">
        <v>60</v>
      </c>
      <c r="W4" s="6">
        <f>13.42-0.33*3</f>
        <v>12.43</v>
      </c>
      <c r="X4" s="6">
        <v>0</v>
      </c>
      <c r="Y4" s="6">
        <v>0</v>
      </c>
      <c r="Z4" s="6">
        <f>(166-125)/1000</f>
        <v>4.1000000000000002E-2</v>
      </c>
      <c r="AA4" s="6">
        <f>(425-125)/1000</f>
        <v>0.3</v>
      </c>
      <c r="AB4" s="6">
        <f>(547-330)/1000</f>
        <v>0.217</v>
      </c>
      <c r="AC4" s="6">
        <f>(263-125)/1000</f>
        <v>0.13800000000000001</v>
      </c>
      <c r="AD4" s="6">
        <v>0</v>
      </c>
      <c r="AE4" s="6">
        <v>0</v>
      </c>
      <c r="AF4" s="6">
        <v>0</v>
      </c>
      <c r="AG4" s="7">
        <f t="shared" si="0"/>
        <v>13.126000000000001</v>
      </c>
      <c r="AH4" s="7">
        <f t="shared" ref="AH4:AH40" si="2">(AG4/7)</f>
        <v>1.8751428571428572</v>
      </c>
      <c r="AI4" s="7">
        <f t="shared" si="1"/>
        <v>0.26787755102040817</v>
      </c>
      <c r="AJ4" s="6">
        <v>30</v>
      </c>
      <c r="AK4" s="6">
        <f t="shared" ref="AK4:AK41" si="3">AG4/AJ4</f>
        <v>0.43753333333333339</v>
      </c>
    </row>
    <row r="5" spans="1:37" ht="15.5" x14ac:dyDescent="0.35">
      <c r="A5" s="3">
        <v>3</v>
      </c>
      <c r="B5" s="4" t="s">
        <v>70</v>
      </c>
      <c r="C5" s="5" t="s">
        <v>42</v>
      </c>
      <c r="D5" s="5" t="s">
        <v>43</v>
      </c>
      <c r="E5" s="5" t="s">
        <v>44</v>
      </c>
      <c r="F5" s="5" t="s">
        <v>45</v>
      </c>
      <c r="G5" s="5">
        <v>6</v>
      </c>
      <c r="H5" s="8" t="s">
        <v>62</v>
      </c>
      <c r="I5" s="8" t="s">
        <v>71</v>
      </c>
      <c r="J5" s="8" t="s">
        <v>48</v>
      </c>
      <c r="K5" s="8" t="s">
        <v>49</v>
      </c>
      <c r="L5" s="8" t="s">
        <v>64</v>
      </c>
      <c r="M5" s="8" t="s">
        <v>72</v>
      </c>
      <c r="N5" s="8" t="s">
        <v>66</v>
      </c>
      <c r="O5" s="8" t="s">
        <v>67</v>
      </c>
      <c r="P5" s="8" t="s">
        <v>54</v>
      </c>
      <c r="Q5" s="8" t="s">
        <v>55</v>
      </c>
      <c r="R5" s="8" t="s">
        <v>56</v>
      </c>
      <c r="S5" s="8" t="s">
        <v>68</v>
      </c>
      <c r="T5" s="8" t="s">
        <v>58</v>
      </c>
      <c r="U5" s="8" t="s">
        <v>59</v>
      </c>
      <c r="V5" s="8" t="s">
        <v>60</v>
      </c>
      <c r="W5" s="7">
        <v>0</v>
      </c>
      <c r="X5" s="6">
        <v>0</v>
      </c>
      <c r="Y5" s="6">
        <v>0</v>
      </c>
      <c r="Z5" s="6">
        <v>0</v>
      </c>
      <c r="AA5" s="6">
        <v>0</v>
      </c>
      <c r="AB5" s="7">
        <v>4.5599999999999996</v>
      </c>
      <c r="AC5" s="6">
        <v>0</v>
      </c>
      <c r="AD5" s="6">
        <v>0</v>
      </c>
      <c r="AE5" s="6">
        <v>0</v>
      </c>
      <c r="AF5" s="6">
        <v>0</v>
      </c>
      <c r="AG5" s="7">
        <f t="shared" si="0"/>
        <v>4.5599999999999996</v>
      </c>
      <c r="AH5" s="7">
        <f t="shared" si="2"/>
        <v>0.65142857142857136</v>
      </c>
      <c r="AI5" s="7">
        <f t="shared" si="1"/>
        <v>0.10857142857142855</v>
      </c>
      <c r="AJ5" s="7">
        <v>12</v>
      </c>
      <c r="AK5" s="7">
        <f t="shared" si="3"/>
        <v>0.37999999999999995</v>
      </c>
    </row>
    <row r="6" spans="1:37" ht="15.5" x14ac:dyDescent="0.35">
      <c r="A6" s="3">
        <v>4</v>
      </c>
      <c r="B6" s="4" t="s">
        <v>137</v>
      </c>
      <c r="C6" s="5" t="s">
        <v>42</v>
      </c>
      <c r="D6" s="5" t="s">
        <v>43</v>
      </c>
      <c r="E6" s="5" t="s">
        <v>74</v>
      </c>
      <c r="F6" s="5" t="s">
        <v>45</v>
      </c>
      <c r="G6" s="5">
        <v>11</v>
      </c>
      <c r="H6" s="8" t="s">
        <v>75</v>
      </c>
      <c r="I6" s="8" t="s">
        <v>47</v>
      </c>
      <c r="J6" s="8" t="s">
        <v>48</v>
      </c>
      <c r="K6" s="8" t="s">
        <v>76</v>
      </c>
      <c r="L6" s="8" t="s">
        <v>64</v>
      </c>
      <c r="M6" s="8" t="s">
        <v>72</v>
      </c>
      <c r="N6" s="8" t="s">
        <v>66</v>
      </c>
      <c r="O6" s="8" t="s">
        <v>67</v>
      </c>
      <c r="P6" s="8" t="s">
        <v>54</v>
      </c>
      <c r="Q6" s="8" t="s">
        <v>55</v>
      </c>
      <c r="R6" s="5" t="s">
        <v>56</v>
      </c>
      <c r="S6" s="5" t="s">
        <v>57</v>
      </c>
      <c r="T6" s="5" t="s">
        <v>58</v>
      </c>
      <c r="U6" s="8" t="s">
        <v>69</v>
      </c>
      <c r="V6" s="8" t="s">
        <v>60</v>
      </c>
      <c r="W6" s="6">
        <f>(4.3+2.48)-(0.33*2)</f>
        <v>6.1199999999999992</v>
      </c>
      <c r="X6" s="6">
        <f>(3.7+3.46+4.3)-0.33*3</f>
        <v>10.47</v>
      </c>
      <c r="Y6" s="6">
        <f>(279-125)/1000</f>
        <v>0.154</v>
      </c>
      <c r="Z6" s="6">
        <f>1.08-0.125</f>
        <v>0.95500000000000007</v>
      </c>
      <c r="AA6" s="6">
        <f>(256-125)/1000</f>
        <v>0.13100000000000001</v>
      </c>
      <c r="AB6" s="6">
        <f>(741-125)/1000</f>
        <v>0.61599999999999999</v>
      </c>
      <c r="AC6" s="6">
        <f>(134-125)/1000</f>
        <v>8.9999999999999993E-3</v>
      </c>
      <c r="AD6" s="6">
        <v>0</v>
      </c>
      <c r="AE6" s="6">
        <v>0</v>
      </c>
      <c r="AF6" s="6">
        <f>(1240-125)/1000</f>
        <v>1.115</v>
      </c>
      <c r="AG6" s="7">
        <f t="shared" si="0"/>
        <v>19.569999999999997</v>
      </c>
      <c r="AH6" s="7">
        <f t="shared" si="2"/>
        <v>2.7957142857142854</v>
      </c>
      <c r="AI6" s="7">
        <f t="shared" si="1"/>
        <v>0.25415584415584414</v>
      </c>
      <c r="AJ6" s="6">
        <v>70</v>
      </c>
      <c r="AK6" s="6">
        <f t="shared" si="3"/>
        <v>0.27957142857142853</v>
      </c>
    </row>
    <row r="7" spans="1:37" ht="15.5" x14ac:dyDescent="0.35">
      <c r="A7" s="3">
        <v>5</v>
      </c>
      <c r="B7" s="4" t="s">
        <v>73</v>
      </c>
      <c r="C7" s="5" t="s">
        <v>42</v>
      </c>
      <c r="D7" s="5" t="s">
        <v>43</v>
      </c>
      <c r="E7" s="5" t="s">
        <v>74</v>
      </c>
      <c r="F7" s="5" t="s">
        <v>45</v>
      </c>
      <c r="G7" s="5">
        <v>2</v>
      </c>
      <c r="H7" s="8" t="s">
        <v>46</v>
      </c>
      <c r="I7" s="8" t="s">
        <v>71</v>
      </c>
      <c r="J7" s="8" t="s">
        <v>78</v>
      </c>
      <c r="K7" s="8" t="s">
        <v>79</v>
      </c>
      <c r="L7" s="8" t="s">
        <v>64</v>
      </c>
      <c r="M7" s="8" t="s">
        <v>72</v>
      </c>
      <c r="N7" s="8" t="s">
        <v>66</v>
      </c>
      <c r="O7" s="8" t="s">
        <v>67</v>
      </c>
      <c r="P7" s="8" t="s">
        <v>80</v>
      </c>
      <c r="Q7" s="8" t="s">
        <v>55</v>
      </c>
      <c r="R7" s="8" t="s">
        <v>56</v>
      </c>
      <c r="S7" s="8" t="s">
        <v>68</v>
      </c>
      <c r="T7" s="8" t="s">
        <v>81</v>
      </c>
      <c r="U7" s="8" t="s">
        <v>69</v>
      </c>
      <c r="V7" s="8" t="s">
        <v>60</v>
      </c>
      <c r="W7" s="7">
        <v>4.0199999999999996</v>
      </c>
      <c r="X7" s="7">
        <v>0</v>
      </c>
      <c r="Y7" s="6">
        <v>0</v>
      </c>
      <c r="Z7" s="6">
        <v>0</v>
      </c>
      <c r="AA7" s="6">
        <v>0</v>
      </c>
      <c r="AB7" s="7">
        <v>0.05</v>
      </c>
      <c r="AC7" s="6">
        <v>0</v>
      </c>
      <c r="AD7" s="6">
        <v>0</v>
      </c>
      <c r="AE7" s="6">
        <v>0</v>
      </c>
      <c r="AF7" s="6">
        <v>0</v>
      </c>
      <c r="AG7" s="7">
        <f t="shared" si="0"/>
        <v>4.0699999999999994</v>
      </c>
      <c r="AH7" s="7">
        <f t="shared" si="2"/>
        <v>0.58142857142857129</v>
      </c>
      <c r="AI7" s="7">
        <f t="shared" si="1"/>
        <v>0.29071428571428565</v>
      </c>
      <c r="AJ7" s="7">
        <v>8</v>
      </c>
      <c r="AK7" s="7">
        <f t="shared" si="3"/>
        <v>0.50874999999999992</v>
      </c>
    </row>
    <row r="8" spans="1:37" ht="15.5" x14ac:dyDescent="0.35">
      <c r="A8" s="3">
        <v>6</v>
      </c>
      <c r="B8" s="4" t="s">
        <v>77</v>
      </c>
      <c r="C8" s="5" t="s">
        <v>42</v>
      </c>
      <c r="D8" s="5" t="s">
        <v>43</v>
      </c>
      <c r="E8" s="5" t="s">
        <v>74</v>
      </c>
      <c r="F8" s="5" t="s">
        <v>45</v>
      </c>
      <c r="G8" s="5">
        <v>7</v>
      </c>
      <c r="H8" s="5" t="s">
        <v>46</v>
      </c>
      <c r="I8" s="5" t="s">
        <v>71</v>
      </c>
      <c r="J8" s="5" t="s">
        <v>83</v>
      </c>
      <c r="K8" s="5" t="s">
        <v>76</v>
      </c>
      <c r="L8" s="5" t="s">
        <v>50</v>
      </c>
      <c r="M8" s="5" t="s">
        <v>72</v>
      </c>
      <c r="N8" s="5" t="s">
        <v>66</v>
      </c>
      <c r="O8" s="5" t="s">
        <v>67</v>
      </c>
      <c r="P8" s="5" t="s">
        <v>54</v>
      </c>
      <c r="Q8" s="5" t="s">
        <v>55</v>
      </c>
      <c r="R8" s="5" t="s">
        <v>56</v>
      </c>
      <c r="S8" s="5" t="s">
        <v>57</v>
      </c>
      <c r="T8" s="5" t="s">
        <v>84</v>
      </c>
      <c r="U8" s="5" t="s">
        <v>69</v>
      </c>
      <c r="V8" s="5" t="s">
        <v>60</v>
      </c>
      <c r="W8" s="6">
        <f>(279-125)/1000</f>
        <v>0.154</v>
      </c>
      <c r="X8" s="7">
        <v>0</v>
      </c>
      <c r="Y8" s="6">
        <v>0</v>
      </c>
      <c r="Z8" s="6">
        <f>(301-125)/1000</f>
        <v>0.17599999999999999</v>
      </c>
      <c r="AA8" s="6">
        <f>(145-125)/1000</f>
        <v>0.02</v>
      </c>
      <c r="AB8" s="6">
        <f>(154-125)/1000</f>
        <v>2.9000000000000001E-2</v>
      </c>
      <c r="AC8" s="6">
        <f>(947-330)/1000+90/1000</f>
        <v>0.70699999999999996</v>
      </c>
      <c r="AD8" s="6">
        <v>0</v>
      </c>
      <c r="AE8" s="6">
        <v>0</v>
      </c>
      <c r="AF8" s="6">
        <f>(160-125)/1000</f>
        <v>3.5000000000000003E-2</v>
      </c>
      <c r="AG8" s="7">
        <f t="shared" si="0"/>
        <v>1.1209999999999998</v>
      </c>
      <c r="AH8" s="7">
        <f t="shared" si="2"/>
        <v>0.16014285714285711</v>
      </c>
      <c r="AI8" s="7">
        <f t="shared" si="1"/>
        <v>2.2877551020408161E-2</v>
      </c>
      <c r="AJ8" s="6">
        <v>14</v>
      </c>
      <c r="AK8" s="6">
        <f t="shared" si="3"/>
        <v>8.0071428571428557E-2</v>
      </c>
    </row>
    <row r="9" spans="1:37" ht="15.5" x14ac:dyDescent="0.35">
      <c r="A9" s="3">
        <v>7</v>
      </c>
      <c r="B9" s="4" t="s">
        <v>82</v>
      </c>
      <c r="C9" s="5" t="s">
        <v>42</v>
      </c>
      <c r="D9" s="5" t="s">
        <v>43</v>
      </c>
      <c r="E9" s="5" t="s">
        <v>74</v>
      </c>
      <c r="F9" s="5" t="s">
        <v>45</v>
      </c>
      <c r="G9" s="5">
        <v>4</v>
      </c>
      <c r="H9" s="5" t="s">
        <v>62</v>
      </c>
      <c r="I9" s="5" t="s">
        <v>71</v>
      </c>
      <c r="J9" s="5" t="s">
        <v>48</v>
      </c>
      <c r="K9" s="5" t="s">
        <v>49</v>
      </c>
      <c r="L9" s="5" t="s">
        <v>50</v>
      </c>
      <c r="M9" s="5" t="s">
        <v>72</v>
      </c>
      <c r="N9" s="5" t="s">
        <v>66</v>
      </c>
      <c r="O9" s="5" t="s">
        <v>53</v>
      </c>
      <c r="P9" s="5" t="s">
        <v>54</v>
      </c>
      <c r="Q9" s="5" t="s">
        <v>55</v>
      </c>
      <c r="R9" s="5" t="s">
        <v>56</v>
      </c>
      <c r="S9" s="5" t="s">
        <v>57</v>
      </c>
      <c r="T9" s="5" t="s">
        <v>84</v>
      </c>
      <c r="U9" s="5" t="s">
        <v>59</v>
      </c>
      <c r="V9" s="5" t="s">
        <v>60</v>
      </c>
      <c r="W9" s="6">
        <f>(3.72*10-0.33*10)</f>
        <v>33.900000000000006</v>
      </c>
      <c r="X9" s="7">
        <v>0</v>
      </c>
      <c r="Y9" s="6">
        <v>0</v>
      </c>
      <c r="Z9" s="6">
        <v>0</v>
      </c>
      <c r="AA9" s="6">
        <v>0</v>
      </c>
      <c r="AB9" s="6">
        <v>0</v>
      </c>
      <c r="AC9" s="6">
        <v>0</v>
      </c>
      <c r="AD9" s="6">
        <v>0</v>
      </c>
      <c r="AE9" s="6">
        <v>0</v>
      </c>
      <c r="AF9" s="6">
        <v>0</v>
      </c>
      <c r="AG9" s="7">
        <f t="shared" si="0"/>
        <v>33.900000000000006</v>
      </c>
      <c r="AH9" s="7">
        <f t="shared" si="2"/>
        <v>4.8428571428571434</v>
      </c>
      <c r="AI9" s="7">
        <f t="shared" si="1"/>
        <v>1.2107142857142859</v>
      </c>
      <c r="AJ9" s="6">
        <v>100</v>
      </c>
      <c r="AK9" s="6">
        <f t="shared" si="3"/>
        <v>0.33900000000000008</v>
      </c>
    </row>
    <row r="10" spans="1:37" ht="15.5" x14ac:dyDescent="0.35">
      <c r="A10" s="3">
        <v>8</v>
      </c>
      <c r="B10" s="4" t="s">
        <v>85</v>
      </c>
      <c r="C10" s="5" t="s">
        <v>42</v>
      </c>
      <c r="D10" s="5" t="s">
        <v>43</v>
      </c>
      <c r="E10" s="5" t="s">
        <v>74</v>
      </c>
      <c r="F10" s="5" t="s">
        <v>45</v>
      </c>
      <c r="G10" s="5">
        <v>3</v>
      </c>
      <c r="H10" s="5" t="s">
        <v>46</v>
      </c>
      <c r="I10" s="5" t="s">
        <v>71</v>
      </c>
      <c r="J10" s="5" t="s">
        <v>83</v>
      </c>
      <c r="K10" s="5" t="s">
        <v>49</v>
      </c>
      <c r="L10" s="5" t="s">
        <v>50</v>
      </c>
      <c r="M10" s="5" t="s">
        <v>72</v>
      </c>
      <c r="N10" s="5" t="s">
        <v>87</v>
      </c>
      <c r="O10" s="5" t="s">
        <v>53</v>
      </c>
      <c r="P10" s="5" t="s">
        <v>54</v>
      </c>
      <c r="Q10" s="5" t="s">
        <v>55</v>
      </c>
      <c r="R10" s="5" t="s">
        <v>56</v>
      </c>
      <c r="S10" s="5" t="s">
        <v>57</v>
      </c>
      <c r="T10" s="5" t="s">
        <v>84</v>
      </c>
      <c r="U10" s="5" t="s">
        <v>59</v>
      </c>
      <c r="V10" s="5" t="s">
        <v>60</v>
      </c>
      <c r="W10" s="9">
        <v>9.1199999999999992</v>
      </c>
      <c r="X10" s="7">
        <v>0</v>
      </c>
      <c r="Y10" s="6">
        <v>0</v>
      </c>
      <c r="Z10" s="6">
        <f>(693-125)/1000</f>
        <v>0.56799999999999995</v>
      </c>
      <c r="AA10" s="6">
        <f>(163-125)/1000</f>
        <v>3.7999999999999999E-2</v>
      </c>
      <c r="AB10" s="6">
        <v>0</v>
      </c>
      <c r="AC10" s="6">
        <v>0</v>
      </c>
      <c r="AD10" s="6">
        <v>0</v>
      </c>
      <c r="AE10" s="6">
        <f>(249-125)/1000</f>
        <v>0.124</v>
      </c>
      <c r="AF10" s="6">
        <f>(375+200-125)/1000</f>
        <v>0.45</v>
      </c>
      <c r="AG10" s="7">
        <f t="shared" si="0"/>
        <v>10.299999999999999</v>
      </c>
      <c r="AH10" s="7">
        <f t="shared" si="2"/>
        <v>1.4714285714285713</v>
      </c>
      <c r="AI10" s="7">
        <f t="shared" si="1"/>
        <v>0.49047619047619045</v>
      </c>
      <c r="AJ10" s="6">
        <v>34</v>
      </c>
      <c r="AK10" s="6">
        <f t="shared" si="3"/>
        <v>0.30294117647058821</v>
      </c>
    </row>
    <row r="11" spans="1:37" ht="15.5" x14ac:dyDescent="0.35">
      <c r="A11" s="3">
        <v>9</v>
      </c>
      <c r="B11" s="4" t="s">
        <v>86</v>
      </c>
      <c r="C11" s="5" t="s">
        <v>42</v>
      </c>
      <c r="D11" s="5" t="s">
        <v>43</v>
      </c>
      <c r="E11" s="5" t="s">
        <v>74</v>
      </c>
      <c r="F11" s="5" t="s">
        <v>45</v>
      </c>
      <c r="G11" s="5">
        <v>2</v>
      </c>
      <c r="H11" s="5" t="s">
        <v>62</v>
      </c>
      <c r="I11" s="5" t="s">
        <v>71</v>
      </c>
      <c r="J11" s="5" t="s">
        <v>83</v>
      </c>
      <c r="K11" s="5" t="s">
        <v>49</v>
      </c>
      <c r="L11" s="5" t="s">
        <v>50</v>
      </c>
      <c r="M11" s="5" t="s">
        <v>72</v>
      </c>
      <c r="N11" s="5" t="s">
        <v>52</v>
      </c>
      <c r="O11" s="5" t="s">
        <v>53</v>
      </c>
      <c r="P11" s="5" t="s">
        <v>54</v>
      </c>
      <c r="Q11" s="5" t="s">
        <v>55</v>
      </c>
      <c r="R11" s="5" t="s">
        <v>56</v>
      </c>
      <c r="S11" s="5" t="s">
        <v>57</v>
      </c>
      <c r="T11" s="5" t="s">
        <v>58</v>
      </c>
      <c r="U11" s="5" t="s">
        <v>59</v>
      </c>
      <c r="V11" s="5" t="s">
        <v>60</v>
      </c>
      <c r="W11" s="9">
        <v>11.5</v>
      </c>
      <c r="X11" s="7">
        <v>0</v>
      </c>
      <c r="Y11" s="6">
        <v>0</v>
      </c>
      <c r="Z11" s="6">
        <v>0</v>
      </c>
      <c r="AA11" s="6">
        <v>0</v>
      </c>
      <c r="AB11" s="6">
        <f>(173-125)/1000</f>
        <v>4.8000000000000001E-2</v>
      </c>
      <c r="AC11" s="6">
        <v>0</v>
      </c>
      <c r="AD11" s="6">
        <v>0</v>
      </c>
      <c r="AE11" s="6">
        <v>0</v>
      </c>
      <c r="AF11" s="6">
        <v>0</v>
      </c>
      <c r="AG11" s="7">
        <f t="shared" si="0"/>
        <v>11.548</v>
      </c>
      <c r="AH11" s="7">
        <f t="shared" si="2"/>
        <v>1.6497142857142857</v>
      </c>
      <c r="AI11" s="7">
        <f t="shared" si="1"/>
        <v>0.82485714285714284</v>
      </c>
      <c r="AJ11" s="6">
        <v>40</v>
      </c>
      <c r="AK11" s="6">
        <f t="shared" si="3"/>
        <v>0.28870000000000001</v>
      </c>
    </row>
    <row r="12" spans="1:37" ht="15.5" x14ac:dyDescent="0.35">
      <c r="A12" s="3">
        <v>10</v>
      </c>
      <c r="B12" s="4" t="s">
        <v>88</v>
      </c>
      <c r="C12" s="5" t="s">
        <v>42</v>
      </c>
      <c r="D12" s="5" t="s">
        <v>43</v>
      </c>
      <c r="E12" s="5" t="s">
        <v>74</v>
      </c>
      <c r="F12" s="5" t="s">
        <v>45</v>
      </c>
      <c r="G12" s="5">
        <v>3</v>
      </c>
      <c r="H12" s="5" t="s">
        <v>46</v>
      </c>
      <c r="I12" s="5" t="s">
        <v>71</v>
      </c>
      <c r="J12" s="5" t="s">
        <v>83</v>
      </c>
      <c r="K12" s="5" t="s">
        <v>49</v>
      </c>
      <c r="L12" s="5" t="s">
        <v>50</v>
      </c>
      <c r="M12" s="5" t="s">
        <v>65</v>
      </c>
      <c r="N12" s="5" t="s">
        <v>66</v>
      </c>
      <c r="O12" s="5" t="s">
        <v>53</v>
      </c>
      <c r="P12" s="5" t="s">
        <v>54</v>
      </c>
      <c r="Q12" s="5" t="s">
        <v>55</v>
      </c>
      <c r="R12" s="5" t="s">
        <v>56</v>
      </c>
      <c r="S12" s="5" t="s">
        <v>57</v>
      </c>
      <c r="T12" s="5" t="s">
        <v>84</v>
      </c>
      <c r="U12" s="5" t="s">
        <v>69</v>
      </c>
      <c r="V12" s="5" t="s">
        <v>60</v>
      </c>
      <c r="W12" s="10">
        <v>10.3</v>
      </c>
      <c r="X12" s="7">
        <v>0</v>
      </c>
      <c r="Y12" s="6">
        <v>0</v>
      </c>
      <c r="Z12" s="6">
        <v>0</v>
      </c>
      <c r="AA12" s="6">
        <f>(223-125)/1000</f>
        <v>9.8000000000000004E-2</v>
      </c>
      <c r="AB12" s="6">
        <v>0</v>
      </c>
      <c r="AC12" s="6">
        <f>(278-125)/1000</f>
        <v>0.153</v>
      </c>
      <c r="AD12" s="6">
        <v>0</v>
      </c>
      <c r="AE12" s="6">
        <v>0</v>
      </c>
      <c r="AF12" s="6">
        <f>(144-125)/1000</f>
        <v>1.9E-2</v>
      </c>
      <c r="AG12" s="7">
        <f t="shared" si="0"/>
        <v>10.570000000000002</v>
      </c>
      <c r="AH12" s="7">
        <f t="shared" si="2"/>
        <v>1.5100000000000002</v>
      </c>
      <c r="AI12" s="7">
        <f t="shared" si="1"/>
        <v>0.50333333333333341</v>
      </c>
      <c r="AJ12" s="6">
        <v>20</v>
      </c>
      <c r="AK12" s="6">
        <f t="shared" si="3"/>
        <v>0.52850000000000008</v>
      </c>
    </row>
    <row r="13" spans="1:37" ht="15.5" x14ac:dyDescent="0.35">
      <c r="A13" s="3">
        <v>11</v>
      </c>
      <c r="B13" s="4" t="s">
        <v>89</v>
      </c>
      <c r="C13" s="5" t="s">
        <v>42</v>
      </c>
      <c r="D13" s="5" t="s">
        <v>43</v>
      </c>
      <c r="E13" s="5" t="s">
        <v>74</v>
      </c>
      <c r="F13" s="5" t="s">
        <v>45</v>
      </c>
      <c r="G13" s="5">
        <v>2</v>
      </c>
      <c r="H13" s="5" t="s">
        <v>62</v>
      </c>
      <c r="I13" s="5" t="s">
        <v>71</v>
      </c>
      <c r="J13" s="5" t="s">
        <v>83</v>
      </c>
      <c r="K13" s="5" t="s">
        <v>49</v>
      </c>
      <c r="L13" s="5" t="s">
        <v>64</v>
      </c>
      <c r="M13" s="5" t="s">
        <v>65</v>
      </c>
      <c r="N13" s="5" t="s">
        <v>87</v>
      </c>
      <c r="O13" s="5" t="s">
        <v>53</v>
      </c>
      <c r="P13" s="5" t="s">
        <v>54</v>
      </c>
      <c r="Q13" s="5" t="s">
        <v>55</v>
      </c>
      <c r="R13" s="5" t="s">
        <v>56</v>
      </c>
      <c r="S13" s="5" t="s">
        <v>57</v>
      </c>
      <c r="T13" s="5" t="s">
        <v>84</v>
      </c>
      <c r="U13" s="5" t="s">
        <v>69</v>
      </c>
      <c r="V13" s="5" t="s">
        <v>60</v>
      </c>
      <c r="W13" s="6">
        <f>(3.14+4.16)-0.33*2</f>
        <v>6.6400000000000006</v>
      </c>
      <c r="X13" s="7">
        <v>0</v>
      </c>
      <c r="Y13" s="6">
        <v>0</v>
      </c>
      <c r="Z13" s="6">
        <f>(150-125)/1000</f>
        <v>2.5000000000000001E-2</v>
      </c>
      <c r="AA13" s="6">
        <f>(225-125)/1000</f>
        <v>0.1</v>
      </c>
      <c r="AB13" s="6">
        <v>0</v>
      </c>
      <c r="AC13" s="6">
        <v>0</v>
      </c>
      <c r="AD13" s="6">
        <v>0</v>
      </c>
      <c r="AE13" s="6">
        <v>0</v>
      </c>
      <c r="AF13" s="6">
        <v>0</v>
      </c>
      <c r="AG13" s="7">
        <f t="shared" si="0"/>
        <v>6.7650000000000006</v>
      </c>
      <c r="AH13" s="7">
        <f t="shared" si="2"/>
        <v>0.96642857142857153</v>
      </c>
      <c r="AI13" s="7">
        <f t="shared" si="1"/>
        <v>0.48321428571428576</v>
      </c>
      <c r="AJ13" s="6">
        <v>24</v>
      </c>
      <c r="AK13" s="6">
        <f t="shared" si="3"/>
        <v>0.28187500000000004</v>
      </c>
    </row>
    <row r="14" spans="1:37" ht="15.5" x14ac:dyDescent="0.35">
      <c r="A14" s="3">
        <v>12</v>
      </c>
      <c r="B14" s="4" t="s">
        <v>90</v>
      </c>
      <c r="C14" s="5" t="s">
        <v>42</v>
      </c>
      <c r="D14" s="5" t="s">
        <v>43</v>
      </c>
      <c r="E14" s="5" t="s">
        <v>92</v>
      </c>
      <c r="F14" s="5" t="s">
        <v>45</v>
      </c>
      <c r="G14" s="5">
        <v>4</v>
      </c>
      <c r="H14" s="5" t="s">
        <v>46</v>
      </c>
      <c r="I14" s="5" t="s">
        <v>47</v>
      </c>
      <c r="J14" s="5" t="s">
        <v>48</v>
      </c>
      <c r="K14" s="5" t="s">
        <v>93</v>
      </c>
      <c r="L14" s="5" t="s">
        <v>50</v>
      </c>
      <c r="M14" s="5" t="s">
        <v>72</v>
      </c>
      <c r="N14" s="5" t="s">
        <v>66</v>
      </c>
      <c r="O14" s="5" t="s">
        <v>67</v>
      </c>
      <c r="P14" s="5" t="s">
        <v>54</v>
      </c>
      <c r="Q14" s="5" t="s">
        <v>55</v>
      </c>
      <c r="R14" s="5" t="s">
        <v>56</v>
      </c>
      <c r="S14" s="5" t="s">
        <v>68</v>
      </c>
      <c r="T14" s="5" t="s">
        <v>81</v>
      </c>
      <c r="U14" s="5" t="s">
        <v>69</v>
      </c>
      <c r="V14" s="5" t="s">
        <v>60</v>
      </c>
      <c r="W14" s="9">
        <v>8.52</v>
      </c>
      <c r="X14" s="7">
        <v>0</v>
      </c>
      <c r="Y14" s="6">
        <v>0</v>
      </c>
      <c r="Z14" s="6">
        <f>(180-125)/1000</f>
        <v>5.5E-2</v>
      </c>
      <c r="AA14" s="6">
        <v>0</v>
      </c>
      <c r="AB14" s="6">
        <v>0</v>
      </c>
      <c r="AC14" s="6">
        <v>0</v>
      </c>
      <c r="AD14" s="6">
        <v>2.9000000000000001E-2</v>
      </c>
      <c r="AE14" s="6">
        <v>0</v>
      </c>
      <c r="AF14" s="6">
        <f>(454-125)/1000</f>
        <v>0.32900000000000001</v>
      </c>
      <c r="AG14" s="7">
        <f t="shared" si="0"/>
        <v>8.9329999999999998</v>
      </c>
      <c r="AH14" s="7">
        <f t="shared" si="2"/>
        <v>1.276142857142857</v>
      </c>
      <c r="AI14" s="7">
        <f t="shared" si="1"/>
        <v>0.31903571428571426</v>
      </c>
      <c r="AJ14" s="6">
        <v>30</v>
      </c>
      <c r="AK14" s="6">
        <f t="shared" si="3"/>
        <v>0.29776666666666668</v>
      </c>
    </row>
    <row r="15" spans="1:37" ht="15.5" x14ac:dyDescent="0.35">
      <c r="A15" s="3">
        <v>13</v>
      </c>
      <c r="B15" s="4" t="s">
        <v>141</v>
      </c>
      <c r="C15" s="5" t="s">
        <v>42</v>
      </c>
      <c r="D15" s="5" t="s">
        <v>43</v>
      </c>
      <c r="E15" s="5" t="s">
        <v>92</v>
      </c>
      <c r="F15" s="5" t="s">
        <v>45</v>
      </c>
      <c r="G15" s="5">
        <v>3</v>
      </c>
      <c r="H15" s="8" t="s">
        <v>75</v>
      </c>
      <c r="I15" s="8" t="s">
        <v>47</v>
      </c>
      <c r="J15" s="8" t="s">
        <v>83</v>
      </c>
      <c r="K15" s="8" t="s">
        <v>76</v>
      </c>
      <c r="L15" s="8" t="s">
        <v>50</v>
      </c>
      <c r="M15" s="8" t="s">
        <v>72</v>
      </c>
      <c r="N15" s="8" t="s">
        <v>66</v>
      </c>
      <c r="O15" s="8" t="s">
        <v>67</v>
      </c>
      <c r="P15" s="8" t="s">
        <v>54</v>
      </c>
      <c r="Q15" s="8" t="s">
        <v>55</v>
      </c>
      <c r="R15" s="8" t="s">
        <v>56</v>
      </c>
      <c r="S15" s="8" t="s">
        <v>57</v>
      </c>
      <c r="T15" s="8" t="s">
        <v>84</v>
      </c>
      <c r="U15" s="8" t="s">
        <v>69</v>
      </c>
      <c r="V15" s="8" t="s">
        <v>60</v>
      </c>
      <c r="W15" s="7">
        <f>0.54-0.33</f>
        <v>0.21000000000000002</v>
      </c>
      <c r="X15" s="7">
        <v>0</v>
      </c>
      <c r="Y15" s="6">
        <v>0</v>
      </c>
      <c r="Z15" s="6">
        <v>0</v>
      </c>
      <c r="AA15" s="6">
        <v>0</v>
      </c>
      <c r="AB15" s="7">
        <f>1.2-0.33</f>
        <v>0.86999999999999988</v>
      </c>
      <c r="AC15" s="7">
        <f>0.9-0.33</f>
        <v>0.57000000000000006</v>
      </c>
      <c r="AD15" s="6">
        <v>0</v>
      </c>
      <c r="AE15" s="6">
        <v>0</v>
      </c>
      <c r="AF15" s="11">
        <v>0.5</v>
      </c>
      <c r="AG15" s="7">
        <f t="shared" si="0"/>
        <v>2.15</v>
      </c>
      <c r="AH15" s="7">
        <f t="shared" si="2"/>
        <v>0.30714285714285711</v>
      </c>
      <c r="AI15" s="7">
        <f t="shared" si="1"/>
        <v>0.10238095238095236</v>
      </c>
      <c r="AJ15" s="12">
        <v>4</v>
      </c>
      <c r="AK15" s="7">
        <f t="shared" si="3"/>
        <v>0.53749999999999998</v>
      </c>
    </row>
    <row r="16" spans="1:37" ht="15.5" x14ac:dyDescent="0.35">
      <c r="A16" s="3">
        <v>14</v>
      </c>
      <c r="B16" s="4" t="s">
        <v>91</v>
      </c>
      <c r="C16" s="5" t="s">
        <v>42</v>
      </c>
      <c r="D16" s="5" t="s">
        <v>43</v>
      </c>
      <c r="E16" s="5" t="s">
        <v>92</v>
      </c>
      <c r="F16" s="5" t="s">
        <v>45</v>
      </c>
      <c r="G16" s="5">
        <v>6</v>
      </c>
      <c r="H16" s="5" t="s">
        <v>62</v>
      </c>
      <c r="I16" s="5" t="s">
        <v>47</v>
      </c>
      <c r="J16" s="5" t="s">
        <v>63</v>
      </c>
      <c r="K16" s="5" t="s">
        <v>49</v>
      </c>
      <c r="L16" s="5" t="s">
        <v>50</v>
      </c>
      <c r="M16" s="5" t="s">
        <v>65</v>
      </c>
      <c r="N16" s="5" t="s">
        <v>66</v>
      </c>
      <c r="O16" s="5" t="s">
        <v>53</v>
      </c>
      <c r="P16" s="5" t="s">
        <v>54</v>
      </c>
      <c r="Q16" s="5" t="s">
        <v>55</v>
      </c>
      <c r="R16" s="5" t="s">
        <v>56</v>
      </c>
      <c r="S16" s="5" t="s">
        <v>57</v>
      </c>
      <c r="T16" s="5" t="s">
        <v>84</v>
      </c>
      <c r="U16" s="5" t="s">
        <v>69</v>
      </c>
      <c r="V16" s="5" t="s">
        <v>60</v>
      </c>
      <c r="W16" s="9">
        <v>9.42</v>
      </c>
      <c r="X16" s="7">
        <v>0</v>
      </c>
      <c r="Y16" s="6">
        <f>(194-125)/1000</f>
        <v>6.9000000000000006E-2</v>
      </c>
      <c r="Z16" s="6">
        <f>309/1000</f>
        <v>0.309</v>
      </c>
      <c r="AA16" s="6">
        <f>(413-125)/1000</f>
        <v>0.28799999999999998</v>
      </c>
      <c r="AB16" s="6">
        <f>(599-125)/1000</f>
        <v>0.47399999999999998</v>
      </c>
      <c r="AC16" s="6">
        <f>(276-125)/1000</f>
        <v>0.151</v>
      </c>
      <c r="AD16" s="6">
        <v>0</v>
      </c>
      <c r="AE16" s="6">
        <v>0</v>
      </c>
      <c r="AF16" s="6">
        <f>(1.17-0.33)</f>
        <v>0.83999999999999986</v>
      </c>
      <c r="AG16" s="7">
        <f t="shared" si="0"/>
        <v>11.551</v>
      </c>
      <c r="AH16" s="7">
        <f t="shared" si="2"/>
        <v>1.6501428571428571</v>
      </c>
      <c r="AI16" s="7">
        <f t="shared" si="1"/>
        <v>0.2750238095238095</v>
      </c>
      <c r="AJ16" s="6">
        <v>40</v>
      </c>
      <c r="AK16" s="6">
        <f t="shared" si="3"/>
        <v>0.288775</v>
      </c>
    </row>
    <row r="17" spans="1:37" ht="15.5" x14ac:dyDescent="0.35">
      <c r="A17" s="3">
        <v>15</v>
      </c>
      <c r="B17" s="4" t="s">
        <v>94</v>
      </c>
      <c r="C17" s="5" t="s">
        <v>42</v>
      </c>
      <c r="D17" s="5" t="s">
        <v>43</v>
      </c>
      <c r="E17" s="5" t="s">
        <v>92</v>
      </c>
      <c r="F17" s="5" t="s">
        <v>45</v>
      </c>
      <c r="G17" s="5">
        <v>11</v>
      </c>
      <c r="H17" s="5" t="s">
        <v>75</v>
      </c>
      <c r="I17" s="5" t="s">
        <v>47</v>
      </c>
      <c r="J17" s="5" t="s">
        <v>83</v>
      </c>
      <c r="K17" s="5" t="s">
        <v>49</v>
      </c>
      <c r="L17" s="5" t="s">
        <v>50</v>
      </c>
      <c r="M17" s="5" t="s">
        <v>72</v>
      </c>
      <c r="N17" s="5" t="s">
        <v>66</v>
      </c>
      <c r="O17" s="5" t="s">
        <v>67</v>
      </c>
      <c r="P17" s="5" t="s">
        <v>80</v>
      </c>
      <c r="Q17" s="5" t="s">
        <v>55</v>
      </c>
      <c r="R17" s="5" t="s">
        <v>56</v>
      </c>
      <c r="S17" s="5" t="s">
        <v>57</v>
      </c>
      <c r="T17" s="5" t="s">
        <v>58</v>
      </c>
      <c r="U17" s="5" t="s">
        <v>69</v>
      </c>
      <c r="V17" s="5" t="s">
        <v>60</v>
      </c>
      <c r="W17" s="9">
        <v>13.12</v>
      </c>
      <c r="X17" s="7">
        <v>0</v>
      </c>
      <c r="Y17" s="6">
        <v>0</v>
      </c>
      <c r="Z17" s="6">
        <f>(1.14*3-0.33*3)</f>
        <v>2.4299999999999997</v>
      </c>
      <c r="AA17" s="6">
        <v>0</v>
      </c>
      <c r="AB17" s="6">
        <f>1.76*3-0.33*3</f>
        <v>4.29</v>
      </c>
      <c r="AC17" s="6">
        <f>(0.782*3+0.45*3)-2*3*0.33</f>
        <v>1.7160000000000002</v>
      </c>
      <c r="AD17" s="6">
        <v>0</v>
      </c>
      <c r="AE17" s="6">
        <v>0</v>
      </c>
      <c r="AF17" s="6">
        <v>0</v>
      </c>
      <c r="AG17" s="7">
        <f t="shared" si="0"/>
        <v>21.556000000000001</v>
      </c>
      <c r="AH17" s="7">
        <f t="shared" si="2"/>
        <v>3.0794285714285716</v>
      </c>
      <c r="AI17" s="7">
        <f t="shared" si="1"/>
        <v>0.27994805194805195</v>
      </c>
      <c r="AJ17" s="6">
        <v>64</v>
      </c>
      <c r="AK17" s="6">
        <f t="shared" si="3"/>
        <v>0.33681250000000001</v>
      </c>
    </row>
    <row r="18" spans="1:37" ht="15.5" x14ac:dyDescent="0.35">
      <c r="A18" s="3">
        <v>16</v>
      </c>
      <c r="B18" s="4" t="s">
        <v>95</v>
      </c>
      <c r="C18" s="5" t="s">
        <v>42</v>
      </c>
      <c r="D18" s="5" t="s">
        <v>43</v>
      </c>
      <c r="E18" s="5" t="s">
        <v>92</v>
      </c>
      <c r="F18" s="5" t="s">
        <v>45</v>
      </c>
      <c r="G18" s="5">
        <v>3</v>
      </c>
      <c r="H18" s="5" t="s">
        <v>46</v>
      </c>
      <c r="I18" s="5" t="s">
        <v>71</v>
      </c>
      <c r="J18" s="5" t="s">
        <v>48</v>
      </c>
      <c r="K18" s="5" t="s">
        <v>49</v>
      </c>
      <c r="L18" s="5" t="s">
        <v>50</v>
      </c>
      <c r="M18" s="5" t="s">
        <v>72</v>
      </c>
      <c r="N18" s="5" t="s">
        <v>52</v>
      </c>
      <c r="O18" s="5" t="s">
        <v>53</v>
      </c>
      <c r="P18" s="5" t="s">
        <v>54</v>
      </c>
      <c r="Q18" s="5" t="s">
        <v>55</v>
      </c>
      <c r="R18" s="5" t="s">
        <v>98</v>
      </c>
      <c r="S18" s="5" t="s">
        <v>99</v>
      </c>
      <c r="T18" s="5" t="s">
        <v>84</v>
      </c>
      <c r="U18" s="5" t="s">
        <v>59</v>
      </c>
      <c r="V18" s="5" t="s">
        <v>60</v>
      </c>
      <c r="W18" s="9">
        <v>4.18</v>
      </c>
      <c r="X18" s="7">
        <v>0</v>
      </c>
      <c r="Y18" s="6">
        <v>0</v>
      </c>
      <c r="Z18" s="6">
        <v>0</v>
      </c>
      <c r="AA18" s="6">
        <v>0</v>
      </c>
      <c r="AB18" s="6">
        <f>(632-125)/1000</f>
        <v>0.50700000000000001</v>
      </c>
      <c r="AC18" s="6">
        <v>0</v>
      </c>
      <c r="AD18" s="6">
        <v>0</v>
      </c>
      <c r="AE18" s="6">
        <v>0</v>
      </c>
      <c r="AF18" s="6">
        <f>(845-330)/1000</f>
        <v>0.51500000000000001</v>
      </c>
      <c r="AG18" s="7">
        <f>SUM(AB18:AF18)+4.18</f>
        <v>5.202</v>
      </c>
      <c r="AH18" s="7">
        <f t="shared" si="2"/>
        <v>0.74314285714285711</v>
      </c>
      <c r="AI18" s="7">
        <f t="shared" si="1"/>
        <v>0.24771428571428569</v>
      </c>
      <c r="AJ18" s="6">
        <v>10</v>
      </c>
      <c r="AK18" s="6">
        <f t="shared" si="3"/>
        <v>0.5202</v>
      </c>
    </row>
    <row r="19" spans="1:37" ht="15.5" x14ac:dyDescent="0.35">
      <c r="A19" s="3">
        <v>17</v>
      </c>
      <c r="B19" s="4" t="s">
        <v>96</v>
      </c>
      <c r="C19" s="5" t="s">
        <v>42</v>
      </c>
      <c r="D19" s="5" t="s">
        <v>43</v>
      </c>
      <c r="E19" s="5" t="s">
        <v>92</v>
      </c>
      <c r="F19" s="5" t="s">
        <v>45</v>
      </c>
      <c r="G19" s="5">
        <v>12</v>
      </c>
      <c r="H19" s="5" t="s">
        <v>62</v>
      </c>
      <c r="I19" s="5" t="s">
        <v>71</v>
      </c>
      <c r="J19" s="5" t="s">
        <v>48</v>
      </c>
      <c r="K19" s="5" t="s">
        <v>49</v>
      </c>
      <c r="L19" s="5" t="s">
        <v>50</v>
      </c>
      <c r="M19" s="5" t="s">
        <v>72</v>
      </c>
      <c r="N19" s="5" t="s">
        <v>66</v>
      </c>
      <c r="O19" s="5" t="s">
        <v>67</v>
      </c>
      <c r="P19" s="5" t="s">
        <v>54</v>
      </c>
      <c r="Q19" s="5" t="s">
        <v>55</v>
      </c>
      <c r="R19" s="5" t="s">
        <v>98</v>
      </c>
      <c r="S19" s="5" t="s">
        <v>99</v>
      </c>
      <c r="T19" s="5" t="s">
        <v>84</v>
      </c>
      <c r="U19" s="5" t="s">
        <v>59</v>
      </c>
      <c r="V19" s="5" t="s">
        <v>60</v>
      </c>
      <c r="W19" s="6">
        <f>(4.26*8)</f>
        <v>34.08</v>
      </c>
      <c r="X19" s="7">
        <v>0</v>
      </c>
      <c r="Y19" s="6">
        <v>0</v>
      </c>
      <c r="Z19" s="6">
        <v>0</v>
      </c>
      <c r="AA19" s="6">
        <v>0</v>
      </c>
      <c r="AB19" s="6">
        <v>0</v>
      </c>
      <c r="AC19" s="6">
        <v>0</v>
      </c>
      <c r="AD19" s="6">
        <v>0</v>
      </c>
      <c r="AE19" s="6">
        <v>0</v>
      </c>
      <c r="AF19" s="6">
        <v>0</v>
      </c>
      <c r="AG19" s="7">
        <f>W19+3.2</f>
        <v>37.28</v>
      </c>
      <c r="AH19" s="7">
        <f t="shared" si="2"/>
        <v>5.3257142857142856</v>
      </c>
      <c r="AI19" s="7">
        <f t="shared" si="1"/>
        <v>0.44380952380952382</v>
      </c>
      <c r="AJ19" s="6">
        <v>140</v>
      </c>
      <c r="AK19" s="6">
        <f t="shared" si="3"/>
        <v>0.26628571428571429</v>
      </c>
    </row>
    <row r="20" spans="1:37" ht="15.5" x14ac:dyDescent="0.35">
      <c r="A20" s="3">
        <v>18</v>
      </c>
      <c r="B20" s="4" t="s">
        <v>97</v>
      </c>
      <c r="C20" s="5" t="s">
        <v>42</v>
      </c>
      <c r="D20" s="5" t="s">
        <v>43</v>
      </c>
      <c r="E20" s="8" t="s">
        <v>102</v>
      </c>
      <c r="F20" s="5" t="s">
        <v>45</v>
      </c>
      <c r="G20" s="5">
        <v>6</v>
      </c>
      <c r="H20" s="8" t="s">
        <v>62</v>
      </c>
      <c r="I20" s="8" t="s">
        <v>47</v>
      </c>
      <c r="J20" s="8" t="s">
        <v>78</v>
      </c>
      <c r="K20" s="8" t="s">
        <v>103</v>
      </c>
      <c r="L20" s="8" t="s">
        <v>104</v>
      </c>
      <c r="M20" s="8" t="s">
        <v>51</v>
      </c>
      <c r="N20" s="8" t="s">
        <v>52</v>
      </c>
      <c r="O20" s="8" t="s">
        <v>53</v>
      </c>
      <c r="P20" s="8" t="s">
        <v>54</v>
      </c>
      <c r="Q20" s="8" t="s">
        <v>55</v>
      </c>
      <c r="R20" s="8" t="s">
        <v>56</v>
      </c>
      <c r="S20" s="8" t="s">
        <v>68</v>
      </c>
      <c r="T20" s="8" t="s">
        <v>81</v>
      </c>
      <c r="U20" s="8" t="s">
        <v>69</v>
      </c>
      <c r="V20" s="8" t="s">
        <v>60</v>
      </c>
      <c r="W20" s="7">
        <f>4.24+6.16+5.9+6.08</f>
        <v>22.380000000000003</v>
      </c>
      <c r="X20" s="6">
        <f>(540-125)/1000</f>
        <v>0.41499999999999998</v>
      </c>
      <c r="Y20" s="6">
        <v>0</v>
      </c>
      <c r="Z20" s="6">
        <v>0</v>
      </c>
      <c r="AA20" s="6">
        <f>(362-125)/1000</f>
        <v>0.23699999999999999</v>
      </c>
      <c r="AB20" s="6">
        <f>(454-125)/1000</f>
        <v>0.32900000000000001</v>
      </c>
      <c r="AC20" s="6">
        <f>(1171+651-330)/1000</f>
        <v>1.492</v>
      </c>
      <c r="AD20" s="6">
        <v>0</v>
      </c>
      <c r="AE20" s="6">
        <v>0</v>
      </c>
      <c r="AF20" s="6">
        <f>(411-330)/1000</f>
        <v>8.1000000000000003E-2</v>
      </c>
      <c r="AG20" s="7">
        <f t="shared" ref="AG20:AG28" si="4">SUM(W20:AF20)</f>
        <v>24.934000000000001</v>
      </c>
      <c r="AH20" s="7">
        <f t="shared" si="2"/>
        <v>3.5620000000000003</v>
      </c>
      <c r="AI20" s="7">
        <f t="shared" si="1"/>
        <v>0.59366666666666668</v>
      </c>
      <c r="AJ20" s="6">
        <v>70</v>
      </c>
      <c r="AK20" s="6">
        <f t="shared" si="3"/>
        <v>0.35620000000000002</v>
      </c>
    </row>
    <row r="21" spans="1:37" ht="15.5" x14ac:dyDescent="0.35">
      <c r="A21" s="3">
        <v>19</v>
      </c>
      <c r="B21" s="4" t="s">
        <v>100</v>
      </c>
      <c r="C21" s="5" t="s">
        <v>42</v>
      </c>
      <c r="D21" s="5" t="s">
        <v>43</v>
      </c>
      <c r="E21" s="8" t="s">
        <v>102</v>
      </c>
      <c r="F21" s="5" t="s">
        <v>45</v>
      </c>
      <c r="G21" s="5">
        <v>7</v>
      </c>
      <c r="H21" s="8" t="s">
        <v>75</v>
      </c>
      <c r="I21" s="8" t="s">
        <v>47</v>
      </c>
      <c r="J21" s="8" t="s">
        <v>48</v>
      </c>
      <c r="K21" s="8" t="s">
        <v>49</v>
      </c>
      <c r="L21" s="8" t="s">
        <v>64</v>
      </c>
      <c r="M21" s="8" t="s">
        <v>51</v>
      </c>
      <c r="N21" s="8" t="s">
        <v>66</v>
      </c>
      <c r="O21" s="8" t="s">
        <v>67</v>
      </c>
      <c r="P21" s="8" t="s">
        <v>54</v>
      </c>
      <c r="Q21" s="8" t="s">
        <v>55</v>
      </c>
      <c r="R21" s="8" t="s">
        <v>56</v>
      </c>
      <c r="S21" s="8" t="s">
        <v>57</v>
      </c>
      <c r="T21" s="8" t="s">
        <v>58</v>
      </c>
      <c r="U21" s="8" t="s">
        <v>69</v>
      </c>
      <c r="V21" s="8" t="s">
        <v>106</v>
      </c>
      <c r="W21" s="6">
        <v>11.9</v>
      </c>
      <c r="X21" s="6">
        <v>0</v>
      </c>
      <c r="Y21" s="6">
        <v>0</v>
      </c>
      <c r="Z21" s="6">
        <f>1.355-0.33</f>
        <v>1.0249999999999999</v>
      </c>
      <c r="AA21" s="6">
        <v>0</v>
      </c>
      <c r="AB21" s="6">
        <f>(1184-125)/1000</f>
        <v>1.0589999999999999</v>
      </c>
      <c r="AC21" s="6">
        <f>1.032-0.33</f>
        <v>0.70199999999999996</v>
      </c>
      <c r="AD21" s="6">
        <v>0</v>
      </c>
      <c r="AE21" s="6">
        <v>0</v>
      </c>
      <c r="AF21" s="6">
        <f>0.306-0.125</f>
        <v>0.18099999999999999</v>
      </c>
      <c r="AG21" s="7">
        <f t="shared" si="4"/>
        <v>14.866999999999999</v>
      </c>
      <c r="AH21" s="7">
        <f t="shared" si="2"/>
        <v>2.1238571428571427</v>
      </c>
      <c r="AI21" s="7">
        <f t="shared" si="1"/>
        <v>0.30340816326530612</v>
      </c>
      <c r="AJ21" s="6">
        <v>34</v>
      </c>
      <c r="AK21" s="6">
        <f t="shared" si="3"/>
        <v>0.43726470588235289</v>
      </c>
    </row>
    <row r="22" spans="1:37" ht="15.5" x14ac:dyDescent="0.35">
      <c r="A22" s="3">
        <v>20</v>
      </c>
      <c r="B22" s="4" t="s">
        <v>142</v>
      </c>
      <c r="C22" s="5" t="s">
        <v>42</v>
      </c>
      <c r="D22" s="5" t="s">
        <v>43</v>
      </c>
      <c r="E22" s="8" t="s">
        <v>102</v>
      </c>
      <c r="F22" s="5" t="s">
        <v>45</v>
      </c>
      <c r="G22" s="5">
        <v>3</v>
      </c>
      <c r="H22" s="8" t="s">
        <v>46</v>
      </c>
      <c r="I22" s="8" t="s">
        <v>47</v>
      </c>
      <c r="J22" s="8" t="s">
        <v>63</v>
      </c>
      <c r="K22" s="8" t="s">
        <v>76</v>
      </c>
      <c r="L22" s="8" t="s">
        <v>50</v>
      </c>
      <c r="M22" s="8" t="s">
        <v>72</v>
      </c>
      <c r="N22" s="8" t="s">
        <v>52</v>
      </c>
      <c r="O22" s="8" t="s">
        <v>53</v>
      </c>
      <c r="P22" s="8" t="s">
        <v>54</v>
      </c>
      <c r="Q22" s="8" t="s">
        <v>55</v>
      </c>
      <c r="R22" s="8" t="s">
        <v>56</v>
      </c>
      <c r="S22" s="8" t="s">
        <v>57</v>
      </c>
      <c r="T22" s="8" t="s">
        <v>84</v>
      </c>
      <c r="U22" s="8" t="s">
        <v>69</v>
      </c>
      <c r="V22" s="8" t="s">
        <v>106</v>
      </c>
      <c r="W22" s="6">
        <f>(2.82*7-0.125*7)</f>
        <v>18.864999999999998</v>
      </c>
      <c r="X22" s="6">
        <v>0</v>
      </c>
      <c r="Y22" s="6">
        <v>0</v>
      </c>
      <c r="Z22" s="6">
        <v>0</v>
      </c>
      <c r="AA22" s="6">
        <f>(179-125)/1000</f>
        <v>5.3999999999999999E-2</v>
      </c>
      <c r="AB22" s="6">
        <f>(520-125)/1000</f>
        <v>0.39500000000000002</v>
      </c>
      <c r="AC22" s="6">
        <f>(481-330)/1000</f>
        <v>0.151</v>
      </c>
      <c r="AD22" s="6">
        <v>0</v>
      </c>
      <c r="AE22" s="6">
        <v>0</v>
      </c>
      <c r="AF22" s="6">
        <v>0</v>
      </c>
      <c r="AG22" s="7">
        <f t="shared" si="4"/>
        <v>19.464999999999996</v>
      </c>
      <c r="AH22" s="7">
        <f t="shared" si="2"/>
        <v>2.7807142857142852</v>
      </c>
      <c r="AI22" s="7">
        <f t="shared" si="1"/>
        <v>0.92690476190476179</v>
      </c>
      <c r="AJ22" s="6">
        <v>64</v>
      </c>
      <c r="AK22" s="6">
        <f t="shared" si="3"/>
        <v>0.30414062499999994</v>
      </c>
    </row>
    <row r="23" spans="1:37" ht="15.5" x14ac:dyDescent="0.35">
      <c r="A23" s="3">
        <v>21</v>
      </c>
      <c r="B23" s="4" t="s">
        <v>101</v>
      </c>
      <c r="C23" s="5" t="s">
        <v>42</v>
      </c>
      <c r="D23" s="5" t="s">
        <v>43</v>
      </c>
      <c r="E23" s="8" t="s">
        <v>102</v>
      </c>
      <c r="F23" s="5" t="s">
        <v>45</v>
      </c>
      <c r="G23" s="5">
        <v>2</v>
      </c>
      <c r="H23" s="8" t="s">
        <v>46</v>
      </c>
      <c r="I23" s="8" t="s">
        <v>47</v>
      </c>
      <c r="J23" s="8" t="s">
        <v>48</v>
      </c>
      <c r="K23" s="8" t="s">
        <v>79</v>
      </c>
      <c r="L23" s="8" t="s">
        <v>64</v>
      </c>
      <c r="M23" s="8" t="s">
        <v>72</v>
      </c>
      <c r="N23" s="8" t="s">
        <v>52</v>
      </c>
      <c r="O23" s="8" t="s">
        <v>53</v>
      </c>
      <c r="P23" s="8" t="s">
        <v>54</v>
      </c>
      <c r="Q23" s="8" t="s">
        <v>55</v>
      </c>
      <c r="R23" s="8" t="s">
        <v>56</v>
      </c>
      <c r="S23" s="8" t="s">
        <v>57</v>
      </c>
      <c r="T23" s="8" t="s">
        <v>58</v>
      </c>
      <c r="U23" s="8" t="s">
        <v>69</v>
      </c>
      <c r="V23" s="8" t="s">
        <v>106</v>
      </c>
      <c r="W23" s="6">
        <v>2.9</v>
      </c>
      <c r="X23" s="6">
        <v>0</v>
      </c>
      <c r="Y23" s="6">
        <v>0</v>
      </c>
      <c r="Z23" s="6">
        <f>0.208-0.125</f>
        <v>8.299999999999999E-2</v>
      </c>
      <c r="AA23" s="6">
        <f>0.233-0.125</f>
        <v>0.10800000000000001</v>
      </c>
      <c r="AB23" s="6">
        <f>0.213-0.125</f>
        <v>8.7999999999999995E-2</v>
      </c>
      <c r="AC23" s="6">
        <v>0</v>
      </c>
      <c r="AD23" s="6">
        <v>0</v>
      </c>
      <c r="AE23" s="6">
        <v>0</v>
      </c>
      <c r="AF23" s="6">
        <f>2.68-0.125</f>
        <v>2.5550000000000002</v>
      </c>
      <c r="AG23" s="7">
        <f t="shared" si="4"/>
        <v>5.734</v>
      </c>
      <c r="AH23" s="7">
        <f t="shared" si="2"/>
        <v>0.81914285714285717</v>
      </c>
      <c r="AI23" s="7">
        <f t="shared" si="1"/>
        <v>0.40957142857142859</v>
      </c>
      <c r="AJ23" s="6">
        <v>34</v>
      </c>
      <c r="AK23" s="6">
        <f t="shared" si="3"/>
        <v>0.1686470588235294</v>
      </c>
    </row>
    <row r="24" spans="1:37" ht="15.5" x14ac:dyDescent="0.35">
      <c r="A24" s="3">
        <v>22</v>
      </c>
      <c r="B24" s="4" t="s">
        <v>105</v>
      </c>
      <c r="C24" s="5" t="s">
        <v>42</v>
      </c>
      <c r="D24" s="5" t="s">
        <v>43</v>
      </c>
      <c r="E24" s="8" t="s">
        <v>102</v>
      </c>
      <c r="F24" s="5" t="s">
        <v>45</v>
      </c>
      <c r="G24" s="5">
        <v>6</v>
      </c>
      <c r="H24" s="8" t="s">
        <v>62</v>
      </c>
      <c r="I24" s="8" t="s">
        <v>71</v>
      </c>
      <c r="J24" s="8" t="s">
        <v>63</v>
      </c>
      <c r="K24" s="8" t="s">
        <v>103</v>
      </c>
      <c r="L24" s="8" t="s">
        <v>50</v>
      </c>
      <c r="M24" s="8" t="s">
        <v>72</v>
      </c>
      <c r="N24" s="8" t="s">
        <v>66</v>
      </c>
      <c r="O24" s="8" t="s">
        <v>67</v>
      </c>
      <c r="P24" s="8" t="s">
        <v>54</v>
      </c>
      <c r="Q24" s="8" t="s">
        <v>55</v>
      </c>
      <c r="R24" s="8" t="s">
        <v>56</v>
      </c>
      <c r="S24" s="8" t="s">
        <v>57</v>
      </c>
      <c r="T24" s="8" t="s">
        <v>81</v>
      </c>
      <c r="U24" s="8" t="s">
        <v>69</v>
      </c>
      <c r="V24" s="8" t="s">
        <v>106</v>
      </c>
      <c r="W24" s="6">
        <v>12.18</v>
      </c>
      <c r="X24" s="6">
        <v>0</v>
      </c>
      <c r="Y24" s="6">
        <v>0</v>
      </c>
      <c r="Z24" s="6">
        <f>0.142-0.125</f>
        <v>1.6999999999999987E-2</v>
      </c>
      <c r="AA24" s="6">
        <f>0.159-0.125</f>
        <v>3.4000000000000002E-2</v>
      </c>
      <c r="AB24" s="6">
        <f>2-0.33</f>
        <v>1.67</v>
      </c>
      <c r="AC24" s="6">
        <f>0.277-0.125</f>
        <v>0.15200000000000002</v>
      </c>
      <c r="AD24" s="6">
        <v>0</v>
      </c>
      <c r="AE24" s="6">
        <v>0.151</v>
      </c>
      <c r="AF24" s="6">
        <v>0</v>
      </c>
      <c r="AG24" s="7">
        <f t="shared" si="4"/>
        <v>14.203999999999999</v>
      </c>
      <c r="AH24" s="7">
        <f t="shared" si="2"/>
        <v>2.0291428571428569</v>
      </c>
      <c r="AI24" s="7">
        <f t="shared" si="1"/>
        <v>0.33819047619047615</v>
      </c>
      <c r="AJ24" s="6">
        <v>30</v>
      </c>
      <c r="AK24" s="6">
        <f t="shared" si="3"/>
        <v>0.47346666666666665</v>
      </c>
    </row>
    <row r="25" spans="1:37" ht="15.5" x14ac:dyDescent="0.35">
      <c r="A25" s="3">
        <v>23</v>
      </c>
      <c r="B25" s="4" t="s">
        <v>107</v>
      </c>
      <c r="C25" s="5" t="s">
        <v>42</v>
      </c>
      <c r="D25" s="5" t="s">
        <v>43</v>
      </c>
      <c r="E25" s="8" t="s">
        <v>102</v>
      </c>
      <c r="F25" s="5" t="s">
        <v>45</v>
      </c>
      <c r="G25" s="5">
        <v>3</v>
      </c>
      <c r="H25" s="8" t="s">
        <v>46</v>
      </c>
      <c r="I25" s="8" t="s">
        <v>47</v>
      </c>
      <c r="J25" s="8" t="s">
        <v>78</v>
      </c>
      <c r="K25" s="8" t="s">
        <v>79</v>
      </c>
      <c r="L25" s="8" t="s">
        <v>64</v>
      </c>
      <c r="M25" s="8" t="s">
        <v>51</v>
      </c>
      <c r="N25" s="8" t="s">
        <v>52</v>
      </c>
      <c r="O25" s="8" t="s">
        <v>53</v>
      </c>
      <c r="P25" s="8" t="s">
        <v>54</v>
      </c>
      <c r="Q25" s="8" t="s">
        <v>55</v>
      </c>
      <c r="R25" s="8" t="s">
        <v>56</v>
      </c>
      <c r="S25" s="8" t="s">
        <v>57</v>
      </c>
      <c r="T25" s="8" t="s">
        <v>84</v>
      </c>
      <c r="U25" s="8" t="s">
        <v>69</v>
      </c>
      <c r="V25" s="8" t="s">
        <v>106</v>
      </c>
      <c r="W25" s="6">
        <f>0.221-0.125</f>
        <v>9.6000000000000002E-2</v>
      </c>
      <c r="X25" s="6">
        <v>0</v>
      </c>
      <c r="Y25" s="6">
        <v>0</v>
      </c>
      <c r="Z25" s="6">
        <v>0</v>
      </c>
      <c r="AA25" s="6">
        <f>0.15+0.148-0.125*2</f>
        <v>4.7999999999999987E-2</v>
      </c>
      <c r="AB25" s="6">
        <f>0.177-0.125</f>
        <v>5.1999999999999991E-2</v>
      </c>
      <c r="AC25" s="6">
        <f>0.271-0.125</f>
        <v>0.14600000000000002</v>
      </c>
      <c r="AD25" s="6">
        <v>0</v>
      </c>
      <c r="AE25" s="6">
        <v>0</v>
      </c>
      <c r="AF25" s="6">
        <v>0</v>
      </c>
      <c r="AG25" s="7">
        <f t="shared" si="4"/>
        <v>0.34199999999999997</v>
      </c>
      <c r="AH25" s="7">
        <f t="shared" si="2"/>
        <v>4.8857142857142856E-2</v>
      </c>
      <c r="AI25" s="7">
        <f t="shared" si="1"/>
        <v>1.6285714285714285E-2</v>
      </c>
      <c r="AJ25" s="6">
        <v>4</v>
      </c>
      <c r="AK25" s="6">
        <f t="shared" si="3"/>
        <v>8.5499999999999993E-2</v>
      </c>
    </row>
    <row r="26" spans="1:37" ht="15.5" x14ac:dyDescent="0.35">
      <c r="A26" s="3">
        <v>24</v>
      </c>
      <c r="B26" s="4" t="s">
        <v>164</v>
      </c>
      <c r="C26" s="5" t="s">
        <v>42</v>
      </c>
      <c r="D26" s="5" t="s">
        <v>43</v>
      </c>
      <c r="E26" s="8" t="s">
        <v>102</v>
      </c>
      <c r="F26" s="5" t="s">
        <v>45</v>
      </c>
      <c r="G26" s="5">
        <v>3</v>
      </c>
      <c r="H26" s="8" t="s">
        <v>46</v>
      </c>
      <c r="I26" s="8" t="s">
        <v>47</v>
      </c>
      <c r="J26" s="8" t="s">
        <v>78</v>
      </c>
      <c r="K26" s="8" t="s">
        <v>49</v>
      </c>
      <c r="L26" s="8" t="s">
        <v>64</v>
      </c>
      <c r="M26" s="8" t="s">
        <v>72</v>
      </c>
      <c r="N26" s="8" t="s">
        <v>52</v>
      </c>
      <c r="O26" s="8" t="s">
        <v>53</v>
      </c>
      <c r="P26" s="8" t="s">
        <v>54</v>
      </c>
      <c r="Q26" s="8" t="s">
        <v>55</v>
      </c>
      <c r="R26" s="8" t="s">
        <v>56</v>
      </c>
      <c r="S26" s="8" t="s">
        <v>57</v>
      </c>
      <c r="T26" s="8" t="s">
        <v>58</v>
      </c>
      <c r="U26" s="8" t="s">
        <v>69</v>
      </c>
      <c r="V26" s="8" t="s">
        <v>106</v>
      </c>
      <c r="W26" s="6">
        <f>0.689-0.125</f>
        <v>0.56399999999999995</v>
      </c>
      <c r="X26" s="6">
        <v>0</v>
      </c>
      <c r="Y26" s="6">
        <v>0</v>
      </c>
      <c r="Z26" s="6">
        <v>0</v>
      </c>
      <c r="AA26" s="6">
        <v>0</v>
      </c>
      <c r="AB26" s="6">
        <f>0.204-0.125</f>
        <v>7.8999999999999987E-2</v>
      </c>
      <c r="AC26" s="6">
        <v>0.14199999999999999</v>
      </c>
      <c r="AD26" s="6">
        <v>0</v>
      </c>
      <c r="AE26" s="6">
        <v>0</v>
      </c>
      <c r="AF26" s="6">
        <v>0</v>
      </c>
      <c r="AG26" s="7">
        <f t="shared" si="4"/>
        <v>0.78499999999999992</v>
      </c>
      <c r="AH26" s="7">
        <f t="shared" si="2"/>
        <v>0.11214285714285713</v>
      </c>
      <c r="AI26" s="7">
        <f t="shared" si="1"/>
        <v>3.7380952380952376E-2</v>
      </c>
      <c r="AJ26" s="6">
        <v>8</v>
      </c>
      <c r="AK26" s="6">
        <f t="shared" si="3"/>
        <v>9.812499999999999E-2</v>
      </c>
    </row>
    <row r="27" spans="1:37" ht="15.5" x14ac:dyDescent="0.35">
      <c r="A27" s="3">
        <v>25</v>
      </c>
      <c r="B27" s="4" t="s">
        <v>108</v>
      </c>
      <c r="C27" s="13" t="s">
        <v>42</v>
      </c>
      <c r="D27" s="13" t="s">
        <v>43</v>
      </c>
      <c r="E27" s="14" t="s">
        <v>102</v>
      </c>
      <c r="F27" s="13" t="s">
        <v>45</v>
      </c>
      <c r="G27" s="13">
        <v>4</v>
      </c>
      <c r="H27" s="14" t="s">
        <v>46</v>
      </c>
      <c r="I27" s="14" t="s">
        <v>47</v>
      </c>
      <c r="J27" s="14" t="s">
        <v>48</v>
      </c>
      <c r="K27" s="14" t="s">
        <v>79</v>
      </c>
      <c r="L27" s="14" t="s">
        <v>50</v>
      </c>
      <c r="M27" s="14" t="s">
        <v>51</v>
      </c>
      <c r="N27" s="14" t="s">
        <v>87</v>
      </c>
      <c r="O27" s="14" t="s">
        <v>53</v>
      </c>
      <c r="P27" s="14" t="s">
        <v>54</v>
      </c>
      <c r="Q27" s="14" t="s">
        <v>55</v>
      </c>
      <c r="R27" s="14" t="s">
        <v>56</v>
      </c>
      <c r="S27" s="14" t="s">
        <v>57</v>
      </c>
      <c r="T27" s="14" t="s">
        <v>58</v>
      </c>
      <c r="U27" s="14" t="s">
        <v>69</v>
      </c>
      <c r="V27" s="14" t="s">
        <v>106</v>
      </c>
      <c r="W27" s="15">
        <v>7.1</v>
      </c>
      <c r="X27" s="16">
        <v>0</v>
      </c>
      <c r="Y27" s="16">
        <v>0</v>
      </c>
      <c r="Z27" s="16">
        <f>0.405-0.125</f>
        <v>0.28000000000000003</v>
      </c>
      <c r="AA27" s="16">
        <v>0</v>
      </c>
      <c r="AB27" s="16">
        <f>0.585-0.125</f>
        <v>0.45999999999999996</v>
      </c>
      <c r="AC27" s="16">
        <f>0.22-0.125</f>
        <v>9.5000000000000001E-2</v>
      </c>
      <c r="AD27" s="16">
        <v>0</v>
      </c>
      <c r="AE27" s="16">
        <v>0</v>
      </c>
      <c r="AF27" s="17">
        <v>0</v>
      </c>
      <c r="AG27" s="18">
        <f t="shared" si="4"/>
        <v>7.9349999999999996</v>
      </c>
      <c r="AH27" s="18">
        <f t="shared" si="2"/>
        <v>1.1335714285714285</v>
      </c>
      <c r="AI27" s="7">
        <f t="shared" si="1"/>
        <v>0.28339285714285711</v>
      </c>
      <c r="AJ27" s="16">
        <v>20</v>
      </c>
      <c r="AK27" s="16">
        <f t="shared" si="3"/>
        <v>0.39674999999999999</v>
      </c>
    </row>
    <row r="28" spans="1:37" ht="15.5" x14ac:dyDescent="0.35">
      <c r="A28" s="3">
        <v>26</v>
      </c>
      <c r="B28" s="4" t="s">
        <v>109</v>
      </c>
      <c r="C28" s="5" t="s">
        <v>42</v>
      </c>
      <c r="D28" s="5" t="s">
        <v>43</v>
      </c>
      <c r="E28" s="8" t="s">
        <v>102</v>
      </c>
      <c r="F28" s="5" t="s">
        <v>45</v>
      </c>
      <c r="G28" s="5">
        <v>2</v>
      </c>
      <c r="H28" s="8" t="s">
        <v>62</v>
      </c>
      <c r="I28" s="8" t="s">
        <v>47</v>
      </c>
      <c r="J28" s="8" t="s">
        <v>48</v>
      </c>
      <c r="K28" s="8" t="s">
        <v>49</v>
      </c>
      <c r="L28" s="8" t="s">
        <v>50</v>
      </c>
      <c r="M28" s="8" t="s">
        <v>51</v>
      </c>
      <c r="N28" s="8" t="s">
        <v>52</v>
      </c>
      <c r="O28" s="8" t="s">
        <v>53</v>
      </c>
      <c r="P28" s="8" t="s">
        <v>54</v>
      </c>
      <c r="Q28" s="8" t="s">
        <v>55</v>
      </c>
      <c r="R28" s="8" t="s">
        <v>56</v>
      </c>
      <c r="S28" s="8" t="s">
        <v>57</v>
      </c>
      <c r="T28" s="8" t="s">
        <v>58</v>
      </c>
      <c r="U28" s="8" t="s">
        <v>59</v>
      </c>
      <c r="V28" s="8" t="s">
        <v>106</v>
      </c>
      <c r="W28" s="19">
        <v>14.06</v>
      </c>
      <c r="X28" s="6">
        <v>0</v>
      </c>
      <c r="Y28" s="6">
        <v>0</v>
      </c>
      <c r="Z28" s="6">
        <v>0</v>
      </c>
      <c r="AA28" s="6">
        <f>0.138-0.125</f>
        <v>1.3000000000000012E-2</v>
      </c>
      <c r="AB28" s="6">
        <f>0.252-0.125</f>
        <v>0.127</v>
      </c>
      <c r="AC28" s="6">
        <f>0.214-0.125</f>
        <v>8.8999999999999996E-2</v>
      </c>
      <c r="AD28" s="6">
        <v>0</v>
      </c>
      <c r="AE28" s="6">
        <f>0.237-0.125</f>
        <v>0.11199999999999999</v>
      </c>
      <c r="AF28" s="20">
        <f>0.332-0.125</f>
        <v>0.20700000000000002</v>
      </c>
      <c r="AG28" s="7">
        <f t="shared" si="4"/>
        <v>14.608000000000002</v>
      </c>
      <c r="AH28" s="7">
        <f t="shared" si="2"/>
        <v>2.0868571428571432</v>
      </c>
      <c r="AI28" s="7">
        <f t="shared" si="1"/>
        <v>1.0434285714285716</v>
      </c>
      <c r="AJ28" s="6">
        <v>34</v>
      </c>
      <c r="AK28" s="6">
        <f t="shared" si="3"/>
        <v>0.42964705882352949</v>
      </c>
    </row>
    <row r="29" spans="1:37" ht="15.5" x14ac:dyDescent="0.35">
      <c r="A29" s="3">
        <v>27</v>
      </c>
      <c r="B29" s="4" t="s">
        <v>110</v>
      </c>
      <c r="C29" s="5" t="s">
        <v>42</v>
      </c>
      <c r="D29" s="5" t="s">
        <v>43</v>
      </c>
      <c r="E29" s="8" t="s">
        <v>102</v>
      </c>
      <c r="F29" s="5" t="s">
        <v>45</v>
      </c>
      <c r="G29" s="5">
        <v>5</v>
      </c>
      <c r="H29" s="8" t="s">
        <v>46</v>
      </c>
      <c r="I29" s="8" t="s">
        <v>47</v>
      </c>
      <c r="J29" s="8" t="s">
        <v>48</v>
      </c>
      <c r="K29" s="8" t="s">
        <v>49</v>
      </c>
      <c r="L29" s="8" t="s">
        <v>50</v>
      </c>
      <c r="M29" s="8" t="s">
        <v>51</v>
      </c>
      <c r="N29" s="8" t="s">
        <v>138</v>
      </c>
      <c r="O29" s="8" t="s">
        <v>53</v>
      </c>
      <c r="P29" s="8" t="s">
        <v>54</v>
      </c>
      <c r="Q29" s="8" t="s">
        <v>55</v>
      </c>
      <c r="R29" s="8" t="s">
        <v>56</v>
      </c>
      <c r="S29" s="8" t="s">
        <v>57</v>
      </c>
      <c r="T29" s="8" t="s">
        <v>58</v>
      </c>
      <c r="U29" s="8" t="s">
        <v>59</v>
      </c>
      <c r="V29" s="8" t="s">
        <v>106</v>
      </c>
      <c r="W29" s="7">
        <v>29.38</v>
      </c>
      <c r="X29" s="7">
        <v>9.35</v>
      </c>
      <c r="Y29" s="6">
        <v>0</v>
      </c>
      <c r="Z29" s="6">
        <v>0</v>
      </c>
      <c r="AA29" s="6">
        <v>0</v>
      </c>
      <c r="AB29" s="7">
        <v>3.28</v>
      </c>
      <c r="AC29" s="7">
        <v>1.99</v>
      </c>
      <c r="AD29" s="6">
        <v>0</v>
      </c>
      <c r="AE29" s="6">
        <v>0</v>
      </c>
      <c r="AF29" s="20">
        <v>0</v>
      </c>
      <c r="AG29" s="7">
        <f>34+10</f>
        <v>44</v>
      </c>
      <c r="AH29" s="7">
        <f t="shared" si="2"/>
        <v>6.2857142857142856</v>
      </c>
      <c r="AI29" s="7">
        <f t="shared" si="1"/>
        <v>1.2571428571428571</v>
      </c>
      <c r="AJ29" s="7">
        <v>140</v>
      </c>
      <c r="AK29" s="7">
        <f t="shared" si="3"/>
        <v>0.31428571428571428</v>
      </c>
    </row>
    <row r="30" spans="1:37" ht="15.5" x14ac:dyDescent="0.35">
      <c r="A30" s="3">
        <v>28</v>
      </c>
      <c r="B30" s="4" t="s">
        <v>111</v>
      </c>
      <c r="C30" s="5" t="s">
        <v>42</v>
      </c>
      <c r="D30" s="5" t="s">
        <v>43</v>
      </c>
      <c r="E30" s="8" t="s">
        <v>102</v>
      </c>
      <c r="F30" s="5" t="s">
        <v>45</v>
      </c>
      <c r="G30" s="5">
        <v>3</v>
      </c>
      <c r="H30" s="8" t="s">
        <v>62</v>
      </c>
      <c r="I30" s="8" t="s">
        <v>47</v>
      </c>
      <c r="J30" s="8" t="s">
        <v>83</v>
      </c>
      <c r="K30" s="8" t="s">
        <v>49</v>
      </c>
      <c r="L30" s="8" t="s">
        <v>50</v>
      </c>
      <c r="M30" s="8" t="s">
        <v>51</v>
      </c>
      <c r="N30" s="8" t="s">
        <v>52</v>
      </c>
      <c r="O30" s="8" t="s">
        <v>53</v>
      </c>
      <c r="P30" s="8" t="s">
        <v>80</v>
      </c>
      <c r="Q30" s="8" t="s">
        <v>55</v>
      </c>
      <c r="R30" s="8" t="s">
        <v>56</v>
      </c>
      <c r="S30" s="8" t="s">
        <v>57</v>
      </c>
      <c r="T30" s="8" t="s">
        <v>84</v>
      </c>
      <c r="U30" s="8" t="s">
        <v>59</v>
      </c>
      <c r="V30" s="8" t="s">
        <v>106</v>
      </c>
      <c r="W30" s="6">
        <v>6.68</v>
      </c>
      <c r="X30" s="6">
        <v>0</v>
      </c>
      <c r="Y30" s="6">
        <v>0</v>
      </c>
      <c r="Z30" s="6">
        <v>0</v>
      </c>
      <c r="AA30" s="6">
        <v>2.9000000000000001E-2</v>
      </c>
      <c r="AB30" s="6">
        <f>0.505-0.125</f>
        <v>0.38</v>
      </c>
      <c r="AC30" s="6">
        <f>0.157-0.125</f>
        <v>3.2000000000000001E-2</v>
      </c>
      <c r="AD30" s="6">
        <v>0</v>
      </c>
      <c r="AE30" s="6">
        <v>0</v>
      </c>
      <c r="AF30" s="20">
        <f>0.362-0.125</f>
        <v>0.23699999999999999</v>
      </c>
      <c r="AG30" s="7">
        <f t="shared" ref="AG30:AG41" si="5">SUM(W30:AF30)</f>
        <v>7.3579999999999997</v>
      </c>
      <c r="AH30" s="7">
        <f t="shared" si="2"/>
        <v>1.0511428571428572</v>
      </c>
      <c r="AI30" s="7">
        <f t="shared" si="1"/>
        <v>0.3503809523809524</v>
      </c>
      <c r="AJ30" s="6">
        <v>18</v>
      </c>
      <c r="AK30" s="6">
        <f t="shared" si="3"/>
        <v>0.40877777777777774</v>
      </c>
    </row>
    <row r="31" spans="1:37" ht="15.5" x14ac:dyDescent="0.35">
      <c r="A31" s="3">
        <v>29</v>
      </c>
      <c r="B31" s="4" t="s">
        <v>145</v>
      </c>
      <c r="C31" s="5" t="s">
        <v>42</v>
      </c>
      <c r="D31" s="5" t="s">
        <v>43</v>
      </c>
      <c r="E31" s="8" t="s">
        <v>117</v>
      </c>
      <c r="F31" s="5" t="s">
        <v>45</v>
      </c>
      <c r="G31" s="5">
        <v>8</v>
      </c>
      <c r="H31" s="8" t="s">
        <v>75</v>
      </c>
      <c r="I31" s="8" t="s">
        <v>71</v>
      </c>
      <c r="J31" s="8" t="s">
        <v>83</v>
      </c>
      <c r="K31" s="8" t="s">
        <v>76</v>
      </c>
      <c r="L31" s="8" t="s">
        <v>50</v>
      </c>
      <c r="M31" s="8" t="s">
        <v>72</v>
      </c>
      <c r="N31" s="8" t="s">
        <v>87</v>
      </c>
      <c r="O31" s="8" t="s">
        <v>67</v>
      </c>
      <c r="P31" s="8" t="s">
        <v>54</v>
      </c>
      <c r="Q31" s="8" t="s">
        <v>55</v>
      </c>
      <c r="R31" s="8" t="s">
        <v>56</v>
      </c>
      <c r="S31" s="8" t="s">
        <v>57</v>
      </c>
      <c r="T31" s="8" t="s">
        <v>58</v>
      </c>
      <c r="U31" s="8" t="s">
        <v>69</v>
      </c>
      <c r="V31" s="8" t="s">
        <v>106</v>
      </c>
      <c r="W31" s="6">
        <v>5.26</v>
      </c>
      <c r="X31" s="6">
        <v>0</v>
      </c>
      <c r="Y31" s="6">
        <v>0</v>
      </c>
      <c r="Z31" s="6">
        <f>0.463-0.33</f>
        <v>0.13300000000000001</v>
      </c>
      <c r="AA31" s="6">
        <f>0.322-0.125</f>
        <v>0.19700000000000001</v>
      </c>
      <c r="AB31" s="15">
        <f>1.591-0.33</f>
        <v>1.2609999999999999</v>
      </c>
      <c r="AC31" s="6">
        <v>1.18</v>
      </c>
      <c r="AD31" s="6">
        <v>0</v>
      </c>
      <c r="AE31" s="6">
        <v>0</v>
      </c>
      <c r="AF31" s="20">
        <v>0</v>
      </c>
      <c r="AG31" s="7">
        <f t="shared" si="5"/>
        <v>8.0310000000000006</v>
      </c>
      <c r="AH31" s="7">
        <f t="shared" si="2"/>
        <v>1.1472857142857145</v>
      </c>
      <c r="AI31" s="7">
        <f t="shared" si="1"/>
        <v>0.14341071428571431</v>
      </c>
      <c r="AJ31" s="6">
        <v>24</v>
      </c>
      <c r="AK31" s="6">
        <f t="shared" si="3"/>
        <v>0.33462500000000001</v>
      </c>
    </row>
    <row r="32" spans="1:37" ht="15.5" x14ac:dyDescent="0.35">
      <c r="A32" s="3">
        <v>30</v>
      </c>
      <c r="B32" s="4" t="s">
        <v>146</v>
      </c>
      <c r="C32" s="5" t="s">
        <v>42</v>
      </c>
      <c r="D32" s="5" t="s">
        <v>43</v>
      </c>
      <c r="E32" s="8" t="s">
        <v>117</v>
      </c>
      <c r="F32" s="5" t="s">
        <v>45</v>
      </c>
      <c r="G32" s="5">
        <v>3</v>
      </c>
      <c r="H32" s="8" t="s">
        <v>62</v>
      </c>
      <c r="I32" s="8" t="s">
        <v>47</v>
      </c>
      <c r="J32" s="8" t="s">
        <v>78</v>
      </c>
      <c r="K32" s="8" t="s">
        <v>103</v>
      </c>
      <c r="L32" s="8" t="s">
        <v>64</v>
      </c>
      <c r="M32" s="8" t="s">
        <v>72</v>
      </c>
      <c r="N32" s="8" t="s">
        <v>66</v>
      </c>
      <c r="O32" s="8" t="s">
        <v>67</v>
      </c>
      <c r="P32" s="8" t="s">
        <v>54</v>
      </c>
      <c r="Q32" s="8" t="s">
        <v>55</v>
      </c>
      <c r="R32" s="8" t="s">
        <v>56</v>
      </c>
      <c r="S32" s="8" t="s">
        <v>57</v>
      </c>
      <c r="T32" s="8" t="s">
        <v>81</v>
      </c>
      <c r="U32" s="8" t="s">
        <v>69</v>
      </c>
      <c r="V32" s="8" t="s">
        <v>106</v>
      </c>
      <c r="W32" s="6">
        <v>1.38</v>
      </c>
      <c r="X32" s="6">
        <v>0</v>
      </c>
      <c r="Y32" s="6">
        <v>0</v>
      </c>
      <c r="Z32" s="6">
        <v>0</v>
      </c>
      <c r="AA32" s="6">
        <f>0.296-0.125</f>
        <v>0.17099999999999999</v>
      </c>
      <c r="AB32" s="15">
        <f>0.342-0.125</f>
        <v>0.21700000000000003</v>
      </c>
      <c r="AC32" s="6">
        <f>0.419-0.33</f>
        <v>8.8999999999999968E-2</v>
      </c>
      <c r="AD32" s="6">
        <v>0</v>
      </c>
      <c r="AE32" s="6">
        <f>0.163-0.125</f>
        <v>3.8000000000000006E-2</v>
      </c>
      <c r="AF32" s="20">
        <v>0</v>
      </c>
      <c r="AG32" s="7">
        <f t="shared" si="5"/>
        <v>1.895</v>
      </c>
      <c r="AH32" s="7">
        <f t="shared" si="2"/>
        <v>0.27071428571428574</v>
      </c>
      <c r="AI32" s="7">
        <f t="shared" si="1"/>
        <v>9.0238095238095242E-2</v>
      </c>
      <c r="AJ32" s="6">
        <v>4</v>
      </c>
      <c r="AK32" s="6">
        <f t="shared" si="3"/>
        <v>0.47375</v>
      </c>
    </row>
    <row r="33" spans="1:37" ht="15.5" x14ac:dyDescent="0.35">
      <c r="A33" s="3">
        <v>31</v>
      </c>
      <c r="B33" s="4" t="s">
        <v>112</v>
      </c>
      <c r="C33" s="5" t="s">
        <v>42</v>
      </c>
      <c r="D33" s="5" t="s">
        <v>43</v>
      </c>
      <c r="E33" s="8" t="s">
        <v>120</v>
      </c>
      <c r="F33" s="5" t="s">
        <v>45</v>
      </c>
      <c r="G33" s="5">
        <v>2</v>
      </c>
      <c r="H33" s="8" t="s">
        <v>75</v>
      </c>
      <c r="I33" s="8" t="s">
        <v>71</v>
      </c>
      <c r="J33" s="8" t="s">
        <v>63</v>
      </c>
      <c r="K33" s="8" t="s">
        <v>76</v>
      </c>
      <c r="L33" s="8" t="s">
        <v>50</v>
      </c>
      <c r="M33" s="8" t="s">
        <v>65</v>
      </c>
      <c r="N33" s="8" t="s">
        <v>66</v>
      </c>
      <c r="O33" s="8" t="s">
        <v>67</v>
      </c>
      <c r="P33" s="8" t="s">
        <v>54</v>
      </c>
      <c r="Q33" s="8" t="s">
        <v>55</v>
      </c>
      <c r="R33" s="8" t="s">
        <v>56</v>
      </c>
      <c r="S33" s="8" t="s">
        <v>57</v>
      </c>
      <c r="T33" s="8" t="s">
        <v>58</v>
      </c>
      <c r="U33" s="8" t="s">
        <v>59</v>
      </c>
      <c r="V33" s="8" t="s">
        <v>106</v>
      </c>
      <c r="W33" s="6">
        <v>8.24</v>
      </c>
      <c r="X33" s="6">
        <v>0</v>
      </c>
      <c r="Y33" s="6">
        <v>0</v>
      </c>
      <c r="Z33" s="6">
        <v>7.0000000000000007E-2</v>
      </c>
      <c r="AA33" s="6">
        <f>0.216-0.125</f>
        <v>9.0999999999999998E-2</v>
      </c>
      <c r="AB33" s="6">
        <f>0.571-0.125</f>
        <v>0.44599999999999995</v>
      </c>
      <c r="AC33" s="6">
        <f>0.164-0.125</f>
        <v>3.9000000000000007E-2</v>
      </c>
      <c r="AD33" s="6">
        <v>0</v>
      </c>
      <c r="AE33" s="6">
        <v>0</v>
      </c>
      <c r="AF33" s="20">
        <v>0</v>
      </c>
      <c r="AG33" s="7">
        <f t="shared" si="5"/>
        <v>8.8859999999999992</v>
      </c>
      <c r="AH33" s="7">
        <f t="shared" si="2"/>
        <v>1.2694285714285714</v>
      </c>
      <c r="AI33" s="7">
        <f t="shared" si="1"/>
        <v>0.63471428571428568</v>
      </c>
      <c r="AJ33" s="6">
        <v>20</v>
      </c>
      <c r="AK33" s="6">
        <f t="shared" si="3"/>
        <v>0.44429999999999997</v>
      </c>
    </row>
    <row r="34" spans="1:37" ht="15.5" x14ac:dyDescent="0.35">
      <c r="A34" s="3">
        <v>32</v>
      </c>
      <c r="B34" s="4" t="s">
        <v>113</v>
      </c>
      <c r="C34" s="5" t="s">
        <v>42</v>
      </c>
      <c r="D34" s="5" t="s">
        <v>43</v>
      </c>
      <c r="E34" s="8" t="s">
        <v>120</v>
      </c>
      <c r="F34" s="5" t="s">
        <v>45</v>
      </c>
      <c r="G34" s="5">
        <v>4</v>
      </c>
      <c r="H34" s="8" t="s">
        <v>46</v>
      </c>
      <c r="I34" s="8" t="s">
        <v>47</v>
      </c>
      <c r="J34" s="8" t="s">
        <v>48</v>
      </c>
      <c r="K34" s="8" t="s">
        <v>79</v>
      </c>
      <c r="L34" s="8" t="s">
        <v>64</v>
      </c>
      <c r="M34" s="8" t="s">
        <v>51</v>
      </c>
      <c r="N34" s="8" t="s">
        <v>52</v>
      </c>
      <c r="O34" s="8" t="s">
        <v>53</v>
      </c>
      <c r="P34" s="8" t="s">
        <v>54</v>
      </c>
      <c r="Q34" s="8" t="s">
        <v>55</v>
      </c>
      <c r="R34" s="8" t="s">
        <v>56</v>
      </c>
      <c r="S34" s="8" t="s">
        <v>57</v>
      </c>
      <c r="T34" s="8" t="s">
        <v>84</v>
      </c>
      <c r="U34" s="8" t="s">
        <v>69</v>
      </c>
      <c r="V34" s="8" t="s">
        <v>106</v>
      </c>
      <c r="W34" s="6">
        <v>4</v>
      </c>
      <c r="X34" s="6">
        <v>0</v>
      </c>
      <c r="Y34" s="6">
        <v>0</v>
      </c>
      <c r="Z34" s="6">
        <v>0</v>
      </c>
      <c r="AA34" s="6">
        <f>0.175-0.125</f>
        <v>4.9999999999999989E-2</v>
      </c>
      <c r="AB34" s="6">
        <f>0.246-0.125</f>
        <v>0.121</v>
      </c>
      <c r="AC34" s="6">
        <v>0</v>
      </c>
      <c r="AD34" s="6">
        <v>0</v>
      </c>
      <c r="AE34" s="6">
        <v>0</v>
      </c>
      <c r="AF34" s="20">
        <v>0</v>
      </c>
      <c r="AG34" s="7">
        <f t="shared" si="5"/>
        <v>4.1709999999999994</v>
      </c>
      <c r="AH34" s="7">
        <f t="shared" si="2"/>
        <v>0.59585714285714275</v>
      </c>
      <c r="AI34" s="7">
        <f t="shared" si="1"/>
        <v>0.14896428571428569</v>
      </c>
      <c r="AJ34" s="6">
        <v>8</v>
      </c>
      <c r="AK34" s="6">
        <f t="shared" si="3"/>
        <v>0.52137499999999992</v>
      </c>
    </row>
    <row r="35" spans="1:37" ht="15.5" x14ac:dyDescent="0.35">
      <c r="A35" s="3">
        <v>33</v>
      </c>
      <c r="B35" s="4" t="s">
        <v>147</v>
      </c>
      <c r="C35" s="5" t="s">
        <v>42</v>
      </c>
      <c r="D35" s="5" t="s">
        <v>43</v>
      </c>
      <c r="E35" s="8" t="s">
        <v>120</v>
      </c>
      <c r="F35" s="5" t="s">
        <v>45</v>
      </c>
      <c r="G35" s="5">
        <v>6</v>
      </c>
      <c r="H35" s="8" t="s">
        <v>62</v>
      </c>
      <c r="I35" s="8" t="s">
        <v>47</v>
      </c>
      <c r="J35" s="8" t="s">
        <v>48</v>
      </c>
      <c r="K35" s="8" t="s">
        <v>49</v>
      </c>
      <c r="L35" s="8" t="s">
        <v>64</v>
      </c>
      <c r="M35" s="8" t="s">
        <v>51</v>
      </c>
      <c r="N35" s="8" t="s">
        <v>66</v>
      </c>
      <c r="O35" s="8" t="s">
        <v>53</v>
      </c>
      <c r="P35" s="8" t="s">
        <v>54</v>
      </c>
      <c r="Q35" s="8" t="s">
        <v>55</v>
      </c>
      <c r="R35" s="8" t="s">
        <v>56</v>
      </c>
      <c r="S35" s="8" t="s">
        <v>57</v>
      </c>
      <c r="T35" s="8" t="s">
        <v>84</v>
      </c>
      <c r="U35" s="8" t="s">
        <v>59</v>
      </c>
      <c r="V35" s="8" t="s">
        <v>106</v>
      </c>
      <c r="W35" s="6">
        <v>18</v>
      </c>
      <c r="X35" s="6">
        <v>0</v>
      </c>
      <c r="Y35" s="6">
        <v>0</v>
      </c>
      <c r="Z35" s="6">
        <v>0</v>
      </c>
      <c r="AA35" s="6">
        <f>0.198-0.125</f>
        <v>7.3000000000000009E-2</v>
      </c>
      <c r="AB35" s="15">
        <f>3.4-1.5-0.33</f>
        <v>1.5699999999999998</v>
      </c>
      <c r="AC35" s="6">
        <f>1.166-0.5-0.33</f>
        <v>0.33599999999999991</v>
      </c>
      <c r="AD35" s="6">
        <v>0</v>
      </c>
      <c r="AE35" s="6">
        <v>0</v>
      </c>
      <c r="AF35" s="20">
        <v>0</v>
      </c>
      <c r="AG35" s="7">
        <f t="shared" si="5"/>
        <v>19.978999999999999</v>
      </c>
      <c r="AH35" s="7">
        <f t="shared" si="2"/>
        <v>2.8541428571428571</v>
      </c>
      <c r="AI35" s="7">
        <f t="shared" si="1"/>
        <v>0.47569047619047616</v>
      </c>
      <c r="AJ35" s="6">
        <v>74</v>
      </c>
      <c r="AK35" s="6">
        <f t="shared" si="3"/>
        <v>0.26998648648648649</v>
      </c>
    </row>
    <row r="36" spans="1:37" ht="15.5" x14ac:dyDescent="0.35">
      <c r="A36" s="3">
        <v>34</v>
      </c>
      <c r="B36" s="4" t="s">
        <v>149</v>
      </c>
      <c r="C36" s="5" t="s">
        <v>42</v>
      </c>
      <c r="D36" s="5" t="s">
        <v>43</v>
      </c>
      <c r="E36" s="8" t="s">
        <v>120</v>
      </c>
      <c r="F36" s="5" t="s">
        <v>45</v>
      </c>
      <c r="G36" s="5">
        <v>4</v>
      </c>
      <c r="H36" s="8" t="s">
        <v>75</v>
      </c>
      <c r="I36" s="8" t="s">
        <v>71</v>
      </c>
      <c r="J36" s="8" t="s">
        <v>48</v>
      </c>
      <c r="K36" s="8" t="s">
        <v>49</v>
      </c>
      <c r="L36" s="8" t="s">
        <v>50</v>
      </c>
      <c r="M36" s="8" t="s">
        <v>72</v>
      </c>
      <c r="N36" s="8" t="s">
        <v>66</v>
      </c>
      <c r="O36" s="8" t="s">
        <v>67</v>
      </c>
      <c r="P36" s="8" t="s">
        <v>54</v>
      </c>
      <c r="Q36" s="8" t="s">
        <v>55</v>
      </c>
      <c r="R36" s="8" t="s">
        <v>56</v>
      </c>
      <c r="S36" s="8" t="s">
        <v>57</v>
      </c>
      <c r="T36" s="8" t="s">
        <v>58</v>
      </c>
      <c r="U36" s="8" t="s">
        <v>69</v>
      </c>
      <c r="V36" s="8" t="s">
        <v>106</v>
      </c>
      <c r="W36" s="6">
        <v>23.44</v>
      </c>
      <c r="X36" s="6">
        <v>0</v>
      </c>
      <c r="Y36" s="6">
        <v>0</v>
      </c>
      <c r="Z36" s="6">
        <v>0</v>
      </c>
      <c r="AA36" s="6">
        <v>0</v>
      </c>
      <c r="AB36" s="6">
        <v>2.2599999999999998</v>
      </c>
      <c r="AC36" s="15">
        <f>6.68-2.26</f>
        <v>4.42</v>
      </c>
      <c r="AD36" s="6">
        <v>0</v>
      </c>
      <c r="AE36" s="6">
        <v>0</v>
      </c>
      <c r="AF36" s="20">
        <v>10.18</v>
      </c>
      <c r="AG36" s="7">
        <f t="shared" si="5"/>
        <v>40.300000000000004</v>
      </c>
      <c r="AH36" s="7">
        <f t="shared" si="2"/>
        <v>5.757142857142858</v>
      </c>
      <c r="AI36" s="7">
        <f t="shared" si="1"/>
        <v>1.4392857142857145</v>
      </c>
      <c r="AJ36" s="6">
        <v>160</v>
      </c>
      <c r="AK36" s="6">
        <f t="shared" si="3"/>
        <v>0.25187500000000002</v>
      </c>
    </row>
    <row r="37" spans="1:37" ht="15.5" x14ac:dyDescent="0.35">
      <c r="A37" s="3">
        <v>35</v>
      </c>
      <c r="B37" s="4" t="s">
        <v>114</v>
      </c>
      <c r="C37" s="5" t="s">
        <v>42</v>
      </c>
      <c r="D37" s="5" t="s">
        <v>43</v>
      </c>
      <c r="E37" s="8" t="s">
        <v>120</v>
      </c>
      <c r="F37" s="5" t="s">
        <v>45</v>
      </c>
      <c r="G37" s="5">
        <v>8</v>
      </c>
      <c r="H37" s="8" t="s">
        <v>75</v>
      </c>
      <c r="I37" s="8" t="s">
        <v>71</v>
      </c>
      <c r="J37" s="8" t="s">
        <v>48</v>
      </c>
      <c r="K37" s="8" t="s">
        <v>49</v>
      </c>
      <c r="L37" s="8" t="s">
        <v>50</v>
      </c>
      <c r="M37" s="8" t="s">
        <v>72</v>
      </c>
      <c r="N37" s="8" t="s">
        <v>66</v>
      </c>
      <c r="O37" s="8" t="s">
        <v>67</v>
      </c>
      <c r="P37" s="8" t="s">
        <v>54</v>
      </c>
      <c r="Q37" s="8" t="s">
        <v>55</v>
      </c>
      <c r="R37" s="8" t="s">
        <v>56</v>
      </c>
      <c r="S37" s="8" t="s">
        <v>57</v>
      </c>
      <c r="T37" s="8" t="s">
        <v>58</v>
      </c>
      <c r="U37" s="8" t="s">
        <v>59</v>
      </c>
      <c r="V37" s="8" t="s">
        <v>106</v>
      </c>
      <c r="W37" s="6">
        <v>8.6999999999999993</v>
      </c>
      <c r="X37" s="6">
        <v>7.08</v>
      </c>
      <c r="Y37" s="6">
        <v>0</v>
      </c>
      <c r="Z37" s="6">
        <f>0.206-0.125</f>
        <v>8.0999999999999989E-2</v>
      </c>
      <c r="AA37" s="6">
        <f>0.156-0.125</f>
        <v>3.1E-2</v>
      </c>
      <c r="AB37" s="6">
        <f>0.592-0.125</f>
        <v>0.46699999999999997</v>
      </c>
      <c r="AC37" s="6">
        <f>0.174-0.125</f>
        <v>4.8999999999999988E-2</v>
      </c>
      <c r="AD37" s="6">
        <v>0</v>
      </c>
      <c r="AE37" s="6">
        <v>0</v>
      </c>
      <c r="AF37" s="20">
        <v>0</v>
      </c>
      <c r="AG37" s="7">
        <f t="shared" si="5"/>
        <v>16.407999999999998</v>
      </c>
      <c r="AH37" s="7">
        <f t="shared" si="2"/>
        <v>2.3439999999999999</v>
      </c>
      <c r="AI37" s="7">
        <f t="shared" si="1"/>
        <v>0.29299999999999998</v>
      </c>
      <c r="AJ37" s="6">
        <v>44</v>
      </c>
      <c r="AK37" s="6">
        <f t="shared" si="3"/>
        <v>0.37290909090909086</v>
      </c>
    </row>
    <row r="38" spans="1:37" ht="15.5" x14ac:dyDescent="0.35">
      <c r="A38" s="3">
        <v>36</v>
      </c>
      <c r="B38" s="4" t="s">
        <v>115</v>
      </c>
      <c r="C38" s="5" t="s">
        <v>42</v>
      </c>
      <c r="D38" s="5" t="s">
        <v>43</v>
      </c>
      <c r="E38" s="8" t="s">
        <v>120</v>
      </c>
      <c r="F38" s="5" t="s">
        <v>45</v>
      </c>
      <c r="G38" s="5">
        <v>6</v>
      </c>
      <c r="H38" s="8" t="s">
        <v>75</v>
      </c>
      <c r="I38" s="8" t="s">
        <v>47</v>
      </c>
      <c r="J38" s="8" t="s">
        <v>48</v>
      </c>
      <c r="K38" s="8" t="s">
        <v>79</v>
      </c>
      <c r="L38" s="8" t="s">
        <v>64</v>
      </c>
      <c r="M38" s="8" t="s">
        <v>51</v>
      </c>
      <c r="N38" s="8" t="s">
        <v>66</v>
      </c>
      <c r="O38" s="8" t="s">
        <v>67</v>
      </c>
      <c r="P38" s="8" t="s">
        <v>54</v>
      </c>
      <c r="Q38" s="8" t="s">
        <v>55</v>
      </c>
      <c r="R38" s="8" t="s">
        <v>56</v>
      </c>
      <c r="S38" s="8" t="s">
        <v>57</v>
      </c>
      <c r="T38" s="8" t="s">
        <v>81</v>
      </c>
      <c r="U38" s="8" t="s">
        <v>69</v>
      </c>
      <c r="V38" s="8" t="s">
        <v>106</v>
      </c>
      <c r="W38" s="6">
        <f>4.64+4.2+6.44+1.24-1.42-0.33*4</f>
        <v>13.78</v>
      </c>
      <c r="X38" s="6">
        <v>10.99</v>
      </c>
      <c r="Y38" s="6">
        <f>0.355-0.125</f>
        <v>0.22999999999999998</v>
      </c>
      <c r="Z38" s="6">
        <f>1.026-0.125</f>
        <v>0.90100000000000002</v>
      </c>
      <c r="AA38" s="6">
        <f>0.148-0.125</f>
        <v>2.2999999999999993E-2</v>
      </c>
      <c r="AB38" s="6">
        <f>0.737-0.125</f>
        <v>0.61199999999999999</v>
      </c>
      <c r="AC38" s="6">
        <f>0.205-0.125</f>
        <v>7.9999999999999988E-2</v>
      </c>
      <c r="AD38" s="6">
        <v>0</v>
      </c>
      <c r="AE38" s="6">
        <f>0.168-0.125</f>
        <v>4.300000000000001E-2</v>
      </c>
      <c r="AF38" s="20">
        <v>0</v>
      </c>
      <c r="AG38" s="7">
        <f t="shared" si="5"/>
        <v>26.658999999999995</v>
      </c>
      <c r="AH38" s="7">
        <f t="shared" si="2"/>
        <v>3.8084285714285708</v>
      </c>
      <c r="AI38" s="7">
        <f t="shared" si="1"/>
        <v>0.6347380952380951</v>
      </c>
      <c r="AJ38" s="6">
        <v>70</v>
      </c>
      <c r="AK38" s="6">
        <f t="shared" si="3"/>
        <v>0.38084285714285709</v>
      </c>
    </row>
    <row r="39" spans="1:37" ht="15.5" x14ac:dyDescent="0.35">
      <c r="A39" s="3">
        <v>37</v>
      </c>
      <c r="B39" s="4" t="s">
        <v>150</v>
      </c>
      <c r="C39" s="5" t="s">
        <v>42</v>
      </c>
      <c r="D39" s="5" t="s">
        <v>43</v>
      </c>
      <c r="E39" s="8" t="s">
        <v>120</v>
      </c>
      <c r="F39" s="5" t="s">
        <v>45</v>
      </c>
      <c r="G39" s="5">
        <v>7</v>
      </c>
      <c r="H39" s="8" t="s">
        <v>62</v>
      </c>
      <c r="I39" s="8" t="s">
        <v>71</v>
      </c>
      <c r="J39" s="8" t="s">
        <v>48</v>
      </c>
      <c r="K39" s="8" t="s">
        <v>49</v>
      </c>
      <c r="L39" s="8" t="s">
        <v>50</v>
      </c>
      <c r="M39" s="8" t="s">
        <v>72</v>
      </c>
      <c r="N39" s="8" t="s">
        <v>66</v>
      </c>
      <c r="O39" s="8" t="s">
        <v>67</v>
      </c>
      <c r="P39" s="8" t="s">
        <v>54</v>
      </c>
      <c r="Q39" s="8" t="s">
        <v>55</v>
      </c>
      <c r="R39" s="8" t="s">
        <v>56</v>
      </c>
      <c r="S39" s="8" t="s">
        <v>57</v>
      </c>
      <c r="T39" s="8" t="s">
        <v>58</v>
      </c>
      <c r="U39" s="8" t="s">
        <v>69</v>
      </c>
      <c r="V39" s="8" t="s">
        <v>106</v>
      </c>
      <c r="W39" s="6">
        <v>5.66</v>
      </c>
      <c r="X39" s="6">
        <v>0</v>
      </c>
      <c r="Y39" s="6">
        <v>0</v>
      </c>
      <c r="Z39" s="6">
        <v>0</v>
      </c>
      <c r="AA39" s="6">
        <f>0.14-0.125</f>
        <v>1.5000000000000013E-2</v>
      </c>
      <c r="AB39" s="6">
        <f>0.315-0.125</f>
        <v>0.19</v>
      </c>
      <c r="AC39" s="6">
        <f>0.187-0.125</f>
        <v>6.2E-2</v>
      </c>
      <c r="AD39" s="6">
        <v>0</v>
      </c>
      <c r="AE39" s="6">
        <v>0</v>
      </c>
      <c r="AF39" s="20">
        <v>0</v>
      </c>
      <c r="AG39" s="7">
        <f t="shared" si="5"/>
        <v>5.9270000000000005</v>
      </c>
      <c r="AH39" s="7">
        <f t="shared" si="2"/>
        <v>0.84671428571428575</v>
      </c>
      <c r="AI39" s="7">
        <f t="shared" si="1"/>
        <v>0.12095918367346939</v>
      </c>
      <c r="AJ39" s="6">
        <v>12</v>
      </c>
      <c r="AK39" s="6">
        <f t="shared" si="3"/>
        <v>0.49391666666666673</v>
      </c>
    </row>
    <row r="40" spans="1:37" ht="15.5" x14ac:dyDescent="0.35">
      <c r="A40" s="3">
        <v>38</v>
      </c>
      <c r="B40" s="4" t="s">
        <v>166</v>
      </c>
      <c r="C40" s="5" t="s">
        <v>42</v>
      </c>
      <c r="D40" s="5" t="s">
        <v>43</v>
      </c>
      <c r="E40" s="8" t="s">
        <v>120</v>
      </c>
      <c r="F40" s="21" t="s">
        <v>45</v>
      </c>
      <c r="G40" s="21">
        <v>6</v>
      </c>
      <c r="H40" s="22" t="s">
        <v>62</v>
      </c>
      <c r="I40" s="22" t="s">
        <v>47</v>
      </c>
      <c r="J40" s="22" t="s">
        <v>48</v>
      </c>
      <c r="K40" s="22" t="s">
        <v>49</v>
      </c>
      <c r="L40" s="22" t="s">
        <v>50</v>
      </c>
      <c r="M40" s="22" t="s">
        <v>51</v>
      </c>
      <c r="N40" s="22" t="s">
        <v>66</v>
      </c>
      <c r="O40" s="22" t="s">
        <v>53</v>
      </c>
      <c r="P40" s="22" t="s">
        <v>54</v>
      </c>
      <c r="Q40" s="22" t="s">
        <v>55</v>
      </c>
      <c r="R40" s="22" t="s">
        <v>56</v>
      </c>
      <c r="S40" s="22" t="s">
        <v>57</v>
      </c>
      <c r="T40" s="22" t="s">
        <v>84</v>
      </c>
      <c r="U40" s="22" t="s">
        <v>69</v>
      </c>
      <c r="V40" s="22" t="s">
        <v>106</v>
      </c>
      <c r="W40" s="23">
        <f>1.76+0.366-0.125</f>
        <v>2.0009999999999999</v>
      </c>
      <c r="X40" s="23">
        <v>0</v>
      </c>
      <c r="Y40" s="23">
        <v>0</v>
      </c>
      <c r="Z40" s="23">
        <f>0.148-0.125</f>
        <v>2.2999999999999993E-2</v>
      </c>
      <c r="AA40" s="23">
        <v>0</v>
      </c>
      <c r="AB40" s="23">
        <f>0.38-0.125</f>
        <v>0.255</v>
      </c>
      <c r="AC40" s="23">
        <f>0.146-0.125</f>
        <v>2.0999999999999991E-2</v>
      </c>
      <c r="AD40" s="23">
        <v>0</v>
      </c>
      <c r="AE40" s="23">
        <v>0</v>
      </c>
      <c r="AF40" s="23">
        <f>0.209-0.125</f>
        <v>8.3999999999999991E-2</v>
      </c>
      <c r="AG40" s="24">
        <f t="shared" si="5"/>
        <v>2.3839999999999999</v>
      </c>
      <c r="AH40" s="7">
        <f t="shared" si="2"/>
        <v>0.34057142857142858</v>
      </c>
      <c r="AI40" s="7">
        <f t="shared" si="1"/>
        <v>5.6761904761904763E-2</v>
      </c>
      <c r="AJ40" s="23">
        <v>6</v>
      </c>
      <c r="AK40" s="23">
        <f t="shared" si="3"/>
        <v>0.39733333333333332</v>
      </c>
    </row>
    <row r="41" spans="1:37" ht="15.5" x14ac:dyDescent="0.35">
      <c r="A41" s="3">
        <v>39</v>
      </c>
      <c r="B41" s="4" t="s">
        <v>116</v>
      </c>
      <c r="C41" s="5" t="s">
        <v>42</v>
      </c>
      <c r="D41" s="5" t="s">
        <v>43</v>
      </c>
      <c r="E41" s="8" t="s">
        <v>120</v>
      </c>
      <c r="F41" s="5" t="s">
        <v>45</v>
      </c>
      <c r="G41" s="5">
        <v>2</v>
      </c>
      <c r="H41" s="8" t="s">
        <v>46</v>
      </c>
      <c r="I41" s="8" t="s">
        <v>47</v>
      </c>
      <c r="J41" s="8" t="s">
        <v>48</v>
      </c>
      <c r="K41" s="8" t="s">
        <v>49</v>
      </c>
      <c r="L41" s="8" t="s">
        <v>50</v>
      </c>
      <c r="M41" s="8" t="s">
        <v>51</v>
      </c>
      <c r="N41" s="8" t="s">
        <v>52</v>
      </c>
      <c r="O41" s="8" t="s">
        <v>53</v>
      </c>
      <c r="P41" s="8" t="s">
        <v>54</v>
      </c>
      <c r="Q41" s="8" t="s">
        <v>55</v>
      </c>
      <c r="R41" s="8" t="s">
        <v>129</v>
      </c>
      <c r="S41" s="8" t="s">
        <v>57</v>
      </c>
      <c r="T41" s="8" t="s">
        <v>58</v>
      </c>
      <c r="U41" s="69" t="s">
        <v>59</v>
      </c>
      <c r="V41" s="8" t="s">
        <v>106</v>
      </c>
      <c r="W41" s="6">
        <f>5.24+2.5</f>
        <v>7.74</v>
      </c>
      <c r="X41" s="6">
        <v>0</v>
      </c>
      <c r="Y41" s="6">
        <v>0</v>
      </c>
      <c r="Z41" s="6">
        <v>0</v>
      </c>
      <c r="AA41" s="6">
        <f>0.301-0.125</f>
        <v>0.17599999999999999</v>
      </c>
      <c r="AB41" s="6">
        <v>0.03</v>
      </c>
      <c r="AC41" s="6">
        <v>0</v>
      </c>
      <c r="AD41" s="6">
        <v>0</v>
      </c>
      <c r="AE41" s="6">
        <v>0</v>
      </c>
      <c r="AF41" s="6">
        <v>0</v>
      </c>
      <c r="AG41" s="7">
        <f t="shared" si="5"/>
        <v>7.9460000000000006</v>
      </c>
      <c r="AH41" s="7">
        <f>(AG41/7)</f>
        <v>1.1351428571428572</v>
      </c>
      <c r="AI41" s="7">
        <f t="shared" si="1"/>
        <v>0.56757142857142862</v>
      </c>
      <c r="AJ41" s="6">
        <v>10</v>
      </c>
      <c r="AK41" s="6">
        <f t="shared" si="3"/>
        <v>0.79460000000000008</v>
      </c>
    </row>
    <row r="42" spans="1:37" ht="15.5" x14ac:dyDescent="0.35">
      <c r="A42" s="3">
        <v>40</v>
      </c>
      <c r="B42" s="4" t="s">
        <v>167</v>
      </c>
      <c r="C42" s="26" t="s">
        <v>252</v>
      </c>
      <c r="D42" s="26" t="s">
        <v>131</v>
      </c>
      <c r="E42" s="26" t="s">
        <v>132</v>
      </c>
      <c r="F42" s="26" t="s">
        <v>133</v>
      </c>
      <c r="G42" s="28">
        <v>4</v>
      </c>
      <c r="H42" s="29" t="s">
        <v>62</v>
      </c>
      <c r="I42" s="26" t="s">
        <v>47</v>
      </c>
      <c r="J42" s="26" t="s">
        <v>78</v>
      </c>
      <c r="K42" s="26" t="s">
        <v>49</v>
      </c>
      <c r="L42" s="8" t="s">
        <v>64</v>
      </c>
      <c r="M42" s="26" t="s">
        <v>134</v>
      </c>
      <c r="N42" s="29" t="s">
        <v>66</v>
      </c>
      <c r="O42" s="26" t="s">
        <v>135</v>
      </c>
      <c r="P42" s="29" t="s">
        <v>54</v>
      </c>
      <c r="Q42" s="8" t="s">
        <v>55</v>
      </c>
      <c r="R42" s="29" t="s">
        <v>56</v>
      </c>
      <c r="S42" s="26" t="s">
        <v>68</v>
      </c>
      <c r="T42" s="26" t="s">
        <v>136</v>
      </c>
      <c r="U42" s="70" t="s">
        <v>69</v>
      </c>
      <c r="V42" s="29" t="s">
        <v>106</v>
      </c>
      <c r="W42" s="30">
        <v>15</v>
      </c>
      <c r="X42" s="30">
        <v>0</v>
      </c>
      <c r="Y42" s="30">
        <v>0</v>
      </c>
      <c r="Z42" s="30">
        <v>0</v>
      </c>
      <c r="AA42" s="31">
        <f>0.19-0.125</f>
        <v>6.5000000000000002E-2</v>
      </c>
      <c r="AB42" s="31">
        <f>0.569-0.33</f>
        <v>0.23899999999999993</v>
      </c>
      <c r="AC42" s="31">
        <f>0.272-0.125</f>
        <v>0.14700000000000002</v>
      </c>
      <c r="AD42" s="30">
        <v>0</v>
      </c>
      <c r="AE42" s="30">
        <v>0</v>
      </c>
      <c r="AF42" s="30">
        <f>1.51-0.125</f>
        <v>1.385</v>
      </c>
      <c r="AG42" s="32">
        <v>16.84</v>
      </c>
      <c r="AH42" s="33">
        <f>AG42/7</f>
        <v>2.4057142857142857</v>
      </c>
      <c r="AI42" s="33">
        <f t="shared" si="1"/>
        <v>0.60142857142857142</v>
      </c>
      <c r="AJ42" s="34">
        <v>70</v>
      </c>
      <c r="AK42" s="34">
        <v>0.24</v>
      </c>
    </row>
    <row r="43" spans="1:37" ht="15.5" x14ac:dyDescent="0.35">
      <c r="A43" s="3">
        <v>41</v>
      </c>
      <c r="B43" s="4" t="s">
        <v>118</v>
      </c>
      <c r="C43" s="26" t="s">
        <v>252</v>
      </c>
      <c r="D43" s="26" t="s">
        <v>131</v>
      </c>
      <c r="E43" s="26" t="s">
        <v>132</v>
      </c>
      <c r="F43" s="26" t="s">
        <v>133</v>
      </c>
      <c r="G43" s="28">
        <v>2</v>
      </c>
      <c r="H43" s="29" t="s">
        <v>62</v>
      </c>
      <c r="I43" s="26" t="s">
        <v>47</v>
      </c>
      <c r="J43" s="26" t="s">
        <v>258</v>
      </c>
      <c r="K43" s="26" t="s">
        <v>79</v>
      </c>
      <c r="L43" s="5" t="s">
        <v>50</v>
      </c>
      <c r="M43" s="26" t="s">
        <v>134</v>
      </c>
      <c r="N43" s="26" t="s">
        <v>52</v>
      </c>
      <c r="O43" s="26" t="s">
        <v>53</v>
      </c>
      <c r="P43" s="29" t="s">
        <v>54</v>
      </c>
      <c r="Q43" s="8" t="s">
        <v>55</v>
      </c>
      <c r="R43" s="29" t="s">
        <v>56</v>
      </c>
      <c r="S43" s="26" t="s">
        <v>57</v>
      </c>
      <c r="T43" s="26" t="s">
        <v>58</v>
      </c>
      <c r="U43" s="69" t="s">
        <v>59</v>
      </c>
      <c r="V43" s="29" t="s">
        <v>106</v>
      </c>
      <c r="W43" s="30">
        <v>5.46</v>
      </c>
      <c r="X43" s="30">
        <f>0.38-0.125</f>
        <v>0.255</v>
      </c>
      <c r="Y43" s="30">
        <v>0</v>
      </c>
      <c r="Z43" s="30">
        <v>0</v>
      </c>
      <c r="AA43" s="31">
        <f>0.159-0.125</f>
        <v>3.4000000000000002E-2</v>
      </c>
      <c r="AB43" s="31">
        <f>0.31-0.125</f>
        <v>0.185</v>
      </c>
      <c r="AC43" s="31">
        <f>0.214-0.125</f>
        <v>8.8999999999999996E-2</v>
      </c>
      <c r="AD43" s="30">
        <v>0</v>
      </c>
      <c r="AE43" s="30">
        <v>0</v>
      </c>
      <c r="AF43" s="30">
        <f>0.311-0.125</f>
        <v>0.186</v>
      </c>
      <c r="AG43" s="32">
        <v>6.21</v>
      </c>
      <c r="AH43" s="33">
        <f t="shared" ref="AH43:AH105" si="6">AG43/7</f>
        <v>0.88714285714285712</v>
      </c>
      <c r="AI43" s="33">
        <f t="shared" si="1"/>
        <v>0.44357142857142856</v>
      </c>
      <c r="AJ43" s="34">
        <v>8</v>
      </c>
      <c r="AK43" s="34">
        <v>0.78</v>
      </c>
    </row>
    <row r="44" spans="1:37" ht="15.5" x14ac:dyDescent="0.35">
      <c r="A44" s="3">
        <v>42</v>
      </c>
      <c r="B44" s="4" t="s">
        <v>151</v>
      </c>
      <c r="C44" s="26" t="s">
        <v>252</v>
      </c>
      <c r="D44" s="26" t="s">
        <v>131</v>
      </c>
      <c r="E44" s="26" t="s">
        <v>132</v>
      </c>
      <c r="F44" s="26" t="s">
        <v>133</v>
      </c>
      <c r="G44" s="28">
        <v>4</v>
      </c>
      <c r="H44" s="29" t="s">
        <v>62</v>
      </c>
      <c r="I44" s="29" t="s">
        <v>71</v>
      </c>
      <c r="J44" s="29" t="s">
        <v>48</v>
      </c>
      <c r="K44" s="26" t="s">
        <v>79</v>
      </c>
      <c r="L44" s="8" t="s">
        <v>64</v>
      </c>
      <c r="M44" s="26" t="s">
        <v>134</v>
      </c>
      <c r="N44" s="29" t="s">
        <v>138</v>
      </c>
      <c r="O44" s="29" t="s">
        <v>53</v>
      </c>
      <c r="P44" s="29" t="s">
        <v>54</v>
      </c>
      <c r="Q44" s="8" t="s">
        <v>55</v>
      </c>
      <c r="R44" s="29" t="s">
        <v>56</v>
      </c>
      <c r="S44" s="26" t="s">
        <v>68</v>
      </c>
      <c r="T44" s="29" t="s">
        <v>136</v>
      </c>
      <c r="U44" s="70" t="s">
        <v>69</v>
      </c>
      <c r="V44" s="29" t="s">
        <v>106</v>
      </c>
      <c r="W44" s="30">
        <v>19.28</v>
      </c>
      <c r="X44" s="30">
        <v>0</v>
      </c>
      <c r="Y44" s="30">
        <v>0</v>
      </c>
      <c r="Z44" s="30">
        <v>0</v>
      </c>
      <c r="AA44" s="31">
        <f>0.134-0.125</f>
        <v>9.000000000000008E-3</v>
      </c>
      <c r="AB44" s="31">
        <f>0.684-0.33</f>
        <v>0.35400000000000004</v>
      </c>
      <c r="AC44" s="31">
        <f>0.322-0.125</f>
        <v>0.19700000000000001</v>
      </c>
      <c r="AD44" s="30">
        <v>0</v>
      </c>
      <c r="AE44" s="30">
        <v>0</v>
      </c>
      <c r="AF44" s="30">
        <v>0.18</v>
      </c>
      <c r="AG44" s="32">
        <v>20.02</v>
      </c>
      <c r="AH44" s="33">
        <f t="shared" si="6"/>
        <v>2.86</v>
      </c>
      <c r="AI44" s="33">
        <f t="shared" si="1"/>
        <v>0.71499999999999997</v>
      </c>
      <c r="AJ44" s="34">
        <v>40</v>
      </c>
      <c r="AK44" s="34">
        <v>0.5</v>
      </c>
    </row>
    <row r="45" spans="1:37" ht="15.5" x14ac:dyDescent="0.35">
      <c r="A45" s="3">
        <v>43</v>
      </c>
      <c r="B45" s="4" t="s">
        <v>152</v>
      </c>
      <c r="C45" s="26" t="s">
        <v>252</v>
      </c>
      <c r="D45" s="26" t="s">
        <v>131</v>
      </c>
      <c r="E45" s="26" t="s">
        <v>132</v>
      </c>
      <c r="F45" s="26" t="s">
        <v>133</v>
      </c>
      <c r="G45" s="28">
        <v>1</v>
      </c>
      <c r="H45" s="29" t="s">
        <v>62</v>
      </c>
      <c r="I45" s="26" t="s">
        <v>47</v>
      </c>
      <c r="J45" s="71" t="s">
        <v>48</v>
      </c>
      <c r="K45" s="29" t="s">
        <v>49</v>
      </c>
      <c r="L45" s="8" t="s">
        <v>64</v>
      </c>
      <c r="M45" s="8" t="s">
        <v>65</v>
      </c>
      <c r="N45" s="29" t="s">
        <v>66</v>
      </c>
      <c r="O45" s="29" t="s">
        <v>53</v>
      </c>
      <c r="P45" s="29" t="s">
        <v>54</v>
      </c>
      <c r="Q45" s="8" t="s">
        <v>55</v>
      </c>
      <c r="R45" s="29" t="s">
        <v>56</v>
      </c>
      <c r="S45" s="26" t="s">
        <v>57</v>
      </c>
      <c r="T45" s="26" t="s">
        <v>136</v>
      </c>
      <c r="U45" s="70" t="s">
        <v>69</v>
      </c>
      <c r="V45" s="29" t="s">
        <v>106</v>
      </c>
      <c r="W45" s="33">
        <v>5.2</v>
      </c>
      <c r="X45" s="33">
        <v>0</v>
      </c>
      <c r="Y45" s="33">
        <v>0</v>
      </c>
      <c r="Z45" s="33">
        <v>0</v>
      </c>
      <c r="AA45" s="35">
        <v>0</v>
      </c>
      <c r="AB45" s="35">
        <f>0.212-0.125</f>
        <v>8.6999999999999994E-2</v>
      </c>
      <c r="AC45" s="35">
        <f>0.44-0.33</f>
        <v>0.10999999999999999</v>
      </c>
      <c r="AD45" s="33">
        <v>0</v>
      </c>
      <c r="AE45" s="33">
        <f>0.22-0.125</f>
        <v>9.5000000000000001E-2</v>
      </c>
      <c r="AF45" s="33">
        <v>0</v>
      </c>
      <c r="AG45" s="32">
        <v>5.49</v>
      </c>
      <c r="AH45" s="33">
        <f t="shared" si="6"/>
        <v>0.78428571428571436</v>
      </c>
      <c r="AI45" s="33">
        <f t="shared" si="1"/>
        <v>0.78428571428571436</v>
      </c>
      <c r="AJ45" s="36">
        <v>8</v>
      </c>
      <c r="AK45" s="36">
        <v>0.69</v>
      </c>
    </row>
    <row r="46" spans="1:37" ht="15.5" x14ac:dyDescent="0.35">
      <c r="A46" s="3">
        <v>44</v>
      </c>
      <c r="B46" s="4" t="s">
        <v>119</v>
      </c>
      <c r="C46" s="26" t="s">
        <v>252</v>
      </c>
      <c r="D46" s="26" t="s">
        <v>131</v>
      </c>
      <c r="E46" s="26" t="s">
        <v>132</v>
      </c>
      <c r="F46" s="26" t="s">
        <v>133</v>
      </c>
      <c r="G46" s="28">
        <v>3</v>
      </c>
      <c r="H46" s="29" t="s">
        <v>62</v>
      </c>
      <c r="I46" s="29" t="s">
        <v>71</v>
      </c>
      <c r="J46" s="26" t="s">
        <v>78</v>
      </c>
      <c r="K46" s="29" t="s">
        <v>79</v>
      </c>
      <c r="L46" s="8" t="s">
        <v>64</v>
      </c>
      <c r="M46" s="29" t="s">
        <v>51</v>
      </c>
      <c r="N46" s="29" t="s">
        <v>66</v>
      </c>
      <c r="O46" s="29" t="s">
        <v>53</v>
      </c>
      <c r="P46" s="29" t="s">
        <v>54</v>
      </c>
      <c r="Q46" s="8" t="s">
        <v>55</v>
      </c>
      <c r="R46" s="29" t="s">
        <v>56</v>
      </c>
      <c r="S46" s="29" t="s">
        <v>68</v>
      </c>
      <c r="T46" s="26" t="s">
        <v>136</v>
      </c>
      <c r="U46" s="70" t="s">
        <v>69</v>
      </c>
      <c r="V46" s="29" t="s">
        <v>106</v>
      </c>
      <c r="W46" s="30">
        <v>10.67</v>
      </c>
      <c r="X46" s="30">
        <v>3.68</v>
      </c>
      <c r="Y46" s="30">
        <v>0</v>
      </c>
      <c r="Z46" s="30">
        <v>0</v>
      </c>
      <c r="AA46" s="31">
        <v>1.56</v>
      </c>
      <c r="AB46" s="31">
        <v>1</v>
      </c>
      <c r="AC46" s="31">
        <v>0.32</v>
      </c>
      <c r="AD46" s="30">
        <v>0.32</v>
      </c>
      <c r="AE46" s="30">
        <v>0</v>
      </c>
      <c r="AF46" s="30">
        <v>0.96</v>
      </c>
      <c r="AG46" s="32">
        <v>18.510000000000002</v>
      </c>
      <c r="AH46" s="33">
        <f t="shared" si="6"/>
        <v>2.6442857142857146</v>
      </c>
      <c r="AI46" s="33">
        <f t="shared" si="1"/>
        <v>0.88142857142857156</v>
      </c>
      <c r="AJ46" s="34">
        <v>50</v>
      </c>
      <c r="AK46" s="34">
        <v>0.37</v>
      </c>
    </row>
    <row r="47" spans="1:37" ht="15.5" x14ac:dyDescent="0.35">
      <c r="A47" s="3">
        <v>45</v>
      </c>
      <c r="B47" s="4" t="s">
        <v>121</v>
      </c>
      <c r="C47" s="26" t="s">
        <v>252</v>
      </c>
      <c r="D47" s="26" t="s">
        <v>131</v>
      </c>
      <c r="E47" s="26" t="s">
        <v>132</v>
      </c>
      <c r="F47" s="26" t="s">
        <v>133</v>
      </c>
      <c r="G47" s="28">
        <v>2</v>
      </c>
      <c r="H47" s="29" t="s">
        <v>46</v>
      </c>
      <c r="I47" s="26" t="s">
        <v>71</v>
      </c>
      <c r="J47" s="26" t="s">
        <v>48</v>
      </c>
      <c r="K47" s="26" t="s">
        <v>49</v>
      </c>
      <c r="L47" s="8" t="s">
        <v>64</v>
      </c>
      <c r="M47" s="26" t="s">
        <v>134</v>
      </c>
      <c r="N47" s="29" t="s">
        <v>138</v>
      </c>
      <c r="O47" s="26" t="s">
        <v>53</v>
      </c>
      <c r="P47" s="29" t="s">
        <v>54</v>
      </c>
      <c r="Q47" s="8" t="s">
        <v>55</v>
      </c>
      <c r="R47" s="29" t="s">
        <v>56</v>
      </c>
      <c r="S47" s="26" t="s">
        <v>57</v>
      </c>
      <c r="T47" s="26" t="s">
        <v>139</v>
      </c>
      <c r="U47" s="69" t="s">
        <v>59</v>
      </c>
      <c r="V47" s="29" t="s">
        <v>140</v>
      </c>
      <c r="W47" s="37">
        <v>5</v>
      </c>
      <c r="X47" s="30">
        <v>2.34</v>
      </c>
      <c r="Y47" s="30">
        <v>0</v>
      </c>
      <c r="Z47" s="30">
        <v>0</v>
      </c>
      <c r="AA47" s="31">
        <v>0.05</v>
      </c>
      <c r="AB47" s="31">
        <v>4.4999999999999998E-2</v>
      </c>
      <c r="AC47" s="31">
        <v>0.24299999999999999</v>
      </c>
      <c r="AD47" s="30">
        <v>0</v>
      </c>
      <c r="AE47" s="30">
        <v>0</v>
      </c>
      <c r="AF47" s="30">
        <v>0.36</v>
      </c>
      <c r="AG47" s="32">
        <f>SUM(W47:AF47)</f>
        <v>8.0380000000000003</v>
      </c>
      <c r="AH47" s="33">
        <f>AG47/7</f>
        <v>1.1482857142857144</v>
      </c>
      <c r="AI47" s="33">
        <f t="shared" si="1"/>
        <v>0.57414285714285718</v>
      </c>
      <c r="AJ47" s="34">
        <v>10</v>
      </c>
      <c r="AK47" s="38">
        <f>AG47/AJ47</f>
        <v>0.80380000000000007</v>
      </c>
    </row>
    <row r="48" spans="1:37" ht="15.5" x14ac:dyDescent="0.35">
      <c r="A48" s="3">
        <v>46</v>
      </c>
      <c r="B48" s="4" t="s">
        <v>122</v>
      </c>
      <c r="C48" s="26" t="s">
        <v>252</v>
      </c>
      <c r="D48" s="26" t="s">
        <v>131</v>
      </c>
      <c r="E48" s="26" t="s">
        <v>132</v>
      </c>
      <c r="F48" s="26" t="s">
        <v>133</v>
      </c>
      <c r="G48" s="28">
        <v>2</v>
      </c>
      <c r="H48" s="29" t="s">
        <v>62</v>
      </c>
      <c r="I48" s="26" t="s">
        <v>47</v>
      </c>
      <c r="J48" s="26" t="s">
        <v>78</v>
      </c>
      <c r="K48" s="26" t="s">
        <v>79</v>
      </c>
      <c r="L48" s="8" t="s">
        <v>64</v>
      </c>
      <c r="M48" s="26" t="s">
        <v>134</v>
      </c>
      <c r="N48" s="29" t="s">
        <v>66</v>
      </c>
      <c r="O48" s="26" t="s">
        <v>135</v>
      </c>
      <c r="P48" s="29" t="s">
        <v>54</v>
      </c>
      <c r="Q48" s="8" t="s">
        <v>55</v>
      </c>
      <c r="R48" s="29" t="s">
        <v>56</v>
      </c>
      <c r="S48" s="26" t="s">
        <v>57</v>
      </c>
      <c r="T48" s="26" t="s">
        <v>58</v>
      </c>
      <c r="U48" s="69" t="s">
        <v>59</v>
      </c>
      <c r="V48" s="29" t="s">
        <v>106</v>
      </c>
      <c r="W48" s="37">
        <v>8.17</v>
      </c>
      <c r="X48" s="30">
        <v>0</v>
      </c>
      <c r="Y48" s="30">
        <v>0</v>
      </c>
      <c r="Z48" s="30">
        <v>0</v>
      </c>
      <c r="AA48" s="31">
        <f>0.472-0.125</f>
        <v>0.34699999999999998</v>
      </c>
      <c r="AB48" s="31">
        <f>0.127-0.125</f>
        <v>2.0000000000000018E-3</v>
      </c>
      <c r="AC48" s="31">
        <v>0</v>
      </c>
      <c r="AD48" s="30">
        <v>0</v>
      </c>
      <c r="AE48" s="30">
        <v>0</v>
      </c>
      <c r="AF48" s="30">
        <f>1.3</f>
        <v>1.3</v>
      </c>
      <c r="AG48" s="32">
        <v>9.82</v>
      </c>
      <c r="AH48" s="33">
        <f>AG48/7</f>
        <v>1.4028571428571428</v>
      </c>
      <c r="AI48" s="33">
        <f t="shared" si="1"/>
        <v>0.7014285714285714</v>
      </c>
      <c r="AJ48" s="34">
        <v>12</v>
      </c>
      <c r="AK48" s="34">
        <v>0.82</v>
      </c>
    </row>
    <row r="49" spans="1:37" ht="15.5" x14ac:dyDescent="0.35">
      <c r="A49" s="3">
        <v>47</v>
      </c>
      <c r="B49" s="4" t="s">
        <v>123</v>
      </c>
      <c r="C49" s="26" t="s">
        <v>252</v>
      </c>
      <c r="D49" s="26" t="s">
        <v>131</v>
      </c>
      <c r="E49" s="26" t="s">
        <v>132</v>
      </c>
      <c r="F49" s="26" t="s">
        <v>133</v>
      </c>
      <c r="G49" s="28">
        <v>1</v>
      </c>
      <c r="H49" s="29" t="s">
        <v>62</v>
      </c>
      <c r="I49" s="26" t="s">
        <v>47</v>
      </c>
      <c r="J49" s="26" t="s">
        <v>78</v>
      </c>
      <c r="K49" s="26" t="s">
        <v>103</v>
      </c>
      <c r="L49" s="8" t="s">
        <v>64</v>
      </c>
      <c r="M49" s="26" t="s">
        <v>51</v>
      </c>
      <c r="N49" s="26" t="s">
        <v>52</v>
      </c>
      <c r="O49" s="26" t="s">
        <v>53</v>
      </c>
      <c r="P49" s="29" t="s">
        <v>54</v>
      </c>
      <c r="Q49" s="8" t="s">
        <v>55</v>
      </c>
      <c r="R49" s="29" t="s">
        <v>56</v>
      </c>
      <c r="S49" s="26" t="s">
        <v>57</v>
      </c>
      <c r="T49" s="26" t="s">
        <v>58</v>
      </c>
      <c r="U49" s="69" t="s">
        <v>59</v>
      </c>
      <c r="V49" s="29" t="s">
        <v>106</v>
      </c>
      <c r="W49" s="39">
        <f>2.286-0.125</f>
        <v>2.161</v>
      </c>
      <c r="X49" s="30">
        <v>0</v>
      </c>
      <c r="Y49" s="30">
        <v>0</v>
      </c>
      <c r="Z49" s="30">
        <v>0</v>
      </c>
      <c r="AA49" s="31">
        <f>0.171-0.125</f>
        <v>4.6000000000000013E-2</v>
      </c>
      <c r="AB49" s="31">
        <v>0.2</v>
      </c>
      <c r="AC49" s="31">
        <f>0.141-0.125</f>
        <v>1.5999999999999986E-2</v>
      </c>
      <c r="AD49" s="30">
        <v>0</v>
      </c>
      <c r="AE49" s="30">
        <v>0</v>
      </c>
      <c r="AF49" s="30">
        <f>0.329-0.125</f>
        <v>0.20400000000000001</v>
      </c>
      <c r="AG49" s="32">
        <v>2.63</v>
      </c>
      <c r="AH49" s="33">
        <f t="shared" si="6"/>
        <v>0.37571428571428572</v>
      </c>
      <c r="AI49" s="33">
        <f t="shared" si="1"/>
        <v>0.37571428571428572</v>
      </c>
      <c r="AJ49" s="34">
        <v>6</v>
      </c>
      <c r="AK49" s="34">
        <v>0.44</v>
      </c>
    </row>
    <row r="50" spans="1:37" ht="15.5" x14ac:dyDescent="0.35">
      <c r="A50" s="3">
        <v>48</v>
      </c>
      <c r="B50" s="4" t="s">
        <v>124</v>
      </c>
      <c r="C50" s="26" t="s">
        <v>252</v>
      </c>
      <c r="D50" s="26" t="s">
        <v>131</v>
      </c>
      <c r="E50" s="26" t="s">
        <v>132</v>
      </c>
      <c r="F50" s="29" t="s">
        <v>133</v>
      </c>
      <c r="G50" s="28">
        <v>2</v>
      </c>
      <c r="H50" s="29" t="s">
        <v>62</v>
      </c>
      <c r="I50" s="26" t="s">
        <v>71</v>
      </c>
      <c r="J50" s="26" t="s">
        <v>78</v>
      </c>
      <c r="K50" s="26" t="s">
        <v>79</v>
      </c>
      <c r="L50" s="8" t="s">
        <v>64</v>
      </c>
      <c r="M50" s="8" t="s">
        <v>65</v>
      </c>
      <c r="N50" s="29" t="s">
        <v>66</v>
      </c>
      <c r="O50" s="26" t="s">
        <v>135</v>
      </c>
      <c r="P50" s="29" t="s">
        <v>54</v>
      </c>
      <c r="Q50" s="8" t="s">
        <v>55</v>
      </c>
      <c r="R50" s="29" t="s">
        <v>56</v>
      </c>
      <c r="S50" s="26" t="s">
        <v>57</v>
      </c>
      <c r="T50" s="26" t="s">
        <v>58</v>
      </c>
      <c r="U50" s="69" t="s">
        <v>59</v>
      </c>
      <c r="V50" s="29" t="s">
        <v>106</v>
      </c>
      <c r="W50" s="30">
        <f>0.88+6</f>
        <v>6.88</v>
      </c>
      <c r="X50" s="30">
        <v>0</v>
      </c>
      <c r="Y50" s="30">
        <f>0.225-0.125</f>
        <v>0.1</v>
      </c>
      <c r="Z50" s="30">
        <f>0.164-0.125</f>
        <v>3.9000000000000007E-2</v>
      </c>
      <c r="AA50" s="31">
        <f>0.48-0.125</f>
        <v>0.35499999999999998</v>
      </c>
      <c r="AB50" s="31">
        <f>0.562-0.125</f>
        <v>0.43700000000000006</v>
      </c>
      <c r="AC50" s="31">
        <f>0.472-0.125</f>
        <v>0.34699999999999998</v>
      </c>
      <c r="AD50" s="30">
        <v>0</v>
      </c>
      <c r="AE50" s="30">
        <v>0</v>
      </c>
      <c r="AF50" s="30">
        <f>0.138-0.125</f>
        <v>1.3000000000000012E-2</v>
      </c>
      <c r="AG50" s="32">
        <v>8.17</v>
      </c>
      <c r="AH50" s="33">
        <f t="shared" si="6"/>
        <v>1.167142857142857</v>
      </c>
      <c r="AI50" s="33">
        <f t="shared" si="1"/>
        <v>0.58357142857142852</v>
      </c>
      <c r="AJ50" s="34">
        <v>10</v>
      </c>
      <c r="AK50" s="34">
        <v>0.82</v>
      </c>
    </row>
    <row r="51" spans="1:37" ht="15.5" x14ac:dyDescent="0.35">
      <c r="A51" s="3">
        <v>49</v>
      </c>
      <c r="B51" s="4" t="s">
        <v>168</v>
      </c>
      <c r="C51" s="26" t="s">
        <v>252</v>
      </c>
      <c r="D51" s="26" t="s">
        <v>131</v>
      </c>
      <c r="E51" s="26" t="s">
        <v>132</v>
      </c>
      <c r="F51" s="29" t="s">
        <v>133</v>
      </c>
      <c r="G51" s="28">
        <v>4</v>
      </c>
      <c r="H51" s="29" t="s">
        <v>46</v>
      </c>
      <c r="I51" s="26" t="s">
        <v>47</v>
      </c>
      <c r="J51" s="26" t="s">
        <v>78</v>
      </c>
      <c r="K51" s="26" t="s">
        <v>49</v>
      </c>
      <c r="L51" s="8" t="s">
        <v>64</v>
      </c>
      <c r="M51" s="26" t="s">
        <v>51</v>
      </c>
      <c r="N51" s="29" t="s">
        <v>138</v>
      </c>
      <c r="O51" s="26" t="s">
        <v>53</v>
      </c>
      <c r="P51" s="29" t="s">
        <v>54</v>
      </c>
      <c r="Q51" s="8" t="s">
        <v>55</v>
      </c>
      <c r="R51" s="29" t="s">
        <v>56</v>
      </c>
      <c r="S51" s="26" t="s">
        <v>68</v>
      </c>
      <c r="T51" s="26" t="s">
        <v>136</v>
      </c>
      <c r="U51" s="70" t="s">
        <v>69</v>
      </c>
      <c r="V51" s="29" t="s">
        <v>106</v>
      </c>
      <c r="W51" s="37">
        <v>18.2</v>
      </c>
      <c r="X51" s="37">
        <v>0</v>
      </c>
      <c r="Y51" s="30">
        <v>0</v>
      </c>
      <c r="Z51" s="30">
        <f>0.741-0.33</f>
        <v>0.41099999999999998</v>
      </c>
      <c r="AA51" s="31">
        <f>0.293-0.125</f>
        <v>0.16799999999999998</v>
      </c>
      <c r="AB51" s="31">
        <f>0.575-0.125</f>
        <v>0.44999999999999996</v>
      </c>
      <c r="AC51" s="31">
        <f>0.186-0.125</f>
        <v>6.0999999999999999E-2</v>
      </c>
      <c r="AD51" s="30">
        <v>0</v>
      </c>
      <c r="AE51" s="30">
        <v>0</v>
      </c>
      <c r="AF51" s="30">
        <v>1.48</v>
      </c>
      <c r="AG51" s="32">
        <v>20.77</v>
      </c>
      <c r="AH51" s="33">
        <f t="shared" si="6"/>
        <v>2.9671428571428571</v>
      </c>
      <c r="AI51" s="33">
        <f t="shared" si="1"/>
        <v>0.74178571428571427</v>
      </c>
      <c r="AJ51" s="34">
        <v>64</v>
      </c>
      <c r="AK51" s="34">
        <v>0.32</v>
      </c>
    </row>
    <row r="52" spans="1:37" ht="15.5" x14ac:dyDescent="0.35">
      <c r="A52" s="3">
        <v>50</v>
      </c>
      <c r="B52" s="4" t="s">
        <v>169</v>
      </c>
      <c r="C52" s="26" t="s">
        <v>252</v>
      </c>
      <c r="D52" s="26" t="s">
        <v>131</v>
      </c>
      <c r="E52" s="26" t="s">
        <v>132</v>
      </c>
      <c r="F52" s="29" t="s">
        <v>133</v>
      </c>
      <c r="G52" s="28">
        <v>7</v>
      </c>
      <c r="H52" s="29" t="s">
        <v>62</v>
      </c>
      <c r="I52" s="26" t="s">
        <v>71</v>
      </c>
      <c r="J52" s="26" t="s">
        <v>78</v>
      </c>
      <c r="K52" s="26" t="s">
        <v>76</v>
      </c>
      <c r="L52" s="5" t="s">
        <v>50</v>
      </c>
      <c r="M52" s="8" t="s">
        <v>65</v>
      </c>
      <c r="N52" s="29" t="s">
        <v>66</v>
      </c>
      <c r="O52" s="26" t="s">
        <v>135</v>
      </c>
      <c r="P52" s="29" t="s">
        <v>54</v>
      </c>
      <c r="Q52" s="8" t="s">
        <v>55</v>
      </c>
      <c r="R52" s="29" t="s">
        <v>56</v>
      </c>
      <c r="S52" s="26" t="s">
        <v>68</v>
      </c>
      <c r="T52" s="26" t="s">
        <v>136</v>
      </c>
      <c r="U52" s="70" t="s">
        <v>69</v>
      </c>
      <c r="V52" s="29" t="s">
        <v>106</v>
      </c>
      <c r="W52" s="37">
        <v>32</v>
      </c>
      <c r="X52" s="37">
        <v>1.73</v>
      </c>
      <c r="Y52" s="30">
        <v>0</v>
      </c>
      <c r="Z52" s="30">
        <v>0</v>
      </c>
      <c r="AA52" s="31">
        <v>2.14</v>
      </c>
      <c r="AB52" s="31">
        <v>0.98</v>
      </c>
      <c r="AC52" s="31">
        <v>5.1999999999999998E-2</v>
      </c>
      <c r="AD52" s="30">
        <v>0</v>
      </c>
      <c r="AE52" s="30">
        <v>0</v>
      </c>
      <c r="AF52" s="30">
        <v>1.0900000000000001</v>
      </c>
      <c r="AG52" s="32">
        <v>37.99</v>
      </c>
      <c r="AH52" s="33">
        <f t="shared" si="6"/>
        <v>5.427142857142857</v>
      </c>
      <c r="AI52" s="33">
        <f t="shared" si="1"/>
        <v>0.77530612244897956</v>
      </c>
      <c r="AJ52" s="34">
        <v>120</v>
      </c>
      <c r="AK52" s="34">
        <v>0.32</v>
      </c>
    </row>
    <row r="53" spans="1:37" ht="15.5" x14ac:dyDescent="0.35">
      <c r="A53" s="3">
        <v>51</v>
      </c>
      <c r="B53" s="4" t="s">
        <v>125</v>
      </c>
      <c r="C53" s="26" t="s">
        <v>252</v>
      </c>
      <c r="D53" s="26" t="s">
        <v>131</v>
      </c>
      <c r="E53" s="26" t="s">
        <v>132</v>
      </c>
      <c r="F53" s="26" t="s">
        <v>133</v>
      </c>
      <c r="G53" s="28">
        <v>4</v>
      </c>
      <c r="H53" s="29" t="s">
        <v>62</v>
      </c>
      <c r="I53" s="26" t="s">
        <v>71</v>
      </c>
      <c r="J53" s="26" t="s">
        <v>78</v>
      </c>
      <c r="K53" s="26" t="s">
        <v>79</v>
      </c>
      <c r="L53" s="8" t="s">
        <v>64</v>
      </c>
      <c r="M53" s="8" t="s">
        <v>65</v>
      </c>
      <c r="N53" s="29" t="s">
        <v>66</v>
      </c>
      <c r="O53" s="26" t="s">
        <v>53</v>
      </c>
      <c r="P53" s="29" t="s">
        <v>54</v>
      </c>
      <c r="Q53" s="8" t="s">
        <v>55</v>
      </c>
      <c r="R53" s="29" t="s">
        <v>56</v>
      </c>
      <c r="S53" s="26" t="s">
        <v>57</v>
      </c>
      <c r="T53" s="26" t="s">
        <v>58</v>
      </c>
      <c r="U53" s="69" t="s">
        <v>59</v>
      </c>
      <c r="V53" s="29" t="s">
        <v>106</v>
      </c>
      <c r="W53" s="30">
        <v>14.62</v>
      </c>
      <c r="X53" s="30">
        <v>2.21</v>
      </c>
      <c r="Y53" s="30">
        <v>0</v>
      </c>
      <c r="Z53" s="30">
        <v>0.8</v>
      </c>
      <c r="AA53" s="31">
        <v>0.64</v>
      </c>
      <c r="AB53" s="31">
        <v>0.24</v>
      </c>
      <c r="AC53" s="31">
        <v>7.8E-2</v>
      </c>
      <c r="AD53" s="30">
        <v>0</v>
      </c>
      <c r="AE53" s="30">
        <v>0</v>
      </c>
      <c r="AF53" s="30">
        <v>3.67</v>
      </c>
      <c r="AG53" s="32">
        <v>22.26</v>
      </c>
      <c r="AH53" s="33">
        <f t="shared" si="6"/>
        <v>3.18</v>
      </c>
      <c r="AI53" s="33">
        <f t="shared" si="1"/>
        <v>0.79500000000000004</v>
      </c>
      <c r="AJ53" s="34">
        <v>54</v>
      </c>
      <c r="AK53" s="34">
        <v>0.41</v>
      </c>
    </row>
    <row r="54" spans="1:37" ht="15.5" x14ac:dyDescent="0.35">
      <c r="A54" s="3">
        <v>52</v>
      </c>
      <c r="B54" s="4" t="s">
        <v>126</v>
      </c>
      <c r="C54" s="26" t="s">
        <v>252</v>
      </c>
      <c r="D54" s="26" t="s">
        <v>131</v>
      </c>
      <c r="E54" s="26" t="s">
        <v>132</v>
      </c>
      <c r="F54" s="26" t="s">
        <v>133</v>
      </c>
      <c r="G54" s="28">
        <v>9</v>
      </c>
      <c r="H54" s="29" t="s">
        <v>46</v>
      </c>
      <c r="I54" s="26" t="s">
        <v>71</v>
      </c>
      <c r="J54" s="26" t="s">
        <v>78</v>
      </c>
      <c r="K54" s="26" t="s">
        <v>103</v>
      </c>
      <c r="L54" s="8" t="s">
        <v>64</v>
      </c>
      <c r="M54" s="26" t="s">
        <v>238</v>
      </c>
      <c r="N54" s="26" t="s">
        <v>87</v>
      </c>
      <c r="O54" s="26" t="s">
        <v>53</v>
      </c>
      <c r="P54" s="29" t="s">
        <v>54</v>
      </c>
      <c r="Q54" s="8" t="s">
        <v>55</v>
      </c>
      <c r="R54" s="29" t="s">
        <v>56</v>
      </c>
      <c r="S54" s="26" t="s">
        <v>57</v>
      </c>
      <c r="T54" s="26" t="s">
        <v>136</v>
      </c>
      <c r="U54" s="70" t="s">
        <v>69</v>
      </c>
      <c r="V54" s="29" t="s">
        <v>106</v>
      </c>
      <c r="W54" s="33">
        <f>31+9.72</f>
        <v>40.72</v>
      </c>
      <c r="X54" s="30">
        <v>0</v>
      </c>
      <c r="Y54" s="30">
        <v>0</v>
      </c>
      <c r="Z54" s="30">
        <v>1.76</v>
      </c>
      <c r="AA54" s="31">
        <f>0.4-0.125</f>
        <v>0.27500000000000002</v>
      </c>
      <c r="AB54" s="31">
        <f>2-0.33</f>
        <v>1.67</v>
      </c>
      <c r="AC54" s="31">
        <f>(0.546+0.758-0.125*2)</f>
        <v>1.054</v>
      </c>
      <c r="AD54" s="30">
        <v>0</v>
      </c>
      <c r="AE54" s="30">
        <v>0</v>
      </c>
      <c r="AF54" s="30">
        <v>0</v>
      </c>
      <c r="AG54" s="32">
        <v>45.478999999999999</v>
      </c>
      <c r="AH54" s="33">
        <f t="shared" si="6"/>
        <v>6.4969999999999999</v>
      </c>
      <c r="AI54" s="33">
        <f t="shared" si="1"/>
        <v>0.72188888888888891</v>
      </c>
      <c r="AJ54" s="34">
        <v>140</v>
      </c>
      <c r="AK54" s="34">
        <v>0.32500000000000001</v>
      </c>
    </row>
    <row r="55" spans="1:37" ht="15.5" x14ac:dyDescent="0.35">
      <c r="A55" s="3">
        <v>53</v>
      </c>
      <c r="B55" s="4" t="s">
        <v>127</v>
      </c>
      <c r="C55" s="26" t="s">
        <v>252</v>
      </c>
      <c r="D55" s="26" t="s">
        <v>131</v>
      </c>
      <c r="E55" s="26" t="s">
        <v>132</v>
      </c>
      <c r="F55" s="26" t="s">
        <v>133</v>
      </c>
      <c r="G55" s="28">
        <v>6</v>
      </c>
      <c r="H55" s="29" t="s">
        <v>62</v>
      </c>
      <c r="I55" s="26" t="s">
        <v>47</v>
      </c>
      <c r="J55" s="29" t="s">
        <v>48</v>
      </c>
      <c r="K55" s="29" t="s">
        <v>103</v>
      </c>
      <c r="L55" s="8" t="s">
        <v>64</v>
      </c>
      <c r="M55" s="8" t="s">
        <v>65</v>
      </c>
      <c r="N55" s="29" t="s">
        <v>66</v>
      </c>
      <c r="O55" s="29" t="s">
        <v>135</v>
      </c>
      <c r="P55" s="29" t="s">
        <v>54</v>
      </c>
      <c r="Q55" s="8" t="s">
        <v>55</v>
      </c>
      <c r="R55" s="29" t="s">
        <v>56</v>
      </c>
      <c r="S55" s="26" t="s">
        <v>57</v>
      </c>
      <c r="T55" s="26" t="s">
        <v>136</v>
      </c>
      <c r="U55" s="70" t="s">
        <v>69</v>
      </c>
      <c r="V55" s="29" t="s">
        <v>106</v>
      </c>
      <c r="W55" s="30">
        <f>2.88*3</f>
        <v>8.64</v>
      </c>
      <c r="X55" s="30">
        <v>0</v>
      </c>
      <c r="Y55" s="30">
        <v>0</v>
      </c>
      <c r="Z55" s="30">
        <f>(1.3088-0.125)*3</f>
        <v>3.5514000000000001</v>
      </c>
      <c r="AA55" s="31">
        <f>(0.339-0.125)*3</f>
        <v>0.64200000000000013</v>
      </c>
      <c r="AB55" s="31">
        <f>1.086-0.33</f>
        <v>0.75600000000000001</v>
      </c>
      <c r="AC55" s="31">
        <f>(0.155-0.125)*3</f>
        <v>0.09</v>
      </c>
      <c r="AD55" s="30">
        <v>0</v>
      </c>
      <c r="AE55" s="30">
        <f>0.164-0.125</f>
        <v>3.9000000000000007E-2</v>
      </c>
      <c r="AF55" s="30">
        <v>0</v>
      </c>
      <c r="AG55" s="32">
        <v>13.718400000000001</v>
      </c>
      <c r="AH55" s="33">
        <f t="shared" si="6"/>
        <v>1.9597714285714287</v>
      </c>
      <c r="AI55" s="33">
        <f t="shared" si="1"/>
        <v>0.32662857142857143</v>
      </c>
      <c r="AJ55" s="34">
        <v>20</v>
      </c>
      <c r="AK55" s="34">
        <v>0.68600000000000005</v>
      </c>
    </row>
    <row r="56" spans="1:37" ht="15.5" x14ac:dyDescent="0.35">
      <c r="A56" s="3">
        <v>54</v>
      </c>
      <c r="B56" s="4" t="s">
        <v>128</v>
      </c>
      <c r="C56" s="26" t="s">
        <v>252</v>
      </c>
      <c r="D56" s="26" t="s">
        <v>131</v>
      </c>
      <c r="E56" s="26" t="s">
        <v>132</v>
      </c>
      <c r="F56" s="26" t="s">
        <v>133</v>
      </c>
      <c r="G56" s="28">
        <v>2</v>
      </c>
      <c r="H56" s="29" t="s">
        <v>62</v>
      </c>
      <c r="I56" s="26" t="s">
        <v>71</v>
      </c>
      <c r="J56" s="26" t="s">
        <v>78</v>
      </c>
      <c r="K56" s="26" t="s">
        <v>103</v>
      </c>
      <c r="L56" s="8" t="s">
        <v>64</v>
      </c>
      <c r="M56" s="8" t="s">
        <v>65</v>
      </c>
      <c r="N56" s="26" t="s">
        <v>52</v>
      </c>
      <c r="O56" s="26" t="s">
        <v>53</v>
      </c>
      <c r="P56" s="29" t="s">
        <v>54</v>
      </c>
      <c r="Q56" s="8" t="s">
        <v>55</v>
      </c>
      <c r="R56" s="29" t="s">
        <v>56</v>
      </c>
      <c r="S56" s="26" t="s">
        <v>57</v>
      </c>
      <c r="T56" s="26" t="s">
        <v>58</v>
      </c>
      <c r="U56" s="69" t="s">
        <v>59</v>
      </c>
      <c r="V56" s="29" t="s">
        <v>106</v>
      </c>
      <c r="W56" s="30">
        <v>7.61</v>
      </c>
      <c r="X56" s="30">
        <v>0</v>
      </c>
      <c r="Y56" s="30">
        <v>0</v>
      </c>
      <c r="Z56" s="30">
        <v>0</v>
      </c>
      <c r="AA56" s="31">
        <v>5.0000000000000001E-3</v>
      </c>
      <c r="AB56" s="31">
        <v>0.21</v>
      </c>
      <c r="AC56" s="31">
        <v>0.19400000000000001</v>
      </c>
      <c r="AD56" s="30">
        <v>0</v>
      </c>
      <c r="AE56" s="30">
        <v>0</v>
      </c>
      <c r="AF56" s="30">
        <v>0</v>
      </c>
      <c r="AG56" s="32">
        <v>8.0190000000000001</v>
      </c>
      <c r="AH56" s="33">
        <f t="shared" si="6"/>
        <v>1.1455714285714287</v>
      </c>
      <c r="AI56" s="33">
        <f t="shared" si="1"/>
        <v>0.57278571428571434</v>
      </c>
      <c r="AJ56" s="34">
        <v>10</v>
      </c>
      <c r="AK56" s="34">
        <v>0.80200000000000005</v>
      </c>
    </row>
    <row r="57" spans="1:37" ht="15.5" x14ac:dyDescent="0.35">
      <c r="A57" s="3">
        <v>55</v>
      </c>
      <c r="B57" s="4" t="s">
        <v>170</v>
      </c>
      <c r="C57" s="26" t="s">
        <v>252</v>
      </c>
      <c r="D57" s="26" t="s">
        <v>131</v>
      </c>
      <c r="E57" s="26" t="s">
        <v>132</v>
      </c>
      <c r="F57" s="26" t="s">
        <v>133</v>
      </c>
      <c r="G57" s="28">
        <v>4</v>
      </c>
      <c r="H57" s="29" t="s">
        <v>143</v>
      </c>
      <c r="I57" s="26" t="s">
        <v>71</v>
      </c>
      <c r="J57" s="26" t="s">
        <v>78</v>
      </c>
      <c r="K57" s="26" t="s">
        <v>76</v>
      </c>
      <c r="L57" s="8" t="s">
        <v>64</v>
      </c>
      <c r="M57" s="26" t="s">
        <v>134</v>
      </c>
      <c r="N57" s="29" t="s">
        <v>66</v>
      </c>
      <c r="O57" s="29" t="s">
        <v>135</v>
      </c>
      <c r="P57" s="29" t="s">
        <v>54</v>
      </c>
      <c r="Q57" s="8" t="s">
        <v>55</v>
      </c>
      <c r="R57" s="29" t="s">
        <v>56</v>
      </c>
      <c r="S57" s="26" t="s">
        <v>68</v>
      </c>
      <c r="T57" s="26" t="s">
        <v>136</v>
      </c>
      <c r="U57" s="70" t="s">
        <v>69</v>
      </c>
      <c r="V57" s="29" t="s">
        <v>106</v>
      </c>
      <c r="W57" s="30">
        <v>20.6</v>
      </c>
      <c r="X57" s="30">
        <v>0</v>
      </c>
      <c r="Y57" s="30">
        <v>0</v>
      </c>
      <c r="Z57" s="30">
        <v>0</v>
      </c>
      <c r="AA57" s="31">
        <v>0</v>
      </c>
      <c r="AB57" s="31">
        <f>0.527-0.125</f>
        <v>0.40200000000000002</v>
      </c>
      <c r="AC57" s="31">
        <f>0.265-0.125</f>
        <v>0.14000000000000001</v>
      </c>
      <c r="AD57" s="30">
        <v>0</v>
      </c>
      <c r="AE57" s="30">
        <v>0</v>
      </c>
      <c r="AF57" s="30">
        <v>1.48</v>
      </c>
      <c r="AG57" s="32">
        <v>22.622</v>
      </c>
      <c r="AH57" s="33">
        <f t="shared" si="6"/>
        <v>3.2317142857142858</v>
      </c>
      <c r="AI57" s="33">
        <f t="shared" si="1"/>
        <v>0.80792857142857144</v>
      </c>
      <c r="AJ57" s="34">
        <v>50</v>
      </c>
      <c r="AK57" s="34">
        <v>0.45200000000000001</v>
      </c>
    </row>
    <row r="58" spans="1:37" ht="15.5" x14ac:dyDescent="0.35">
      <c r="A58" s="3">
        <v>56</v>
      </c>
      <c r="B58" s="4" t="s">
        <v>171</v>
      </c>
      <c r="C58" s="26" t="s">
        <v>252</v>
      </c>
      <c r="D58" s="26" t="s">
        <v>131</v>
      </c>
      <c r="E58" s="26" t="s">
        <v>132</v>
      </c>
      <c r="F58" s="26" t="s">
        <v>133</v>
      </c>
      <c r="G58" s="28">
        <v>2</v>
      </c>
      <c r="H58" s="29" t="s">
        <v>46</v>
      </c>
      <c r="I58" s="26" t="s">
        <v>47</v>
      </c>
      <c r="J58" s="71" t="s">
        <v>48</v>
      </c>
      <c r="K58" s="26" t="s">
        <v>49</v>
      </c>
      <c r="L58" s="8" t="s">
        <v>64</v>
      </c>
      <c r="M58" s="26" t="s">
        <v>134</v>
      </c>
      <c r="N58" s="26" t="s">
        <v>52</v>
      </c>
      <c r="O58" s="26" t="s">
        <v>53</v>
      </c>
      <c r="P58" s="29" t="s">
        <v>54</v>
      </c>
      <c r="Q58" s="8" t="s">
        <v>55</v>
      </c>
      <c r="R58" s="29" t="s">
        <v>56</v>
      </c>
      <c r="S58" s="26" t="s">
        <v>68</v>
      </c>
      <c r="T58" s="26" t="s">
        <v>58</v>
      </c>
      <c r="U58" s="69" t="s">
        <v>59</v>
      </c>
      <c r="V58" s="29" t="s">
        <v>106</v>
      </c>
      <c r="W58" s="30">
        <v>7</v>
      </c>
      <c r="X58" s="30">
        <v>0</v>
      </c>
      <c r="Y58" s="30">
        <v>0</v>
      </c>
      <c r="Z58" s="30">
        <v>0</v>
      </c>
      <c r="AA58" s="31">
        <v>0</v>
      </c>
      <c r="AB58" s="31">
        <v>0</v>
      </c>
      <c r="AC58" s="31">
        <f>0.251+0.066-0.125</f>
        <v>0.192</v>
      </c>
      <c r="AD58" s="30">
        <v>0.193</v>
      </c>
      <c r="AE58" s="30">
        <v>8.8999999999999996E-2</v>
      </c>
      <c r="AF58" s="30">
        <v>0</v>
      </c>
      <c r="AG58" s="32">
        <v>7.4740000000000002</v>
      </c>
      <c r="AH58" s="33">
        <f>AG58/7</f>
        <v>1.0677142857142858</v>
      </c>
      <c r="AI58" s="33">
        <f t="shared" si="1"/>
        <v>0.53385714285714292</v>
      </c>
      <c r="AJ58" s="34">
        <v>10</v>
      </c>
      <c r="AK58" s="34">
        <v>0.747</v>
      </c>
    </row>
    <row r="59" spans="1:37" ht="15.5" x14ac:dyDescent="0.35">
      <c r="A59" s="3">
        <v>57</v>
      </c>
      <c r="B59" s="4" t="s">
        <v>172</v>
      </c>
      <c r="C59" s="26" t="s">
        <v>252</v>
      </c>
      <c r="D59" s="26" t="s">
        <v>131</v>
      </c>
      <c r="E59" s="26" t="s">
        <v>132</v>
      </c>
      <c r="F59" s="26" t="s">
        <v>133</v>
      </c>
      <c r="G59" s="28">
        <v>3</v>
      </c>
      <c r="H59" s="29" t="s">
        <v>62</v>
      </c>
      <c r="I59" s="26" t="s">
        <v>47</v>
      </c>
      <c r="J59" s="71" t="s">
        <v>48</v>
      </c>
      <c r="K59" s="26" t="s">
        <v>49</v>
      </c>
      <c r="L59" s="8" t="s">
        <v>64</v>
      </c>
      <c r="M59" s="26" t="s">
        <v>51</v>
      </c>
      <c r="N59" s="29" t="s">
        <v>66</v>
      </c>
      <c r="O59" s="26" t="s">
        <v>135</v>
      </c>
      <c r="P59" s="29" t="s">
        <v>54</v>
      </c>
      <c r="Q59" s="8" t="s">
        <v>55</v>
      </c>
      <c r="R59" s="29" t="s">
        <v>56</v>
      </c>
      <c r="S59" s="26" t="s">
        <v>68</v>
      </c>
      <c r="T59" s="26" t="s">
        <v>136</v>
      </c>
      <c r="U59" s="70" t="s">
        <v>69</v>
      </c>
      <c r="V59" s="29" t="s">
        <v>106</v>
      </c>
      <c r="W59" s="33">
        <f>0.577-0.125+4.32+0.2</f>
        <v>4.9720000000000004</v>
      </c>
      <c r="X59" s="33">
        <v>0</v>
      </c>
      <c r="Y59" s="33">
        <v>0</v>
      </c>
      <c r="Z59" s="33">
        <v>0.34</v>
      </c>
      <c r="AA59" s="35">
        <v>0</v>
      </c>
      <c r="AB59" s="35">
        <v>0.22</v>
      </c>
      <c r="AC59" s="35">
        <f>0.44-0.125</f>
        <v>0.315</v>
      </c>
      <c r="AD59" s="33">
        <v>0.218</v>
      </c>
      <c r="AE59" s="33">
        <v>0</v>
      </c>
      <c r="AF59" s="33">
        <v>0</v>
      </c>
      <c r="AG59" s="32">
        <f>SUM(W59:AF59)</f>
        <v>6.0650000000000004</v>
      </c>
      <c r="AH59" s="33">
        <f>AG59/7</f>
        <v>0.86642857142857144</v>
      </c>
      <c r="AI59" s="33">
        <f t="shared" si="1"/>
        <v>0.28880952380952379</v>
      </c>
      <c r="AJ59" s="36">
        <v>12</v>
      </c>
      <c r="AK59" s="40">
        <f>AG59/AJ59</f>
        <v>0.50541666666666674</v>
      </c>
    </row>
    <row r="60" spans="1:37" ht="15.5" x14ac:dyDescent="0.35">
      <c r="A60" s="3">
        <v>58</v>
      </c>
      <c r="B60" s="4" t="s">
        <v>173</v>
      </c>
      <c r="C60" s="26" t="s">
        <v>252</v>
      </c>
      <c r="D60" s="26" t="s">
        <v>131</v>
      </c>
      <c r="E60" s="26" t="s">
        <v>144</v>
      </c>
      <c r="F60" s="26" t="s">
        <v>133</v>
      </c>
      <c r="G60" s="28">
        <v>2</v>
      </c>
      <c r="H60" s="29" t="s">
        <v>62</v>
      </c>
      <c r="I60" s="26" t="s">
        <v>47</v>
      </c>
      <c r="J60" s="71" t="s">
        <v>48</v>
      </c>
      <c r="K60" s="26" t="s">
        <v>79</v>
      </c>
      <c r="L60" s="26" t="s">
        <v>64</v>
      </c>
      <c r="M60" s="26" t="s">
        <v>51</v>
      </c>
      <c r="N60" s="29" t="s">
        <v>138</v>
      </c>
      <c r="O60" s="26" t="s">
        <v>53</v>
      </c>
      <c r="P60" s="29" t="s">
        <v>54</v>
      </c>
      <c r="Q60" s="8" t="s">
        <v>55</v>
      </c>
      <c r="R60" s="29" t="s">
        <v>56</v>
      </c>
      <c r="S60" s="26" t="s">
        <v>57</v>
      </c>
      <c r="T60" s="26" t="s">
        <v>58</v>
      </c>
      <c r="U60" s="69" t="s">
        <v>59</v>
      </c>
      <c r="V60" s="29" t="s">
        <v>106</v>
      </c>
      <c r="W60" s="30">
        <v>3.57</v>
      </c>
      <c r="X60" s="30">
        <v>0</v>
      </c>
      <c r="Y60" s="30">
        <v>0</v>
      </c>
      <c r="Z60" s="30">
        <v>0</v>
      </c>
      <c r="AA60" s="31">
        <f>0.202-0.125</f>
        <v>7.7000000000000013E-2</v>
      </c>
      <c r="AB60" s="31">
        <f>0.415-0.125</f>
        <v>0.28999999999999998</v>
      </c>
      <c r="AC60" s="31">
        <v>0.19500000000000001</v>
      </c>
      <c r="AD60" s="30">
        <v>0</v>
      </c>
      <c r="AE60" s="30">
        <v>0.17699999999999999</v>
      </c>
      <c r="AF60" s="30">
        <v>2.64</v>
      </c>
      <c r="AG60" s="32">
        <v>3.379</v>
      </c>
      <c r="AH60" s="33">
        <f t="shared" si="6"/>
        <v>0.48271428571428571</v>
      </c>
      <c r="AI60" s="33">
        <f t="shared" si="1"/>
        <v>0.24135714285714285</v>
      </c>
      <c r="AJ60" s="34">
        <v>6</v>
      </c>
      <c r="AK60" s="34">
        <v>0.56299999999999994</v>
      </c>
    </row>
    <row r="61" spans="1:37" ht="15.5" x14ac:dyDescent="0.35">
      <c r="A61" s="3">
        <v>59</v>
      </c>
      <c r="B61" s="4" t="s">
        <v>174</v>
      </c>
      <c r="C61" s="26" t="s">
        <v>252</v>
      </c>
      <c r="D61" s="26" t="s">
        <v>131</v>
      </c>
      <c r="E61" s="26" t="s">
        <v>144</v>
      </c>
      <c r="F61" s="26" t="s">
        <v>133</v>
      </c>
      <c r="G61" s="28">
        <v>1</v>
      </c>
      <c r="H61" s="29" t="s">
        <v>46</v>
      </c>
      <c r="I61" s="29" t="s">
        <v>71</v>
      </c>
      <c r="J61" s="29" t="s">
        <v>78</v>
      </c>
      <c r="K61" s="29" t="s">
        <v>79</v>
      </c>
      <c r="L61" s="8" t="s">
        <v>64</v>
      </c>
      <c r="M61" s="29" t="s">
        <v>134</v>
      </c>
      <c r="N61" s="29" t="s">
        <v>66</v>
      </c>
      <c r="O61" s="29" t="s">
        <v>135</v>
      </c>
      <c r="P61" s="29" t="s">
        <v>54</v>
      </c>
      <c r="Q61" s="8" t="s">
        <v>55</v>
      </c>
      <c r="R61" s="29" t="s">
        <v>56</v>
      </c>
      <c r="S61" s="29" t="s">
        <v>68</v>
      </c>
      <c r="T61" s="26" t="s">
        <v>136</v>
      </c>
      <c r="U61" s="70" t="s">
        <v>69</v>
      </c>
      <c r="V61" s="29" t="s">
        <v>106</v>
      </c>
      <c r="W61" s="33">
        <f>0.577-0.125+4.32</f>
        <v>4.7720000000000002</v>
      </c>
      <c r="X61" s="33">
        <v>0</v>
      </c>
      <c r="Y61" s="33">
        <v>0</v>
      </c>
      <c r="Z61" s="33">
        <v>0</v>
      </c>
      <c r="AA61" s="35">
        <v>0</v>
      </c>
      <c r="AB61" s="35">
        <v>0.16</v>
      </c>
      <c r="AC61" s="35">
        <f>0.44-0.125</f>
        <v>0.315</v>
      </c>
      <c r="AD61" s="33">
        <v>0</v>
      </c>
      <c r="AE61" s="33">
        <v>0</v>
      </c>
      <c r="AF61" s="33">
        <v>0</v>
      </c>
      <c r="AG61" s="32">
        <v>5.2469999999999999</v>
      </c>
      <c r="AH61" s="33">
        <f t="shared" si="6"/>
        <v>0.74957142857142856</v>
      </c>
      <c r="AI61" s="33">
        <f t="shared" si="1"/>
        <v>0.74957142857142856</v>
      </c>
      <c r="AJ61" s="36">
        <v>8</v>
      </c>
      <c r="AK61" s="36">
        <v>0.65600000000000003</v>
      </c>
    </row>
    <row r="62" spans="1:37" ht="15.5" x14ac:dyDescent="0.35">
      <c r="A62" s="3">
        <v>60</v>
      </c>
      <c r="B62" s="4" t="s">
        <v>175</v>
      </c>
      <c r="C62" s="26" t="s">
        <v>252</v>
      </c>
      <c r="D62" s="26" t="s">
        <v>131</v>
      </c>
      <c r="E62" s="26" t="s">
        <v>144</v>
      </c>
      <c r="F62" s="26" t="s">
        <v>133</v>
      </c>
      <c r="G62" s="28">
        <v>6</v>
      </c>
      <c r="H62" s="29" t="s">
        <v>46</v>
      </c>
      <c r="I62" s="26" t="s">
        <v>47</v>
      </c>
      <c r="J62" s="71" t="s">
        <v>48</v>
      </c>
      <c r="K62" s="29" t="s">
        <v>79</v>
      </c>
      <c r="L62" s="8" t="s">
        <v>64</v>
      </c>
      <c r="M62" s="29" t="s">
        <v>134</v>
      </c>
      <c r="N62" s="29" t="s">
        <v>66</v>
      </c>
      <c r="O62" s="26" t="s">
        <v>53</v>
      </c>
      <c r="P62" s="29" t="s">
        <v>54</v>
      </c>
      <c r="Q62" s="8" t="s">
        <v>55</v>
      </c>
      <c r="R62" s="29" t="s">
        <v>56</v>
      </c>
      <c r="S62" s="29" t="s">
        <v>68</v>
      </c>
      <c r="T62" s="26" t="s">
        <v>136</v>
      </c>
      <c r="U62" s="70" t="s">
        <v>69</v>
      </c>
      <c r="V62" s="29" t="s">
        <v>106</v>
      </c>
      <c r="W62" s="30">
        <v>6.28</v>
      </c>
      <c r="X62" s="30">
        <v>0</v>
      </c>
      <c r="Y62" s="30">
        <v>0</v>
      </c>
      <c r="Z62" s="30">
        <v>0.13700000000000001</v>
      </c>
      <c r="AA62" s="31">
        <v>0.52500000000000002</v>
      </c>
      <c r="AB62" s="31">
        <f>0.583-0.125</f>
        <v>0.45799999999999996</v>
      </c>
      <c r="AC62" s="31">
        <f>0.174+0.097</f>
        <v>0.27100000000000002</v>
      </c>
      <c r="AD62" s="30">
        <v>0</v>
      </c>
      <c r="AE62" s="30">
        <v>2E-3</v>
      </c>
      <c r="AF62" s="30">
        <v>0</v>
      </c>
      <c r="AG62" s="32">
        <v>7.67</v>
      </c>
      <c r="AH62" s="33">
        <f t="shared" si="6"/>
        <v>1.0957142857142856</v>
      </c>
      <c r="AI62" s="33">
        <f t="shared" si="1"/>
        <v>0.1826190476190476</v>
      </c>
      <c r="AJ62" s="34">
        <v>10</v>
      </c>
      <c r="AK62" s="34">
        <v>0.76700000000000002</v>
      </c>
    </row>
    <row r="63" spans="1:37" ht="15.5" x14ac:dyDescent="0.35">
      <c r="A63" s="3">
        <v>61</v>
      </c>
      <c r="B63" s="4" t="s">
        <v>176</v>
      </c>
      <c r="C63" s="26" t="s">
        <v>252</v>
      </c>
      <c r="D63" s="26" t="s">
        <v>131</v>
      </c>
      <c r="E63" s="26" t="s">
        <v>144</v>
      </c>
      <c r="F63" s="26" t="s">
        <v>133</v>
      </c>
      <c r="G63" s="28">
        <v>2</v>
      </c>
      <c r="H63" s="29" t="s">
        <v>46</v>
      </c>
      <c r="I63" s="29" t="s">
        <v>47</v>
      </c>
      <c r="J63" s="29" t="s">
        <v>78</v>
      </c>
      <c r="K63" s="29" t="s">
        <v>49</v>
      </c>
      <c r="L63" s="8" t="s">
        <v>64</v>
      </c>
      <c r="M63" s="29" t="s">
        <v>134</v>
      </c>
      <c r="N63" s="29" t="s">
        <v>66</v>
      </c>
      <c r="O63" s="29" t="s">
        <v>135</v>
      </c>
      <c r="P63" s="29" t="s">
        <v>54</v>
      </c>
      <c r="Q63" s="8" t="s">
        <v>55</v>
      </c>
      <c r="R63" s="29" t="s">
        <v>56</v>
      </c>
      <c r="S63" s="29" t="s">
        <v>57</v>
      </c>
      <c r="T63" s="29" t="s">
        <v>58</v>
      </c>
      <c r="U63" s="69" t="s">
        <v>59</v>
      </c>
      <c r="V63" s="29" t="s">
        <v>106</v>
      </c>
      <c r="W63" s="30">
        <v>5.22</v>
      </c>
      <c r="X63" s="30">
        <v>0</v>
      </c>
      <c r="Y63" s="30">
        <v>0</v>
      </c>
      <c r="Z63" s="30">
        <f>0.381-0.125</f>
        <v>0.25600000000000001</v>
      </c>
      <c r="AA63" s="31">
        <f>0.305-0.125</f>
        <v>0.18</v>
      </c>
      <c r="AB63" s="31">
        <f>1.224-0.33</f>
        <v>0.89399999999999991</v>
      </c>
      <c r="AC63" s="31">
        <f>0.182</f>
        <v>0.182</v>
      </c>
      <c r="AD63" s="30">
        <v>0</v>
      </c>
      <c r="AE63" s="30">
        <f>0.138-0.125</f>
        <v>1.3000000000000012E-2</v>
      </c>
      <c r="AF63" s="30">
        <v>1.66</v>
      </c>
      <c r="AG63" s="32">
        <v>8.41</v>
      </c>
      <c r="AH63" s="33">
        <f t="shared" si="6"/>
        <v>1.2014285714285715</v>
      </c>
      <c r="AI63" s="33">
        <f t="shared" si="1"/>
        <v>0.60071428571428576</v>
      </c>
      <c r="AJ63" s="34">
        <v>10</v>
      </c>
      <c r="AK63" s="34">
        <v>0.84099999999999997</v>
      </c>
    </row>
    <row r="64" spans="1:37" ht="15.5" x14ac:dyDescent="0.35">
      <c r="A64" s="3">
        <v>62</v>
      </c>
      <c r="B64" s="4" t="s">
        <v>177</v>
      </c>
      <c r="C64" s="26" t="s">
        <v>252</v>
      </c>
      <c r="D64" s="26" t="s">
        <v>131</v>
      </c>
      <c r="E64" s="26" t="s">
        <v>144</v>
      </c>
      <c r="F64" s="26" t="s">
        <v>133</v>
      </c>
      <c r="G64" s="28">
        <v>6</v>
      </c>
      <c r="H64" s="29" t="s">
        <v>46</v>
      </c>
      <c r="I64" s="29" t="s">
        <v>47</v>
      </c>
      <c r="J64" s="29" t="s">
        <v>83</v>
      </c>
      <c r="K64" s="29" t="s">
        <v>103</v>
      </c>
      <c r="L64" s="8" t="s">
        <v>64</v>
      </c>
      <c r="M64" s="8" t="s">
        <v>65</v>
      </c>
      <c r="N64" s="29" t="s">
        <v>52</v>
      </c>
      <c r="O64" s="29" t="s">
        <v>53</v>
      </c>
      <c r="P64" s="29" t="s">
        <v>54</v>
      </c>
      <c r="Q64" s="8" t="s">
        <v>55</v>
      </c>
      <c r="R64" s="29" t="s">
        <v>56</v>
      </c>
      <c r="S64" s="29" t="s">
        <v>68</v>
      </c>
      <c r="T64" s="29" t="s">
        <v>136</v>
      </c>
      <c r="U64" s="70" t="s">
        <v>69</v>
      </c>
      <c r="V64" s="29" t="s">
        <v>106</v>
      </c>
      <c r="W64" s="30">
        <v>4.4800000000000004</v>
      </c>
      <c r="X64" s="30">
        <v>0</v>
      </c>
      <c r="Y64" s="30">
        <v>0</v>
      </c>
      <c r="Z64" s="30">
        <v>0</v>
      </c>
      <c r="AA64" s="31">
        <f>0.614-0.33</f>
        <v>0.28399999999999997</v>
      </c>
      <c r="AB64" s="31">
        <v>0.29499999999999998</v>
      </c>
      <c r="AC64" s="31">
        <v>0</v>
      </c>
      <c r="AD64" s="30">
        <v>0</v>
      </c>
      <c r="AE64" s="30">
        <v>0.14499999999999999</v>
      </c>
      <c r="AF64" s="30">
        <f>0.788-0.33</f>
        <v>0.45800000000000002</v>
      </c>
      <c r="AG64" s="32">
        <v>5.6619999999999999</v>
      </c>
      <c r="AH64" s="33">
        <f t="shared" si="6"/>
        <v>0.80885714285714283</v>
      </c>
      <c r="AI64" s="33">
        <f t="shared" si="1"/>
        <v>0.1348095238095238</v>
      </c>
      <c r="AJ64" s="34">
        <v>8</v>
      </c>
      <c r="AK64" s="34">
        <v>0.70799999999999996</v>
      </c>
    </row>
    <row r="65" spans="1:37" ht="15.5" x14ac:dyDescent="0.35">
      <c r="A65" s="3">
        <v>63</v>
      </c>
      <c r="B65" s="4" t="s">
        <v>178</v>
      </c>
      <c r="C65" s="26" t="s">
        <v>252</v>
      </c>
      <c r="D65" s="26" t="s">
        <v>131</v>
      </c>
      <c r="E65" s="26" t="s">
        <v>144</v>
      </c>
      <c r="F65" s="26" t="s">
        <v>133</v>
      </c>
      <c r="G65" s="28">
        <v>3</v>
      </c>
      <c r="H65" s="29" t="s">
        <v>46</v>
      </c>
      <c r="I65" s="29" t="s">
        <v>71</v>
      </c>
      <c r="J65" s="71" t="s">
        <v>48</v>
      </c>
      <c r="K65" s="29" t="s">
        <v>148</v>
      </c>
      <c r="L65" s="8" t="s">
        <v>64</v>
      </c>
      <c r="M65" s="29" t="s">
        <v>134</v>
      </c>
      <c r="N65" s="29" t="s">
        <v>66</v>
      </c>
      <c r="O65" s="29" t="s">
        <v>53</v>
      </c>
      <c r="P65" s="29" t="s">
        <v>54</v>
      </c>
      <c r="Q65" s="8" t="s">
        <v>55</v>
      </c>
      <c r="R65" s="29" t="s">
        <v>56</v>
      </c>
      <c r="S65" s="29" t="s">
        <v>57</v>
      </c>
      <c r="T65" s="29" t="s">
        <v>58</v>
      </c>
      <c r="U65" s="69" t="s">
        <v>59</v>
      </c>
      <c r="V65" s="29" t="s">
        <v>106</v>
      </c>
      <c r="W65" s="30">
        <v>4.5199999999999996</v>
      </c>
      <c r="X65" s="30">
        <v>0</v>
      </c>
      <c r="Y65" s="30">
        <v>0</v>
      </c>
      <c r="Z65" s="30">
        <v>0</v>
      </c>
      <c r="AA65" s="31">
        <v>0.35</v>
      </c>
      <c r="AB65" s="31">
        <v>0.36399999999999999</v>
      </c>
      <c r="AC65" s="31">
        <v>0.154</v>
      </c>
      <c r="AD65" s="30">
        <v>0</v>
      </c>
      <c r="AE65" s="30">
        <v>0</v>
      </c>
      <c r="AF65" s="30">
        <v>1.03</v>
      </c>
      <c r="AG65" s="32">
        <v>6.42</v>
      </c>
      <c r="AH65" s="33">
        <f t="shared" si="6"/>
        <v>0.91714285714285715</v>
      </c>
      <c r="AI65" s="33">
        <f t="shared" si="1"/>
        <v>0.30571428571428572</v>
      </c>
      <c r="AJ65" s="34">
        <v>10</v>
      </c>
      <c r="AK65" s="34">
        <v>0.64200000000000002</v>
      </c>
    </row>
    <row r="66" spans="1:37" ht="15.5" x14ac:dyDescent="0.35">
      <c r="A66" s="3">
        <v>64</v>
      </c>
      <c r="B66" s="4" t="s">
        <v>179</v>
      </c>
      <c r="C66" s="26" t="s">
        <v>252</v>
      </c>
      <c r="D66" s="26" t="s">
        <v>131</v>
      </c>
      <c r="E66" s="26" t="s">
        <v>144</v>
      </c>
      <c r="F66" s="26" t="s">
        <v>133</v>
      </c>
      <c r="G66" s="28">
        <v>2</v>
      </c>
      <c r="H66" s="29" t="s">
        <v>46</v>
      </c>
      <c r="I66" s="29" t="s">
        <v>47</v>
      </c>
      <c r="J66" s="71" t="s">
        <v>48</v>
      </c>
      <c r="K66" s="29" t="s">
        <v>49</v>
      </c>
      <c r="L66" s="8" t="s">
        <v>64</v>
      </c>
      <c r="M66" s="29" t="s">
        <v>134</v>
      </c>
      <c r="N66" s="29" t="s">
        <v>52</v>
      </c>
      <c r="O66" s="29" t="s">
        <v>53</v>
      </c>
      <c r="P66" s="29" t="s">
        <v>54</v>
      </c>
      <c r="Q66" s="8" t="s">
        <v>55</v>
      </c>
      <c r="R66" s="29" t="s">
        <v>56</v>
      </c>
      <c r="S66" s="29" t="s">
        <v>57</v>
      </c>
      <c r="T66" s="29" t="s">
        <v>58</v>
      </c>
      <c r="U66" s="69" t="s">
        <v>59</v>
      </c>
      <c r="V66" s="29" t="s">
        <v>106</v>
      </c>
      <c r="W66" s="30">
        <v>2</v>
      </c>
      <c r="X66" s="30">
        <v>0</v>
      </c>
      <c r="Y66" s="30">
        <v>0</v>
      </c>
      <c r="Z66" s="30">
        <v>0</v>
      </c>
      <c r="AA66" s="31">
        <f>0.439-0.125</f>
        <v>0.314</v>
      </c>
      <c r="AB66" s="31">
        <v>0.191</v>
      </c>
      <c r="AC66" s="31">
        <v>0.183</v>
      </c>
      <c r="AD66" s="30">
        <v>0</v>
      </c>
      <c r="AE66" s="30">
        <v>0</v>
      </c>
      <c r="AF66" s="30">
        <v>0</v>
      </c>
      <c r="AG66" s="32">
        <v>2.6880000000000002</v>
      </c>
      <c r="AH66" s="33">
        <f t="shared" si="6"/>
        <v>0.38400000000000001</v>
      </c>
      <c r="AI66" s="33">
        <f t="shared" si="1"/>
        <v>0.192</v>
      </c>
      <c r="AJ66" s="34">
        <v>4</v>
      </c>
      <c r="AK66" s="34">
        <v>0.67200000000000004</v>
      </c>
    </row>
    <row r="67" spans="1:37" ht="15.5" x14ac:dyDescent="0.35">
      <c r="A67" s="3">
        <v>65</v>
      </c>
      <c r="B67" s="4" t="s">
        <v>180</v>
      </c>
      <c r="C67" s="26" t="s">
        <v>252</v>
      </c>
      <c r="D67" s="26" t="s">
        <v>131</v>
      </c>
      <c r="E67" s="26" t="s">
        <v>144</v>
      </c>
      <c r="F67" s="26" t="s">
        <v>133</v>
      </c>
      <c r="G67" s="28">
        <v>1</v>
      </c>
      <c r="H67" s="29" t="s">
        <v>46</v>
      </c>
      <c r="I67" s="29" t="s">
        <v>71</v>
      </c>
      <c r="J67" s="71" t="s">
        <v>48</v>
      </c>
      <c r="K67" s="29" t="s">
        <v>148</v>
      </c>
      <c r="L67" s="8" t="s">
        <v>64</v>
      </c>
      <c r="M67" s="29" t="s">
        <v>134</v>
      </c>
      <c r="N67" s="29" t="s">
        <v>138</v>
      </c>
      <c r="O67" s="29" t="s">
        <v>67</v>
      </c>
      <c r="P67" s="29" t="s">
        <v>54</v>
      </c>
      <c r="Q67" s="8" t="s">
        <v>55</v>
      </c>
      <c r="R67" s="29" t="s">
        <v>56</v>
      </c>
      <c r="S67" s="29" t="s">
        <v>57</v>
      </c>
      <c r="T67" s="29" t="s">
        <v>58</v>
      </c>
      <c r="U67" s="69" t="s">
        <v>59</v>
      </c>
      <c r="V67" s="29" t="s">
        <v>106</v>
      </c>
      <c r="W67" s="30">
        <v>3.89</v>
      </c>
      <c r="X67" s="30">
        <v>0</v>
      </c>
      <c r="Y67" s="30">
        <v>0</v>
      </c>
      <c r="Z67" s="30">
        <v>0</v>
      </c>
      <c r="AA67" s="31">
        <f>0.506-0.125</f>
        <v>0.38100000000000001</v>
      </c>
      <c r="AB67" s="31">
        <f>0.414-0.125</f>
        <v>0.28899999999999998</v>
      </c>
      <c r="AC67" s="31">
        <f>0.399-0.125</f>
        <v>0.27400000000000002</v>
      </c>
      <c r="AD67" s="30">
        <v>0</v>
      </c>
      <c r="AE67" s="30">
        <v>0</v>
      </c>
      <c r="AF67" s="30">
        <v>0.53</v>
      </c>
      <c r="AG67" s="32">
        <v>4.8339999999999996</v>
      </c>
      <c r="AH67" s="33">
        <f t="shared" si="6"/>
        <v>0.6905714285714285</v>
      </c>
      <c r="AI67" s="33">
        <f t="shared" ref="AI67:AI85" si="7">AH67/G67</f>
        <v>0.6905714285714285</v>
      </c>
      <c r="AJ67" s="34">
        <v>6</v>
      </c>
      <c r="AK67" s="34">
        <v>0.80600000000000005</v>
      </c>
    </row>
    <row r="68" spans="1:37" ht="15.5" x14ac:dyDescent="0.35">
      <c r="A68" s="3">
        <v>66</v>
      </c>
      <c r="B68" s="4" t="s">
        <v>181</v>
      </c>
      <c r="C68" s="26" t="s">
        <v>252</v>
      </c>
      <c r="D68" s="26" t="s">
        <v>131</v>
      </c>
      <c r="E68" s="26" t="s">
        <v>144</v>
      </c>
      <c r="F68" s="26" t="s">
        <v>133</v>
      </c>
      <c r="G68" s="28">
        <v>2</v>
      </c>
      <c r="H68" s="29" t="s">
        <v>62</v>
      </c>
      <c r="I68" s="29" t="s">
        <v>47</v>
      </c>
      <c r="J68" s="71" t="s">
        <v>48</v>
      </c>
      <c r="K68" s="29" t="s">
        <v>79</v>
      </c>
      <c r="L68" s="8" t="s">
        <v>64</v>
      </c>
      <c r="M68" s="29" t="s">
        <v>134</v>
      </c>
      <c r="N68" s="29" t="s">
        <v>66</v>
      </c>
      <c r="O68" s="29" t="s">
        <v>53</v>
      </c>
      <c r="P68" s="29" t="s">
        <v>54</v>
      </c>
      <c r="Q68" s="8" t="s">
        <v>55</v>
      </c>
      <c r="R68" s="29" t="s">
        <v>56</v>
      </c>
      <c r="S68" s="29" t="s">
        <v>57</v>
      </c>
      <c r="T68" s="29" t="s">
        <v>58</v>
      </c>
      <c r="U68" s="70" t="s">
        <v>69</v>
      </c>
      <c r="V68" s="29" t="s">
        <v>106</v>
      </c>
      <c r="W68" s="30">
        <v>0.77500000000000002</v>
      </c>
      <c r="X68" s="30">
        <v>0</v>
      </c>
      <c r="Y68" s="30">
        <v>0</v>
      </c>
      <c r="Z68" s="30">
        <v>0.23799999999999999</v>
      </c>
      <c r="AA68" s="31">
        <v>0.33200000000000002</v>
      </c>
      <c r="AB68" s="31">
        <v>0.48899999999999999</v>
      </c>
      <c r="AC68" s="31">
        <v>0.33300000000000002</v>
      </c>
      <c r="AD68" s="30">
        <v>0</v>
      </c>
      <c r="AE68" s="30">
        <v>0.16500000000000001</v>
      </c>
      <c r="AF68" s="30">
        <v>0.189</v>
      </c>
      <c r="AG68" s="32">
        <v>2.5209999999999999</v>
      </c>
      <c r="AH68" s="33">
        <f t="shared" si="6"/>
        <v>0.36014285714285715</v>
      </c>
      <c r="AI68" s="33">
        <f t="shared" si="7"/>
        <v>0.18007142857142858</v>
      </c>
      <c r="AJ68" s="34">
        <v>4</v>
      </c>
      <c r="AK68" s="34">
        <v>0.63</v>
      </c>
    </row>
    <row r="69" spans="1:37" ht="15.5" x14ac:dyDescent="0.35">
      <c r="A69" s="3">
        <v>67</v>
      </c>
      <c r="B69" s="4" t="s">
        <v>182</v>
      </c>
      <c r="C69" s="26" t="s">
        <v>252</v>
      </c>
      <c r="D69" s="26" t="s">
        <v>131</v>
      </c>
      <c r="E69" s="26" t="s">
        <v>144</v>
      </c>
      <c r="F69" s="26" t="s">
        <v>133</v>
      </c>
      <c r="G69" s="28">
        <v>6</v>
      </c>
      <c r="H69" s="29" t="s">
        <v>62</v>
      </c>
      <c r="I69" s="29" t="s">
        <v>47</v>
      </c>
      <c r="J69" s="29" t="s">
        <v>78</v>
      </c>
      <c r="K69" s="29" t="s">
        <v>79</v>
      </c>
      <c r="L69" s="8" t="s">
        <v>64</v>
      </c>
      <c r="M69" s="8" t="s">
        <v>65</v>
      </c>
      <c r="N69" s="29" t="s">
        <v>66</v>
      </c>
      <c r="O69" s="29" t="s">
        <v>135</v>
      </c>
      <c r="P69" s="29" t="s">
        <v>54</v>
      </c>
      <c r="Q69" s="8" t="s">
        <v>55</v>
      </c>
      <c r="R69" s="29" t="s">
        <v>56</v>
      </c>
      <c r="S69" s="29" t="s">
        <v>68</v>
      </c>
      <c r="T69" s="29" t="s">
        <v>136</v>
      </c>
      <c r="U69" s="69" t="s">
        <v>59</v>
      </c>
      <c r="V69" s="29" t="s">
        <v>106</v>
      </c>
      <c r="W69" s="30">
        <v>16.12</v>
      </c>
      <c r="X69" s="30">
        <v>0</v>
      </c>
      <c r="Y69" s="30">
        <v>0</v>
      </c>
      <c r="Z69" s="30">
        <v>0</v>
      </c>
      <c r="AA69" s="31">
        <v>0.31900000000000001</v>
      </c>
      <c r="AB69" s="31">
        <v>0.56100000000000005</v>
      </c>
      <c r="AC69" s="31">
        <v>0.59899999999999998</v>
      </c>
      <c r="AD69" s="30">
        <v>0</v>
      </c>
      <c r="AE69" s="30">
        <v>0.14199999999999999</v>
      </c>
      <c r="AF69" s="30">
        <v>0.75700000000000001</v>
      </c>
      <c r="AG69" s="32">
        <v>18.498000000000001</v>
      </c>
      <c r="AH69" s="33">
        <f t="shared" si="6"/>
        <v>2.6425714285714288</v>
      </c>
      <c r="AI69" s="33">
        <f t="shared" si="7"/>
        <v>0.44042857142857145</v>
      </c>
      <c r="AJ69" s="34">
        <v>54</v>
      </c>
      <c r="AK69" s="34">
        <v>0.34300000000000003</v>
      </c>
    </row>
    <row r="70" spans="1:37" ht="15.5" x14ac:dyDescent="0.35">
      <c r="A70" s="3">
        <v>68</v>
      </c>
      <c r="B70" s="4" t="s">
        <v>183</v>
      </c>
      <c r="C70" s="26" t="s">
        <v>252</v>
      </c>
      <c r="D70" s="26" t="s">
        <v>131</v>
      </c>
      <c r="E70" s="26" t="s">
        <v>144</v>
      </c>
      <c r="F70" s="26" t="s">
        <v>133</v>
      </c>
      <c r="G70" s="28">
        <v>3</v>
      </c>
      <c r="H70" s="29" t="s">
        <v>46</v>
      </c>
      <c r="I70" s="29" t="s">
        <v>47</v>
      </c>
      <c r="J70" s="29" t="s">
        <v>78</v>
      </c>
      <c r="K70" s="29" t="s">
        <v>79</v>
      </c>
      <c r="L70" s="8" t="s">
        <v>64</v>
      </c>
      <c r="M70" s="29" t="s">
        <v>134</v>
      </c>
      <c r="N70" s="29" t="s">
        <v>52</v>
      </c>
      <c r="O70" s="29" t="s">
        <v>53</v>
      </c>
      <c r="P70" s="29" t="s">
        <v>54</v>
      </c>
      <c r="Q70" s="8" t="s">
        <v>55</v>
      </c>
      <c r="R70" s="29" t="s">
        <v>56</v>
      </c>
      <c r="S70" s="29" t="s">
        <v>68</v>
      </c>
      <c r="T70" s="29" t="s">
        <v>136</v>
      </c>
      <c r="U70" s="70" t="s">
        <v>69</v>
      </c>
      <c r="V70" s="29" t="s">
        <v>106</v>
      </c>
      <c r="W70" s="30">
        <v>10.34</v>
      </c>
      <c r="X70" s="30">
        <v>0</v>
      </c>
      <c r="Y70" s="30">
        <v>0</v>
      </c>
      <c r="Z70" s="30">
        <v>0</v>
      </c>
      <c r="AA70" s="31">
        <v>0.38400000000000001</v>
      </c>
      <c r="AB70" s="31">
        <v>0.34799999999999998</v>
      </c>
      <c r="AC70" s="31">
        <v>0.38800000000000001</v>
      </c>
      <c r="AD70" s="30">
        <v>0</v>
      </c>
      <c r="AE70" s="30">
        <v>0</v>
      </c>
      <c r="AF70" s="30">
        <v>1.129</v>
      </c>
      <c r="AG70" s="32">
        <f>SUM(W70:AF70)</f>
        <v>12.589</v>
      </c>
      <c r="AH70" s="33">
        <f t="shared" si="6"/>
        <v>1.7984285714285715</v>
      </c>
      <c r="AI70" s="33">
        <f t="shared" si="7"/>
        <v>0.5994761904761905</v>
      </c>
      <c r="AJ70" s="34">
        <v>32</v>
      </c>
      <c r="AK70" s="38">
        <f>AG70/AJ70</f>
        <v>0.39340625000000001</v>
      </c>
    </row>
    <row r="71" spans="1:37" ht="15.5" x14ac:dyDescent="0.35">
      <c r="A71" s="3">
        <v>69</v>
      </c>
      <c r="B71" s="4" t="s">
        <v>184</v>
      </c>
      <c r="C71" s="26" t="s">
        <v>252</v>
      </c>
      <c r="D71" s="26" t="s">
        <v>131</v>
      </c>
      <c r="E71" s="26" t="s">
        <v>144</v>
      </c>
      <c r="F71" s="26" t="s">
        <v>133</v>
      </c>
      <c r="G71" s="28">
        <v>6</v>
      </c>
      <c r="H71" s="29" t="s">
        <v>46</v>
      </c>
      <c r="I71" s="29" t="s">
        <v>47</v>
      </c>
      <c r="J71" s="29" t="s">
        <v>78</v>
      </c>
      <c r="K71" s="29" t="s">
        <v>79</v>
      </c>
      <c r="L71" s="8" t="s">
        <v>64</v>
      </c>
      <c r="M71" s="29" t="s">
        <v>51</v>
      </c>
      <c r="N71" s="29" t="s">
        <v>52</v>
      </c>
      <c r="O71" s="29" t="s">
        <v>53</v>
      </c>
      <c r="P71" s="29" t="s">
        <v>54</v>
      </c>
      <c r="Q71" s="8" t="s">
        <v>55</v>
      </c>
      <c r="R71" s="29" t="s">
        <v>56</v>
      </c>
      <c r="S71" s="29" t="s">
        <v>68</v>
      </c>
      <c r="T71" s="29" t="s">
        <v>136</v>
      </c>
      <c r="U71" s="70" t="s">
        <v>69</v>
      </c>
      <c r="V71" s="29" t="s">
        <v>106</v>
      </c>
      <c r="W71" s="30">
        <v>11.34</v>
      </c>
      <c r="X71" s="30">
        <v>0</v>
      </c>
      <c r="Y71" s="30">
        <v>0</v>
      </c>
      <c r="Z71" s="30">
        <v>1.2999999999999999E-2</v>
      </c>
      <c r="AA71" s="31">
        <v>0.29399999999999998</v>
      </c>
      <c r="AB71" s="31">
        <v>0.63400000000000001</v>
      </c>
      <c r="AC71" s="31">
        <v>0.627</v>
      </c>
      <c r="AD71" s="30">
        <v>0</v>
      </c>
      <c r="AE71" s="30">
        <v>0</v>
      </c>
      <c r="AF71" s="30">
        <v>0</v>
      </c>
      <c r="AG71" s="32">
        <f>SUM(W71:AF71)</f>
        <v>12.908000000000001</v>
      </c>
      <c r="AH71" s="33">
        <f t="shared" si="6"/>
        <v>1.8440000000000001</v>
      </c>
      <c r="AI71" s="33">
        <f t="shared" si="7"/>
        <v>0.30733333333333335</v>
      </c>
      <c r="AJ71" s="34">
        <v>36</v>
      </c>
      <c r="AK71" s="38">
        <f>AG71/AJ71</f>
        <v>0.35855555555555557</v>
      </c>
    </row>
    <row r="72" spans="1:37" ht="15.5" x14ac:dyDescent="0.35">
      <c r="A72" s="3">
        <v>70</v>
      </c>
      <c r="B72" s="4" t="s">
        <v>185</v>
      </c>
      <c r="C72" s="26" t="s">
        <v>252</v>
      </c>
      <c r="D72" s="26" t="s">
        <v>131</v>
      </c>
      <c r="E72" s="26" t="s">
        <v>144</v>
      </c>
      <c r="F72" s="26" t="s">
        <v>133</v>
      </c>
      <c r="G72" s="28">
        <v>7</v>
      </c>
      <c r="H72" s="29" t="s">
        <v>143</v>
      </c>
      <c r="I72" s="29" t="s">
        <v>71</v>
      </c>
      <c r="J72" s="29" t="s">
        <v>63</v>
      </c>
      <c r="K72" s="29" t="s">
        <v>49</v>
      </c>
      <c r="L72" s="8" t="s">
        <v>64</v>
      </c>
      <c r="M72" s="29" t="s">
        <v>134</v>
      </c>
      <c r="N72" s="29" t="s">
        <v>66</v>
      </c>
      <c r="O72" s="29" t="s">
        <v>135</v>
      </c>
      <c r="P72" s="29" t="s">
        <v>54</v>
      </c>
      <c r="Q72" s="8" t="s">
        <v>55</v>
      </c>
      <c r="R72" s="29" t="s">
        <v>56</v>
      </c>
      <c r="S72" s="29" t="s">
        <v>57</v>
      </c>
      <c r="T72" s="29" t="s">
        <v>139</v>
      </c>
      <c r="U72" s="69" t="s">
        <v>59</v>
      </c>
      <c r="V72" s="29" t="s">
        <v>106</v>
      </c>
      <c r="W72" s="30">
        <v>22.38</v>
      </c>
      <c r="X72" s="30">
        <v>0</v>
      </c>
      <c r="Y72" s="30">
        <v>0.23</v>
      </c>
      <c r="Z72" s="30">
        <v>0</v>
      </c>
      <c r="AA72" s="31">
        <v>0.69099999999999995</v>
      </c>
      <c r="AB72" s="31">
        <v>0.57899999999999996</v>
      </c>
      <c r="AC72" s="31">
        <v>0.34499999999999997</v>
      </c>
      <c r="AD72" s="30">
        <v>0.37</v>
      </c>
      <c r="AE72" s="30">
        <v>0</v>
      </c>
      <c r="AF72" s="30">
        <v>2.78</v>
      </c>
      <c r="AG72" s="32">
        <v>27.375</v>
      </c>
      <c r="AH72" s="33">
        <f>AG72/7</f>
        <v>3.9107142857142856</v>
      </c>
      <c r="AI72" s="33">
        <f t="shared" si="7"/>
        <v>0.55867346938775508</v>
      </c>
      <c r="AJ72" s="34">
        <v>64</v>
      </c>
      <c r="AK72" s="34">
        <v>0.42799999999999999</v>
      </c>
    </row>
    <row r="73" spans="1:37" ht="15.5" x14ac:dyDescent="0.35">
      <c r="A73" s="3">
        <v>71</v>
      </c>
      <c r="B73" s="4" t="s">
        <v>186</v>
      </c>
      <c r="C73" s="26" t="s">
        <v>252</v>
      </c>
      <c r="D73" s="26" t="s">
        <v>131</v>
      </c>
      <c r="E73" s="26" t="s">
        <v>144</v>
      </c>
      <c r="F73" s="26" t="s">
        <v>133</v>
      </c>
      <c r="G73" s="28">
        <v>8</v>
      </c>
      <c r="H73" s="29" t="s">
        <v>62</v>
      </c>
      <c r="I73" s="29" t="s">
        <v>47</v>
      </c>
      <c r="J73" s="29" t="s">
        <v>78</v>
      </c>
      <c r="K73" s="29" t="s">
        <v>49</v>
      </c>
      <c r="L73" s="8" t="s">
        <v>64</v>
      </c>
      <c r="M73" s="8" t="s">
        <v>65</v>
      </c>
      <c r="N73" s="29" t="s">
        <v>66</v>
      </c>
      <c r="O73" s="29" t="s">
        <v>53</v>
      </c>
      <c r="P73" s="29" t="s">
        <v>54</v>
      </c>
      <c r="Q73" s="8" t="s">
        <v>55</v>
      </c>
      <c r="R73" s="29" t="s">
        <v>56</v>
      </c>
      <c r="S73" s="29" t="s">
        <v>68</v>
      </c>
      <c r="T73" s="29" t="s">
        <v>136</v>
      </c>
      <c r="U73" s="70" t="s">
        <v>69</v>
      </c>
      <c r="V73" s="29" t="s">
        <v>106</v>
      </c>
      <c r="W73" s="30">
        <f>16.2+7.34</f>
        <v>23.54</v>
      </c>
      <c r="X73" s="30">
        <v>0</v>
      </c>
      <c r="Y73" s="30">
        <v>0</v>
      </c>
      <c r="Z73" s="30">
        <v>0</v>
      </c>
      <c r="AA73" s="31">
        <v>0.67800000000000005</v>
      </c>
      <c r="AB73" s="31">
        <v>0.41199999999999998</v>
      </c>
      <c r="AC73" s="31">
        <v>0.23400000000000001</v>
      </c>
      <c r="AD73" s="30">
        <v>0</v>
      </c>
      <c r="AE73" s="30">
        <v>0</v>
      </c>
      <c r="AF73" s="30">
        <v>1.68</v>
      </c>
      <c r="AG73" s="32">
        <v>26.544</v>
      </c>
      <c r="AH73" s="33">
        <f t="shared" si="6"/>
        <v>3.7920000000000003</v>
      </c>
      <c r="AI73" s="33">
        <f t="shared" si="7"/>
        <v>0.47400000000000003</v>
      </c>
      <c r="AJ73" s="34">
        <v>60</v>
      </c>
      <c r="AK73" s="34">
        <v>0.442</v>
      </c>
    </row>
    <row r="74" spans="1:37" ht="15.5" x14ac:dyDescent="0.35">
      <c r="A74" s="3">
        <v>72</v>
      </c>
      <c r="B74" s="4" t="s">
        <v>187</v>
      </c>
      <c r="C74" s="5" t="s">
        <v>153</v>
      </c>
      <c r="D74" s="5" t="s">
        <v>154</v>
      </c>
      <c r="E74" s="5" t="s">
        <v>155</v>
      </c>
      <c r="F74" s="5" t="s">
        <v>156</v>
      </c>
      <c r="G74" s="5">
        <v>6</v>
      </c>
      <c r="H74" s="5" t="s">
        <v>75</v>
      </c>
      <c r="I74" s="5" t="s">
        <v>47</v>
      </c>
      <c r="J74" s="71" t="s">
        <v>78</v>
      </c>
      <c r="K74" s="5" t="s">
        <v>49</v>
      </c>
      <c r="L74" s="5" t="s">
        <v>157</v>
      </c>
      <c r="M74" s="5" t="s">
        <v>51</v>
      </c>
      <c r="N74" s="5" t="s">
        <v>66</v>
      </c>
      <c r="O74" s="5" t="s">
        <v>67</v>
      </c>
      <c r="P74" s="5" t="s">
        <v>158</v>
      </c>
      <c r="Q74" s="8" t="s">
        <v>55</v>
      </c>
      <c r="R74" s="5" t="s">
        <v>56</v>
      </c>
      <c r="S74" s="5" t="s">
        <v>68</v>
      </c>
      <c r="T74" s="5" t="s">
        <v>159</v>
      </c>
      <c r="U74" s="5" t="s">
        <v>160</v>
      </c>
      <c r="V74" s="5" t="s">
        <v>161</v>
      </c>
      <c r="W74" s="6">
        <f>21.2+21</f>
        <v>42.2</v>
      </c>
      <c r="X74" s="6">
        <v>0</v>
      </c>
      <c r="Y74" s="6">
        <v>0</v>
      </c>
      <c r="Z74" s="6">
        <v>0.153</v>
      </c>
      <c r="AA74" s="6">
        <v>0.58599999999999997</v>
      </c>
      <c r="AB74" s="6">
        <v>0.66800000000000004</v>
      </c>
      <c r="AC74" s="6">
        <v>1.03</v>
      </c>
      <c r="AD74" s="6">
        <v>0</v>
      </c>
      <c r="AE74" s="6">
        <v>0.96299999999999997</v>
      </c>
      <c r="AF74" s="6">
        <v>4.38</v>
      </c>
      <c r="AG74" s="6">
        <f t="shared" ref="AG74:AG90" si="8">SUM(W74:AF74)</f>
        <v>49.980000000000004</v>
      </c>
      <c r="AH74" s="6">
        <f t="shared" si="6"/>
        <v>7.1400000000000006</v>
      </c>
      <c r="AI74" s="6">
        <f t="shared" si="7"/>
        <v>1.1900000000000002</v>
      </c>
      <c r="AJ74" s="6">
        <v>160</v>
      </c>
      <c r="AK74" s="6">
        <f t="shared" ref="AK74:AK91" si="9">AG74/AJ74</f>
        <v>0.31237500000000001</v>
      </c>
    </row>
    <row r="75" spans="1:37" ht="15.5" x14ac:dyDescent="0.35">
      <c r="A75" s="3">
        <v>73</v>
      </c>
      <c r="B75" s="4" t="s">
        <v>188</v>
      </c>
      <c r="C75" s="5" t="s">
        <v>153</v>
      </c>
      <c r="D75" s="5" t="s">
        <v>154</v>
      </c>
      <c r="E75" s="5" t="s">
        <v>155</v>
      </c>
      <c r="F75" s="5" t="s">
        <v>156</v>
      </c>
      <c r="G75" s="5">
        <v>9</v>
      </c>
      <c r="H75" s="5" t="s">
        <v>46</v>
      </c>
      <c r="I75" s="5" t="s">
        <v>71</v>
      </c>
      <c r="J75" s="71" t="s">
        <v>78</v>
      </c>
      <c r="K75" s="5" t="s">
        <v>103</v>
      </c>
      <c r="L75" s="5" t="s">
        <v>104</v>
      </c>
      <c r="M75" s="5" t="s">
        <v>134</v>
      </c>
      <c r="N75" s="5" t="s">
        <v>66</v>
      </c>
      <c r="O75" s="5" t="s">
        <v>67</v>
      </c>
      <c r="P75" s="5" t="s">
        <v>158</v>
      </c>
      <c r="Q75" s="8" t="s">
        <v>55</v>
      </c>
      <c r="R75" s="5" t="s">
        <v>56</v>
      </c>
      <c r="S75" s="5" t="s">
        <v>68</v>
      </c>
      <c r="T75" s="5" t="s">
        <v>159</v>
      </c>
      <c r="U75" s="5" t="s">
        <v>160</v>
      </c>
      <c r="V75" s="5" t="s">
        <v>161</v>
      </c>
      <c r="W75" s="6">
        <f>18.5+18.48</f>
        <v>36.980000000000004</v>
      </c>
      <c r="X75" s="6">
        <v>2.4</v>
      </c>
      <c r="Y75" s="6">
        <v>0</v>
      </c>
      <c r="Z75" s="6">
        <v>0.16700000000000001</v>
      </c>
      <c r="AA75" s="6">
        <v>0.34499999999999997</v>
      </c>
      <c r="AB75" s="6">
        <v>0.54300000000000004</v>
      </c>
      <c r="AC75" s="6">
        <v>0.879</v>
      </c>
      <c r="AD75" s="6">
        <v>0</v>
      </c>
      <c r="AE75" s="6">
        <v>0</v>
      </c>
      <c r="AF75" s="6">
        <v>5.67</v>
      </c>
      <c r="AG75" s="6">
        <f t="shared" si="8"/>
        <v>46.984000000000002</v>
      </c>
      <c r="AH75" s="6">
        <f t="shared" si="6"/>
        <v>6.7120000000000006</v>
      </c>
      <c r="AI75" s="6">
        <f t="shared" si="7"/>
        <v>0.74577777777777787</v>
      </c>
      <c r="AJ75" s="6">
        <v>150</v>
      </c>
      <c r="AK75" s="6">
        <f t="shared" si="9"/>
        <v>0.31322666666666665</v>
      </c>
    </row>
    <row r="76" spans="1:37" ht="15.5" x14ac:dyDescent="0.35">
      <c r="A76" s="3">
        <v>74</v>
      </c>
      <c r="B76" s="4" t="s">
        <v>189</v>
      </c>
      <c r="C76" s="5" t="s">
        <v>153</v>
      </c>
      <c r="D76" s="5" t="s">
        <v>154</v>
      </c>
      <c r="E76" s="5" t="s">
        <v>155</v>
      </c>
      <c r="F76" s="5" t="s">
        <v>156</v>
      </c>
      <c r="G76" s="5">
        <v>8</v>
      </c>
      <c r="H76" s="5" t="s">
        <v>75</v>
      </c>
      <c r="I76" s="5" t="s">
        <v>47</v>
      </c>
      <c r="J76" s="71" t="s">
        <v>78</v>
      </c>
      <c r="K76" s="5" t="s">
        <v>79</v>
      </c>
      <c r="L76" s="5" t="s">
        <v>157</v>
      </c>
      <c r="M76" s="5" t="s">
        <v>134</v>
      </c>
      <c r="N76" s="5" t="s">
        <v>66</v>
      </c>
      <c r="O76" s="5" t="s">
        <v>67</v>
      </c>
      <c r="P76" s="5" t="s">
        <v>158</v>
      </c>
      <c r="Q76" s="8" t="s">
        <v>55</v>
      </c>
      <c r="R76" s="5" t="s">
        <v>162</v>
      </c>
      <c r="S76" s="5" t="s">
        <v>68</v>
      </c>
      <c r="T76" s="5" t="s">
        <v>159</v>
      </c>
      <c r="U76" s="5" t="s">
        <v>160</v>
      </c>
      <c r="V76" s="5" t="s">
        <v>161</v>
      </c>
      <c r="W76" s="6">
        <v>18.62</v>
      </c>
      <c r="X76" s="6">
        <v>0.53400000000000003</v>
      </c>
      <c r="Y76" s="6">
        <v>0</v>
      </c>
      <c r="Z76" s="6">
        <v>0</v>
      </c>
      <c r="AA76" s="6">
        <v>0.52300000000000002</v>
      </c>
      <c r="AB76" s="6">
        <v>0.78200000000000003</v>
      </c>
      <c r="AC76" s="6">
        <v>0.94599999999999995</v>
      </c>
      <c r="AD76" s="6">
        <v>0</v>
      </c>
      <c r="AE76" s="6">
        <v>0.83399999999999996</v>
      </c>
      <c r="AF76" s="6">
        <v>0.26100000000000001</v>
      </c>
      <c r="AG76" s="6">
        <f t="shared" si="8"/>
        <v>22.5</v>
      </c>
      <c r="AH76" s="6">
        <f t="shared" si="6"/>
        <v>3.2142857142857144</v>
      </c>
      <c r="AI76" s="6">
        <f t="shared" si="7"/>
        <v>0.4017857142857143</v>
      </c>
      <c r="AJ76" s="6">
        <v>80</v>
      </c>
      <c r="AK76" s="6">
        <f t="shared" si="9"/>
        <v>0.28125</v>
      </c>
    </row>
    <row r="77" spans="1:37" ht="15.5" x14ac:dyDescent="0.35">
      <c r="A77" s="3">
        <v>75</v>
      </c>
      <c r="B77" s="4" t="s">
        <v>190</v>
      </c>
      <c r="C77" s="5" t="s">
        <v>153</v>
      </c>
      <c r="D77" s="5" t="s">
        <v>154</v>
      </c>
      <c r="E77" s="5" t="s">
        <v>155</v>
      </c>
      <c r="F77" s="5" t="s">
        <v>156</v>
      </c>
      <c r="G77" s="5">
        <v>2</v>
      </c>
      <c r="H77" s="5" t="s">
        <v>75</v>
      </c>
      <c r="I77" s="5" t="s">
        <v>47</v>
      </c>
      <c r="J77" s="71" t="s">
        <v>78</v>
      </c>
      <c r="K77" s="5" t="s">
        <v>76</v>
      </c>
      <c r="L77" s="5" t="s">
        <v>104</v>
      </c>
      <c r="M77" s="5" t="s">
        <v>134</v>
      </c>
      <c r="N77" s="5" t="s">
        <v>66</v>
      </c>
      <c r="O77" s="5" t="s">
        <v>67</v>
      </c>
      <c r="P77" s="5" t="s">
        <v>158</v>
      </c>
      <c r="Q77" s="8" t="s">
        <v>55</v>
      </c>
      <c r="R77" s="5" t="s">
        <v>56</v>
      </c>
      <c r="S77" s="5" t="s">
        <v>68</v>
      </c>
      <c r="T77" s="5" t="s">
        <v>159</v>
      </c>
      <c r="U77" s="5" t="s">
        <v>160</v>
      </c>
      <c r="V77" s="5" t="s">
        <v>161</v>
      </c>
      <c r="W77" s="6">
        <v>4.32</v>
      </c>
      <c r="X77" s="6">
        <v>6.12</v>
      </c>
      <c r="Y77" s="6">
        <v>0</v>
      </c>
      <c r="Z77" s="6">
        <v>0</v>
      </c>
      <c r="AA77" s="6">
        <v>0.128</v>
      </c>
      <c r="AB77" s="6">
        <v>0.45</v>
      </c>
      <c r="AC77" s="6">
        <v>0.54</v>
      </c>
      <c r="AD77" s="6">
        <v>0</v>
      </c>
      <c r="AE77" s="6">
        <v>0</v>
      </c>
      <c r="AF77" s="6">
        <v>0</v>
      </c>
      <c r="AG77" s="6">
        <f t="shared" si="8"/>
        <v>11.558</v>
      </c>
      <c r="AH77" s="6">
        <f t="shared" si="6"/>
        <v>1.651142857142857</v>
      </c>
      <c r="AI77" s="6">
        <f t="shared" si="7"/>
        <v>0.82557142857142851</v>
      </c>
      <c r="AJ77" s="6">
        <v>36</v>
      </c>
      <c r="AK77" s="6">
        <f t="shared" si="9"/>
        <v>0.32105555555555554</v>
      </c>
    </row>
    <row r="78" spans="1:37" ht="15.5" x14ac:dyDescent="0.35">
      <c r="A78" s="3">
        <v>76</v>
      </c>
      <c r="B78" s="4" t="s">
        <v>191</v>
      </c>
      <c r="C78" s="5" t="s">
        <v>153</v>
      </c>
      <c r="D78" s="5" t="s">
        <v>154</v>
      </c>
      <c r="E78" s="5" t="s">
        <v>155</v>
      </c>
      <c r="F78" s="5" t="s">
        <v>156</v>
      </c>
      <c r="G78" s="5">
        <v>4</v>
      </c>
      <c r="H78" s="5" t="s">
        <v>62</v>
      </c>
      <c r="I78" s="5" t="s">
        <v>47</v>
      </c>
      <c r="J78" s="71" t="s">
        <v>78</v>
      </c>
      <c r="K78" s="5" t="s">
        <v>79</v>
      </c>
      <c r="L78" s="5" t="s">
        <v>104</v>
      </c>
      <c r="M78" s="5" t="s">
        <v>134</v>
      </c>
      <c r="N78" s="5" t="s">
        <v>66</v>
      </c>
      <c r="O78" s="5" t="s">
        <v>67</v>
      </c>
      <c r="P78" s="5" t="s">
        <v>54</v>
      </c>
      <c r="Q78" s="5" t="s">
        <v>57</v>
      </c>
      <c r="R78" s="5" t="s">
        <v>56</v>
      </c>
      <c r="S78" s="5" t="s">
        <v>68</v>
      </c>
      <c r="T78" s="5" t="s">
        <v>159</v>
      </c>
      <c r="U78" s="5" t="s">
        <v>160</v>
      </c>
      <c r="V78" s="5" t="s">
        <v>161</v>
      </c>
      <c r="W78" s="6">
        <v>16.28</v>
      </c>
      <c r="X78" s="6">
        <v>0</v>
      </c>
      <c r="Y78" s="6">
        <v>0</v>
      </c>
      <c r="Z78" s="6">
        <v>0</v>
      </c>
      <c r="AA78" s="6">
        <v>0</v>
      </c>
      <c r="AB78" s="6">
        <v>0.34499999999999997</v>
      </c>
      <c r="AC78" s="6">
        <v>0.56299999999999994</v>
      </c>
      <c r="AD78" s="6">
        <v>0</v>
      </c>
      <c r="AE78" s="6">
        <v>0.69599999999999995</v>
      </c>
      <c r="AF78" s="6">
        <v>3.2160000000000002</v>
      </c>
      <c r="AG78" s="6">
        <f t="shared" si="8"/>
        <v>21.1</v>
      </c>
      <c r="AH78" s="6">
        <f t="shared" si="6"/>
        <v>3.0142857142857147</v>
      </c>
      <c r="AI78" s="6">
        <f t="shared" si="7"/>
        <v>0.75357142857142867</v>
      </c>
      <c r="AJ78" s="6">
        <v>68</v>
      </c>
      <c r="AK78" s="6">
        <f t="shared" si="9"/>
        <v>0.31029411764705883</v>
      </c>
    </row>
    <row r="79" spans="1:37" ht="15.5" x14ac:dyDescent="0.35">
      <c r="A79" s="3">
        <v>77</v>
      </c>
      <c r="B79" s="4" t="s">
        <v>192</v>
      </c>
      <c r="C79" s="5" t="s">
        <v>153</v>
      </c>
      <c r="D79" s="5" t="s">
        <v>154</v>
      </c>
      <c r="E79" s="5" t="s">
        <v>155</v>
      </c>
      <c r="F79" s="5" t="s">
        <v>156</v>
      </c>
      <c r="G79" s="5">
        <v>6</v>
      </c>
      <c r="H79" s="5" t="s">
        <v>62</v>
      </c>
      <c r="I79" s="5" t="s">
        <v>47</v>
      </c>
      <c r="J79" s="71" t="s">
        <v>78</v>
      </c>
      <c r="K79" s="5" t="s">
        <v>103</v>
      </c>
      <c r="L79" s="5" t="s">
        <v>157</v>
      </c>
      <c r="M79" s="5" t="s">
        <v>134</v>
      </c>
      <c r="N79" s="5" t="s">
        <v>66</v>
      </c>
      <c r="O79" s="5" t="s">
        <v>67</v>
      </c>
      <c r="P79" s="5" t="s">
        <v>54</v>
      </c>
      <c r="Q79" s="8" t="s">
        <v>55</v>
      </c>
      <c r="R79" s="5" t="s">
        <v>56</v>
      </c>
      <c r="S79" s="5" t="s">
        <v>68</v>
      </c>
      <c r="T79" s="5" t="s">
        <v>159</v>
      </c>
      <c r="U79" s="5" t="s">
        <v>160</v>
      </c>
      <c r="V79" s="5" t="s">
        <v>161</v>
      </c>
      <c r="W79" s="6">
        <v>42</v>
      </c>
      <c r="X79" s="6">
        <v>5.7839999999999998</v>
      </c>
      <c r="Y79" s="6">
        <v>0</v>
      </c>
      <c r="Z79" s="6">
        <v>0.216</v>
      </c>
      <c r="AA79" s="6">
        <v>0.83499999999999996</v>
      </c>
      <c r="AB79" s="6">
        <v>2.452</v>
      </c>
      <c r="AC79" s="6">
        <v>2.6749999999999998</v>
      </c>
      <c r="AD79" s="6">
        <v>0</v>
      </c>
      <c r="AE79" s="6" t="s">
        <v>163</v>
      </c>
      <c r="AF79" s="6">
        <v>6.12</v>
      </c>
      <c r="AG79" s="6">
        <f t="shared" si="8"/>
        <v>60.081999999999994</v>
      </c>
      <c r="AH79" s="6">
        <f t="shared" si="6"/>
        <v>8.5831428571428567</v>
      </c>
      <c r="AI79" s="6">
        <f t="shared" si="7"/>
        <v>1.4305238095238095</v>
      </c>
      <c r="AJ79" s="6">
        <v>200</v>
      </c>
      <c r="AK79" s="20">
        <f t="shared" si="9"/>
        <v>0.30040999999999995</v>
      </c>
    </row>
    <row r="80" spans="1:37" ht="15.5" x14ac:dyDescent="0.35">
      <c r="A80" s="3">
        <v>78</v>
      </c>
      <c r="B80" s="4" t="s">
        <v>193</v>
      </c>
      <c r="C80" s="5" t="s">
        <v>153</v>
      </c>
      <c r="D80" s="5" t="s">
        <v>154</v>
      </c>
      <c r="E80" s="5" t="s">
        <v>155</v>
      </c>
      <c r="F80" s="5" t="s">
        <v>156</v>
      </c>
      <c r="G80" s="5">
        <v>7</v>
      </c>
      <c r="H80" s="5" t="s">
        <v>62</v>
      </c>
      <c r="I80" s="5" t="s">
        <v>47</v>
      </c>
      <c r="J80" s="71" t="s">
        <v>78</v>
      </c>
      <c r="K80" s="5" t="s">
        <v>103</v>
      </c>
      <c r="L80" s="5" t="s">
        <v>157</v>
      </c>
      <c r="M80" s="5" t="s">
        <v>51</v>
      </c>
      <c r="N80" s="5" t="s">
        <v>66</v>
      </c>
      <c r="O80" s="5" t="s">
        <v>67</v>
      </c>
      <c r="P80" s="5" t="s">
        <v>158</v>
      </c>
      <c r="Q80" s="8" t="s">
        <v>55</v>
      </c>
      <c r="R80" s="5" t="s">
        <v>56</v>
      </c>
      <c r="S80" s="5" t="s">
        <v>68</v>
      </c>
      <c r="T80" s="5" t="s">
        <v>159</v>
      </c>
      <c r="U80" s="5" t="s">
        <v>160</v>
      </c>
      <c r="V80" s="5" t="s">
        <v>161</v>
      </c>
      <c r="W80" s="6">
        <v>46.34</v>
      </c>
      <c r="X80" s="6">
        <v>4.2839999999999998</v>
      </c>
      <c r="Y80" s="6">
        <v>0</v>
      </c>
      <c r="Z80" s="6">
        <v>0.34599999999999997</v>
      </c>
      <c r="AA80" s="6">
        <v>0.78500000000000003</v>
      </c>
      <c r="AB80" s="6">
        <v>1.552</v>
      </c>
      <c r="AC80" s="6">
        <v>0.80600000000000005</v>
      </c>
      <c r="AD80" s="6">
        <v>0</v>
      </c>
      <c r="AE80" s="6">
        <v>0</v>
      </c>
      <c r="AF80" s="6">
        <v>0</v>
      </c>
      <c r="AG80" s="6">
        <f t="shared" si="8"/>
        <v>54.112999999999992</v>
      </c>
      <c r="AH80" s="6">
        <f t="shared" si="6"/>
        <v>7.7304285714285701</v>
      </c>
      <c r="AI80" s="6">
        <f t="shared" si="7"/>
        <v>1.10434693877551</v>
      </c>
      <c r="AJ80" s="6">
        <v>186</v>
      </c>
      <c r="AK80" s="6">
        <f t="shared" si="9"/>
        <v>0.2909301075268817</v>
      </c>
    </row>
    <row r="81" spans="1:37" ht="15.5" x14ac:dyDescent="0.35">
      <c r="A81" s="3">
        <v>79</v>
      </c>
      <c r="B81" s="4" t="s">
        <v>194</v>
      </c>
      <c r="C81" s="5" t="s">
        <v>153</v>
      </c>
      <c r="D81" s="5" t="s">
        <v>154</v>
      </c>
      <c r="E81" s="5" t="s">
        <v>155</v>
      </c>
      <c r="F81" s="5" t="s">
        <v>156</v>
      </c>
      <c r="G81" s="5">
        <v>3</v>
      </c>
      <c r="H81" s="5" t="s">
        <v>46</v>
      </c>
      <c r="I81" s="5" t="s">
        <v>47</v>
      </c>
      <c r="J81" s="71" t="s">
        <v>78</v>
      </c>
      <c r="K81" s="5" t="s">
        <v>79</v>
      </c>
      <c r="L81" s="5" t="s">
        <v>104</v>
      </c>
      <c r="M81" s="5" t="s">
        <v>134</v>
      </c>
      <c r="N81" s="5" t="s">
        <v>66</v>
      </c>
      <c r="O81" s="5" t="s">
        <v>67</v>
      </c>
      <c r="P81" s="5" t="s">
        <v>158</v>
      </c>
      <c r="Q81" s="8" t="s">
        <v>55</v>
      </c>
      <c r="R81" s="5" t="s">
        <v>56</v>
      </c>
      <c r="S81" s="5" t="s">
        <v>68</v>
      </c>
      <c r="T81" s="5" t="s">
        <v>159</v>
      </c>
      <c r="U81" s="5" t="s">
        <v>160</v>
      </c>
      <c r="V81" s="5" t="s">
        <v>161</v>
      </c>
      <c r="W81" s="9">
        <v>8.3659999999999997</v>
      </c>
      <c r="X81" s="6">
        <v>2.56</v>
      </c>
      <c r="Y81" s="6">
        <v>0</v>
      </c>
      <c r="Z81" s="6">
        <v>0.17</v>
      </c>
      <c r="AA81" s="6">
        <v>0.38</v>
      </c>
      <c r="AB81" s="6">
        <v>0.51</v>
      </c>
      <c r="AC81" s="6">
        <v>0.42</v>
      </c>
      <c r="AD81" s="6">
        <v>0</v>
      </c>
      <c r="AE81" s="6">
        <v>0</v>
      </c>
      <c r="AF81" s="6">
        <v>0</v>
      </c>
      <c r="AG81" s="6">
        <f t="shared" si="8"/>
        <v>12.406000000000001</v>
      </c>
      <c r="AH81" s="6">
        <f t="shared" si="6"/>
        <v>1.7722857142857145</v>
      </c>
      <c r="AI81" s="6">
        <f t="shared" si="7"/>
        <v>0.59076190476190482</v>
      </c>
      <c r="AJ81" s="6">
        <v>24</v>
      </c>
      <c r="AK81" s="20">
        <f>AG81/AJ81</f>
        <v>0.51691666666666669</v>
      </c>
    </row>
    <row r="82" spans="1:37" ht="15.5" x14ac:dyDescent="0.35">
      <c r="A82" s="3">
        <v>80</v>
      </c>
      <c r="B82" s="4" t="s">
        <v>195</v>
      </c>
      <c r="C82" s="5" t="s">
        <v>153</v>
      </c>
      <c r="D82" s="5" t="s">
        <v>154</v>
      </c>
      <c r="E82" s="5" t="s">
        <v>155</v>
      </c>
      <c r="F82" s="5" t="s">
        <v>156</v>
      </c>
      <c r="G82" s="5">
        <v>3</v>
      </c>
      <c r="H82" s="5" t="s">
        <v>75</v>
      </c>
      <c r="I82" s="5" t="s">
        <v>47</v>
      </c>
      <c r="J82" s="71" t="s">
        <v>78</v>
      </c>
      <c r="K82" s="5" t="s">
        <v>79</v>
      </c>
      <c r="L82" s="5" t="s">
        <v>157</v>
      </c>
      <c r="M82" s="5" t="s">
        <v>134</v>
      </c>
      <c r="N82" s="5" t="s">
        <v>66</v>
      </c>
      <c r="O82" s="5" t="s">
        <v>67</v>
      </c>
      <c r="P82" s="5" t="s">
        <v>158</v>
      </c>
      <c r="Q82" s="8" t="s">
        <v>55</v>
      </c>
      <c r="R82" s="5" t="s">
        <v>56</v>
      </c>
      <c r="S82" s="5" t="s">
        <v>68</v>
      </c>
      <c r="T82" s="5" t="s">
        <v>159</v>
      </c>
      <c r="U82" s="5" t="s">
        <v>160</v>
      </c>
      <c r="V82" s="5" t="s">
        <v>106</v>
      </c>
      <c r="W82" s="10">
        <v>20.46</v>
      </c>
      <c r="X82" s="6">
        <v>0.56499999999999995</v>
      </c>
      <c r="Y82" s="6">
        <v>0</v>
      </c>
      <c r="Z82" s="6">
        <v>0</v>
      </c>
      <c r="AA82" s="6">
        <v>0.32700000000000001</v>
      </c>
      <c r="AB82" s="6">
        <v>0.50900000000000001</v>
      </c>
      <c r="AC82" s="6">
        <v>0.873</v>
      </c>
      <c r="AD82" s="6">
        <v>0</v>
      </c>
      <c r="AE82" s="6">
        <v>0</v>
      </c>
      <c r="AF82" s="6">
        <v>2.0299999999999998</v>
      </c>
      <c r="AG82" s="6">
        <f t="shared" si="8"/>
        <v>24.764000000000006</v>
      </c>
      <c r="AH82" s="6">
        <f t="shared" si="6"/>
        <v>3.5377142857142867</v>
      </c>
      <c r="AI82" s="6">
        <f t="shared" si="7"/>
        <v>1.1792380952380956</v>
      </c>
      <c r="AJ82" s="6">
        <v>74</v>
      </c>
      <c r="AK82" s="20">
        <f t="shared" si="9"/>
        <v>0.33464864864864874</v>
      </c>
    </row>
    <row r="83" spans="1:37" ht="15.5" x14ac:dyDescent="0.35">
      <c r="A83" s="3">
        <v>81</v>
      </c>
      <c r="B83" s="4" t="s">
        <v>196</v>
      </c>
      <c r="C83" s="5" t="s">
        <v>153</v>
      </c>
      <c r="D83" s="5" t="s">
        <v>154</v>
      </c>
      <c r="E83" s="5" t="s">
        <v>155</v>
      </c>
      <c r="F83" s="5" t="s">
        <v>156</v>
      </c>
      <c r="G83" s="5">
        <v>5</v>
      </c>
      <c r="H83" s="5" t="s">
        <v>62</v>
      </c>
      <c r="I83" s="5" t="s">
        <v>47</v>
      </c>
      <c r="J83" s="71" t="s">
        <v>78</v>
      </c>
      <c r="K83" s="5" t="s">
        <v>103</v>
      </c>
      <c r="L83" s="5" t="s">
        <v>157</v>
      </c>
      <c r="M83" s="5" t="s">
        <v>134</v>
      </c>
      <c r="N83" s="5" t="s">
        <v>66</v>
      </c>
      <c r="O83" s="5" t="s">
        <v>53</v>
      </c>
      <c r="P83" s="5" t="s">
        <v>158</v>
      </c>
      <c r="Q83" s="8" t="s">
        <v>55</v>
      </c>
      <c r="R83" s="5" t="s">
        <v>56</v>
      </c>
      <c r="S83" s="5" t="s">
        <v>68</v>
      </c>
      <c r="T83" s="5" t="s">
        <v>159</v>
      </c>
      <c r="U83" s="5" t="s">
        <v>160</v>
      </c>
      <c r="V83" s="5" t="s">
        <v>161</v>
      </c>
      <c r="W83" s="6">
        <v>53.52</v>
      </c>
      <c r="X83" s="6">
        <v>6.3419999999999996</v>
      </c>
      <c r="Y83" s="6">
        <v>0</v>
      </c>
      <c r="Z83" s="6">
        <v>0.23400000000000001</v>
      </c>
      <c r="AA83" s="6">
        <v>0.47599999999999998</v>
      </c>
      <c r="AB83" s="6">
        <v>1.673</v>
      </c>
      <c r="AC83" s="6">
        <v>2.3460000000000001</v>
      </c>
      <c r="AD83" s="6">
        <v>0</v>
      </c>
      <c r="AE83" s="6">
        <v>1.095</v>
      </c>
      <c r="AF83" s="6">
        <v>2.3450000000000002</v>
      </c>
      <c r="AG83" s="6">
        <f t="shared" si="8"/>
        <v>68.031000000000006</v>
      </c>
      <c r="AH83" s="6">
        <f t="shared" si="6"/>
        <v>9.7187142857142863</v>
      </c>
      <c r="AI83" s="6">
        <f t="shared" si="7"/>
        <v>1.9437428571428572</v>
      </c>
      <c r="AJ83" s="6">
        <v>224</v>
      </c>
      <c r="AK83" s="20">
        <f t="shared" si="9"/>
        <v>0.30370982142857145</v>
      </c>
    </row>
    <row r="84" spans="1:37" ht="15.5" x14ac:dyDescent="0.35">
      <c r="A84" s="3">
        <v>82</v>
      </c>
      <c r="B84" s="4" t="s">
        <v>197</v>
      </c>
      <c r="C84" s="5" t="s">
        <v>153</v>
      </c>
      <c r="D84" s="5" t="s">
        <v>154</v>
      </c>
      <c r="E84" s="5" t="s">
        <v>155</v>
      </c>
      <c r="F84" s="5" t="s">
        <v>156</v>
      </c>
      <c r="G84" s="5">
        <v>4</v>
      </c>
      <c r="H84" s="5" t="s">
        <v>62</v>
      </c>
      <c r="I84" s="5" t="s">
        <v>47</v>
      </c>
      <c r="J84" s="71" t="s">
        <v>78</v>
      </c>
      <c r="K84" s="5" t="s">
        <v>103</v>
      </c>
      <c r="L84" s="5" t="s">
        <v>157</v>
      </c>
      <c r="M84" s="5" t="s">
        <v>134</v>
      </c>
      <c r="N84" s="5" t="s">
        <v>66</v>
      </c>
      <c r="O84" s="5" t="s">
        <v>53</v>
      </c>
      <c r="P84" s="5" t="s">
        <v>158</v>
      </c>
      <c r="Q84" s="8" t="s">
        <v>55</v>
      </c>
      <c r="R84" s="5" t="s">
        <v>56</v>
      </c>
      <c r="S84" s="5" t="s">
        <v>68</v>
      </c>
      <c r="T84" s="5" t="s">
        <v>159</v>
      </c>
      <c r="U84" s="5" t="s">
        <v>160</v>
      </c>
      <c r="V84" s="5" t="s">
        <v>161</v>
      </c>
      <c r="W84" s="6">
        <v>42.62</v>
      </c>
      <c r="X84" s="6">
        <v>3.3919999999999999</v>
      </c>
      <c r="Y84" s="6">
        <v>0</v>
      </c>
      <c r="Z84" s="6">
        <v>0.434</v>
      </c>
      <c r="AA84" s="6">
        <v>0.69599999999999995</v>
      </c>
      <c r="AB84" s="6">
        <v>1.873</v>
      </c>
      <c r="AC84" s="6">
        <v>1.38</v>
      </c>
      <c r="AD84" s="6">
        <v>0</v>
      </c>
      <c r="AE84" s="6">
        <v>0</v>
      </c>
      <c r="AF84" s="6">
        <v>1.3480000000000001</v>
      </c>
      <c r="AG84" s="6">
        <f t="shared" si="8"/>
        <v>51.742999999999995</v>
      </c>
      <c r="AH84" s="6">
        <f t="shared" si="6"/>
        <v>7.391857142857142</v>
      </c>
      <c r="AI84" s="6">
        <f t="shared" si="7"/>
        <v>1.8479642857142855</v>
      </c>
      <c r="AJ84" s="6">
        <v>174</v>
      </c>
      <c r="AK84" s="20">
        <f t="shared" si="9"/>
        <v>0.29737356321839076</v>
      </c>
    </row>
    <row r="85" spans="1:37" ht="15.5" x14ac:dyDescent="0.35">
      <c r="A85" s="3">
        <v>83</v>
      </c>
      <c r="B85" s="4" t="s">
        <v>198</v>
      </c>
      <c r="C85" s="5" t="s">
        <v>153</v>
      </c>
      <c r="D85" s="5" t="s">
        <v>154</v>
      </c>
      <c r="E85" s="5" t="s">
        <v>155</v>
      </c>
      <c r="F85" s="5" t="s">
        <v>156</v>
      </c>
      <c r="G85" s="5">
        <v>7</v>
      </c>
      <c r="H85" s="5" t="s">
        <v>62</v>
      </c>
      <c r="I85" s="5" t="s">
        <v>47</v>
      </c>
      <c r="J85" s="71" t="s">
        <v>78</v>
      </c>
      <c r="K85" s="5" t="s">
        <v>79</v>
      </c>
      <c r="L85" s="5" t="s">
        <v>157</v>
      </c>
      <c r="M85" s="5" t="s">
        <v>134</v>
      </c>
      <c r="N85" s="5" t="s">
        <v>87</v>
      </c>
      <c r="O85" s="5" t="s">
        <v>53</v>
      </c>
      <c r="P85" s="5" t="s">
        <v>158</v>
      </c>
      <c r="Q85" s="8" t="s">
        <v>55</v>
      </c>
      <c r="R85" s="5" t="s">
        <v>56</v>
      </c>
      <c r="S85" s="5" t="s">
        <v>68</v>
      </c>
      <c r="T85" s="5" t="s">
        <v>159</v>
      </c>
      <c r="U85" s="5" t="s">
        <v>160</v>
      </c>
      <c r="V85" s="5" t="s">
        <v>161</v>
      </c>
      <c r="W85" s="6">
        <v>33.5</v>
      </c>
      <c r="X85" s="6">
        <v>0</v>
      </c>
      <c r="Y85" s="6">
        <v>0</v>
      </c>
      <c r="Z85" s="6">
        <v>0.28899999999999998</v>
      </c>
      <c r="AA85" s="6">
        <v>0.128</v>
      </c>
      <c r="AB85" s="6">
        <v>0.54300000000000004</v>
      </c>
      <c r="AC85" s="6">
        <v>0.32600000000000001</v>
      </c>
      <c r="AD85" s="6">
        <v>0</v>
      </c>
      <c r="AE85" s="6">
        <v>0</v>
      </c>
      <c r="AF85" s="41">
        <v>6.08</v>
      </c>
      <c r="AG85" s="6">
        <f t="shared" si="8"/>
        <v>40.866</v>
      </c>
      <c r="AH85" s="6">
        <f t="shared" si="6"/>
        <v>5.8380000000000001</v>
      </c>
      <c r="AI85" s="6">
        <f t="shared" si="7"/>
        <v>0.83399999999999996</v>
      </c>
      <c r="AJ85" s="10">
        <v>110</v>
      </c>
      <c r="AK85" s="6">
        <f t="shared" si="9"/>
        <v>0.3715090909090909</v>
      </c>
    </row>
    <row r="86" spans="1:37" ht="15.5" x14ac:dyDescent="0.35">
      <c r="A86" s="3">
        <v>84</v>
      </c>
      <c r="B86" s="4" t="s">
        <v>199</v>
      </c>
      <c r="C86" s="5" t="s">
        <v>153</v>
      </c>
      <c r="D86" s="5" t="s">
        <v>154</v>
      </c>
      <c r="E86" s="5" t="s">
        <v>155</v>
      </c>
      <c r="F86" s="5" t="s">
        <v>156</v>
      </c>
      <c r="G86" s="5">
        <v>3</v>
      </c>
      <c r="H86" s="5" t="s">
        <v>75</v>
      </c>
      <c r="I86" s="5" t="s">
        <v>47</v>
      </c>
      <c r="J86" s="71" t="s">
        <v>78</v>
      </c>
      <c r="K86" s="5" t="s">
        <v>79</v>
      </c>
      <c r="L86" s="5" t="s">
        <v>157</v>
      </c>
      <c r="M86" s="5" t="s">
        <v>134</v>
      </c>
      <c r="N86" s="5" t="s">
        <v>66</v>
      </c>
      <c r="O86" s="5" t="s">
        <v>67</v>
      </c>
      <c r="P86" s="5" t="s">
        <v>158</v>
      </c>
      <c r="Q86" s="8" t="s">
        <v>55</v>
      </c>
      <c r="R86" s="5" t="s">
        <v>56</v>
      </c>
      <c r="S86" s="5" t="s">
        <v>68</v>
      </c>
      <c r="T86" s="5" t="s">
        <v>159</v>
      </c>
      <c r="U86" s="5" t="s">
        <v>160</v>
      </c>
      <c r="V86" s="5" t="s">
        <v>161</v>
      </c>
      <c r="W86" s="9">
        <v>9.68</v>
      </c>
      <c r="X86" s="6">
        <v>0</v>
      </c>
      <c r="Y86" s="6">
        <v>0</v>
      </c>
      <c r="Z86" s="6">
        <v>0</v>
      </c>
      <c r="AA86" s="6">
        <v>0.32</v>
      </c>
      <c r="AB86" s="6">
        <v>0.372</v>
      </c>
      <c r="AC86" s="6">
        <v>0.42899999999999999</v>
      </c>
      <c r="AD86" s="6">
        <v>0</v>
      </c>
      <c r="AE86" s="6">
        <v>0</v>
      </c>
      <c r="AF86" s="6">
        <v>3.94</v>
      </c>
      <c r="AG86" s="6">
        <f t="shared" si="8"/>
        <v>14.741</v>
      </c>
      <c r="AH86" s="6">
        <f t="shared" si="6"/>
        <v>2.1058571428571429</v>
      </c>
      <c r="AI86" s="6">
        <f>AH86/3</f>
        <v>0.70195238095238099</v>
      </c>
      <c r="AJ86" s="6">
        <v>54</v>
      </c>
      <c r="AK86" s="6">
        <f t="shared" si="9"/>
        <v>0.27298148148148149</v>
      </c>
    </row>
    <row r="87" spans="1:37" ht="15.5" x14ac:dyDescent="0.35">
      <c r="A87" s="3">
        <v>85</v>
      </c>
      <c r="B87" s="4" t="s">
        <v>200</v>
      </c>
      <c r="C87" s="5" t="s">
        <v>153</v>
      </c>
      <c r="D87" s="5" t="s">
        <v>154</v>
      </c>
      <c r="E87" s="5" t="s">
        <v>155</v>
      </c>
      <c r="F87" s="5" t="s">
        <v>156</v>
      </c>
      <c r="G87" s="5">
        <v>8</v>
      </c>
      <c r="H87" s="5" t="s">
        <v>75</v>
      </c>
      <c r="I87" s="5" t="s">
        <v>47</v>
      </c>
      <c r="J87" s="71" t="s">
        <v>78</v>
      </c>
      <c r="K87" s="5" t="s">
        <v>79</v>
      </c>
      <c r="L87" s="5" t="s">
        <v>157</v>
      </c>
      <c r="M87" s="5" t="s">
        <v>51</v>
      </c>
      <c r="N87" s="5" t="s">
        <v>66</v>
      </c>
      <c r="O87" s="5" t="s">
        <v>67</v>
      </c>
      <c r="P87" s="5" t="s">
        <v>54</v>
      </c>
      <c r="Q87" s="8" t="s">
        <v>55</v>
      </c>
      <c r="R87" s="5" t="s">
        <v>56</v>
      </c>
      <c r="S87" s="5" t="s">
        <v>68</v>
      </c>
      <c r="T87" s="5" t="s">
        <v>159</v>
      </c>
      <c r="U87" s="5" t="s">
        <v>160</v>
      </c>
      <c r="V87" s="5" t="s">
        <v>106</v>
      </c>
      <c r="W87" s="9">
        <v>21.341999999999999</v>
      </c>
      <c r="X87" s="6">
        <v>0</v>
      </c>
      <c r="Y87" s="6">
        <v>0</v>
      </c>
      <c r="Z87" s="6">
        <v>0</v>
      </c>
      <c r="AA87" s="6">
        <f>0.908+0.643</f>
        <v>1.5510000000000002</v>
      </c>
      <c r="AB87" s="42">
        <v>1.8129999999999999</v>
      </c>
      <c r="AC87" s="6">
        <f>1.14+0.149</f>
        <v>1.2889999999999999</v>
      </c>
      <c r="AD87" s="6">
        <f>0.205</f>
        <v>0.20499999999999999</v>
      </c>
      <c r="AE87" s="6">
        <v>0.123</v>
      </c>
      <c r="AF87" s="6">
        <v>0</v>
      </c>
      <c r="AG87" s="6">
        <f t="shared" si="8"/>
        <v>26.323</v>
      </c>
      <c r="AH87" s="6">
        <f t="shared" si="6"/>
        <v>3.7604285714285717</v>
      </c>
      <c r="AI87" s="6">
        <f>AH87/8</f>
        <v>0.47005357142857146</v>
      </c>
      <c r="AJ87" s="6">
        <v>80</v>
      </c>
      <c r="AK87" s="20">
        <f t="shared" si="9"/>
        <v>0.32903749999999998</v>
      </c>
    </row>
    <row r="88" spans="1:37" ht="15.5" x14ac:dyDescent="0.35">
      <c r="A88" s="3">
        <v>86</v>
      </c>
      <c r="B88" s="4" t="s">
        <v>201</v>
      </c>
      <c r="C88" s="5" t="s">
        <v>153</v>
      </c>
      <c r="D88" s="5" t="s">
        <v>154</v>
      </c>
      <c r="E88" s="5" t="s">
        <v>155</v>
      </c>
      <c r="F88" s="5" t="s">
        <v>156</v>
      </c>
      <c r="G88" s="5">
        <v>12</v>
      </c>
      <c r="H88" s="5" t="s">
        <v>62</v>
      </c>
      <c r="I88" s="5" t="s">
        <v>47</v>
      </c>
      <c r="J88" s="5" t="s">
        <v>48</v>
      </c>
      <c r="K88" s="5" t="s">
        <v>49</v>
      </c>
      <c r="L88" s="5" t="s">
        <v>157</v>
      </c>
      <c r="M88" s="5" t="s">
        <v>134</v>
      </c>
      <c r="N88" s="5" t="s">
        <v>66</v>
      </c>
      <c r="O88" s="5" t="s">
        <v>67</v>
      </c>
      <c r="P88" s="5" t="s">
        <v>158</v>
      </c>
      <c r="Q88" s="8" t="s">
        <v>55</v>
      </c>
      <c r="R88" s="5" t="s">
        <v>56</v>
      </c>
      <c r="S88" s="5" t="s">
        <v>68</v>
      </c>
      <c r="T88" s="5" t="s">
        <v>159</v>
      </c>
      <c r="U88" s="5" t="s">
        <v>160</v>
      </c>
      <c r="V88" s="5" t="s">
        <v>161</v>
      </c>
      <c r="W88" s="6">
        <f>16.8+2.32</f>
        <v>19.12</v>
      </c>
      <c r="X88" s="6">
        <v>7.26</v>
      </c>
      <c r="Y88" s="6">
        <v>0</v>
      </c>
      <c r="Z88" s="6">
        <v>0.55000000000000004</v>
      </c>
      <c r="AA88" s="6">
        <v>0.56699999999999995</v>
      </c>
      <c r="AB88" s="6">
        <v>0.92300000000000004</v>
      </c>
      <c r="AC88" s="6">
        <v>2.125</v>
      </c>
      <c r="AD88" s="6">
        <v>0</v>
      </c>
      <c r="AE88" s="6">
        <v>0</v>
      </c>
      <c r="AF88" s="6">
        <v>3.12</v>
      </c>
      <c r="AG88" s="6">
        <f t="shared" si="8"/>
        <v>33.664999999999999</v>
      </c>
      <c r="AH88" s="6">
        <f t="shared" si="6"/>
        <v>4.8092857142857142</v>
      </c>
      <c r="AI88" s="6">
        <f>AH88/12</f>
        <v>0.40077380952380953</v>
      </c>
      <c r="AJ88" s="6">
        <v>100</v>
      </c>
      <c r="AK88" s="20">
        <f t="shared" si="9"/>
        <v>0.33665</v>
      </c>
    </row>
    <row r="89" spans="1:37" ht="15.5" x14ac:dyDescent="0.35">
      <c r="A89" s="3">
        <v>87</v>
      </c>
      <c r="B89" s="4" t="s">
        <v>202</v>
      </c>
      <c r="C89" s="5" t="s">
        <v>153</v>
      </c>
      <c r="D89" s="5" t="s">
        <v>154</v>
      </c>
      <c r="E89" s="5" t="s">
        <v>155</v>
      </c>
      <c r="F89" s="5" t="s">
        <v>156</v>
      </c>
      <c r="G89" s="5">
        <v>4</v>
      </c>
      <c r="H89" s="5" t="s">
        <v>62</v>
      </c>
      <c r="I89" s="5" t="s">
        <v>47</v>
      </c>
      <c r="J89" s="71" t="s">
        <v>78</v>
      </c>
      <c r="K89" s="5" t="s">
        <v>79</v>
      </c>
      <c r="L89" s="5" t="s">
        <v>104</v>
      </c>
      <c r="M89" s="5" t="s">
        <v>134</v>
      </c>
      <c r="N89" s="5" t="s">
        <v>66</v>
      </c>
      <c r="O89" s="5" t="s">
        <v>67</v>
      </c>
      <c r="P89" s="5" t="s">
        <v>158</v>
      </c>
      <c r="Q89" s="8" t="s">
        <v>55</v>
      </c>
      <c r="R89" s="5" t="s">
        <v>56</v>
      </c>
      <c r="S89" s="5" t="s">
        <v>68</v>
      </c>
      <c r="T89" s="5" t="s">
        <v>159</v>
      </c>
      <c r="U89" s="5" t="s">
        <v>160</v>
      </c>
      <c r="V89" s="5" t="s">
        <v>161</v>
      </c>
      <c r="W89" s="6">
        <f>16+16.19</f>
        <v>32.19</v>
      </c>
      <c r="X89" s="6">
        <v>0</v>
      </c>
      <c r="Y89" s="6">
        <v>0</v>
      </c>
      <c r="Z89" s="6">
        <v>0</v>
      </c>
      <c r="AA89" s="6">
        <v>0.58699999999999997</v>
      </c>
      <c r="AB89" s="6">
        <v>0.82</v>
      </c>
      <c r="AC89" s="6">
        <v>0.96299999999999997</v>
      </c>
      <c r="AD89" s="6">
        <v>0</v>
      </c>
      <c r="AE89" s="6">
        <v>0</v>
      </c>
      <c r="AF89" s="6">
        <v>0</v>
      </c>
      <c r="AG89" s="6">
        <f t="shared" si="8"/>
        <v>34.56</v>
      </c>
      <c r="AH89" s="6">
        <f t="shared" si="6"/>
        <v>4.9371428571428577</v>
      </c>
      <c r="AI89" s="6">
        <f>AH89/G89</f>
        <v>1.2342857142857144</v>
      </c>
      <c r="AJ89" s="6">
        <v>112</v>
      </c>
      <c r="AK89" s="20">
        <f t="shared" si="9"/>
        <v>0.30857142857142861</v>
      </c>
    </row>
    <row r="90" spans="1:37" ht="15.5" x14ac:dyDescent="0.35">
      <c r="A90" s="3">
        <v>88</v>
      </c>
      <c r="B90" s="4" t="s">
        <v>203</v>
      </c>
      <c r="C90" s="5" t="s">
        <v>153</v>
      </c>
      <c r="D90" s="5" t="s">
        <v>154</v>
      </c>
      <c r="E90" s="5" t="s">
        <v>155</v>
      </c>
      <c r="F90" s="5" t="s">
        <v>156</v>
      </c>
      <c r="G90" s="5">
        <v>7</v>
      </c>
      <c r="H90" s="5" t="s">
        <v>75</v>
      </c>
      <c r="I90" s="5" t="s">
        <v>47</v>
      </c>
      <c r="J90" s="71" t="s">
        <v>78</v>
      </c>
      <c r="K90" s="5" t="s">
        <v>76</v>
      </c>
      <c r="L90" s="5" t="s">
        <v>104</v>
      </c>
      <c r="M90" s="5" t="s">
        <v>134</v>
      </c>
      <c r="N90" s="5" t="s">
        <v>66</v>
      </c>
      <c r="O90" s="5" t="s">
        <v>67</v>
      </c>
      <c r="P90" s="5" t="s">
        <v>54</v>
      </c>
      <c r="Q90" s="8" t="s">
        <v>55</v>
      </c>
      <c r="R90" s="5" t="s">
        <v>56</v>
      </c>
      <c r="S90" s="5" t="s">
        <v>68</v>
      </c>
      <c r="T90" s="5" t="s">
        <v>159</v>
      </c>
      <c r="U90" s="5" t="s">
        <v>160</v>
      </c>
      <c r="V90" s="5" t="s">
        <v>161</v>
      </c>
      <c r="W90" s="6">
        <f>37.58+16.3</f>
        <v>53.879999999999995</v>
      </c>
      <c r="X90" s="6">
        <v>8.0299999999999994</v>
      </c>
      <c r="Y90" s="6">
        <v>0</v>
      </c>
      <c r="Z90" s="6">
        <v>0</v>
      </c>
      <c r="AA90" s="6">
        <v>0.92500000000000004</v>
      </c>
      <c r="AB90" s="6">
        <v>0.75860000000000005</v>
      </c>
      <c r="AC90" s="6">
        <v>1.0429999999999999</v>
      </c>
      <c r="AD90" s="6">
        <v>0</v>
      </c>
      <c r="AE90" s="6">
        <v>0</v>
      </c>
      <c r="AF90" s="6">
        <v>4.07</v>
      </c>
      <c r="AG90" s="6">
        <f t="shared" si="8"/>
        <v>68.706600000000009</v>
      </c>
      <c r="AH90" s="6">
        <f t="shared" si="6"/>
        <v>9.8152285714285732</v>
      </c>
      <c r="AI90" s="6">
        <f>AH90/G90</f>
        <v>1.4021755102040818</v>
      </c>
      <c r="AJ90" s="6">
        <v>244</v>
      </c>
      <c r="AK90" s="6">
        <f t="shared" si="9"/>
        <v>0.28158442622950824</v>
      </c>
    </row>
    <row r="91" spans="1:37" ht="15.5" x14ac:dyDescent="0.35">
      <c r="A91" s="3">
        <v>89</v>
      </c>
      <c r="B91" s="4" t="s">
        <v>204</v>
      </c>
      <c r="C91" s="5" t="s">
        <v>153</v>
      </c>
      <c r="D91" s="5" t="s">
        <v>154</v>
      </c>
      <c r="E91" s="5" t="s">
        <v>155</v>
      </c>
      <c r="F91" s="5" t="s">
        <v>156</v>
      </c>
      <c r="G91" s="5">
        <v>5</v>
      </c>
      <c r="H91" s="5" t="s">
        <v>75</v>
      </c>
      <c r="I91" s="5" t="s">
        <v>47</v>
      </c>
      <c r="J91" s="71" t="s">
        <v>78</v>
      </c>
      <c r="K91" s="5" t="s">
        <v>76</v>
      </c>
      <c r="L91" s="5" t="s">
        <v>104</v>
      </c>
      <c r="M91" s="5" t="s">
        <v>51</v>
      </c>
      <c r="N91" s="5" t="s">
        <v>66</v>
      </c>
      <c r="O91" s="5" t="s">
        <v>67</v>
      </c>
      <c r="P91" s="5" t="s">
        <v>54</v>
      </c>
      <c r="Q91" s="8" t="s">
        <v>55</v>
      </c>
      <c r="R91" s="5" t="s">
        <v>56</v>
      </c>
      <c r="S91" s="5" t="s">
        <v>68</v>
      </c>
      <c r="T91" s="5" t="s">
        <v>159</v>
      </c>
      <c r="U91" s="5" t="s">
        <v>160</v>
      </c>
      <c r="V91" s="5" t="s">
        <v>161</v>
      </c>
      <c r="W91" s="6">
        <v>5.89</v>
      </c>
      <c r="X91" s="6">
        <v>4.76</v>
      </c>
      <c r="Y91" s="6">
        <v>0.8</v>
      </c>
      <c r="Z91" s="6">
        <v>0</v>
      </c>
      <c r="AA91" s="6">
        <v>0.28999999999999998</v>
      </c>
      <c r="AB91" s="6">
        <v>0.45</v>
      </c>
      <c r="AC91" s="6">
        <v>0.54</v>
      </c>
      <c r="AD91" s="6">
        <v>0</v>
      </c>
      <c r="AE91" s="6">
        <v>0</v>
      </c>
      <c r="AF91" s="6">
        <v>0</v>
      </c>
      <c r="AG91" s="6">
        <f t="shared" ref="AG91" si="10">SUM(W91:AF91)</f>
        <v>12.729999999999997</v>
      </c>
      <c r="AH91" s="6">
        <f t="shared" si="6"/>
        <v>1.8185714285714281</v>
      </c>
      <c r="AI91" s="6">
        <f>AH91/G91</f>
        <v>0.3637142857142856</v>
      </c>
      <c r="AJ91" s="6">
        <v>34</v>
      </c>
      <c r="AK91" s="6">
        <f t="shared" si="9"/>
        <v>0.37441176470588228</v>
      </c>
    </row>
    <row r="92" spans="1:37" ht="15.5" x14ac:dyDescent="0.35">
      <c r="A92" s="3">
        <v>90</v>
      </c>
      <c r="B92" s="4" t="s">
        <v>205</v>
      </c>
      <c r="C92" s="5" t="s">
        <v>153</v>
      </c>
      <c r="D92" s="5" t="s">
        <v>154</v>
      </c>
      <c r="E92" s="5" t="s">
        <v>155</v>
      </c>
      <c r="F92" s="5" t="s">
        <v>156</v>
      </c>
      <c r="G92" s="5">
        <v>3</v>
      </c>
      <c r="H92" s="5" t="s">
        <v>75</v>
      </c>
      <c r="I92" s="5" t="s">
        <v>71</v>
      </c>
      <c r="J92" s="71" t="s">
        <v>78</v>
      </c>
      <c r="K92" s="5" t="s">
        <v>76</v>
      </c>
      <c r="L92" s="5" t="s">
        <v>104</v>
      </c>
      <c r="M92" s="5" t="s">
        <v>134</v>
      </c>
      <c r="N92" s="5" t="s">
        <v>66</v>
      </c>
      <c r="O92" s="5" t="s">
        <v>67</v>
      </c>
      <c r="P92" s="5" t="s">
        <v>158</v>
      </c>
      <c r="Q92" s="8" t="s">
        <v>55</v>
      </c>
      <c r="R92" s="5" t="s">
        <v>56</v>
      </c>
      <c r="S92" s="5" t="s">
        <v>68</v>
      </c>
      <c r="T92" s="5" t="s">
        <v>159</v>
      </c>
      <c r="U92" s="5" t="s">
        <v>160</v>
      </c>
      <c r="V92" s="5" t="s">
        <v>161</v>
      </c>
      <c r="W92" s="6">
        <f>10+16.18</f>
        <v>26.18</v>
      </c>
      <c r="X92" s="6">
        <v>0</v>
      </c>
      <c r="Y92" s="6">
        <v>0</v>
      </c>
      <c r="Z92" s="6">
        <v>0</v>
      </c>
      <c r="AA92" s="6">
        <v>0.23699999999999999</v>
      </c>
      <c r="AB92" s="6">
        <v>0.72</v>
      </c>
      <c r="AC92" s="6">
        <v>0.76300000000000001</v>
      </c>
      <c r="AD92" s="6">
        <v>0</v>
      </c>
      <c r="AE92" s="6">
        <v>0</v>
      </c>
      <c r="AF92" s="6">
        <v>0</v>
      </c>
      <c r="AG92" s="6">
        <f>SUM(W92:AF92)</f>
        <v>27.9</v>
      </c>
      <c r="AH92" s="6">
        <f>AG92/7</f>
        <v>3.9857142857142853</v>
      </c>
      <c r="AI92" s="6">
        <f>AH92/G92</f>
        <v>1.3285714285714285</v>
      </c>
      <c r="AJ92" s="6">
        <v>84</v>
      </c>
      <c r="AK92" s="20">
        <f>AG92/AJ92</f>
        <v>0.33214285714285713</v>
      </c>
    </row>
    <row r="93" spans="1:37" ht="15.5" x14ac:dyDescent="0.35">
      <c r="A93" s="3">
        <v>91</v>
      </c>
      <c r="B93" s="4" t="s">
        <v>206</v>
      </c>
      <c r="C93" s="5" t="s">
        <v>153</v>
      </c>
      <c r="D93" s="5" t="s">
        <v>154</v>
      </c>
      <c r="E93" s="5" t="s">
        <v>155</v>
      </c>
      <c r="F93" s="5" t="s">
        <v>156</v>
      </c>
      <c r="G93" s="5">
        <v>3</v>
      </c>
      <c r="H93" s="5" t="s">
        <v>75</v>
      </c>
      <c r="I93" s="5" t="s">
        <v>47</v>
      </c>
      <c r="J93" s="71" t="s">
        <v>78</v>
      </c>
      <c r="K93" s="5" t="s">
        <v>49</v>
      </c>
      <c r="L93" s="5" t="s">
        <v>157</v>
      </c>
      <c r="M93" s="5" t="s">
        <v>51</v>
      </c>
      <c r="N93" s="5" t="s">
        <v>66</v>
      </c>
      <c r="O93" s="5" t="s">
        <v>67</v>
      </c>
      <c r="P93" s="5" t="s">
        <v>158</v>
      </c>
      <c r="Q93" s="8" t="s">
        <v>55</v>
      </c>
      <c r="R93" s="5" t="s">
        <v>56</v>
      </c>
      <c r="S93" s="5" t="s">
        <v>68</v>
      </c>
      <c r="T93" s="5" t="s">
        <v>159</v>
      </c>
      <c r="U93" s="5" t="s">
        <v>160</v>
      </c>
      <c r="V93" s="5" t="s">
        <v>161</v>
      </c>
      <c r="W93" s="6">
        <v>12.66</v>
      </c>
      <c r="X93" s="6">
        <v>0</v>
      </c>
      <c r="Y93" s="6">
        <v>0</v>
      </c>
      <c r="Z93" s="6">
        <v>0.16</v>
      </c>
      <c r="AA93" s="6">
        <v>0.69</v>
      </c>
      <c r="AB93" s="6">
        <v>0.48</v>
      </c>
      <c r="AC93" s="6">
        <v>0.47</v>
      </c>
      <c r="AD93" s="6">
        <v>0</v>
      </c>
      <c r="AE93" s="6">
        <v>0</v>
      </c>
      <c r="AF93" s="6">
        <v>1.26</v>
      </c>
      <c r="AG93" s="6">
        <f t="shared" ref="AG93:AG105" si="11">SUM(W93:AF93)</f>
        <v>15.72</v>
      </c>
      <c r="AH93" s="6">
        <f t="shared" si="6"/>
        <v>2.245714285714286</v>
      </c>
      <c r="AI93" s="6">
        <f>AH93/G93</f>
        <v>0.74857142857142867</v>
      </c>
      <c r="AJ93" s="6">
        <v>44</v>
      </c>
      <c r="AK93" s="6">
        <f t="shared" ref="AK93:AK105" si="12">AG93/AJ93</f>
        <v>0.3572727272727273</v>
      </c>
    </row>
    <row r="94" spans="1:37" ht="15.5" x14ac:dyDescent="0.35">
      <c r="A94" s="3">
        <v>92</v>
      </c>
      <c r="B94" s="4" t="s">
        <v>207</v>
      </c>
      <c r="C94" s="5" t="s">
        <v>153</v>
      </c>
      <c r="D94" s="5" t="s">
        <v>154</v>
      </c>
      <c r="E94" s="5" t="s">
        <v>155</v>
      </c>
      <c r="F94" s="5" t="s">
        <v>156</v>
      </c>
      <c r="G94" s="5">
        <v>6</v>
      </c>
      <c r="H94" s="5" t="s">
        <v>62</v>
      </c>
      <c r="I94" s="5" t="s">
        <v>47</v>
      </c>
      <c r="J94" s="71" t="s">
        <v>78</v>
      </c>
      <c r="K94" s="5" t="s">
        <v>103</v>
      </c>
      <c r="L94" s="5" t="s">
        <v>104</v>
      </c>
      <c r="M94" s="5" t="s">
        <v>134</v>
      </c>
      <c r="N94" s="5" t="s">
        <v>66</v>
      </c>
      <c r="O94" s="5" t="s">
        <v>67</v>
      </c>
      <c r="P94" s="5" t="s">
        <v>158</v>
      </c>
      <c r="Q94" s="8" t="s">
        <v>55</v>
      </c>
      <c r="R94" s="5" t="s">
        <v>56</v>
      </c>
      <c r="S94" s="5" t="s">
        <v>68</v>
      </c>
      <c r="T94" s="5" t="s">
        <v>159</v>
      </c>
      <c r="U94" s="5" t="s">
        <v>160</v>
      </c>
      <c r="V94" s="5" t="s">
        <v>161</v>
      </c>
      <c r="W94" s="6">
        <v>34.42</v>
      </c>
      <c r="X94" s="6">
        <v>6.42</v>
      </c>
      <c r="Y94" s="6">
        <v>0</v>
      </c>
      <c r="Z94" s="6">
        <v>0</v>
      </c>
      <c r="AA94" s="6">
        <v>0.63100000000000001</v>
      </c>
      <c r="AB94" s="6">
        <v>0.31900000000000001</v>
      </c>
      <c r="AC94" s="6">
        <v>1.173</v>
      </c>
      <c r="AD94" s="6">
        <v>0</v>
      </c>
      <c r="AE94" s="6">
        <v>0.40799999999999997</v>
      </c>
      <c r="AF94" s="6">
        <v>1.9079999999999999</v>
      </c>
      <c r="AG94" s="6">
        <f t="shared" si="11"/>
        <v>45.279000000000011</v>
      </c>
      <c r="AH94" s="6">
        <f t="shared" si="6"/>
        <v>6.4684285714285732</v>
      </c>
      <c r="AI94" s="6">
        <f>AH94/6</f>
        <v>1.0780714285714288</v>
      </c>
      <c r="AJ94" s="6">
        <v>148</v>
      </c>
      <c r="AK94" s="6">
        <f t="shared" si="12"/>
        <v>0.30593918918918928</v>
      </c>
    </row>
    <row r="95" spans="1:37" ht="15.5" x14ac:dyDescent="0.35">
      <c r="A95" s="3">
        <v>93</v>
      </c>
      <c r="B95" s="4" t="s">
        <v>208</v>
      </c>
      <c r="C95" s="5" t="s">
        <v>153</v>
      </c>
      <c r="D95" s="5" t="s">
        <v>154</v>
      </c>
      <c r="E95" s="5" t="s">
        <v>155</v>
      </c>
      <c r="F95" s="5" t="s">
        <v>156</v>
      </c>
      <c r="G95" s="5">
        <v>3</v>
      </c>
      <c r="H95" s="5" t="s">
        <v>75</v>
      </c>
      <c r="I95" s="5" t="s">
        <v>47</v>
      </c>
      <c r="J95" s="71" t="s">
        <v>78</v>
      </c>
      <c r="K95" s="5" t="s">
        <v>49</v>
      </c>
      <c r="L95" s="5" t="s">
        <v>104</v>
      </c>
      <c r="M95" s="8" t="s">
        <v>65</v>
      </c>
      <c r="N95" s="5" t="s">
        <v>66</v>
      </c>
      <c r="O95" s="5" t="s">
        <v>67</v>
      </c>
      <c r="P95" s="5" t="s">
        <v>54</v>
      </c>
      <c r="Q95" s="8" t="s">
        <v>55</v>
      </c>
      <c r="R95" s="5" t="s">
        <v>56</v>
      </c>
      <c r="S95" s="5" t="s">
        <v>68</v>
      </c>
      <c r="T95" s="5" t="s">
        <v>159</v>
      </c>
      <c r="U95" s="5" t="s">
        <v>160</v>
      </c>
      <c r="V95" s="5" t="s">
        <v>161</v>
      </c>
      <c r="W95" s="6">
        <v>15.62</v>
      </c>
      <c r="X95" s="6">
        <v>3.7</v>
      </c>
      <c r="Y95" s="6">
        <v>0</v>
      </c>
      <c r="Z95" s="6">
        <v>0</v>
      </c>
      <c r="AA95" s="6">
        <v>0.313</v>
      </c>
      <c r="AB95" s="6">
        <v>0.497</v>
      </c>
      <c r="AC95" s="6">
        <v>0.68100000000000005</v>
      </c>
      <c r="AD95" s="6">
        <v>0</v>
      </c>
      <c r="AE95" s="6">
        <v>0</v>
      </c>
      <c r="AF95" s="20">
        <v>0</v>
      </c>
      <c r="AG95" s="6">
        <f t="shared" si="11"/>
        <v>20.811</v>
      </c>
      <c r="AH95" s="6">
        <f t="shared" si="6"/>
        <v>2.9729999999999999</v>
      </c>
      <c r="AI95" s="6">
        <f>AH95/4</f>
        <v>0.74324999999999997</v>
      </c>
      <c r="AJ95" s="6">
        <v>64</v>
      </c>
      <c r="AK95" s="6">
        <f t="shared" si="12"/>
        <v>0.325171875</v>
      </c>
    </row>
    <row r="96" spans="1:37" ht="15.5" x14ac:dyDescent="0.35">
      <c r="A96" s="3">
        <v>94</v>
      </c>
      <c r="B96" s="4" t="s">
        <v>209</v>
      </c>
      <c r="C96" s="5" t="s">
        <v>153</v>
      </c>
      <c r="D96" s="5" t="s">
        <v>154</v>
      </c>
      <c r="E96" s="5" t="s">
        <v>155</v>
      </c>
      <c r="F96" s="5" t="s">
        <v>156</v>
      </c>
      <c r="G96" s="5">
        <v>7</v>
      </c>
      <c r="H96" s="5" t="s">
        <v>62</v>
      </c>
      <c r="I96" s="5" t="s">
        <v>47</v>
      </c>
      <c r="J96" s="71" t="s">
        <v>78</v>
      </c>
      <c r="K96" s="5" t="s">
        <v>103</v>
      </c>
      <c r="L96" s="5" t="s">
        <v>157</v>
      </c>
      <c r="M96" s="5" t="s">
        <v>134</v>
      </c>
      <c r="N96" s="5" t="s">
        <v>66</v>
      </c>
      <c r="O96" s="5" t="s">
        <v>67</v>
      </c>
      <c r="P96" s="5" t="s">
        <v>54</v>
      </c>
      <c r="Q96" s="8" t="s">
        <v>55</v>
      </c>
      <c r="R96" s="5" t="s">
        <v>56</v>
      </c>
      <c r="S96" s="5" t="s">
        <v>68</v>
      </c>
      <c r="T96" s="5" t="s">
        <v>159</v>
      </c>
      <c r="U96" s="5" t="s">
        <v>160</v>
      </c>
      <c r="V96" s="5" t="s">
        <v>161</v>
      </c>
      <c r="W96" s="19">
        <v>37.58</v>
      </c>
      <c r="X96" s="6">
        <v>8</v>
      </c>
      <c r="Y96" s="6">
        <v>0</v>
      </c>
      <c r="Z96" s="6">
        <v>0</v>
      </c>
      <c r="AA96" s="6">
        <v>2.5059999999999998</v>
      </c>
      <c r="AB96" s="6">
        <v>3.14</v>
      </c>
      <c r="AC96" s="6">
        <v>5.13</v>
      </c>
      <c r="AD96" s="6">
        <v>0</v>
      </c>
      <c r="AE96" s="6">
        <v>0.95399999999999996</v>
      </c>
      <c r="AF96" s="20">
        <v>7.3120000000000003</v>
      </c>
      <c r="AG96" s="6">
        <f t="shared" si="11"/>
        <v>64.622</v>
      </c>
      <c r="AH96" s="6">
        <f t="shared" si="6"/>
        <v>9.2317142857142862</v>
      </c>
      <c r="AI96" s="6">
        <f>AH96/G96</f>
        <v>1.3188163265306123</v>
      </c>
      <c r="AJ96" s="6">
        <v>220</v>
      </c>
      <c r="AK96" s="6">
        <f t="shared" si="12"/>
        <v>0.29373636363636363</v>
      </c>
    </row>
    <row r="97" spans="1:37" ht="15.5" x14ac:dyDescent="0.35">
      <c r="A97" s="3">
        <v>95</v>
      </c>
      <c r="B97" s="4" t="s">
        <v>210</v>
      </c>
      <c r="C97" s="5" t="s">
        <v>153</v>
      </c>
      <c r="D97" s="5" t="s">
        <v>154</v>
      </c>
      <c r="E97" s="5" t="s">
        <v>155</v>
      </c>
      <c r="F97" s="5" t="s">
        <v>156</v>
      </c>
      <c r="G97" s="5">
        <v>6</v>
      </c>
      <c r="H97" s="5" t="s">
        <v>62</v>
      </c>
      <c r="I97" s="5" t="s">
        <v>71</v>
      </c>
      <c r="J97" s="71" t="s">
        <v>78</v>
      </c>
      <c r="K97" s="5" t="s">
        <v>79</v>
      </c>
      <c r="L97" s="5" t="s">
        <v>157</v>
      </c>
      <c r="M97" s="5" t="s">
        <v>134</v>
      </c>
      <c r="N97" s="5" t="s">
        <v>66</v>
      </c>
      <c r="O97" s="5" t="s">
        <v>67</v>
      </c>
      <c r="P97" s="5" t="s">
        <v>54</v>
      </c>
      <c r="Q97" s="8" t="s">
        <v>55</v>
      </c>
      <c r="R97" s="5" t="s">
        <v>56</v>
      </c>
      <c r="S97" s="5" t="s">
        <v>68</v>
      </c>
      <c r="T97" s="5" t="s">
        <v>159</v>
      </c>
      <c r="U97" s="5" t="s">
        <v>160</v>
      </c>
      <c r="V97" s="5" t="s">
        <v>161</v>
      </c>
      <c r="W97" s="6">
        <v>33.380000000000003</v>
      </c>
      <c r="X97" s="6">
        <v>2.38</v>
      </c>
      <c r="Y97" s="6">
        <v>0</v>
      </c>
      <c r="Z97" s="6">
        <v>0.67300000000000004</v>
      </c>
      <c r="AA97" s="6">
        <v>0.56699999999999995</v>
      </c>
      <c r="AB97" s="6">
        <v>0.88100000000000001</v>
      </c>
      <c r="AC97" s="6">
        <v>2.1800000000000002</v>
      </c>
      <c r="AD97" s="6">
        <v>0.219</v>
      </c>
      <c r="AE97" s="6">
        <v>0.71399999999999997</v>
      </c>
      <c r="AF97" s="20">
        <v>3.07</v>
      </c>
      <c r="AG97" s="6">
        <f t="shared" si="11"/>
        <v>44.064000000000007</v>
      </c>
      <c r="AH97" s="6">
        <f t="shared" si="6"/>
        <v>6.2948571428571443</v>
      </c>
      <c r="AI97" s="6">
        <f>AH97/G97</f>
        <v>1.0491428571428574</v>
      </c>
      <c r="AJ97" s="6">
        <v>144</v>
      </c>
      <c r="AK97" s="6">
        <f t="shared" si="12"/>
        <v>0.30600000000000005</v>
      </c>
    </row>
    <row r="98" spans="1:37" ht="15.5" x14ac:dyDescent="0.35">
      <c r="A98" s="3">
        <v>96</v>
      </c>
      <c r="B98" s="4" t="s">
        <v>211</v>
      </c>
      <c r="C98" s="5" t="s">
        <v>153</v>
      </c>
      <c r="D98" s="5" t="s">
        <v>154</v>
      </c>
      <c r="E98" s="5" t="s">
        <v>155</v>
      </c>
      <c r="F98" s="5" t="s">
        <v>156</v>
      </c>
      <c r="G98" s="5">
        <v>4</v>
      </c>
      <c r="H98" s="5" t="s">
        <v>62</v>
      </c>
      <c r="I98" s="5" t="s">
        <v>71</v>
      </c>
      <c r="J98" s="71" t="s">
        <v>78</v>
      </c>
      <c r="K98" s="5" t="s">
        <v>49</v>
      </c>
      <c r="L98" s="5" t="s">
        <v>104</v>
      </c>
      <c r="M98" s="8" t="s">
        <v>65</v>
      </c>
      <c r="N98" s="5" t="s">
        <v>66</v>
      </c>
      <c r="O98" s="5" t="s">
        <v>67</v>
      </c>
      <c r="P98" s="5" t="s">
        <v>54</v>
      </c>
      <c r="Q98" s="8" t="s">
        <v>55</v>
      </c>
      <c r="R98" s="5" t="s">
        <v>56</v>
      </c>
      <c r="S98" s="5" t="s">
        <v>68</v>
      </c>
      <c r="T98" s="5" t="s">
        <v>159</v>
      </c>
      <c r="U98" s="5" t="s">
        <v>160</v>
      </c>
      <c r="V98" s="5" t="s">
        <v>161</v>
      </c>
      <c r="W98" s="6">
        <v>18.82</v>
      </c>
      <c r="X98" s="6">
        <v>4.76</v>
      </c>
      <c r="Y98" s="6">
        <v>0</v>
      </c>
      <c r="Z98" s="6">
        <v>0</v>
      </c>
      <c r="AA98" s="6">
        <v>0.21299999999999999</v>
      </c>
      <c r="AB98" s="6">
        <v>0.32700000000000001</v>
      </c>
      <c r="AC98" s="6">
        <v>0.46800000000000003</v>
      </c>
      <c r="AD98" s="6">
        <v>0</v>
      </c>
      <c r="AE98" s="6">
        <v>0</v>
      </c>
      <c r="AF98" s="20">
        <v>0</v>
      </c>
      <c r="AG98" s="6">
        <f t="shared" si="11"/>
        <v>24.588000000000001</v>
      </c>
      <c r="AH98" s="6">
        <f t="shared" si="6"/>
        <v>3.5125714285714289</v>
      </c>
      <c r="AI98" s="6">
        <f>AH98/4</f>
        <v>0.87814285714285722</v>
      </c>
      <c r="AJ98" s="6">
        <v>70</v>
      </c>
      <c r="AK98" s="6">
        <f t="shared" si="12"/>
        <v>0.35125714285714288</v>
      </c>
    </row>
    <row r="99" spans="1:37" ht="15.5" x14ac:dyDescent="0.35">
      <c r="A99" s="3">
        <v>97</v>
      </c>
      <c r="B99" s="4" t="s">
        <v>212</v>
      </c>
      <c r="C99" s="5" t="s">
        <v>153</v>
      </c>
      <c r="D99" s="5" t="s">
        <v>154</v>
      </c>
      <c r="E99" s="5" t="s">
        <v>155</v>
      </c>
      <c r="F99" s="5" t="s">
        <v>156</v>
      </c>
      <c r="G99" s="5">
        <v>4</v>
      </c>
      <c r="H99" s="5" t="s">
        <v>46</v>
      </c>
      <c r="I99" s="5" t="s">
        <v>71</v>
      </c>
      <c r="J99" s="71" t="s">
        <v>78</v>
      </c>
      <c r="K99" s="5" t="s">
        <v>79</v>
      </c>
      <c r="L99" s="5" t="s">
        <v>104</v>
      </c>
      <c r="M99" s="5" t="s">
        <v>134</v>
      </c>
      <c r="N99" s="5" t="s">
        <v>66</v>
      </c>
      <c r="O99" s="5" t="s">
        <v>67</v>
      </c>
      <c r="P99" s="5" t="s">
        <v>158</v>
      </c>
      <c r="Q99" s="8" t="s">
        <v>55</v>
      </c>
      <c r="R99" s="5" t="s">
        <v>56</v>
      </c>
      <c r="S99" s="5" t="s">
        <v>68</v>
      </c>
      <c r="T99" s="5" t="s">
        <v>159</v>
      </c>
      <c r="U99" s="5" t="s">
        <v>160</v>
      </c>
      <c r="V99" s="5" t="s">
        <v>161</v>
      </c>
      <c r="W99" s="43">
        <v>20.5</v>
      </c>
      <c r="X99" s="43">
        <v>2.5</v>
      </c>
      <c r="Y99" s="44">
        <v>0</v>
      </c>
      <c r="Z99" s="44">
        <v>0</v>
      </c>
      <c r="AA99" s="44">
        <v>0</v>
      </c>
      <c r="AB99" s="43">
        <v>0.5</v>
      </c>
      <c r="AC99" s="43">
        <v>1.5</v>
      </c>
      <c r="AD99" s="44">
        <v>0</v>
      </c>
      <c r="AE99" s="44">
        <v>0</v>
      </c>
      <c r="AF99" s="45">
        <v>1.05</v>
      </c>
      <c r="AG99" s="6">
        <f t="shared" si="11"/>
        <v>26.05</v>
      </c>
      <c r="AH99" s="6">
        <f t="shared" si="6"/>
        <v>3.7214285714285715</v>
      </c>
      <c r="AI99" s="6">
        <f>AH99/G99</f>
        <v>0.93035714285714288</v>
      </c>
      <c r="AJ99" s="6">
        <v>74</v>
      </c>
      <c r="AK99" s="6">
        <f t="shared" si="12"/>
        <v>0.35202702702702704</v>
      </c>
    </row>
    <row r="100" spans="1:37" ht="15.5" x14ac:dyDescent="0.35">
      <c r="A100" s="3">
        <v>98</v>
      </c>
      <c r="B100" s="4" t="s">
        <v>213</v>
      </c>
      <c r="C100" s="5" t="s">
        <v>153</v>
      </c>
      <c r="D100" s="5" t="s">
        <v>154</v>
      </c>
      <c r="E100" s="5" t="s">
        <v>155</v>
      </c>
      <c r="F100" s="5" t="s">
        <v>156</v>
      </c>
      <c r="G100" s="5">
        <v>5</v>
      </c>
      <c r="H100" s="5" t="s">
        <v>46</v>
      </c>
      <c r="I100" s="5" t="s">
        <v>71</v>
      </c>
      <c r="J100" s="71" t="s">
        <v>78</v>
      </c>
      <c r="K100" s="5" t="s">
        <v>79</v>
      </c>
      <c r="L100" s="5" t="s">
        <v>104</v>
      </c>
      <c r="M100" s="5" t="s">
        <v>134</v>
      </c>
      <c r="N100" s="5" t="s">
        <v>66</v>
      </c>
      <c r="O100" s="5" t="s">
        <v>67</v>
      </c>
      <c r="P100" s="5" t="s">
        <v>54</v>
      </c>
      <c r="Q100" s="8" t="s">
        <v>55</v>
      </c>
      <c r="R100" s="5" t="s">
        <v>56</v>
      </c>
      <c r="S100" s="5" t="s">
        <v>68</v>
      </c>
      <c r="T100" s="5" t="s">
        <v>159</v>
      </c>
      <c r="U100" s="5" t="s">
        <v>160</v>
      </c>
      <c r="V100" s="5" t="s">
        <v>161</v>
      </c>
      <c r="W100" s="43">
        <v>28.31</v>
      </c>
      <c r="X100" s="43">
        <v>3.25</v>
      </c>
      <c r="Y100" s="44">
        <v>0</v>
      </c>
      <c r="Z100" s="44">
        <v>0</v>
      </c>
      <c r="AA100" s="44">
        <v>0</v>
      </c>
      <c r="AB100" s="43">
        <v>0.70299999999999996</v>
      </c>
      <c r="AC100" s="43">
        <v>1.8120000000000001</v>
      </c>
      <c r="AD100" s="44">
        <v>0</v>
      </c>
      <c r="AE100" s="44">
        <v>0</v>
      </c>
      <c r="AF100" s="45">
        <v>0.34599999999999997</v>
      </c>
      <c r="AG100" s="6">
        <f t="shared" si="11"/>
        <v>34.420999999999992</v>
      </c>
      <c r="AH100" s="6">
        <f t="shared" si="6"/>
        <v>4.9172857142857129</v>
      </c>
      <c r="AI100" s="6">
        <f>AH100/G100</f>
        <v>0.98345714285714259</v>
      </c>
      <c r="AJ100" s="6">
        <v>110</v>
      </c>
      <c r="AK100" s="6">
        <f t="shared" si="12"/>
        <v>0.31291818181818176</v>
      </c>
    </row>
    <row r="101" spans="1:37" ht="15.5" x14ac:dyDescent="0.35">
      <c r="A101" s="3">
        <v>99</v>
      </c>
      <c r="B101" s="4" t="s">
        <v>214</v>
      </c>
      <c r="C101" s="5" t="s">
        <v>153</v>
      </c>
      <c r="D101" s="5" t="s">
        <v>154</v>
      </c>
      <c r="E101" s="5" t="s">
        <v>155</v>
      </c>
      <c r="F101" s="5" t="s">
        <v>156</v>
      </c>
      <c r="G101" s="5">
        <v>5</v>
      </c>
      <c r="H101" s="5" t="s">
        <v>62</v>
      </c>
      <c r="I101" s="5" t="s">
        <v>47</v>
      </c>
      <c r="J101" s="71" t="s">
        <v>78</v>
      </c>
      <c r="K101" s="5" t="s">
        <v>103</v>
      </c>
      <c r="L101" s="5" t="s">
        <v>157</v>
      </c>
      <c r="M101" s="5" t="s">
        <v>134</v>
      </c>
      <c r="N101" s="5" t="s">
        <v>66</v>
      </c>
      <c r="O101" s="5" t="s">
        <v>53</v>
      </c>
      <c r="P101" s="5" t="s">
        <v>158</v>
      </c>
      <c r="Q101" s="8" t="s">
        <v>55</v>
      </c>
      <c r="R101" s="5" t="s">
        <v>56</v>
      </c>
      <c r="S101" s="5" t="s">
        <v>68</v>
      </c>
      <c r="T101" s="5" t="s">
        <v>159</v>
      </c>
      <c r="U101" s="5" t="s">
        <v>160</v>
      </c>
      <c r="V101" s="5" t="s">
        <v>161</v>
      </c>
      <c r="W101" s="6">
        <v>53.52</v>
      </c>
      <c r="X101" s="6">
        <v>6.3419999999999996</v>
      </c>
      <c r="Y101" s="6">
        <v>0</v>
      </c>
      <c r="Z101" s="6">
        <v>0.23400000000000001</v>
      </c>
      <c r="AA101" s="6">
        <v>0.47599999999999998</v>
      </c>
      <c r="AB101" s="6">
        <v>1.673</v>
      </c>
      <c r="AC101" s="6">
        <v>2.3460000000000001</v>
      </c>
      <c r="AD101" s="6">
        <v>0</v>
      </c>
      <c r="AE101" s="6">
        <v>1.095</v>
      </c>
      <c r="AF101" s="6">
        <v>2.3450000000000002</v>
      </c>
      <c r="AG101" s="6">
        <f t="shared" si="11"/>
        <v>68.031000000000006</v>
      </c>
      <c r="AH101" s="6">
        <f t="shared" si="6"/>
        <v>9.7187142857142863</v>
      </c>
      <c r="AI101" s="6">
        <f>AH101/G101</f>
        <v>1.9437428571428572</v>
      </c>
      <c r="AJ101" s="6">
        <v>224</v>
      </c>
      <c r="AK101" s="6">
        <f t="shared" si="12"/>
        <v>0.30370982142857145</v>
      </c>
    </row>
    <row r="102" spans="1:37" ht="15.5" x14ac:dyDescent="0.35">
      <c r="A102" s="3">
        <v>100</v>
      </c>
      <c r="B102" s="4" t="s">
        <v>215</v>
      </c>
      <c r="C102" s="5" t="s">
        <v>153</v>
      </c>
      <c r="D102" s="5" t="s">
        <v>154</v>
      </c>
      <c r="E102" s="5" t="s">
        <v>155</v>
      </c>
      <c r="F102" s="5" t="s">
        <v>156</v>
      </c>
      <c r="G102" s="5">
        <v>9</v>
      </c>
      <c r="H102" s="5" t="s">
        <v>62</v>
      </c>
      <c r="I102" s="5" t="s">
        <v>47</v>
      </c>
      <c r="J102" s="71" t="s">
        <v>78</v>
      </c>
      <c r="K102" s="5" t="s">
        <v>103</v>
      </c>
      <c r="L102" s="5" t="s">
        <v>157</v>
      </c>
      <c r="M102" s="5" t="s">
        <v>134</v>
      </c>
      <c r="N102" s="5" t="s">
        <v>66</v>
      </c>
      <c r="O102" s="5" t="s">
        <v>67</v>
      </c>
      <c r="P102" s="5" t="s">
        <v>158</v>
      </c>
      <c r="Q102" s="8" t="s">
        <v>55</v>
      </c>
      <c r="R102" s="5" t="s">
        <v>165</v>
      </c>
      <c r="S102" s="5" t="s">
        <v>68</v>
      </c>
      <c r="T102" s="5" t="s">
        <v>159</v>
      </c>
      <c r="U102" s="5" t="s">
        <v>160</v>
      </c>
      <c r="V102" s="5" t="s">
        <v>161</v>
      </c>
      <c r="W102" s="19">
        <v>40.49</v>
      </c>
      <c r="X102" s="6">
        <v>7.09</v>
      </c>
      <c r="Y102" s="6">
        <v>0</v>
      </c>
      <c r="Z102" s="6">
        <v>0</v>
      </c>
      <c r="AA102" s="6">
        <v>2.5979999999999999</v>
      </c>
      <c r="AB102" s="6">
        <v>2.54</v>
      </c>
      <c r="AC102" s="6">
        <v>4.83</v>
      </c>
      <c r="AD102" s="6">
        <v>0</v>
      </c>
      <c r="AE102" s="6">
        <v>1.2030000000000001</v>
      </c>
      <c r="AF102" s="20">
        <v>6.3920000000000003</v>
      </c>
      <c r="AG102" s="6">
        <f t="shared" si="11"/>
        <v>65.143000000000001</v>
      </c>
      <c r="AH102" s="6">
        <f t="shared" si="6"/>
        <v>9.3061428571428575</v>
      </c>
      <c r="AI102" s="6">
        <f>AH102/G102</f>
        <v>1.0340158730158731</v>
      </c>
      <c r="AJ102" s="6">
        <v>220</v>
      </c>
      <c r="AK102" s="6">
        <f t="shared" si="12"/>
        <v>0.29610454545454545</v>
      </c>
    </row>
    <row r="103" spans="1:37" ht="15.5" x14ac:dyDescent="0.35">
      <c r="A103" s="3">
        <v>101</v>
      </c>
      <c r="B103" s="4" t="s">
        <v>216</v>
      </c>
      <c r="C103" s="5" t="s">
        <v>153</v>
      </c>
      <c r="D103" s="5" t="s">
        <v>154</v>
      </c>
      <c r="E103" s="5" t="s">
        <v>155</v>
      </c>
      <c r="F103" s="5" t="s">
        <v>156</v>
      </c>
      <c r="G103" s="5">
        <v>14</v>
      </c>
      <c r="H103" s="5" t="s">
        <v>62</v>
      </c>
      <c r="I103" s="5" t="s">
        <v>47</v>
      </c>
      <c r="J103" s="71" t="s">
        <v>78</v>
      </c>
      <c r="K103" s="5" t="s">
        <v>49</v>
      </c>
      <c r="L103" s="5" t="s">
        <v>157</v>
      </c>
      <c r="M103" s="5" t="s">
        <v>134</v>
      </c>
      <c r="N103" s="5" t="s">
        <v>66</v>
      </c>
      <c r="O103" s="5" t="s">
        <v>67</v>
      </c>
      <c r="P103" s="5" t="s">
        <v>158</v>
      </c>
      <c r="Q103" s="8" t="s">
        <v>55</v>
      </c>
      <c r="R103" s="5" t="s">
        <v>56</v>
      </c>
      <c r="S103" s="5" t="s">
        <v>68</v>
      </c>
      <c r="T103" s="5" t="s">
        <v>159</v>
      </c>
      <c r="U103" s="5" t="s">
        <v>160</v>
      </c>
      <c r="V103" s="5" t="s">
        <v>161</v>
      </c>
      <c r="W103" s="6">
        <f>20.8+2.02</f>
        <v>22.82</v>
      </c>
      <c r="X103" s="6">
        <v>9.4600000000000009</v>
      </c>
      <c r="Y103" s="6">
        <v>0</v>
      </c>
      <c r="Z103" s="6">
        <v>0</v>
      </c>
      <c r="AA103" s="6">
        <v>0.96699999999999997</v>
      </c>
      <c r="AB103" s="6">
        <v>2.923</v>
      </c>
      <c r="AC103" s="6">
        <v>1.165</v>
      </c>
      <c r="AD103" s="6">
        <v>0</v>
      </c>
      <c r="AE103" s="6">
        <v>0</v>
      </c>
      <c r="AF103" s="6">
        <v>5.12</v>
      </c>
      <c r="AG103" s="6">
        <f t="shared" si="11"/>
        <v>42.454999999999998</v>
      </c>
      <c r="AH103" s="6">
        <f t="shared" si="6"/>
        <v>6.0649999999999995</v>
      </c>
      <c r="AI103" s="6">
        <f>AH103/12</f>
        <v>0.50541666666666663</v>
      </c>
      <c r="AJ103" s="6">
        <v>134</v>
      </c>
      <c r="AK103" s="6">
        <f t="shared" si="12"/>
        <v>0.31682835820895522</v>
      </c>
    </row>
    <row r="104" spans="1:37" ht="15.5" x14ac:dyDescent="0.35">
      <c r="A104" s="3">
        <v>102</v>
      </c>
      <c r="B104" s="4" t="s">
        <v>217</v>
      </c>
      <c r="C104" s="5" t="s">
        <v>153</v>
      </c>
      <c r="D104" s="5" t="s">
        <v>154</v>
      </c>
      <c r="E104" s="5" t="s">
        <v>155</v>
      </c>
      <c r="F104" s="5" t="s">
        <v>156</v>
      </c>
      <c r="G104" s="5">
        <v>8</v>
      </c>
      <c r="H104" s="5" t="s">
        <v>75</v>
      </c>
      <c r="I104" s="5" t="s">
        <v>71</v>
      </c>
      <c r="J104" s="71" t="s">
        <v>78</v>
      </c>
      <c r="K104" s="5" t="s">
        <v>79</v>
      </c>
      <c r="L104" s="5" t="s">
        <v>104</v>
      </c>
      <c r="M104" s="5" t="s">
        <v>51</v>
      </c>
      <c r="N104" s="5" t="s">
        <v>66</v>
      </c>
      <c r="O104" s="5" t="s">
        <v>67</v>
      </c>
      <c r="P104" s="5" t="s">
        <v>54</v>
      </c>
      <c r="Q104" s="8" t="s">
        <v>55</v>
      </c>
      <c r="R104" s="5" t="s">
        <v>56</v>
      </c>
      <c r="S104" s="5" t="s">
        <v>68</v>
      </c>
      <c r="T104" s="5" t="s">
        <v>159</v>
      </c>
      <c r="U104" s="5" t="s">
        <v>160</v>
      </c>
      <c r="V104" s="5" t="s">
        <v>106</v>
      </c>
      <c r="W104" s="9">
        <v>19.442</v>
      </c>
      <c r="X104" s="6">
        <v>0</v>
      </c>
      <c r="Y104" s="6">
        <v>0</v>
      </c>
      <c r="Z104" s="6">
        <v>0</v>
      </c>
      <c r="AA104" s="6">
        <f>0.808+0.843</f>
        <v>1.651</v>
      </c>
      <c r="AB104" s="42">
        <v>0.83299999999999996</v>
      </c>
      <c r="AC104" s="6">
        <f>1.48+0.176</f>
        <v>1.6559999999999999</v>
      </c>
      <c r="AD104" s="6">
        <f>0.306</f>
        <v>0.30599999999999999</v>
      </c>
      <c r="AE104" s="6">
        <v>0.123</v>
      </c>
      <c r="AF104" s="6">
        <v>1.0980000000000001</v>
      </c>
      <c r="AG104" s="6">
        <f t="shared" si="11"/>
        <v>25.108999999999998</v>
      </c>
      <c r="AH104" s="6">
        <f t="shared" si="6"/>
        <v>3.5869999999999997</v>
      </c>
      <c r="AI104" s="6">
        <f>AH104/8</f>
        <v>0.44837499999999997</v>
      </c>
      <c r="AJ104" s="6">
        <v>80</v>
      </c>
      <c r="AK104" s="6">
        <f t="shared" si="12"/>
        <v>0.31386249999999999</v>
      </c>
    </row>
    <row r="105" spans="1:37" ht="15.5" x14ac:dyDescent="0.35">
      <c r="A105" s="3">
        <v>103</v>
      </c>
      <c r="B105" s="4" t="s">
        <v>218</v>
      </c>
      <c r="C105" s="5" t="s">
        <v>153</v>
      </c>
      <c r="D105" s="5" t="s">
        <v>154</v>
      </c>
      <c r="E105" s="5" t="s">
        <v>155</v>
      </c>
      <c r="F105" s="5" t="s">
        <v>156</v>
      </c>
      <c r="G105" s="5">
        <v>6</v>
      </c>
      <c r="H105" s="5" t="s">
        <v>46</v>
      </c>
      <c r="I105" s="5" t="s">
        <v>47</v>
      </c>
      <c r="J105" s="71" t="s">
        <v>78</v>
      </c>
      <c r="K105" s="5" t="s">
        <v>103</v>
      </c>
      <c r="L105" s="5" t="s">
        <v>157</v>
      </c>
      <c r="M105" s="5" t="s">
        <v>134</v>
      </c>
      <c r="N105" s="5" t="s">
        <v>66</v>
      </c>
      <c r="O105" s="5" t="s">
        <v>53</v>
      </c>
      <c r="P105" s="5" t="s">
        <v>158</v>
      </c>
      <c r="Q105" s="8" t="s">
        <v>55</v>
      </c>
      <c r="R105" s="5" t="s">
        <v>56</v>
      </c>
      <c r="S105" s="5" t="s">
        <v>68</v>
      </c>
      <c r="T105" s="5" t="s">
        <v>159</v>
      </c>
      <c r="U105" s="5" t="s">
        <v>160</v>
      </c>
      <c r="V105" s="5" t="s">
        <v>161</v>
      </c>
      <c r="W105" s="6">
        <f>13.5+18.48</f>
        <v>31.98</v>
      </c>
      <c r="X105" s="6">
        <v>1.45</v>
      </c>
      <c r="Y105" s="6">
        <v>0</v>
      </c>
      <c r="Z105" s="6">
        <v>0.36699999999999999</v>
      </c>
      <c r="AA105" s="6">
        <v>0.64500000000000002</v>
      </c>
      <c r="AB105" s="6">
        <v>0.24299999999999999</v>
      </c>
      <c r="AC105" s="6">
        <v>0.61899999999999999</v>
      </c>
      <c r="AD105" s="6">
        <v>0</v>
      </c>
      <c r="AE105" s="6">
        <v>0</v>
      </c>
      <c r="AF105" s="6">
        <v>3.79</v>
      </c>
      <c r="AG105" s="6">
        <f t="shared" si="11"/>
        <v>39.094000000000001</v>
      </c>
      <c r="AH105" s="6">
        <f t="shared" si="6"/>
        <v>5.5848571428571434</v>
      </c>
      <c r="AI105" s="6">
        <f>AH105/G105</f>
        <v>0.93080952380952386</v>
      </c>
      <c r="AJ105" s="10">
        <v>104</v>
      </c>
      <c r="AK105" s="6">
        <f t="shared" si="12"/>
        <v>0.37590384615384614</v>
      </c>
    </row>
  </sheetData>
  <mergeCells count="14">
    <mergeCell ref="AJ1:AJ2"/>
    <mergeCell ref="AK1:AK2"/>
    <mergeCell ref="K1:N1"/>
    <mergeCell ref="O1:V1"/>
    <mergeCell ref="W1:AF1"/>
    <mergeCell ref="AG1:AG2"/>
    <mergeCell ref="AH1:AH2"/>
    <mergeCell ref="AI1:AI2"/>
    <mergeCell ref="F1:J1"/>
    <mergeCell ref="A1:A2"/>
    <mergeCell ref="B1:B2"/>
    <mergeCell ref="C1:C2"/>
    <mergeCell ref="D1:D2"/>
    <mergeCell ref="E1:E2"/>
  </mergeCells>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3"/>
  <sheetViews>
    <sheetView topLeftCell="A11" zoomScale="127" workbookViewId="0">
      <selection activeCell="L36" sqref="L36"/>
    </sheetView>
  </sheetViews>
  <sheetFormatPr defaultColWidth="9.1796875" defaultRowHeight="14" x14ac:dyDescent="0.3"/>
  <cols>
    <col min="1" max="1" width="18.81640625" style="51" customWidth="1"/>
    <col min="2" max="2" width="20.1796875" style="46" bestFit="1" customWidth="1"/>
    <col min="3" max="4" width="2" style="46" bestFit="1" customWidth="1"/>
    <col min="5" max="5" width="2" style="46" customWidth="1"/>
    <col min="6" max="6" width="2" style="46" bestFit="1" customWidth="1"/>
    <col min="7" max="7" width="2" style="46" customWidth="1"/>
    <col min="8" max="9" width="2" style="46" bestFit="1" customWidth="1"/>
    <col min="10" max="10" width="13.54296875" style="46" customWidth="1"/>
    <col min="11" max="12" width="11.7265625" style="46" customWidth="1"/>
    <col min="13" max="13" width="13.453125" style="46" customWidth="1"/>
    <col min="14" max="14" width="11" style="46" customWidth="1"/>
    <col min="15" max="15" width="12.54296875" style="46" customWidth="1"/>
    <col min="16" max="16" width="11.7265625" style="46" customWidth="1"/>
    <col min="17" max="17" width="15.453125" style="46" customWidth="1"/>
    <col min="18" max="18" width="18.7265625" style="46" customWidth="1"/>
    <col min="19" max="19" width="17.81640625" style="46" customWidth="1"/>
    <col min="20" max="21" width="17.26953125" style="46" customWidth="1"/>
    <col min="22" max="16384" width="9.1796875" style="46"/>
  </cols>
  <sheetData>
    <row r="1" spans="1:9" s="53" customFormat="1" ht="30" customHeight="1" x14ac:dyDescent="0.3">
      <c r="A1" s="52" t="s">
        <v>254</v>
      </c>
      <c r="B1" s="53" t="s">
        <v>255</v>
      </c>
      <c r="C1" s="235" t="s">
        <v>257</v>
      </c>
      <c r="D1" s="235"/>
      <c r="E1" s="235"/>
      <c r="F1" s="235"/>
      <c r="G1" s="235"/>
      <c r="H1" s="235"/>
      <c r="I1" s="235"/>
    </row>
    <row r="2" spans="1:9" x14ac:dyDescent="0.3">
      <c r="A2" s="51" t="s">
        <v>219</v>
      </c>
      <c r="B2" s="46" t="s">
        <v>256</v>
      </c>
      <c r="C2" s="234" t="s">
        <v>256</v>
      </c>
      <c r="D2" s="234"/>
      <c r="E2" s="234"/>
      <c r="F2" s="234"/>
      <c r="G2" s="234"/>
    </row>
    <row r="3" spans="1:9" x14ac:dyDescent="0.3">
      <c r="A3" s="51" t="s">
        <v>1</v>
      </c>
      <c r="B3" s="46" t="s">
        <v>256</v>
      </c>
      <c r="C3" s="234" t="s">
        <v>256</v>
      </c>
      <c r="D3" s="234"/>
      <c r="E3" s="234"/>
      <c r="F3" s="234"/>
      <c r="G3" s="234"/>
    </row>
    <row r="4" spans="1:9" x14ac:dyDescent="0.3">
      <c r="A4" s="51" t="s">
        <v>2</v>
      </c>
      <c r="B4" s="46" t="s">
        <v>253</v>
      </c>
    </row>
    <row r="5" spans="1:9" x14ac:dyDescent="0.3">
      <c r="B5" s="46" t="s">
        <v>252</v>
      </c>
    </row>
    <row r="6" spans="1:9" x14ac:dyDescent="0.3">
      <c r="B6" s="46" t="s">
        <v>153</v>
      </c>
    </row>
    <row r="7" spans="1:9" x14ac:dyDescent="0.3">
      <c r="A7" s="51" t="s">
        <v>3</v>
      </c>
      <c r="B7" s="46" t="s">
        <v>256</v>
      </c>
      <c r="C7" s="234" t="s">
        <v>256</v>
      </c>
      <c r="D7" s="234"/>
      <c r="E7" s="234"/>
      <c r="F7" s="234"/>
      <c r="G7" s="234"/>
    </row>
    <row r="8" spans="1:9" x14ac:dyDescent="0.3">
      <c r="A8" s="51" t="s">
        <v>4</v>
      </c>
      <c r="B8" s="46" t="s">
        <v>256</v>
      </c>
      <c r="C8" s="234" t="s">
        <v>256</v>
      </c>
      <c r="D8" s="234"/>
      <c r="E8" s="234"/>
      <c r="F8" s="234"/>
      <c r="G8" s="234"/>
    </row>
    <row r="9" spans="1:9" x14ac:dyDescent="0.3">
      <c r="A9" s="236" t="s">
        <v>220</v>
      </c>
      <c r="B9" s="46" t="s">
        <v>221</v>
      </c>
    </row>
    <row r="10" spans="1:9" x14ac:dyDescent="0.3">
      <c r="A10" s="236"/>
      <c r="B10" s="46" t="s">
        <v>222</v>
      </c>
    </row>
    <row r="11" spans="1:9" x14ac:dyDescent="0.3">
      <c r="A11" s="236"/>
      <c r="B11" s="46" t="s">
        <v>223</v>
      </c>
    </row>
    <row r="12" spans="1:9" x14ac:dyDescent="0.3">
      <c r="A12" s="51" t="s">
        <v>15</v>
      </c>
      <c r="B12" s="46" t="s">
        <v>256</v>
      </c>
      <c r="C12" s="234" t="s">
        <v>256</v>
      </c>
      <c r="D12" s="234"/>
      <c r="E12" s="234"/>
      <c r="F12" s="234"/>
      <c r="G12" s="234"/>
    </row>
    <row r="13" spans="1:9" ht="15" customHeight="1" x14ac:dyDescent="0.3">
      <c r="A13" s="232" t="s">
        <v>224</v>
      </c>
      <c r="B13" s="46" t="s">
        <v>225</v>
      </c>
      <c r="C13" s="46">
        <v>1</v>
      </c>
    </row>
    <row r="14" spans="1:9" x14ac:dyDescent="0.3">
      <c r="A14" s="232"/>
      <c r="B14" s="46" t="s">
        <v>226</v>
      </c>
      <c r="C14" s="46">
        <v>2</v>
      </c>
    </row>
    <row r="15" spans="1:9" x14ac:dyDescent="0.3">
      <c r="A15" s="232"/>
      <c r="B15" s="46" t="s">
        <v>227</v>
      </c>
      <c r="C15" s="46">
        <v>3</v>
      </c>
    </row>
    <row r="16" spans="1:9" x14ac:dyDescent="0.3">
      <c r="A16" s="232"/>
      <c r="B16" s="46" t="s">
        <v>228</v>
      </c>
      <c r="C16" s="46">
        <v>4</v>
      </c>
    </row>
    <row r="17" spans="1:8" ht="15" customHeight="1" x14ac:dyDescent="0.3">
      <c r="A17" s="232" t="s">
        <v>17</v>
      </c>
      <c r="B17" s="46" t="s">
        <v>47</v>
      </c>
      <c r="C17" s="46">
        <v>0</v>
      </c>
    </row>
    <row r="18" spans="1:8" x14ac:dyDescent="0.3">
      <c r="A18" s="232"/>
      <c r="B18" s="46" t="s">
        <v>71</v>
      </c>
      <c r="C18" s="46">
        <v>1</v>
      </c>
    </row>
    <row r="19" spans="1:8" ht="15" customHeight="1" x14ac:dyDescent="0.3">
      <c r="A19" s="232" t="s">
        <v>18</v>
      </c>
      <c r="B19" s="46" t="s">
        <v>63</v>
      </c>
      <c r="C19" s="46">
        <v>1</v>
      </c>
      <c r="D19" s="46">
        <v>0</v>
      </c>
      <c r="E19" s="46">
        <v>0</v>
      </c>
      <c r="F19" s="46">
        <v>0</v>
      </c>
    </row>
    <row r="20" spans="1:8" x14ac:dyDescent="0.3">
      <c r="A20" s="232"/>
      <c r="B20" s="46" t="s">
        <v>83</v>
      </c>
      <c r="C20" s="46">
        <v>0</v>
      </c>
      <c r="D20" s="46">
        <v>1</v>
      </c>
      <c r="E20" s="46">
        <v>0</v>
      </c>
      <c r="F20" s="46">
        <v>0</v>
      </c>
    </row>
    <row r="21" spans="1:8" x14ac:dyDescent="0.3">
      <c r="A21" s="232"/>
      <c r="B21" s="46" t="s">
        <v>48</v>
      </c>
      <c r="C21" s="46">
        <v>0</v>
      </c>
      <c r="D21" s="46">
        <v>0</v>
      </c>
      <c r="E21" s="46">
        <v>1</v>
      </c>
      <c r="F21" s="46">
        <v>0</v>
      </c>
    </row>
    <row r="22" spans="1:8" x14ac:dyDescent="0.3">
      <c r="A22" s="232"/>
      <c r="B22" s="46" t="s">
        <v>78</v>
      </c>
      <c r="C22" s="46">
        <v>0</v>
      </c>
      <c r="D22" s="46">
        <v>0</v>
      </c>
      <c r="E22" s="46">
        <v>0</v>
      </c>
      <c r="F22" s="46">
        <v>1</v>
      </c>
    </row>
    <row r="23" spans="1:8" ht="15" customHeight="1" x14ac:dyDescent="0.3">
      <c r="A23" s="232" t="s">
        <v>19</v>
      </c>
      <c r="B23" s="46" t="s">
        <v>233</v>
      </c>
      <c r="C23" s="46">
        <v>1</v>
      </c>
      <c r="D23" s="46">
        <v>0</v>
      </c>
      <c r="E23" s="46">
        <v>0</v>
      </c>
      <c r="F23" s="46">
        <v>0</v>
      </c>
      <c r="G23" s="46">
        <v>0</v>
      </c>
      <c r="H23" s="46">
        <v>0</v>
      </c>
    </row>
    <row r="24" spans="1:8" x14ac:dyDescent="0.3">
      <c r="A24" s="232"/>
      <c r="B24" s="46" t="s">
        <v>229</v>
      </c>
      <c r="C24" s="46">
        <v>0</v>
      </c>
      <c r="D24" s="46">
        <v>1</v>
      </c>
      <c r="E24" s="46">
        <v>0</v>
      </c>
      <c r="F24" s="46">
        <v>0</v>
      </c>
      <c r="G24" s="46">
        <v>0</v>
      </c>
      <c r="H24" s="46">
        <v>0</v>
      </c>
    </row>
    <row r="25" spans="1:8" x14ac:dyDescent="0.3">
      <c r="A25" s="232"/>
      <c r="B25" s="46" t="s">
        <v>230</v>
      </c>
      <c r="C25" s="46">
        <v>0</v>
      </c>
      <c r="D25" s="46">
        <v>0</v>
      </c>
      <c r="E25" s="46">
        <v>1</v>
      </c>
      <c r="F25" s="46">
        <v>0</v>
      </c>
      <c r="G25" s="46">
        <v>0</v>
      </c>
      <c r="H25" s="46">
        <v>0</v>
      </c>
    </row>
    <row r="26" spans="1:8" x14ac:dyDescent="0.3">
      <c r="A26" s="232"/>
      <c r="B26" s="46" t="s">
        <v>231</v>
      </c>
      <c r="C26" s="46">
        <v>0</v>
      </c>
      <c r="D26" s="46">
        <v>0</v>
      </c>
      <c r="E26" s="46">
        <v>0</v>
      </c>
      <c r="F26" s="46">
        <v>1</v>
      </c>
      <c r="G26" s="46">
        <v>0</v>
      </c>
      <c r="H26" s="46">
        <v>0</v>
      </c>
    </row>
    <row r="27" spans="1:8" x14ac:dyDescent="0.3">
      <c r="A27" s="232"/>
      <c r="B27" s="46" t="s">
        <v>232</v>
      </c>
      <c r="C27" s="46">
        <v>0</v>
      </c>
      <c r="D27" s="46">
        <v>0</v>
      </c>
      <c r="E27" s="46">
        <v>0</v>
      </c>
      <c r="F27" s="46">
        <v>0</v>
      </c>
      <c r="G27" s="46">
        <v>1</v>
      </c>
      <c r="H27" s="46">
        <v>0</v>
      </c>
    </row>
    <row r="28" spans="1:8" x14ac:dyDescent="0.3">
      <c r="A28" s="232"/>
      <c r="B28" s="46" t="s">
        <v>76</v>
      </c>
      <c r="C28" s="46">
        <v>0</v>
      </c>
      <c r="D28" s="46">
        <v>0</v>
      </c>
      <c r="E28" s="46">
        <v>0</v>
      </c>
      <c r="F28" s="46">
        <v>0</v>
      </c>
      <c r="G28" s="46">
        <v>0</v>
      </c>
      <c r="H28" s="46">
        <v>1</v>
      </c>
    </row>
    <row r="29" spans="1:8" x14ac:dyDescent="0.3">
      <c r="A29" s="232" t="s">
        <v>20</v>
      </c>
      <c r="B29" s="46" t="s">
        <v>50</v>
      </c>
      <c r="C29" s="46">
        <v>1</v>
      </c>
    </row>
    <row r="30" spans="1:8" x14ac:dyDescent="0.3">
      <c r="A30" s="232"/>
      <c r="B30" s="46" t="s">
        <v>64</v>
      </c>
      <c r="C30" s="46">
        <v>2</v>
      </c>
    </row>
    <row r="31" spans="1:8" x14ac:dyDescent="0.3">
      <c r="A31" s="232"/>
      <c r="B31" s="46" t="s">
        <v>104</v>
      </c>
      <c r="C31" s="46">
        <v>3</v>
      </c>
    </row>
    <row r="32" spans="1:8" x14ac:dyDescent="0.3">
      <c r="A32" s="232"/>
      <c r="B32" s="49" t="s">
        <v>234</v>
      </c>
      <c r="C32" s="46">
        <v>4</v>
      </c>
    </row>
    <row r="33" spans="1:9" x14ac:dyDescent="0.3">
      <c r="A33" s="232" t="s">
        <v>21</v>
      </c>
      <c r="B33" s="46" t="s">
        <v>51</v>
      </c>
      <c r="C33" s="46">
        <v>1</v>
      </c>
    </row>
    <row r="34" spans="1:9" x14ac:dyDescent="0.3">
      <c r="A34" s="232"/>
      <c r="B34" s="46" t="s">
        <v>65</v>
      </c>
      <c r="C34" s="46">
        <v>0</v>
      </c>
      <c r="D34" s="46">
        <v>1</v>
      </c>
      <c r="E34" s="46">
        <v>0</v>
      </c>
      <c r="F34" s="46">
        <v>0</v>
      </c>
      <c r="G34" s="46">
        <v>0</v>
      </c>
      <c r="H34" s="46">
        <v>0</v>
      </c>
      <c r="I34" s="46">
        <v>0</v>
      </c>
    </row>
    <row r="35" spans="1:9" x14ac:dyDescent="0.3">
      <c r="A35" s="232"/>
      <c r="B35" s="46" t="s">
        <v>235</v>
      </c>
      <c r="C35" s="46">
        <v>0</v>
      </c>
      <c r="D35" s="46">
        <v>0</v>
      </c>
      <c r="E35" s="46">
        <v>1</v>
      </c>
      <c r="F35" s="46">
        <v>0</v>
      </c>
      <c r="G35" s="46">
        <v>0</v>
      </c>
      <c r="H35" s="46">
        <v>0</v>
      </c>
      <c r="I35" s="46">
        <v>0</v>
      </c>
    </row>
    <row r="36" spans="1:9" x14ac:dyDescent="0.3">
      <c r="A36" s="232"/>
      <c r="B36" s="46" t="s">
        <v>236</v>
      </c>
      <c r="C36" s="46">
        <v>0</v>
      </c>
      <c r="D36" s="46">
        <v>0</v>
      </c>
      <c r="E36" s="46">
        <v>0</v>
      </c>
      <c r="F36" s="46">
        <v>1</v>
      </c>
      <c r="G36" s="46">
        <v>0</v>
      </c>
      <c r="H36" s="46">
        <v>0</v>
      </c>
      <c r="I36" s="46">
        <v>0</v>
      </c>
    </row>
    <row r="37" spans="1:9" x14ac:dyDescent="0.3">
      <c r="A37" s="232"/>
      <c r="B37" s="46" t="s">
        <v>237</v>
      </c>
      <c r="C37" s="46">
        <v>0</v>
      </c>
      <c r="D37" s="46">
        <v>0</v>
      </c>
      <c r="E37" s="46">
        <v>0</v>
      </c>
      <c r="F37" s="46">
        <v>0</v>
      </c>
      <c r="G37" s="46">
        <v>1</v>
      </c>
      <c r="H37" s="46">
        <v>0</v>
      </c>
      <c r="I37" s="46">
        <v>0</v>
      </c>
    </row>
    <row r="38" spans="1:9" x14ac:dyDescent="0.3">
      <c r="A38" s="232"/>
      <c r="B38" s="46" t="s">
        <v>238</v>
      </c>
      <c r="C38" s="46">
        <v>0</v>
      </c>
      <c r="D38" s="46">
        <v>0</v>
      </c>
      <c r="E38" s="46">
        <v>0</v>
      </c>
      <c r="F38" s="46">
        <v>0</v>
      </c>
      <c r="G38" s="46">
        <v>0</v>
      </c>
      <c r="H38" s="46">
        <v>1</v>
      </c>
      <c r="I38" s="46">
        <v>0</v>
      </c>
    </row>
    <row r="39" spans="1:9" x14ac:dyDescent="0.3">
      <c r="A39" s="232"/>
      <c r="B39" s="46" t="s">
        <v>239</v>
      </c>
      <c r="C39" s="46">
        <v>0</v>
      </c>
      <c r="D39" s="46">
        <v>0</v>
      </c>
      <c r="E39" s="46">
        <v>0</v>
      </c>
      <c r="F39" s="46">
        <v>0</v>
      </c>
      <c r="G39" s="46">
        <v>0</v>
      </c>
      <c r="H39" s="46">
        <v>0</v>
      </c>
      <c r="I39" s="46">
        <v>1</v>
      </c>
    </row>
    <row r="40" spans="1:9" ht="15" customHeight="1" x14ac:dyDescent="0.3">
      <c r="A40" s="232" t="s">
        <v>22</v>
      </c>
      <c r="B40" s="46" t="s">
        <v>240</v>
      </c>
      <c r="C40" s="46">
        <v>1</v>
      </c>
    </row>
    <row r="41" spans="1:9" x14ac:dyDescent="0.3">
      <c r="A41" s="232"/>
      <c r="B41" s="50" t="s">
        <v>241</v>
      </c>
      <c r="C41" s="46">
        <v>2</v>
      </c>
    </row>
    <row r="42" spans="1:9" x14ac:dyDescent="0.3">
      <c r="A42" s="232"/>
      <c r="B42" s="46" t="s">
        <v>242</v>
      </c>
      <c r="C42" s="46">
        <v>3</v>
      </c>
    </row>
    <row r="43" spans="1:9" x14ac:dyDescent="0.3">
      <c r="A43" s="232"/>
      <c r="B43" s="46" t="s">
        <v>66</v>
      </c>
      <c r="C43" s="46">
        <v>4</v>
      </c>
    </row>
    <row r="44" spans="1:9" x14ac:dyDescent="0.3">
      <c r="A44" s="232" t="s">
        <v>243</v>
      </c>
      <c r="B44" s="46" t="s">
        <v>67</v>
      </c>
      <c r="C44" s="46">
        <v>0</v>
      </c>
    </row>
    <row r="45" spans="1:9" x14ac:dyDescent="0.3">
      <c r="A45" s="232"/>
      <c r="B45" s="46" t="s">
        <v>53</v>
      </c>
      <c r="C45" s="46">
        <v>1</v>
      </c>
    </row>
    <row r="46" spans="1:9" x14ac:dyDescent="0.3">
      <c r="A46" s="232" t="s">
        <v>24</v>
      </c>
      <c r="B46" s="46" t="s">
        <v>54</v>
      </c>
      <c r="C46" s="46">
        <v>1</v>
      </c>
      <c r="D46" s="46">
        <v>0</v>
      </c>
      <c r="E46" s="46">
        <v>0</v>
      </c>
    </row>
    <row r="47" spans="1:9" x14ac:dyDescent="0.3">
      <c r="A47" s="232"/>
      <c r="B47" s="46" t="s">
        <v>80</v>
      </c>
      <c r="C47" s="46">
        <v>0</v>
      </c>
      <c r="D47" s="46">
        <v>1</v>
      </c>
      <c r="E47" s="46">
        <v>0</v>
      </c>
    </row>
    <row r="48" spans="1:9" x14ac:dyDescent="0.3">
      <c r="A48" s="232"/>
      <c r="B48" s="46" t="s">
        <v>244</v>
      </c>
      <c r="C48" s="46">
        <v>0</v>
      </c>
      <c r="D48" s="46">
        <v>0</v>
      </c>
      <c r="E48" s="46">
        <v>1</v>
      </c>
    </row>
    <row r="49" spans="1:5" x14ac:dyDescent="0.3">
      <c r="A49" s="232" t="s">
        <v>245</v>
      </c>
      <c r="B49" s="46" t="s">
        <v>246</v>
      </c>
      <c r="C49" s="46">
        <v>0</v>
      </c>
    </row>
    <row r="50" spans="1:5" x14ac:dyDescent="0.3">
      <c r="A50" s="232"/>
      <c r="B50" s="46" t="s">
        <v>57</v>
      </c>
      <c r="C50" s="46">
        <v>1</v>
      </c>
    </row>
    <row r="51" spans="1:5" x14ac:dyDescent="0.3">
      <c r="A51" s="232" t="s">
        <v>26</v>
      </c>
      <c r="B51" s="46" t="s">
        <v>162</v>
      </c>
      <c r="C51" s="46">
        <v>1</v>
      </c>
      <c r="D51" s="46">
        <v>0</v>
      </c>
      <c r="E51" s="46">
        <v>0</v>
      </c>
    </row>
    <row r="52" spans="1:5" x14ac:dyDescent="0.3">
      <c r="A52" s="232"/>
      <c r="B52" s="46" t="s">
        <v>56</v>
      </c>
      <c r="C52" s="46">
        <v>0</v>
      </c>
      <c r="D52" s="46">
        <v>1</v>
      </c>
      <c r="E52" s="46">
        <v>0</v>
      </c>
    </row>
    <row r="53" spans="1:5" x14ac:dyDescent="0.3">
      <c r="A53" s="232"/>
      <c r="B53" s="46" t="s">
        <v>247</v>
      </c>
      <c r="C53" s="46">
        <v>0</v>
      </c>
      <c r="D53" s="46">
        <v>0</v>
      </c>
      <c r="E53" s="46">
        <v>1</v>
      </c>
    </row>
    <row r="54" spans="1:5" x14ac:dyDescent="0.3">
      <c r="A54" s="51" t="s">
        <v>27</v>
      </c>
      <c r="B54" s="46" t="s">
        <v>68</v>
      </c>
      <c r="C54" s="46">
        <v>1</v>
      </c>
      <c r="D54" s="46">
        <v>0</v>
      </c>
      <c r="E54" s="46">
        <v>0</v>
      </c>
    </row>
    <row r="55" spans="1:5" x14ac:dyDescent="0.3">
      <c r="B55" s="46" t="s">
        <v>57</v>
      </c>
      <c r="C55" s="46">
        <v>0</v>
      </c>
      <c r="D55" s="46">
        <v>1</v>
      </c>
      <c r="E55" s="46">
        <v>0</v>
      </c>
    </row>
    <row r="56" spans="1:5" x14ac:dyDescent="0.3">
      <c r="B56" s="46" t="s">
        <v>99</v>
      </c>
      <c r="C56" s="46">
        <v>0</v>
      </c>
      <c r="D56" s="46">
        <v>0</v>
      </c>
      <c r="E56" s="46">
        <v>1</v>
      </c>
    </row>
    <row r="57" spans="1:5" ht="15" customHeight="1" x14ac:dyDescent="0.3">
      <c r="A57" s="233" t="s">
        <v>28</v>
      </c>
      <c r="B57" s="46" t="s">
        <v>248</v>
      </c>
      <c r="C57" s="46">
        <v>1</v>
      </c>
      <c r="D57" s="46">
        <v>0</v>
      </c>
      <c r="E57" s="46">
        <v>0</v>
      </c>
    </row>
    <row r="58" spans="1:5" x14ac:dyDescent="0.3">
      <c r="A58" s="233"/>
      <c r="B58" s="46" t="s">
        <v>249</v>
      </c>
      <c r="C58" s="46">
        <v>0</v>
      </c>
      <c r="D58" s="46">
        <v>1</v>
      </c>
      <c r="E58" s="46">
        <v>0</v>
      </c>
    </row>
    <row r="59" spans="1:5" x14ac:dyDescent="0.3">
      <c r="A59" s="233"/>
      <c r="B59" s="46" t="s">
        <v>84</v>
      </c>
      <c r="C59" s="46">
        <v>0</v>
      </c>
      <c r="D59" s="46">
        <v>0</v>
      </c>
      <c r="E59" s="46">
        <v>1</v>
      </c>
    </row>
    <row r="60" spans="1:5" x14ac:dyDescent="0.3">
      <c r="A60" s="232" t="s">
        <v>29</v>
      </c>
      <c r="B60" s="46" t="s">
        <v>250</v>
      </c>
      <c r="C60" s="46">
        <v>0</v>
      </c>
    </row>
    <row r="61" spans="1:5" x14ac:dyDescent="0.3">
      <c r="A61" s="232"/>
      <c r="B61" s="46" t="s">
        <v>251</v>
      </c>
      <c r="C61" s="46">
        <v>1</v>
      </c>
    </row>
    <row r="62" spans="1:5" ht="15" customHeight="1" x14ac:dyDescent="0.3">
      <c r="A62" s="232" t="s">
        <v>30</v>
      </c>
      <c r="B62" s="46" t="s">
        <v>161</v>
      </c>
      <c r="C62" s="46">
        <v>0</v>
      </c>
    </row>
    <row r="63" spans="1:5" x14ac:dyDescent="0.3">
      <c r="A63" s="232"/>
      <c r="B63" s="46" t="s">
        <v>106</v>
      </c>
      <c r="C63" s="46">
        <v>1</v>
      </c>
    </row>
  </sheetData>
  <mergeCells count="21">
    <mergeCell ref="C12:G12"/>
    <mergeCell ref="C1:I1"/>
    <mergeCell ref="A44:A45"/>
    <mergeCell ref="A46:A48"/>
    <mergeCell ref="A49:A50"/>
    <mergeCell ref="A9:A11"/>
    <mergeCell ref="A13:A16"/>
    <mergeCell ref="C7:G7"/>
    <mergeCell ref="C8:G8"/>
    <mergeCell ref="C2:G2"/>
    <mergeCell ref="C3:G3"/>
    <mergeCell ref="A51:A53"/>
    <mergeCell ref="A60:A61"/>
    <mergeCell ref="A62:A63"/>
    <mergeCell ref="A57:A59"/>
    <mergeCell ref="A17:A18"/>
    <mergeCell ref="A19:A22"/>
    <mergeCell ref="A23:A28"/>
    <mergeCell ref="A29:A32"/>
    <mergeCell ref="A33:A39"/>
    <mergeCell ref="A40:A4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06"/>
  <sheetViews>
    <sheetView zoomScale="60" zoomScaleNormal="70" workbookViewId="0">
      <selection activeCell="M51" sqref="M51"/>
    </sheetView>
  </sheetViews>
  <sheetFormatPr defaultRowHeight="14.5" x14ac:dyDescent="0.35"/>
  <cols>
    <col min="1" max="1" width="5.7265625" style="62" customWidth="1"/>
    <col min="2" max="2" width="17.26953125" style="62" customWidth="1"/>
    <col min="3" max="3" width="18" style="62" customWidth="1"/>
    <col min="4" max="4" width="11.26953125" style="62" bestFit="1" customWidth="1"/>
    <col min="5" max="5" width="18.1796875" style="62" customWidth="1"/>
    <col min="6" max="6" width="10.7265625" customWidth="1"/>
    <col min="7" max="7" width="13.26953125" customWidth="1"/>
    <col min="8" max="8" width="12.54296875" customWidth="1"/>
    <col min="9" max="9" width="16" customWidth="1"/>
    <col min="10" max="10" width="17.54296875" customWidth="1"/>
    <col min="11" max="11" width="16.453125" bestFit="1" customWidth="1"/>
    <col min="12" max="12" width="12.81640625" bestFit="1" customWidth="1"/>
    <col min="13" max="13" width="12.1796875" bestFit="1" customWidth="1"/>
    <col min="14" max="14" width="11" bestFit="1" customWidth="1"/>
    <col min="15" max="15" width="14" bestFit="1" customWidth="1"/>
    <col min="16" max="16" width="10.26953125" bestFit="1" customWidth="1"/>
    <col min="17" max="17" width="11.7265625" bestFit="1" customWidth="1"/>
    <col min="18" max="18" width="10.1796875" style="63" bestFit="1" customWidth="1"/>
    <col min="19" max="19" width="12.54296875" customWidth="1"/>
    <col min="20" max="20" width="11.453125" customWidth="1"/>
    <col min="21" max="21" width="10.81640625" customWidth="1"/>
    <col min="22" max="22" width="11.7265625" customWidth="1"/>
    <col min="23" max="23" width="13.7265625" bestFit="1" customWidth="1"/>
    <col min="24" max="24" width="13.26953125" bestFit="1" customWidth="1"/>
    <col min="25" max="25" width="14.7265625" bestFit="1" customWidth="1"/>
    <col min="26" max="26" width="12" customWidth="1"/>
    <col min="27" max="27" width="12.453125" customWidth="1"/>
    <col min="28" max="28" width="11.453125" style="74" bestFit="1" customWidth="1"/>
    <col min="29" max="29" width="9.1796875" style="64" bestFit="1" customWidth="1"/>
    <col min="30" max="30" width="13" bestFit="1" customWidth="1"/>
    <col min="31" max="31" width="7.54296875" style="64" bestFit="1" customWidth="1"/>
    <col min="32" max="32" width="13.7265625" style="64" bestFit="1" customWidth="1"/>
    <col min="33" max="33" width="7" bestFit="1" customWidth="1"/>
    <col min="34" max="34" width="15.453125" style="64" customWidth="1"/>
    <col min="35" max="35" width="11.54296875" style="64" bestFit="1" customWidth="1"/>
    <col min="36" max="36" width="14.1796875" bestFit="1" customWidth="1"/>
    <col min="37" max="37" width="17.7265625" customWidth="1"/>
    <col min="38" max="38" width="16.7265625" bestFit="1" customWidth="1"/>
    <col min="39" max="39" width="12.453125" bestFit="1" customWidth="1"/>
    <col min="40" max="40" width="15.81640625" bestFit="1" customWidth="1"/>
    <col min="41" max="41" width="12" customWidth="1"/>
    <col min="42" max="42" width="13.54296875" customWidth="1"/>
    <col min="43" max="44" width="11.7265625" customWidth="1"/>
    <col min="45" max="45" width="13.453125" customWidth="1"/>
    <col min="46" max="46" width="11" customWidth="1"/>
    <col min="47" max="47" width="12.54296875" customWidth="1"/>
    <col min="48" max="48" width="11.7265625" customWidth="1"/>
    <col min="49" max="49" width="15.453125" customWidth="1"/>
    <col min="50" max="50" width="18.7265625" customWidth="1"/>
    <col min="51" max="51" width="17.81640625" customWidth="1"/>
    <col min="52" max="53" width="17.26953125" customWidth="1"/>
  </cols>
  <sheetData>
    <row r="1" spans="1:53" ht="17.5" x14ac:dyDescent="0.35">
      <c r="A1" s="240" t="s">
        <v>0</v>
      </c>
      <c r="B1" s="240" t="s">
        <v>1</v>
      </c>
      <c r="C1" s="240" t="s">
        <v>2</v>
      </c>
      <c r="D1" s="240" t="s">
        <v>3</v>
      </c>
      <c r="E1" s="240" t="s">
        <v>4</v>
      </c>
      <c r="F1" s="209" t="s">
        <v>5</v>
      </c>
      <c r="G1" s="209"/>
      <c r="H1" s="209"/>
      <c r="I1" s="209"/>
      <c r="J1" s="209"/>
      <c r="K1" s="25"/>
      <c r="L1" s="25"/>
      <c r="M1" s="25"/>
      <c r="N1" s="25"/>
      <c r="O1" s="25"/>
      <c r="P1" s="202" t="s">
        <v>6</v>
      </c>
      <c r="Q1" s="202"/>
      <c r="R1" s="202"/>
      <c r="S1" s="202"/>
      <c r="T1" s="202"/>
      <c r="U1" s="202"/>
      <c r="V1" s="202"/>
      <c r="W1" s="202" t="s">
        <v>7</v>
      </c>
      <c r="X1" s="202"/>
      <c r="Y1" s="202"/>
      <c r="Z1" s="202"/>
      <c r="AA1" s="202"/>
      <c r="AB1" s="202"/>
      <c r="AC1" s="202"/>
      <c r="AD1" s="202"/>
      <c r="AE1" s="202"/>
      <c r="AF1" s="202"/>
      <c r="AG1" s="202"/>
      <c r="AH1" s="202"/>
      <c r="AI1" s="202"/>
      <c r="AJ1" s="202"/>
      <c r="AK1" s="202"/>
      <c r="AL1" s="202"/>
      <c r="AM1" s="209" t="s">
        <v>8</v>
      </c>
      <c r="AN1" s="209"/>
      <c r="AO1" s="209"/>
      <c r="AP1" s="209"/>
      <c r="AQ1" s="209"/>
      <c r="AR1" s="209"/>
      <c r="AS1" s="209"/>
      <c r="AT1" s="209"/>
      <c r="AU1" s="209"/>
      <c r="AV1" s="209"/>
      <c r="AW1" s="210" t="s">
        <v>9</v>
      </c>
      <c r="AX1" s="210" t="s">
        <v>10</v>
      </c>
      <c r="AY1" s="202" t="s">
        <v>11</v>
      </c>
      <c r="AZ1" s="202" t="s">
        <v>12</v>
      </c>
      <c r="BA1" s="204" t="s">
        <v>13</v>
      </c>
    </row>
    <row r="2" spans="1:53" ht="17.5" x14ac:dyDescent="0.35">
      <c r="A2" s="240"/>
      <c r="B2" s="240"/>
      <c r="C2" s="240"/>
      <c r="D2" s="240"/>
      <c r="E2" s="240"/>
      <c r="F2" s="241" t="s">
        <v>14</v>
      </c>
      <c r="G2" s="241" t="s">
        <v>15</v>
      </c>
      <c r="H2" s="241" t="s">
        <v>16</v>
      </c>
      <c r="I2" s="241" t="s">
        <v>17</v>
      </c>
      <c r="J2" s="202" t="s">
        <v>18</v>
      </c>
      <c r="K2" s="243" t="s">
        <v>19</v>
      </c>
      <c r="L2" s="243"/>
      <c r="M2" s="243"/>
      <c r="N2" s="243"/>
      <c r="O2" s="243"/>
      <c r="P2" s="244"/>
      <c r="Q2" s="2"/>
      <c r="R2" s="237" t="s">
        <v>21</v>
      </c>
      <c r="S2" s="238"/>
      <c r="T2" s="238"/>
      <c r="U2" s="239"/>
      <c r="V2" s="2"/>
      <c r="W2" s="2"/>
      <c r="X2" s="237" t="s">
        <v>24</v>
      </c>
      <c r="Y2" s="238"/>
      <c r="Z2" s="239"/>
      <c r="AA2" s="2"/>
      <c r="AB2" s="237" t="s">
        <v>26</v>
      </c>
      <c r="AC2" s="238"/>
      <c r="AD2" s="239"/>
      <c r="AE2" s="237" t="s">
        <v>27</v>
      </c>
      <c r="AF2" s="238"/>
      <c r="AG2" s="239"/>
      <c r="AH2" s="237" t="s">
        <v>28</v>
      </c>
      <c r="AI2" s="238"/>
      <c r="AJ2" s="239"/>
      <c r="AK2" s="2"/>
      <c r="AL2" s="2"/>
      <c r="AM2" s="25"/>
      <c r="AN2" s="25"/>
      <c r="AO2" s="25"/>
      <c r="AP2" s="25"/>
      <c r="AQ2" s="25"/>
      <c r="AR2" s="25"/>
      <c r="AS2" s="25"/>
      <c r="AT2" s="25"/>
      <c r="AU2" s="25"/>
      <c r="AV2" s="25"/>
      <c r="AW2" s="210"/>
      <c r="AX2" s="210"/>
      <c r="AY2" s="202"/>
      <c r="AZ2" s="202"/>
      <c r="BA2" s="204"/>
    </row>
    <row r="3" spans="1:53" ht="52.5" x14ac:dyDescent="0.35">
      <c r="A3" s="240"/>
      <c r="B3" s="240"/>
      <c r="C3" s="240"/>
      <c r="D3" s="240"/>
      <c r="E3" s="240"/>
      <c r="F3" s="242"/>
      <c r="G3" s="242"/>
      <c r="H3" s="242"/>
      <c r="I3" s="242"/>
      <c r="J3" s="202"/>
      <c r="K3" s="48" t="s">
        <v>233</v>
      </c>
      <c r="L3" s="48" t="s">
        <v>229</v>
      </c>
      <c r="M3" s="48" t="s">
        <v>230</v>
      </c>
      <c r="N3" s="48" t="s">
        <v>231</v>
      </c>
      <c r="O3" s="48" t="s">
        <v>232</v>
      </c>
      <c r="P3" s="2" t="s">
        <v>76</v>
      </c>
      <c r="Q3" s="2" t="s">
        <v>20</v>
      </c>
      <c r="R3" s="2" t="s">
        <v>51</v>
      </c>
      <c r="S3" s="2" t="s">
        <v>65</v>
      </c>
      <c r="T3" s="2" t="s">
        <v>238</v>
      </c>
      <c r="U3" s="2" t="s">
        <v>72</v>
      </c>
      <c r="V3" s="2" t="s">
        <v>22</v>
      </c>
      <c r="W3" s="2" t="s">
        <v>23</v>
      </c>
      <c r="X3" s="65" t="s">
        <v>54</v>
      </c>
      <c r="Y3" s="65" t="s">
        <v>80</v>
      </c>
      <c r="Z3" s="65" t="s">
        <v>244</v>
      </c>
      <c r="AA3" s="2" t="s">
        <v>25</v>
      </c>
      <c r="AB3" s="65" t="s">
        <v>162</v>
      </c>
      <c r="AC3" s="65" t="s">
        <v>56</v>
      </c>
      <c r="AD3" s="65" t="s">
        <v>247</v>
      </c>
      <c r="AE3" s="65" t="s">
        <v>68</v>
      </c>
      <c r="AF3" s="65" t="s">
        <v>57</v>
      </c>
      <c r="AG3" s="65" t="s">
        <v>99</v>
      </c>
      <c r="AH3" s="65" t="s">
        <v>248</v>
      </c>
      <c r="AI3" s="65" t="s">
        <v>249</v>
      </c>
      <c r="AJ3" s="65" t="s">
        <v>84</v>
      </c>
      <c r="AK3" s="2" t="s">
        <v>29</v>
      </c>
      <c r="AL3" s="2" t="s">
        <v>30</v>
      </c>
      <c r="AM3" s="2" t="s">
        <v>31</v>
      </c>
      <c r="AN3" s="2" t="s">
        <v>32</v>
      </c>
      <c r="AO3" s="2" t="s">
        <v>33</v>
      </c>
      <c r="AP3" s="2" t="s">
        <v>34</v>
      </c>
      <c r="AQ3" s="2" t="s">
        <v>35</v>
      </c>
      <c r="AR3" s="2" t="s">
        <v>36</v>
      </c>
      <c r="AS3" s="2" t="s">
        <v>37</v>
      </c>
      <c r="AT3" s="2" t="s">
        <v>38</v>
      </c>
      <c r="AU3" s="2" t="s">
        <v>39</v>
      </c>
      <c r="AV3" s="2" t="s">
        <v>40</v>
      </c>
      <c r="AW3" s="210"/>
      <c r="AX3" s="210"/>
      <c r="AY3" s="202"/>
      <c r="AZ3" s="202"/>
      <c r="BA3" s="204"/>
    </row>
    <row r="4" spans="1:53" ht="15.5" x14ac:dyDescent="0.35">
      <c r="A4" s="59">
        <v>1</v>
      </c>
      <c r="B4" s="27" t="s">
        <v>41</v>
      </c>
      <c r="C4" s="26" t="s">
        <v>42</v>
      </c>
      <c r="D4" s="26" t="s">
        <v>43</v>
      </c>
      <c r="E4" s="26" t="s">
        <v>44</v>
      </c>
      <c r="F4" s="47">
        <f>IF(All_data!F3="low-income",1,IF(All_data!F3="Middle-Income",2,IF(All_data!F3="High-Income",3,"check")))</f>
        <v>1</v>
      </c>
      <c r="G4" s="47">
        <v>3</v>
      </c>
      <c r="H4" s="47">
        <f>IF(All_data!H3="18-35 years",2,IF(All_data!H3="36-60 years",3,IF(All_data!H3="&gt;60 years",4,1)))</f>
        <v>2</v>
      </c>
      <c r="I4" s="47">
        <f>IF(All_data!I3="Male",0,1)</f>
        <v>0</v>
      </c>
      <c r="J4" s="47">
        <f>IF(All_data!J3="Illiterate",1,IF(All_data!J3="Primary",2,IF(All_data!J3="secondary",3,IF(All_data!J3="Tertiary",4,"check"))))</f>
        <v>3</v>
      </c>
      <c r="K4" s="47">
        <f>IF(All_data!K3="Government Employee",1,0)</f>
        <v>0</v>
      </c>
      <c r="L4" s="47">
        <f>IF(All_data!K3="Private Employee",1,0)</f>
        <v>0</v>
      </c>
      <c r="M4" s="47">
        <f>IF(All_data!K3="Business",1,0)</f>
        <v>1</v>
      </c>
      <c r="N4" s="47">
        <f>IF(All_data!K3="Student",1,0)</f>
        <v>0</v>
      </c>
      <c r="O4" s="47">
        <f>IF(All_data!K3="Housewife",1,0)</f>
        <v>0</v>
      </c>
      <c r="P4" s="47">
        <f>IF(All_data!K3="Retired",1,0)</f>
        <v>0</v>
      </c>
      <c r="Q4" s="47">
        <f>IF(All_data!L3="&lt;500,000",1,IF(All_data!L3="500,000 - 1,000,000",2,IF(All_data!L3="1,000,000 - 3,000,000",3,IF(All_data!L3="&gt;3,000,000",4,"check"))))</f>
        <v>1</v>
      </c>
      <c r="R4" s="63">
        <f>IF(All_data!M3="Spouse",1,0)</f>
        <v>1</v>
      </c>
      <c r="S4" s="47">
        <f>IF(All_data!M3="Son/Daughter",1,0)</f>
        <v>0</v>
      </c>
      <c r="T4" s="47">
        <f>IF(All_data!M3="Niece/nephew",1,0)</f>
        <v>0</v>
      </c>
      <c r="U4" s="47">
        <f>IF(All_data!M3="Household head",1,0)</f>
        <v>0</v>
      </c>
      <c r="V4" s="47">
        <f>IF(All_data!N3="&lt; 1 year",1,IF(All_data!N3="1-3 years",2,IF(All_data!N3="3-5 years",3,IF(All_data!N3="&gt; 5 years",4,"check"))))</f>
        <v>2</v>
      </c>
      <c r="W4" s="47">
        <f>IF(All_data!O3="Rented",1,0)</f>
        <v>1</v>
      </c>
      <c r="X4" s="47">
        <f>IF(All_data!P3="Bungalow",1,0)</f>
        <v>1</v>
      </c>
      <c r="Y4" s="47">
        <f>IF(All_data!P3="Temporary",1,0)</f>
        <v>0</v>
      </c>
      <c r="Z4" s="47">
        <f>IF(All_data!P3="Story Building",1,0)</f>
        <v>0</v>
      </c>
      <c r="AA4" s="47">
        <f>IF(All_data!Q3="Iron Sheets/titles",1,0)</f>
        <v>1</v>
      </c>
      <c r="AB4" s="74">
        <f>IF(All_data!R3="Concrete Blocks",1,0)</f>
        <v>0</v>
      </c>
      <c r="AC4" s="73">
        <f>IF(All_data!R3="Bricks",1,0)</f>
        <v>1</v>
      </c>
      <c r="AD4" s="47">
        <f>IF(All_data!R3="Mud/poles",1,0)</f>
        <v>0</v>
      </c>
      <c r="AE4" s="73">
        <f>IF(All_data!S3="tiles",1,0)</f>
        <v>0</v>
      </c>
      <c r="AF4" s="73">
        <f>IF(All_data!S3="Cemented",1,0)</f>
        <v>1</v>
      </c>
      <c r="AG4" s="47">
        <f>IF(All_data!S3="Mud",1,0)</f>
        <v>0</v>
      </c>
      <c r="AH4" s="73">
        <f>IF(All_data!T3="House connection",1,0)</f>
        <v>0</v>
      </c>
      <c r="AI4" s="73">
        <f>IF(All_data!T3="Yard tap",1,0)</f>
        <v>1</v>
      </c>
      <c r="AJ4" s="47">
        <f>IF(All_data!T3="Stand pipe",1,0)</f>
        <v>0</v>
      </c>
      <c r="AK4" s="47">
        <f>IF(All_data!U3="Shared Facilities ",1,0)</f>
        <v>1</v>
      </c>
      <c r="AL4" s="47">
        <f>IF(All_data!V3="paved",0,1)</f>
        <v>1</v>
      </c>
      <c r="AM4" s="55">
        <v>6.99</v>
      </c>
      <c r="AN4" s="55">
        <v>9.4E-2</v>
      </c>
      <c r="AO4" s="55">
        <v>0</v>
      </c>
      <c r="AP4" s="55">
        <v>2.7E-2</v>
      </c>
      <c r="AQ4" s="55">
        <v>1.7000000000000001E-2</v>
      </c>
      <c r="AR4" s="55">
        <v>7.6999999999999999E-2</v>
      </c>
      <c r="AS4" s="55">
        <v>7.6999999999999999E-2</v>
      </c>
      <c r="AT4" s="55">
        <v>0</v>
      </c>
      <c r="AU4" s="55">
        <v>0</v>
      </c>
      <c r="AV4" s="55">
        <v>4.2000000000000003E-2</v>
      </c>
      <c r="AW4" s="55">
        <v>7.3240000000000007</v>
      </c>
      <c r="AX4" s="55">
        <v>1.0462857142857145</v>
      </c>
      <c r="AY4" s="55">
        <v>0.34876190476190483</v>
      </c>
      <c r="AZ4" s="55">
        <v>10</v>
      </c>
      <c r="BA4" s="55">
        <v>0.47400000000000003</v>
      </c>
    </row>
    <row r="5" spans="1:53" ht="15.5" x14ac:dyDescent="0.35">
      <c r="A5" s="59">
        <v>2</v>
      </c>
      <c r="B5" s="27" t="s">
        <v>61</v>
      </c>
      <c r="C5" s="26" t="s">
        <v>42</v>
      </c>
      <c r="D5" s="26" t="s">
        <v>43</v>
      </c>
      <c r="E5" s="26" t="s">
        <v>44</v>
      </c>
      <c r="F5" s="47">
        <f>IF(All_data!F4="low-income",1,IF(All_data!F4="Middle-Income",2,IF(All_data!F4="High-Income",3,"check")))</f>
        <v>1</v>
      </c>
      <c r="G5" s="47">
        <v>7</v>
      </c>
      <c r="H5" s="47">
        <f>IF(All_data!H4="18-35 years",2,IF(All_data!H4="36-60 years",3,IF(All_data!H4="&gt;60 years",4,1)))</f>
        <v>3</v>
      </c>
      <c r="I5" s="47">
        <f>IF(All_data!I4="Male",0,1)</f>
        <v>0</v>
      </c>
      <c r="J5" s="73">
        <f>IF(All_data!J4="Illiterate",1,IF(All_data!J4="Primary",2,IF(All_data!J4="secondary",3,IF(All_data!J4="Tertiary",4,"check"))))</f>
        <v>1</v>
      </c>
      <c r="K5" s="47">
        <f>IF(All_data!K4="Government Employee",1,0)</f>
        <v>0</v>
      </c>
      <c r="L5" s="47">
        <f>IF(All_data!K4="Private Employee",1,0)</f>
        <v>0</v>
      </c>
      <c r="M5" s="47">
        <f>IF(All_data!K4="Business",1,0)</f>
        <v>1</v>
      </c>
      <c r="N5" s="47">
        <f>IF(All_data!K4="Student",1,0)</f>
        <v>0</v>
      </c>
      <c r="O5" s="47">
        <f>IF(All_data!K4="Housewife",1,0)</f>
        <v>0</v>
      </c>
      <c r="P5" s="47">
        <f>IF(All_data!K4="Retired",1,0)</f>
        <v>0</v>
      </c>
      <c r="Q5" s="47">
        <f>IF(All_data!L4="&lt;500,000",1,IF(All_data!L4="500,000 - 1,000,000",2,IF(All_data!L4="1,000,000 - 3,000,000",3,IF(All_data!L4="&gt;3,000,000",4,"check"))))</f>
        <v>2</v>
      </c>
      <c r="R5" s="63">
        <f>IF(All_data!M4="Spouse",1,0)</f>
        <v>0</v>
      </c>
      <c r="S5" s="47">
        <f>IF(All_data!M4="Son/Daughter",1,0)</f>
        <v>1</v>
      </c>
      <c r="T5" s="47">
        <f>IF(All_data!M4="Niece/nephew",1,0)</f>
        <v>0</v>
      </c>
      <c r="U5" s="47">
        <f>IF(All_data!M4="Household head",1,0)</f>
        <v>0</v>
      </c>
      <c r="V5" s="47">
        <f>IF(All_data!N4="&lt; 1 year",1,IF(All_data!N4="1-3 years",2,IF(All_data!N4="3-5 years",3,IF(All_data!N4="&gt; 5 years",4,"check"))))</f>
        <v>4</v>
      </c>
      <c r="W5" s="47">
        <f>IF(All_data!O4="Rented",1,0)</f>
        <v>0</v>
      </c>
      <c r="X5" s="73">
        <f>IF(All_data!P4="Bungalow",1,0)</f>
        <v>1</v>
      </c>
      <c r="Y5" s="73">
        <f>IF(All_data!P4="Temporary",1,0)</f>
        <v>0</v>
      </c>
      <c r="Z5" s="73">
        <f>IF(All_data!P4="Story Building",1,0)</f>
        <v>0</v>
      </c>
      <c r="AA5" s="73">
        <f>IF(All_data!Q4="Iron Sheets/titles",1,0)</f>
        <v>1</v>
      </c>
      <c r="AB5" s="74">
        <f>IF(All_data!R4="Concrete Blocks",1,0)</f>
        <v>0</v>
      </c>
      <c r="AC5" s="73">
        <f>IF(All_data!R4="Bricks",1,0)</f>
        <v>1</v>
      </c>
      <c r="AD5" s="73">
        <f>IF(All_data!R4="Mud/poles",1,0)</f>
        <v>0</v>
      </c>
      <c r="AE5" s="73">
        <f>IF(All_data!S4="tiles",1,0)</f>
        <v>1</v>
      </c>
      <c r="AF5" s="73">
        <f>IF(All_data!S4="Cemented",1,0)</f>
        <v>0</v>
      </c>
      <c r="AG5" s="73">
        <f>IF(All_data!S4="Mud",1,0)</f>
        <v>0</v>
      </c>
      <c r="AH5" s="73">
        <f>IF(All_data!T4="House connection",1,0)</f>
        <v>0</v>
      </c>
      <c r="AI5" s="73">
        <f>IF(All_data!T4="Yard tap",1,0)</f>
        <v>1</v>
      </c>
      <c r="AJ5" s="73">
        <f>IF(All_data!T4="Stand pipe",1,0)</f>
        <v>0</v>
      </c>
      <c r="AK5" s="73">
        <f>IF(All_data!U4="Shared Facilities ",1,0)</f>
        <v>0</v>
      </c>
      <c r="AL5" s="73">
        <f>IF(All_data!V4="paved",0,1)</f>
        <v>1</v>
      </c>
      <c r="AM5" s="55">
        <v>12.43</v>
      </c>
      <c r="AN5" s="55">
        <v>0</v>
      </c>
      <c r="AO5" s="55">
        <v>0</v>
      </c>
      <c r="AP5" s="55">
        <v>4.1000000000000002E-2</v>
      </c>
      <c r="AQ5" s="55">
        <v>0.3</v>
      </c>
      <c r="AR5" s="55">
        <v>0.217</v>
      </c>
      <c r="AS5" s="55">
        <v>0.13800000000000001</v>
      </c>
      <c r="AT5" s="55">
        <v>0</v>
      </c>
      <c r="AU5" s="55">
        <v>0</v>
      </c>
      <c r="AV5" s="55">
        <v>0</v>
      </c>
      <c r="AW5" s="55">
        <v>13.126000000000001</v>
      </c>
      <c r="AX5" s="55">
        <v>1.8751428571428572</v>
      </c>
      <c r="AY5" s="55">
        <v>0.26787755102040817</v>
      </c>
      <c r="AZ5" s="55">
        <v>30</v>
      </c>
      <c r="BA5" s="55">
        <v>0.43753333333333339</v>
      </c>
    </row>
    <row r="6" spans="1:53" ht="15.5" x14ac:dyDescent="0.35">
      <c r="A6" s="59">
        <v>3</v>
      </c>
      <c r="B6" s="27" t="s">
        <v>70</v>
      </c>
      <c r="C6" s="26" t="s">
        <v>42</v>
      </c>
      <c r="D6" s="26" t="s">
        <v>43</v>
      </c>
      <c r="E6" s="26" t="s">
        <v>44</v>
      </c>
      <c r="F6" s="47">
        <f>IF(All_data!F5="low-income",1,IF(All_data!F5="Middle-Income",2,IF(All_data!F5="High-Income",3,"check")))</f>
        <v>1</v>
      </c>
      <c r="G6" s="47">
        <v>6</v>
      </c>
      <c r="H6" s="47">
        <f>IF(All_data!H5="18-35 years",2,IF(All_data!H5="36-60 years",3,IF(All_data!H5="&gt;60 years",4,1)))</f>
        <v>3</v>
      </c>
      <c r="I6" s="47">
        <f>IF(All_data!I5="Male",0,1)</f>
        <v>1</v>
      </c>
      <c r="J6" s="73">
        <f>IF(All_data!J5="Illiterate",1,IF(All_data!J5="Primary",2,IF(All_data!J5="secondary",3,IF(All_data!J5="Tertiary",4,"check"))))</f>
        <v>3</v>
      </c>
      <c r="K6" s="47">
        <f>IF(All_data!K5="Government Employee",1,0)</f>
        <v>0</v>
      </c>
      <c r="L6" s="47">
        <f>IF(All_data!K5="Private Employee",1,0)</f>
        <v>0</v>
      </c>
      <c r="M6" s="47">
        <f>IF(All_data!K5="Business",1,0)</f>
        <v>1</v>
      </c>
      <c r="N6" s="47">
        <f>IF(All_data!K5="Student",1,0)</f>
        <v>0</v>
      </c>
      <c r="O6" s="47">
        <f>IF(All_data!K5="Housewife",1,0)</f>
        <v>0</v>
      </c>
      <c r="P6" s="47">
        <f>IF(All_data!K5="Retired",1,0)</f>
        <v>0</v>
      </c>
      <c r="Q6" s="47">
        <f>IF(All_data!L5="&lt;500,000",1,IF(All_data!L5="500,000 - 1,000,000",2,IF(All_data!L5="1,000,000 - 3,000,000",3,IF(All_data!L5="&gt;3,000,000",4,"check"))))</f>
        <v>2</v>
      </c>
      <c r="R6" s="63">
        <f>IF(All_data!M5="Spouse",1,0)</f>
        <v>0</v>
      </c>
      <c r="S6" s="47">
        <f>IF(All_data!M5="Son/Daughter",1,0)</f>
        <v>0</v>
      </c>
      <c r="T6" s="47">
        <f>IF(All_data!M5="Niece/nephew",1,0)</f>
        <v>0</v>
      </c>
      <c r="U6" s="47">
        <f>IF(All_data!M5="Household head",1,0)</f>
        <v>1</v>
      </c>
      <c r="V6" s="47">
        <f>IF(All_data!N5="&lt; 1 year",1,IF(All_data!N5="1-3 years",2,IF(All_data!N5="3-5 years",3,IF(All_data!N5="&gt; 5 years",4,"check"))))</f>
        <v>4</v>
      </c>
      <c r="W6" s="47">
        <f>IF(All_data!O5="Rented",1,0)</f>
        <v>0</v>
      </c>
      <c r="X6" s="73">
        <f>IF(All_data!P5="Bungalow",1,0)</f>
        <v>1</v>
      </c>
      <c r="Y6" s="73">
        <f>IF(All_data!P5="Temporary",1,0)</f>
        <v>0</v>
      </c>
      <c r="Z6" s="73">
        <f>IF(All_data!P5="Story Building",1,0)</f>
        <v>0</v>
      </c>
      <c r="AA6" s="73">
        <f>IF(All_data!Q5="Iron Sheets/titles",1,0)</f>
        <v>1</v>
      </c>
      <c r="AB6" s="74">
        <f>IF(All_data!R5="Concrete Blocks",1,0)</f>
        <v>0</v>
      </c>
      <c r="AC6" s="73">
        <f>IF(All_data!R5="Bricks",1,0)</f>
        <v>1</v>
      </c>
      <c r="AD6" s="73">
        <f>IF(All_data!R5="Mud/poles",1,0)</f>
        <v>0</v>
      </c>
      <c r="AE6" s="73">
        <f>IF(All_data!S5="tiles",1,0)</f>
        <v>1</v>
      </c>
      <c r="AF6" s="73">
        <f>IF(All_data!S5="Cemented",1,0)</f>
        <v>0</v>
      </c>
      <c r="AG6" s="73">
        <f>IF(All_data!S5="Mud",1,0)</f>
        <v>0</v>
      </c>
      <c r="AH6" s="73">
        <f>IF(All_data!T5="House connection",1,0)</f>
        <v>0</v>
      </c>
      <c r="AI6" s="73">
        <f>IF(All_data!T5="Yard tap",1,0)</f>
        <v>1</v>
      </c>
      <c r="AJ6" s="73">
        <f>IF(All_data!T5="Stand pipe",1,0)</f>
        <v>0</v>
      </c>
      <c r="AK6" s="73">
        <f>IF(All_data!U5="Shared Facilities ",1,0)</f>
        <v>1</v>
      </c>
      <c r="AL6" s="73">
        <f>IF(All_data!V5="paved",0,1)</f>
        <v>1</v>
      </c>
      <c r="AM6" s="55">
        <v>0</v>
      </c>
      <c r="AN6" s="55">
        <v>0</v>
      </c>
      <c r="AO6" s="55">
        <v>0</v>
      </c>
      <c r="AP6" s="55">
        <v>0</v>
      </c>
      <c r="AQ6" s="55">
        <v>0</v>
      </c>
      <c r="AR6" s="55">
        <v>4.5599999999999996</v>
      </c>
      <c r="AS6" s="55">
        <v>0</v>
      </c>
      <c r="AT6" s="55">
        <v>0</v>
      </c>
      <c r="AU6" s="55">
        <v>0</v>
      </c>
      <c r="AV6" s="55">
        <v>0</v>
      </c>
      <c r="AW6" s="55">
        <v>4.5599999999999996</v>
      </c>
      <c r="AX6" s="55">
        <v>0.65142857142857136</v>
      </c>
      <c r="AY6" s="55">
        <v>0.10857142857142855</v>
      </c>
      <c r="AZ6" s="55">
        <v>12</v>
      </c>
      <c r="BA6" s="55">
        <v>0.37999999999999995</v>
      </c>
    </row>
    <row r="7" spans="1:53" ht="15.5" x14ac:dyDescent="0.35">
      <c r="A7" s="59">
        <v>4</v>
      </c>
      <c r="B7" s="27" t="s">
        <v>137</v>
      </c>
      <c r="C7" s="26" t="s">
        <v>42</v>
      </c>
      <c r="D7" s="26" t="s">
        <v>43</v>
      </c>
      <c r="E7" s="26" t="s">
        <v>74</v>
      </c>
      <c r="F7" s="47">
        <f>IF(All_data!F6="low-income",1,IF(All_data!F6="Middle-Income",2,IF(All_data!F6="High-Income",3,"check")))</f>
        <v>1</v>
      </c>
      <c r="G7" s="47">
        <v>11</v>
      </c>
      <c r="H7" s="47">
        <f>IF(All_data!H6="18-35 years",2,IF(All_data!H6="36-60 years",3,IF(All_data!H6="&gt;60 years",4,1)))</f>
        <v>4</v>
      </c>
      <c r="I7" s="47">
        <f>IF(All_data!I6="Male",0,1)</f>
        <v>0</v>
      </c>
      <c r="J7" s="73">
        <f>IF(All_data!J6="Illiterate",1,IF(All_data!J6="Primary",2,IF(All_data!J6="secondary",3,IF(All_data!J6="Tertiary",4,"check"))))</f>
        <v>3</v>
      </c>
      <c r="K7" s="47">
        <f>IF(All_data!K6="Government Employee",1,0)</f>
        <v>0</v>
      </c>
      <c r="L7" s="47">
        <f>IF(All_data!K6="Private Employee",1,0)</f>
        <v>0</v>
      </c>
      <c r="M7" s="47">
        <f>IF(All_data!K6="Business",1,0)</f>
        <v>0</v>
      </c>
      <c r="N7" s="47">
        <f>IF(All_data!K6="Student",1,0)</f>
        <v>0</v>
      </c>
      <c r="O7" s="47">
        <f>IF(All_data!K6="Housewife",1,0)</f>
        <v>0</v>
      </c>
      <c r="P7" s="47">
        <f>IF(All_data!K6="Retired",1,0)</f>
        <v>1</v>
      </c>
      <c r="Q7" s="47">
        <f>IF(All_data!L6="&lt;500,000",1,IF(All_data!L6="500,000 - 1,000,000",2,IF(All_data!L6="1,000,000 - 3,000,000",3,IF(All_data!L6="&gt;3,000,000",4,"check"))))</f>
        <v>2</v>
      </c>
      <c r="R7" s="63">
        <f>IF(All_data!M6="Spouse",1,0)</f>
        <v>0</v>
      </c>
      <c r="S7" s="47">
        <f>IF(All_data!M6="Son/Daughter",1,0)</f>
        <v>0</v>
      </c>
      <c r="T7" s="47">
        <f>IF(All_data!M6="Niece/nephew",1,0)</f>
        <v>0</v>
      </c>
      <c r="U7" s="47">
        <f>IF(All_data!M6="Household head",1,0)</f>
        <v>1</v>
      </c>
      <c r="V7" s="47">
        <f>IF(All_data!N6="&lt; 1 year",1,IF(All_data!N6="1-3 years",2,IF(All_data!N6="3-5 years",3,IF(All_data!N6="&gt; 5 years",4,"check"))))</f>
        <v>4</v>
      </c>
      <c r="W7" s="47">
        <f>IF(All_data!O6="Rented",1,0)</f>
        <v>0</v>
      </c>
      <c r="X7" s="73">
        <f>IF(All_data!P6="Bungalow",1,0)</f>
        <v>1</v>
      </c>
      <c r="Y7" s="73">
        <f>IF(All_data!P6="Temporary",1,0)</f>
        <v>0</v>
      </c>
      <c r="Z7" s="73">
        <f>IF(All_data!P6="Story Building",1,0)</f>
        <v>0</v>
      </c>
      <c r="AA7" s="73">
        <f>IF(All_data!Q6="Iron Sheets/titles",1,0)</f>
        <v>1</v>
      </c>
      <c r="AB7" s="74">
        <f>IF(All_data!R6="Concrete Blocks",1,0)</f>
        <v>0</v>
      </c>
      <c r="AC7" s="73">
        <f>IF(All_data!R6="Bricks",1,0)</f>
        <v>1</v>
      </c>
      <c r="AD7" s="73">
        <f>IF(All_data!R6="Mud/poles",1,0)</f>
        <v>0</v>
      </c>
      <c r="AE7" s="73">
        <f>IF(All_data!S6="tiles",1,0)</f>
        <v>0</v>
      </c>
      <c r="AF7" s="73">
        <f>IF(All_data!S6="Cemented",1,0)</f>
        <v>1</v>
      </c>
      <c r="AG7" s="73">
        <f>IF(All_data!S6="Mud",1,0)</f>
        <v>0</v>
      </c>
      <c r="AH7" s="73">
        <f>IF(All_data!T6="House connection",1,0)</f>
        <v>0</v>
      </c>
      <c r="AI7" s="73">
        <f>IF(All_data!T6="Yard tap",1,0)</f>
        <v>1</v>
      </c>
      <c r="AJ7" s="73">
        <f>IF(All_data!T6="Stand pipe",1,0)</f>
        <v>0</v>
      </c>
      <c r="AK7" s="73">
        <f>IF(All_data!U6="Shared Facilities ",1,0)</f>
        <v>0</v>
      </c>
      <c r="AL7" s="73">
        <f>IF(All_data!V6="paved",0,1)</f>
        <v>1</v>
      </c>
      <c r="AM7" s="55">
        <v>6.1199999999999992</v>
      </c>
      <c r="AN7" s="55">
        <v>10.47</v>
      </c>
      <c r="AO7" s="55">
        <v>0.154</v>
      </c>
      <c r="AP7" s="55">
        <v>0.95500000000000007</v>
      </c>
      <c r="AQ7" s="55">
        <v>0.13100000000000001</v>
      </c>
      <c r="AR7" s="55">
        <v>0.61599999999999999</v>
      </c>
      <c r="AS7" s="55">
        <v>8.9999999999999993E-3</v>
      </c>
      <c r="AT7" s="55">
        <v>0</v>
      </c>
      <c r="AU7" s="55">
        <v>0</v>
      </c>
      <c r="AV7" s="55">
        <v>1.115</v>
      </c>
      <c r="AW7" s="55">
        <v>19.569999999999997</v>
      </c>
      <c r="AX7" s="55">
        <v>2.7957142857142854</v>
      </c>
      <c r="AY7" s="55">
        <v>0.25415584415584414</v>
      </c>
      <c r="AZ7" s="55">
        <v>70</v>
      </c>
      <c r="BA7" s="55">
        <v>0.27957142857142853</v>
      </c>
    </row>
    <row r="8" spans="1:53" ht="15.5" x14ac:dyDescent="0.35">
      <c r="A8" s="59">
        <v>5</v>
      </c>
      <c r="B8" s="27" t="s">
        <v>73</v>
      </c>
      <c r="C8" s="26" t="s">
        <v>42</v>
      </c>
      <c r="D8" s="26" t="s">
        <v>43</v>
      </c>
      <c r="E8" s="26" t="s">
        <v>74</v>
      </c>
      <c r="F8" s="47">
        <f>IF(All_data!F7="low-income",1,IF(All_data!F7="Middle-Income",2,IF(All_data!F7="High-Income",3,"check")))</f>
        <v>1</v>
      </c>
      <c r="G8" s="47">
        <v>2</v>
      </c>
      <c r="H8" s="47">
        <f>IF(All_data!H7="18-35 years",2,IF(All_data!H7="36-60 years",3,IF(All_data!H7="&gt;60 years",4,1)))</f>
        <v>2</v>
      </c>
      <c r="I8" s="47">
        <f>IF(All_data!I7="Male",0,1)</f>
        <v>1</v>
      </c>
      <c r="J8" s="73">
        <f>IF(All_data!J7="Illiterate",1,IF(All_data!J7="Primary",2,IF(All_data!J7="secondary",3,IF(All_data!J7="Tertiary",4,"check"))))</f>
        <v>4</v>
      </c>
      <c r="K8" s="47">
        <f>IF(All_data!K7="Government Employee",1,0)</f>
        <v>0</v>
      </c>
      <c r="L8" s="47">
        <f>IF(All_data!K7="Private Employee",1,0)</f>
        <v>1</v>
      </c>
      <c r="M8" s="47">
        <f>IF(All_data!K7="Business",1,0)</f>
        <v>0</v>
      </c>
      <c r="N8" s="47">
        <f>IF(All_data!K7="Student",1,0)</f>
        <v>0</v>
      </c>
      <c r="O8" s="47">
        <f>IF(All_data!K7="Housewife",1,0)</f>
        <v>0</v>
      </c>
      <c r="P8" s="47">
        <f>IF(All_data!K7="Retired",1,0)</f>
        <v>0</v>
      </c>
      <c r="Q8" s="47">
        <f>IF(All_data!L7="&lt;500,000",1,IF(All_data!L7="500,000 - 1,000,000",2,IF(All_data!L7="1,000,000 - 3,000,000",3,IF(All_data!L7="&gt;3,000,000",4,"check"))))</f>
        <v>2</v>
      </c>
      <c r="R8" s="63">
        <f>IF(All_data!M7="Spouse",1,0)</f>
        <v>0</v>
      </c>
      <c r="S8" s="47">
        <f>IF(All_data!M7="Son/Daughter",1,0)</f>
        <v>0</v>
      </c>
      <c r="T8" s="47">
        <f>IF(All_data!M7="Niece/nephew",1,0)</f>
        <v>0</v>
      </c>
      <c r="U8" s="47">
        <f>IF(All_data!M7="Household head",1,0)</f>
        <v>1</v>
      </c>
      <c r="V8" s="47">
        <f>IF(All_data!N7="&lt; 1 year",1,IF(All_data!N7="1-3 years",2,IF(All_data!N7="3-5 years",3,IF(All_data!N7="&gt; 5 years",4,"check"))))</f>
        <v>4</v>
      </c>
      <c r="W8" s="47">
        <f>IF(All_data!O7="Rented",1,0)</f>
        <v>0</v>
      </c>
      <c r="X8" s="73">
        <f>IF(All_data!P7="Bungalow",1,0)</f>
        <v>0</v>
      </c>
      <c r="Y8" s="73">
        <f>IF(All_data!P7="Temporary",1,0)</f>
        <v>1</v>
      </c>
      <c r="Z8" s="73">
        <f>IF(All_data!P7="Story Building",1,0)</f>
        <v>0</v>
      </c>
      <c r="AA8" s="73">
        <f>IF(All_data!Q7="Iron Sheets/titles",1,0)</f>
        <v>1</v>
      </c>
      <c r="AB8" s="74">
        <f>IF(All_data!R7="Concrete Blocks",1,0)</f>
        <v>0</v>
      </c>
      <c r="AC8" s="73">
        <f>IF(All_data!R7="Bricks",1,0)</f>
        <v>1</v>
      </c>
      <c r="AD8" s="73">
        <f>IF(All_data!R7="Mud/poles",1,0)</f>
        <v>0</v>
      </c>
      <c r="AE8" s="73">
        <f>IF(All_data!S7="tiles",1,0)</f>
        <v>1</v>
      </c>
      <c r="AF8" s="73">
        <f>IF(All_data!S7="Cemented",1,0)</f>
        <v>0</v>
      </c>
      <c r="AG8" s="73">
        <f>IF(All_data!S7="Mud",1,0)</f>
        <v>0</v>
      </c>
      <c r="AH8" s="73">
        <f>IF(All_data!T7="House connection",1,0)</f>
        <v>1</v>
      </c>
      <c r="AI8" s="73">
        <f>IF(All_data!T7="Yard tap",1,0)</f>
        <v>0</v>
      </c>
      <c r="AJ8" s="73">
        <f>IF(All_data!T7="Stand pipe",1,0)</f>
        <v>0</v>
      </c>
      <c r="AK8" s="73">
        <f>IF(All_data!U7="Shared Facilities ",1,0)</f>
        <v>0</v>
      </c>
      <c r="AL8" s="73">
        <f>IF(All_data!V7="paved",0,1)</f>
        <v>1</v>
      </c>
      <c r="AM8" s="55">
        <v>4.0199999999999996</v>
      </c>
      <c r="AN8" s="55">
        <v>0</v>
      </c>
      <c r="AO8" s="55">
        <v>0</v>
      </c>
      <c r="AP8" s="55">
        <v>0</v>
      </c>
      <c r="AQ8" s="55">
        <v>0</v>
      </c>
      <c r="AR8" s="55">
        <v>0.05</v>
      </c>
      <c r="AS8" s="55">
        <v>0</v>
      </c>
      <c r="AT8" s="55">
        <v>0</v>
      </c>
      <c r="AU8" s="55">
        <v>0</v>
      </c>
      <c r="AV8" s="55">
        <v>0</v>
      </c>
      <c r="AW8" s="55">
        <v>4.0699999999999994</v>
      </c>
      <c r="AX8" s="55">
        <v>0.58142857142857129</v>
      </c>
      <c r="AY8" s="55">
        <v>0.29071428571428565</v>
      </c>
      <c r="AZ8" s="55">
        <v>8</v>
      </c>
      <c r="BA8" s="55">
        <v>0.50874999999999992</v>
      </c>
    </row>
    <row r="9" spans="1:53" ht="15.5" x14ac:dyDescent="0.35">
      <c r="A9" s="59">
        <v>6</v>
      </c>
      <c r="B9" s="27" t="s">
        <v>77</v>
      </c>
      <c r="C9" s="26" t="s">
        <v>42</v>
      </c>
      <c r="D9" s="26" t="s">
        <v>43</v>
      </c>
      <c r="E9" s="26" t="s">
        <v>74</v>
      </c>
      <c r="F9" s="47">
        <f>IF(All_data!F8="low-income",1,IF(All_data!F8="Middle-Income",2,IF(All_data!F8="High-Income",3,"check")))</f>
        <v>1</v>
      </c>
      <c r="G9" s="47">
        <v>7</v>
      </c>
      <c r="H9" s="47">
        <f>IF(All_data!H8="18-35 years",2,IF(All_data!H8="36-60 years",3,IF(All_data!H8="&gt;60 years",4,1)))</f>
        <v>2</v>
      </c>
      <c r="I9" s="47">
        <f>IF(All_data!I8="Male",0,1)</f>
        <v>1</v>
      </c>
      <c r="J9" s="73">
        <f>IF(All_data!J8="Illiterate",1,IF(All_data!J8="Primary",2,IF(All_data!J8="secondary",3,IF(All_data!J8="Tertiary",4,"check"))))</f>
        <v>2</v>
      </c>
      <c r="K9" s="47">
        <f>IF(All_data!K8="Government Employee",1,0)</f>
        <v>0</v>
      </c>
      <c r="L9" s="47">
        <f>IF(All_data!K8="Private Employee",1,0)</f>
        <v>0</v>
      </c>
      <c r="M9" s="47">
        <f>IF(All_data!K8="Business",1,0)</f>
        <v>0</v>
      </c>
      <c r="N9" s="47">
        <f>IF(All_data!K8="Student",1,0)</f>
        <v>0</v>
      </c>
      <c r="O9" s="47">
        <f>IF(All_data!K8="Housewife",1,0)</f>
        <v>0</v>
      </c>
      <c r="P9" s="47">
        <f>IF(All_data!K8="Retired",1,0)</f>
        <v>1</v>
      </c>
      <c r="Q9" s="47">
        <f>IF(All_data!L8="&lt;500,000",1,IF(All_data!L8="500,000 - 1,000,000",2,IF(All_data!L8="1,000,000 - 3,000,000",3,IF(All_data!L8="&gt;3,000,000",4,"check"))))</f>
        <v>1</v>
      </c>
      <c r="R9" s="63">
        <f>IF(All_data!M8="Spouse",1,0)</f>
        <v>0</v>
      </c>
      <c r="S9" s="47">
        <f>IF(All_data!M8="Son/Daughter",1,0)</f>
        <v>0</v>
      </c>
      <c r="T9" s="47">
        <f>IF(All_data!M8="Niece/nephew",1,0)</f>
        <v>0</v>
      </c>
      <c r="U9" s="47">
        <f>IF(All_data!M8="Household head",1,0)</f>
        <v>1</v>
      </c>
      <c r="V9" s="47">
        <f>IF(All_data!N8="&lt; 1 year",1,IF(All_data!N8="1-3 years",2,IF(All_data!N8="3-5 years",3,IF(All_data!N8="&gt; 5 years",4,"check"))))</f>
        <v>4</v>
      </c>
      <c r="W9" s="47">
        <f>IF(All_data!O8="Rented",1,0)</f>
        <v>0</v>
      </c>
      <c r="X9" s="73">
        <f>IF(All_data!P8="Bungalow",1,0)</f>
        <v>1</v>
      </c>
      <c r="Y9" s="73">
        <f>IF(All_data!P8="Temporary",1,0)</f>
        <v>0</v>
      </c>
      <c r="Z9" s="73">
        <f>IF(All_data!P8="Story Building",1,0)</f>
        <v>0</v>
      </c>
      <c r="AA9" s="73">
        <f>IF(All_data!Q8="Iron Sheets/titles",1,0)</f>
        <v>1</v>
      </c>
      <c r="AB9" s="74">
        <f>IF(All_data!R8="Concrete Blocks",1,0)</f>
        <v>0</v>
      </c>
      <c r="AC9" s="73">
        <f>IF(All_data!R8="Bricks",1,0)</f>
        <v>1</v>
      </c>
      <c r="AD9" s="73">
        <f>IF(All_data!R8="Mud/poles",1,0)</f>
        <v>0</v>
      </c>
      <c r="AE9" s="73">
        <f>IF(All_data!S8="tiles",1,0)</f>
        <v>0</v>
      </c>
      <c r="AF9" s="73">
        <f>IF(All_data!S8="Cemented",1,0)</f>
        <v>1</v>
      </c>
      <c r="AG9" s="73">
        <f>IF(All_data!S8="Mud",1,0)</f>
        <v>0</v>
      </c>
      <c r="AH9" s="73">
        <f>IF(All_data!T8="House connection",1,0)</f>
        <v>0</v>
      </c>
      <c r="AI9" s="73">
        <f>IF(All_data!T8="Yard tap",1,0)</f>
        <v>0</v>
      </c>
      <c r="AJ9" s="73">
        <f>IF(All_data!T8="Stand pipe",1,0)</f>
        <v>1</v>
      </c>
      <c r="AK9" s="73">
        <f>IF(All_data!U8="Shared Facilities ",1,0)</f>
        <v>0</v>
      </c>
      <c r="AL9" s="73">
        <f>IF(All_data!V8="paved",0,1)</f>
        <v>1</v>
      </c>
      <c r="AM9" s="55">
        <v>0.154</v>
      </c>
      <c r="AN9" s="55">
        <v>0</v>
      </c>
      <c r="AO9" s="55">
        <v>0</v>
      </c>
      <c r="AP9" s="55">
        <v>0.17599999999999999</v>
      </c>
      <c r="AQ9" s="55">
        <v>0.02</v>
      </c>
      <c r="AR9" s="55">
        <v>2.9000000000000001E-2</v>
      </c>
      <c r="AS9" s="55">
        <v>0.70699999999999996</v>
      </c>
      <c r="AT9" s="55">
        <v>0</v>
      </c>
      <c r="AU9" s="55">
        <v>0</v>
      </c>
      <c r="AV9" s="55">
        <v>3.5000000000000003E-2</v>
      </c>
      <c r="AW9" s="55">
        <v>1.1209999999999998</v>
      </c>
      <c r="AX9" s="55">
        <v>0.16014285714285711</v>
      </c>
      <c r="AY9" s="55">
        <v>2.2877551020408161E-2</v>
      </c>
      <c r="AZ9" s="55">
        <v>14</v>
      </c>
      <c r="BA9" s="55">
        <v>8.0071428571428557E-2</v>
      </c>
    </row>
    <row r="10" spans="1:53" ht="15.5" x14ac:dyDescent="0.35">
      <c r="A10" s="59">
        <v>7</v>
      </c>
      <c r="B10" s="27" t="s">
        <v>82</v>
      </c>
      <c r="C10" s="26" t="s">
        <v>42</v>
      </c>
      <c r="D10" s="26" t="s">
        <v>43</v>
      </c>
      <c r="E10" s="26" t="s">
        <v>74</v>
      </c>
      <c r="F10" s="47">
        <f>IF(All_data!F9="low-income",1,IF(All_data!F9="Middle-Income",2,IF(All_data!F9="High-Income",3,"check")))</f>
        <v>1</v>
      </c>
      <c r="G10" s="47">
        <v>4</v>
      </c>
      <c r="H10" s="47">
        <f>IF(All_data!H9="18-35 years",2,IF(All_data!H9="36-60 years",3,IF(All_data!H9="&gt;60 years",4,1)))</f>
        <v>3</v>
      </c>
      <c r="I10" s="47">
        <f>IF(All_data!I9="Male",0,1)</f>
        <v>1</v>
      </c>
      <c r="J10" s="73">
        <f>IF(All_data!J9="Illiterate",1,IF(All_data!J9="Primary",2,IF(All_data!J9="secondary",3,IF(All_data!J9="Tertiary",4,"check"))))</f>
        <v>3</v>
      </c>
      <c r="K10" s="47">
        <f>IF(All_data!K9="Government Employee",1,0)</f>
        <v>0</v>
      </c>
      <c r="L10" s="47">
        <f>IF(All_data!K9="Private Employee",1,0)</f>
        <v>0</v>
      </c>
      <c r="M10" s="47">
        <f>IF(All_data!K9="Business",1,0)</f>
        <v>1</v>
      </c>
      <c r="N10" s="47">
        <f>IF(All_data!K9="Student",1,0)</f>
        <v>0</v>
      </c>
      <c r="O10" s="47">
        <f>IF(All_data!K9="Housewife",1,0)</f>
        <v>0</v>
      </c>
      <c r="P10" s="47">
        <f>IF(All_data!K9="Retired",1,0)</f>
        <v>0</v>
      </c>
      <c r="Q10" s="47">
        <f>IF(All_data!L9="&lt;500,000",1,IF(All_data!L9="500,000 - 1,000,000",2,IF(All_data!L9="1,000,000 - 3,000,000",3,IF(All_data!L9="&gt;3,000,000",4,"check"))))</f>
        <v>1</v>
      </c>
      <c r="R10" s="63">
        <f>IF(All_data!M9="Spouse",1,0)</f>
        <v>0</v>
      </c>
      <c r="S10" s="47">
        <f>IF(All_data!M9="Son/Daughter",1,0)</f>
        <v>0</v>
      </c>
      <c r="T10" s="47">
        <f>IF(All_data!M9="Niece/nephew",1,0)</f>
        <v>0</v>
      </c>
      <c r="U10" s="47">
        <f>IF(All_data!M9="Household head",1,0)</f>
        <v>1</v>
      </c>
      <c r="V10" s="47">
        <f>IF(All_data!N9="&lt; 1 year",1,IF(All_data!N9="1-3 years",2,IF(All_data!N9="3-5 years",3,IF(All_data!N9="&gt; 5 years",4,"check"))))</f>
        <v>4</v>
      </c>
      <c r="W10" s="47">
        <f>IF(All_data!O9="Rented",1,0)</f>
        <v>1</v>
      </c>
      <c r="X10" s="73">
        <f>IF(All_data!P9="Bungalow",1,0)</f>
        <v>1</v>
      </c>
      <c r="Y10" s="73">
        <f>IF(All_data!P9="Temporary",1,0)</f>
        <v>0</v>
      </c>
      <c r="Z10" s="73">
        <f>IF(All_data!P9="Story Building",1,0)</f>
        <v>0</v>
      </c>
      <c r="AA10" s="73">
        <f>IF(All_data!Q9="Iron Sheets/titles",1,0)</f>
        <v>1</v>
      </c>
      <c r="AB10" s="74">
        <f>IF(All_data!R9="Concrete Blocks",1,0)</f>
        <v>0</v>
      </c>
      <c r="AC10" s="73">
        <f>IF(All_data!R9="Bricks",1,0)</f>
        <v>1</v>
      </c>
      <c r="AD10" s="73">
        <f>IF(All_data!R9="Mud/poles",1,0)</f>
        <v>0</v>
      </c>
      <c r="AE10" s="73">
        <f>IF(All_data!S9="tiles",1,0)</f>
        <v>0</v>
      </c>
      <c r="AF10" s="73">
        <f>IF(All_data!S9="Cemented",1,0)</f>
        <v>1</v>
      </c>
      <c r="AG10" s="73">
        <f>IF(All_data!S9="Mud",1,0)</f>
        <v>0</v>
      </c>
      <c r="AH10" s="73">
        <f>IF(All_data!T9="House connection",1,0)</f>
        <v>0</v>
      </c>
      <c r="AI10" s="73">
        <f>IF(All_data!T9="Yard tap",1,0)</f>
        <v>0</v>
      </c>
      <c r="AJ10" s="73">
        <f>IF(All_data!T9="Stand pipe",1,0)</f>
        <v>1</v>
      </c>
      <c r="AK10" s="73">
        <f>IF(All_data!U9="Shared Facilities ",1,0)</f>
        <v>1</v>
      </c>
      <c r="AL10" s="73">
        <f>IF(All_data!V9="paved",0,1)</f>
        <v>1</v>
      </c>
      <c r="AM10" s="55">
        <v>33.900000000000006</v>
      </c>
      <c r="AN10" s="55">
        <v>0</v>
      </c>
      <c r="AO10" s="55">
        <v>0</v>
      </c>
      <c r="AP10" s="55">
        <v>0</v>
      </c>
      <c r="AQ10" s="55">
        <v>0</v>
      </c>
      <c r="AR10" s="55">
        <v>0</v>
      </c>
      <c r="AS10" s="55">
        <v>0</v>
      </c>
      <c r="AT10" s="55">
        <v>0</v>
      </c>
      <c r="AU10" s="55">
        <v>0</v>
      </c>
      <c r="AV10" s="55">
        <v>0</v>
      </c>
      <c r="AW10" s="55">
        <v>33.900000000000006</v>
      </c>
      <c r="AX10" s="55">
        <v>4.8428571428571434</v>
      </c>
      <c r="AY10" s="55">
        <v>1.2107142857142859</v>
      </c>
      <c r="AZ10" s="55">
        <v>100</v>
      </c>
      <c r="BA10" s="55">
        <v>0.33900000000000008</v>
      </c>
    </row>
    <row r="11" spans="1:53" ht="15.5" x14ac:dyDescent="0.35">
      <c r="A11" s="59">
        <v>8</v>
      </c>
      <c r="B11" s="27" t="s">
        <v>85</v>
      </c>
      <c r="C11" s="26" t="s">
        <v>42</v>
      </c>
      <c r="D11" s="26" t="s">
        <v>43</v>
      </c>
      <c r="E11" s="26" t="s">
        <v>74</v>
      </c>
      <c r="F11" s="47">
        <f>IF(All_data!F10="low-income",1,IF(All_data!F10="Middle-Income",2,IF(All_data!F10="High-Income",3,"check")))</f>
        <v>1</v>
      </c>
      <c r="G11" s="47">
        <v>3</v>
      </c>
      <c r="H11" s="47">
        <f>IF(All_data!H10="18-35 years",2,IF(All_data!H10="36-60 years",3,IF(All_data!H10="&gt;60 years",4,1)))</f>
        <v>2</v>
      </c>
      <c r="I11" s="47">
        <f>IF(All_data!I10="Male",0,1)</f>
        <v>1</v>
      </c>
      <c r="J11" s="73">
        <f>IF(All_data!J10="Illiterate",1,IF(All_data!J10="Primary",2,IF(All_data!J10="secondary",3,IF(All_data!J10="Tertiary",4,"check"))))</f>
        <v>2</v>
      </c>
      <c r="K11" s="47">
        <f>IF(All_data!K10="Government Employee",1,0)</f>
        <v>0</v>
      </c>
      <c r="L11" s="47">
        <f>IF(All_data!K10="Private Employee",1,0)</f>
        <v>0</v>
      </c>
      <c r="M11" s="47">
        <f>IF(All_data!K10="Business",1,0)</f>
        <v>1</v>
      </c>
      <c r="N11" s="47">
        <f>IF(All_data!K10="Student",1,0)</f>
        <v>0</v>
      </c>
      <c r="O11" s="47">
        <f>IF(All_data!K10="Housewife",1,0)</f>
        <v>0</v>
      </c>
      <c r="P11" s="47">
        <f>IF(All_data!K10="Retired",1,0)</f>
        <v>0</v>
      </c>
      <c r="Q11" s="47">
        <f>IF(All_data!L10="&lt;500,000",1,IF(All_data!L10="500,000 - 1,000,000",2,IF(All_data!L10="1,000,000 - 3,000,000",3,IF(All_data!L10="&gt;3,000,000",4,"check"))))</f>
        <v>1</v>
      </c>
      <c r="R11" s="63">
        <f>IF(All_data!M10="Spouse",1,0)</f>
        <v>0</v>
      </c>
      <c r="S11" s="47">
        <f>IF(All_data!M10="Son/Daughter",1,0)</f>
        <v>0</v>
      </c>
      <c r="T11" s="47">
        <f>IF(All_data!M10="Niece/nephew",1,0)</f>
        <v>0</v>
      </c>
      <c r="U11" s="47">
        <f>IF(All_data!M10="Household head",1,0)</f>
        <v>1</v>
      </c>
      <c r="V11" s="47">
        <f>IF(All_data!N10="&lt; 1 year",1,IF(All_data!N10="1-3 years",2,IF(All_data!N10="3-5 years",3,IF(All_data!N10="&gt; 5 years",4,"check"))))</f>
        <v>3</v>
      </c>
      <c r="W11" s="47">
        <f>IF(All_data!O10="Rented",1,0)</f>
        <v>1</v>
      </c>
      <c r="X11" s="73">
        <f>IF(All_data!P10="Bungalow",1,0)</f>
        <v>1</v>
      </c>
      <c r="Y11" s="73">
        <f>IF(All_data!P10="Temporary",1,0)</f>
        <v>0</v>
      </c>
      <c r="Z11" s="73">
        <f>IF(All_data!P10="Story Building",1,0)</f>
        <v>0</v>
      </c>
      <c r="AA11" s="73">
        <f>IF(All_data!Q10="Iron Sheets/titles",1,0)</f>
        <v>1</v>
      </c>
      <c r="AB11" s="74">
        <f>IF(All_data!R10="Concrete Blocks",1,0)</f>
        <v>0</v>
      </c>
      <c r="AC11" s="73">
        <f>IF(All_data!R10="Bricks",1,0)</f>
        <v>1</v>
      </c>
      <c r="AD11" s="73">
        <f>IF(All_data!R10="Mud/poles",1,0)</f>
        <v>0</v>
      </c>
      <c r="AE11" s="73">
        <f>IF(All_data!S10="tiles",1,0)</f>
        <v>0</v>
      </c>
      <c r="AF11" s="73">
        <f>IF(All_data!S10="Cemented",1,0)</f>
        <v>1</v>
      </c>
      <c r="AG11" s="73">
        <f>IF(All_data!S10="Mud",1,0)</f>
        <v>0</v>
      </c>
      <c r="AH11" s="73">
        <f>IF(All_data!T10="House connection",1,0)</f>
        <v>0</v>
      </c>
      <c r="AI11" s="73">
        <f>IF(All_data!T10="Yard tap",1,0)</f>
        <v>0</v>
      </c>
      <c r="AJ11" s="73">
        <f>IF(All_data!T10="Stand pipe",1,0)</f>
        <v>1</v>
      </c>
      <c r="AK11" s="73">
        <f>IF(All_data!U10="Shared Facilities ",1,0)</f>
        <v>1</v>
      </c>
      <c r="AL11" s="73">
        <f>IF(All_data!V10="paved",0,1)</f>
        <v>1</v>
      </c>
      <c r="AM11" s="55">
        <v>9.1199999999999992</v>
      </c>
      <c r="AN11" s="55">
        <v>0</v>
      </c>
      <c r="AO11" s="55">
        <v>0</v>
      </c>
      <c r="AP11" s="55">
        <v>0.56799999999999995</v>
      </c>
      <c r="AQ11" s="55">
        <v>3.7999999999999999E-2</v>
      </c>
      <c r="AR11" s="55">
        <v>0</v>
      </c>
      <c r="AS11" s="55">
        <v>0</v>
      </c>
      <c r="AT11" s="55">
        <v>0</v>
      </c>
      <c r="AU11" s="55">
        <v>0.124</v>
      </c>
      <c r="AV11" s="55">
        <v>0.45</v>
      </c>
      <c r="AW11" s="55">
        <v>10.299999999999999</v>
      </c>
      <c r="AX11" s="55">
        <v>1.4714285714285713</v>
      </c>
      <c r="AY11" s="55">
        <v>0.49047619047619045</v>
      </c>
      <c r="AZ11" s="55">
        <v>34</v>
      </c>
      <c r="BA11" s="55">
        <v>0.30294117647058821</v>
      </c>
    </row>
    <row r="12" spans="1:53" ht="15.5" x14ac:dyDescent="0.35">
      <c r="A12" s="59">
        <v>9</v>
      </c>
      <c r="B12" s="27" t="s">
        <v>86</v>
      </c>
      <c r="C12" s="26" t="s">
        <v>42</v>
      </c>
      <c r="D12" s="26" t="s">
        <v>43</v>
      </c>
      <c r="E12" s="26" t="s">
        <v>74</v>
      </c>
      <c r="F12" s="47">
        <f>IF(All_data!F11="low-income",1,IF(All_data!F11="Middle-Income",2,IF(All_data!F11="High-Income",3,"check")))</f>
        <v>1</v>
      </c>
      <c r="G12" s="47">
        <v>2</v>
      </c>
      <c r="H12" s="47">
        <f>IF(All_data!H11="18-35 years",2,IF(All_data!H11="36-60 years",3,IF(All_data!H11="&gt;60 years",4,1)))</f>
        <v>3</v>
      </c>
      <c r="I12" s="47">
        <f>IF(All_data!I11="Male",0,1)</f>
        <v>1</v>
      </c>
      <c r="J12" s="73">
        <f>IF(All_data!J11="Illiterate",1,IF(All_data!J11="Primary",2,IF(All_data!J11="secondary",3,IF(All_data!J11="Tertiary",4,"check"))))</f>
        <v>2</v>
      </c>
      <c r="K12" s="47">
        <f>IF(All_data!K11="Government Employee",1,0)</f>
        <v>0</v>
      </c>
      <c r="L12" s="47">
        <f>IF(All_data!K11="Private Employee",1,0)</f>
        <v>0</v>
      </c>
      <c r="M12" s="47">
        <f>IF(All_data!K11="Business",1,0)</f>
        <v>1</v>
      </c>
      <c r="N12" s="47">
        <f>IF(All_data!K11="Student",1,0)</f>
        <v>0</v>
      </c>
      <c r="O12" s="47">
        <f>IF(All_data!K11="Housewife",1,0)</f>
        <v>0</v>
      </c>
      <c r="P12" s="47">
        <f>IF(All_data!K11="Retired",1,0)</f>
        <v>0</v>
      </c>
      <c r="Q12" s="47">
        <f>IF(All_data!L11="&lt;500,000",1,IF(All_data!L11="500,000 - 1,000,000",2,IF(All_data!L11="1,000,000 - 3,000,000",3,IF(All_data!L11="&gt;3,000,000",4,"check"))))</f>
        <v>1</v>
      </c>
      <c r="R12" s="63">
        <f>IF(All_data!M11="Spouse",1,0)</f>
        <v>0</v>
      </c>
      <c r="S12" s="47">
        <f>IF(All_data!M11="Son/Daughter",1,0)</f>
        <v>0</v>
      </c>
      <c r="T12" s="47">
        <f>IF(All_data!M11="Niece/nephew",1,0)</f>
        <v>0</v>
      </c>
      <c r="U12" s="47">
        <f>IF(All_data!M11="Household head",1,0)</f>
        <v>1</v>
      </c>
      <c r="V12" s="47">
        <f>IF(All_data!N11="&lt; 1 year",1,IF(All_data!N11="1-3 years",2,IF(All_data!N11="3-5 years",3,IF(All_data!N11="&gt; 5 years",4,"check"))))</f>
        <v>2</v>
      </c>
      <c r="W12" s="47">
        <f>IF(All_data!O11="Rented",1,0)</f>
        <v>1</v>
      </c>
      <c r="X12" s="73">
        <f>IF(All_data!P11="Bungalow",1,0)</f>
        <v>1</v>
      </c>
      <c r="Y12" s="73">
        <f>IF(All_data!P11="Temporary",1,0)</f>
        <v>0</v>
      </c>
      <c r="Z12" s="73">
        <f>IF(All_data!P11="Story Building",1,0)</f>
        <v>0</v>
      </c>
      <c r="AA12" s="73">
        <f>IF(All_data!Q11="Iron Sheets/titles",1,0)</f>
        <v>1</v>
      </c>
      <c r="AB12" s="74">
        <f>IF(All_data!R11="Concrete Blocks",1,0)</f>
        <v>0</v>
      </c>
      <c r="AC12" s="73">
        <f>IF(All_data!R11="Bricks",1,0)</f>
        <v>1</v>
      </c>
      <c r="AD12" s="73">
        <f>IF(All_data!R11="Mud/poles",1,0)</f>
        <v>0</v>
      </c>
      <c r="AE12" s="73">
        <f>IF(All_data!S11="tiles",1,0)</f>
        <v>0</v>
      </c>
      <c r="AF12" s="73">
        <f>IF(All_data!S11="Cemented",1,0)</f>
        <v>1</v>
      </c>
      <c r="AG12" s="73">
        <f>IF(All_data!S11="Mud",1,0)</f>
        <v>0</v>
      </c>
      <c r="AH12" s="73">
        <f>IF(All_data!T11="House connection",1,0)</f>
        <v>0</v>
      </c>
      <c r="AI12" s="73">
        <f>IF(All_data!T11="Yard tap",1,0)</f>
        <v>1</v>
      </c>
      <c r="AJ12" s="73">
        <f>IF(All_data!T11="Stand pipe",1,0)</f>
        <v>0</v>
      </c>
      <c r="AK12" s="73">
        <f>IF(All_data!U11="Shared Facilities ",1,0)</f>
        <v>1</v>
      </c>
      <c r="AL12" s="73">
        <f>IF(All_data!V11="paved",0,1)</f>
        <v>1</v>
      </c>
      <c r="AM12" s="55">
        <v>11.5</v>
      </c>
      <c r="AN12" s="55">
        <v>0</v>
      </c>
      <c r="AO12" s="55">
        <v>0</v>
      </c>
      <c r="AP12" s="55">
        <v>0</v>
      </c>
      <c r="AQ12" s="55">
        <v>0</v>
      </c>
      <c r="AR12" s="55">
        <v>4.8000000000000001E-2</v>
      </c>
      <c r="AS12" s="55">
        <v>0</v>
      </c>
      <c r="AT12" s="55">
        <v>0</v>
      </c>
      <c r="AU12" s="55">
        <v>0</v>
      </c>
      <c r="AV12" s="55">
        <v>0</v>
      </c>
      <c r="AW12" s="55">
        <v>11.548</v>
      </c>
      <c r="AX12" s="55">
        <v>1.6497142857142857</v>
      </c>
      <c r="AY12" s="55">
        <v>0.82485714285714284</v>
      </c>
      <c r="AZ12" s="55">
        <v>40</v>
      </c>
      <c r="BA12" s="55">
        <v>0.28870000000000001</v>
      </c>
    </row>
    <row r="13" spans="1:53" ht="15.5" x14ac:dyDescent="0.35">
      <c r="A13" s="59">
        <v>10</v>
      </c>
      <c r="B13" s="27" t="s">
        <v>88</v>
      </c>
      <c r="C13" s="26" t="s">
        <v>42</v>
      </c>
      <c r="D13" s="26" t="s">
        <v>43</v>
      </c>
      <c r="E13" s="26" t="s">
        <v>74</v>
      </c>
      <c r="F13" s="47">
        <f>IF(All_data!F12="low-income",1,IF(All_data!F12="Middle-Income",2,IF(All_data!F12="High-Income",3,"check")))</f>
        <v>1</v>
      </c>
      <c r="G13" s="47">
        <v>3</v>
      </c>
      <c r="H13" s="47">
        <f>IF(All_data!H12="18-35 years",2,IF(All_data!H12="36-60 years",3,IF(All_data!H12="&gt;60 years",4,1)))</f>
        <v>2</v>
      </c>
      <c r="I13" s="47">
        <f>IF(All_data!I12="Male",0,1)</f>
        <v>1</v>
      </c>
      <c r="J13" s="73">
        <f>IF(All_data!J12="Illiterate",1,IF(All_data!J12="Primary",2,IF(All_data!J12="secondary",3,IF(All_data!J12="Tertiary",4,"check"))))</f>
        <v>2</v>
      </c>
      <c r="K13" s="47">
        <f>IF(All_data!K12="Government Employee",1,0)</f>
        <v>0</v>
      </c>
      <c r="L13" s="47">
        <f>IF(All_data!K12="Private Employee",1,0)</f>
        <v>0</v>
      </c>
      <c r="M13" s="47">
        <f>IF(All_data!K12="Business",1,0)</f>
        <v>1</v>
      </c>
      <c r="N13" s="47">
        <f>IF(All_data!K12="Student",1,0)</f>
        <v>0</v>
      </c>
      <c r="O13" s="47">
        <f>IF(All_data!K12="Housewife",1,0)</f>
        <v>0</v>
      </c>
      <c r="P13" s="47">
        <f>IF(All_data!K12="Retired",1,0)</f>
        <v>0</v>
      </c>
      <c r="Q13" s="47">
        <f>IF(All_data!L12="&lt;500,000",1,IF(All_data!L12="500,000 - 1,000,000",2,IF(All_data!L12="1,000,000 - 3,000,000",3,IF(All_data!L12="&gt;3,000,000",4,"check"))))</f>
        <v>1</v>
      </c>
      <c r="R13" s="63">
        <f>IF(All_data!M12="Spouse",1,0)</f>
        <v>0</v>
      </c>
      <c r="S13" s="47">
        <f>IF(All_data!M12="Son/Daughter",1,0)</f>
        <v>1</v>
      </c>
      <c r="T13" s="47">
        <f>IF(All_data!M12="Niece/nephew",1,0)</f>
        <v>0</v>
      </c>
      <c r="U13" s="47">
        <f>IF(All_data!M12="Household head",1,0)</f>
        <v>0</v>
      </c>
      <c r="V13" s="47">
        <f>IF(All_data!N12="&lt; 1 year",1,IF(All_data!N12="1-3 years",2,IF(All_data!N12="3-5 years",3,IF(All_data!N12="&gt; 5 years",4,"check"))))</f>
        <v>4</v>
      </c>
      <c r="W13" s="47">
        <f>IF(All_data!O12="Rented",1,0)</f>
        <v>1</v>
      </c>
      <c r="X13" s="73">
        <f>IF(All_data!P12="Bungalow",1,0)</f>
        <v>1</v>
      </c>
      <c r="Y13" s="73">
        <f>IF(All_data!P12="Temporary",1,0)</f>
        <v>0</v>
      </c>
      <c r="Z13" s="73">
        <f>IF(All_data!P12="Story Building",1,0)</f>
        <v>0</v>
      </c>
      <c r="AA13" s="73">
        <f>IF(All_data!Q12="Iron Sheets/titles",1,0)</f>
        <v>1</v>
      </c>
      <c r="AB13" s="74">
        <f>IF(All_data!R12="Concrete Blocks",1,0)</f>
        <v>0</v>
      </c>
      <c r="AC13" s="73">
        <f>IF(All_data!R12="Bricks",1,0)</f>
        <v>1</v>
      </c>
      <c r="AD13" s="73">
        <f>IF(All_data!R12="Mud/poles",1,0)</f>
        <v>0</v>
      </c>
      <c r="AE13" s="73">
        <f>IF(All_data!S12="tiles",1,0)</f>
        <v>0</v>
      </c>
      <c r="AF13" s="73">
        <f>IF(All_data!S12="Cemented",1,0)</f>
        <v>1</v>
      </c>
      <c r="AG13" s="73">
        <f>IF(All_data!S12="Mud",1,0)</f>
        <v>0</v>
      </c>
      <c r="AH13" s="73">
        <f>IF(All_data!T12="House connection",1,0)</f>
        <v>0</v>
      </c>
      <c r="AI13" s="73">
        <f>IF(All_data!T12="Yard tap",1,0)</f>
        <v>0</v>
      </c>
      <c r="AJ13" s="73">
        <f>IF(All_data!T12="Stand pipe",1,0)</f>
        <v>1</v>
      </c>
      <c r="AK13" s="73">
        <f>IF(All_data!U12="Shared Facilities ",1,0)</f>
        <v>0</v>
      </c>
      <c r="AL13" s="73">
        <f>IF(All_data!V12="paved",0,1)</f>
        <v>1</v>
      </c>
      <c r="AM13" s="55">
        <v>10.3</v>
      </c>
      <c r="AN13" s="55">
        <v>0</v>
      </c>
      <c r="AO13" s="55">
        <v>0</v>
      </c>
      <c r="AP13" s="55">
        <v>0</v>
      </c>
      <c r="AQ13" s="55">
        <v>9.8000000000000004E-2</v>
      </c>
      <c r="AR13" s="55">
        <v>0</v>
      </c>
      <c r="AS13" s="55">
        <v>0.153</v>
      </c>
      <c r="AT13" s="55">
        <v>0</v>
      </c>
      <c r="AU13" s="55">
        <v>0</v>
      </c>
      <c r="AV13" s="55">
        <v>1.9E-2</v>
      </c>
      <c r="AW13" s="55">
        <v>10.570000000000002</v>
      </c>
      <c r="AX13" s="55">
        <v>1.5100000000000002</v>
      </c>
      <c r="AY13" s="55">
        <v>0.50333333333333341</v>
      </c>
      <c r="AZ13" s="55">
        <v>20</v>
      </c>
      <c r="BA13" s="55">
        <v>0.52850000000000008</v>
      </c>
    </row>
    <row r="14" spans="1:53" ht="15.5" x14ac:dyDescent="0.35">
      <c r="A14" s="59">
        <v>11</v>
      </c>
      <c r="B14" s="27" t="s">
        <v>89</v>
      </c>
      <c r="C14" s="26" t="s">
        <v>42</v>
      </c>
      <c r="D14" s="26" t="s">
        <v>43</v>
      </c>
      <c r="E14" s="26" t="s">
        <v>74</v>
      </c>
      <c r="F14" s="47">
        <f>IF(All_data!F13="low-income",1,IF(All_data!F13="Middle-Income",2,IF(All_data!F13="High-Income",3,"check")))</f>
        <v>1</v>
      </c>
      <c r="G14" s="47">
        <v>2</v>
      </c>
      <c r="H14" s="47">
        <f>IF(All_data!H13="18-35 years",2,IF(All_data!H13="36-60 years",3,IF(All_data!H13="&gt;60 years",4,1)))</f>
        <v>3</v>
      </c>
      <c r="I14" s="47">
        <f>IF(All_data!I13="Male",0,1)</f>
        <v>1</v>
      </c>
      <c r="J14" s="73">
        <f>IF(All_data!J13="Illiterate",1,IF(All_data!J13="Primary",2,IF(All_data!J13="secondary",3,IF(All_data!J13="Tertiary",4,"check"))))</f>
        <v>2</v>
      </c>
      <c r="K14" s="47">
        <f>IF(All_data!K13="Government Employee",1,0)</f>
        <v>0</v>
      </c>
      <c r="L14" s="47">
        <f>IF(All_data!K13="Private Employee",1,0)</f>
        <v>0</v>
      </c>
      <c r="M14" s="47">
        <f>IF(All_data!K13="Business",1,0)</f>
        <v>1</v>
      </c>
      <c r="N14" s="47">
        <f>IF(All_data!K13="Student",1,0)</f>
        <v>0</v>
      </c>
      <c r="O14" s="47">
        <f>IF(All_data!K13="Housewife",1,0)</f>
        <v>0</v>
      </c>
      <c r="P14" s="47">
        <f>IF(All_data!K13="Retired",1,0)</f>
        <v>0</v>
      </c>
      <c r="Q14" s="47">
        <f>IF(All_data!L13="&lt;500,000",1,IF(All_data!L13="500,000 - 1,000,000",2,IF(All_data!L13="1,000,000 - 3,000,000",3,IF(All_data!L13="&gt;3,000,000",4,"check"))))</f>
        <v>2</v>
      </c>
      <c r="R14" s="63">
        <f>IF(All_data!M13="Spouse",1,0)</f>
        <v>0</v>
      </c>
      <c r="S14" s="47">
        <f>IF(All_data!M13="Son/Daughter",1,0)</f>
        <v>1</v>
      </c>
      <c r="T14" s="47">
        <f>IF(All_data!M13="Niece/nephew",1,0)</f>
        <v>0</v>
      </c>
      <c r="U14" s="47">
        <f>IF(All_data!M13="Household head",1,0)</f>
        <v>0</v>
      </c>
      <c r="V14" s="47">
        <f>IF(All_data!N13="&lt; 1 year",1,IF(All_data!N13="1-3 years",2,IF(All_data!N13="3-5 years",3,IF(All_data!N13="&gt; 5 years",4,"check"))))</f>
        <v>3</v>
      </c>
      <c r="W14" s="47">
        <f>IF(All_data!O13="Rented",1,0)</f>
        <v>1</v>
      </c>
      <c r="X14" s="73">
        <f>IF(All_data!P13="Bungalow",1,0)</f>
        <v>1</v>
      </c>
      <c r="Y14" s="73">
        <f>IF(All_data!P13="Temporary",1,0)</f>
        <v>0</v>
      </c>
      <c r="Z14" s="73">
        <f>IF(All_data!P13="Story Building",1,0)</f>
        <v>0</v>
      </c>
      <c r="AA14" s="73">
        <f>IF(All_data!Q13="Iron Sheets/titles",1,0)</f>
        <v>1</v>
      </c>
      <c r="AB14" s="74">
        <f>IF(All_data!R13="Concrete Blocks",1,0)</f>
        <v>0</v>
      </c>
      <c r="AC14" s="73">
        <f>IF(All_data!R13="Bricks",1,0)</f>
        <v>1</v>
      </c>
      <c r="AD14" s="73">
        <f>IF(All_data!R13="Mud/poles",1,0)</f>
        <v>0</v>
      </c>
      <c r="AE14" s="73">
        <f>IF(All_data!S13="tiles",1,0)</f>
        <v>0</v>
      </c>
      <c r="AF14" s="73">
        <f>IF(All_data!S13="Cemented",1,0)</f>
        <v>1</v>
      </c>
      <c r="AG14" s="73">
        <f>IF(All_data!S13="Mud",1,0)</f>
        <v>0</v>
      </c>
      <c r="AH14" s="73">
        <f>IF(All_data!T13="House connection",1,0)</f>
        <v>0</v>
      </c>
      <c r="AI14" s="73">
        <f>IF(All_data!T13="Yard tap",1,0)</f>
        <v>0</v>
      </c>
      <c r="AJ14" s="73">
        <f>IF(All_data!T13="Stand pipe",1,0)</f>
        <v>1</v>
      </c>
      <c r="AK14" s="73">
        <f>IF(All_data!U13="Shared Facilities ",1,0)</f>
        <v>0</v>
      </c>
      <c r="AL14" s="73">
        <f>IF(All_data!V13="paved",0,1)</f>
        <v>1</v>
      </c>
      <c r="AM14" s="55">
        <v>6.6400000000000006</v>
      </c>
      <c r="AN14" s="55">
        <v>0</v>
      </c>
      <c r="AO14" s="55">
        <v>0</v>
      </c>
      <c r="AP14" s="55">
        <v>2.5000000000000001E-2</v>
      </c>
      <c r="AQ14" s="55">
        <v>0.1</v>
      </c>
      <c r="AR14" s="55">
        <v>0</v>
      </c>
      <c r="AS14" s="55">
        <v>0</v>
      </c>
      <c r="AT14" s="55">
        <v>0</v>
      </c>
      <c r="AU14" s="55">
        <v>0</v>
      </c>
      <c r="AV14" s="55">
        <v>0</v>
      </c>
      <c r="AW14" s="55">
        <v>6.7650000000000006</v>
      </c>
      <c r="AX14" s="55">
        <v>0.96642857142857153</v>
      </c>
      <c r="AY14" s="55">
        <v>0.48321428571428576</v>
      </c>
      <c r="AZ14" s="55">
        <v>24</v>
      </c>
      <c r="BA14" s="55">
        <v>0.28187500000000004</v>
      </c>
    </row>
    <row r="15" spans="1:53" ht="15.5" x14ac:dyDescent="0.35">
      <c r="A15" s="59">
        <v>12</v>
      </c>
      <c r="B15" s="27" t="s">
        <v>90</v>
      </c>
      <c r="C15" s="26" t="s">
        <v>42</v>
      </c>
      <c r="D15" s="26" t="s">
        <v>43</v>
      </c>
      <c r="E15" s="26" t="s">
        <v>92</v>
      </c>
      <c r="F15" s="47">
        <f>IF(All_data!F14="low-income",1,IF(All_data!F14="Middle-Income",2,IF(All_data!F14="High-Income",3,"check")))</f>
        <v>1</v>
      </c>
      <c r="G15" s="47">
        <v>4</v>
      </c>
      <c r="H15" s="47">
        <f>IF(All_data!H14="18-35 years",2,IF(All_data!H14="36-60 years",3,IF(All_data!H14="&gt;60 years",4,1)))</f>
        <v>2</v>
      </c>
      <c r="I15" s="47">
        <f>IF(All_data!I14="Male",0,1)</f>
        <v>0</v>
      </c>
      <c r="J15" s="73">
        <f>IF(All_data!J14="Illiterate",1,IF(All_data!J14="Primary",2,IF(All_data!J14="secondary",3,IF(All_data!J14="Tertiary",4,"check"))))</f>
        <v>3</v>
      </c>
      <c r="K15" s="47">
        <f>IF(All_data!K14="Government Employee",1,0)</f>
        <v>0</v>
      </c>
      <c r="L15" s="47">
        <f>IF(All_data!K14="Private Employee",1,0)</f>
        <v>0</v>
      </c>
      <c r="M15" s="47">
        <f>IF(All_data!K14="Business",1,0)</f>
        <v>0</v>
      </c>
      <c r="N15" s="47">
        <f>IF(All_data!K14="Student",1,0)</f>
        <v>0</v>
      </c>
      <c r="O15" s="47">
        <f>IF(All_data!K14="Housewife",1,0)</f>
        <v>1</v>
      </c>
      <c r="P15" s="47">
        <f>IF(All_data!K14="Retired",1,0)</f>
        <v>0</v>
      </c>
      <c r="Q15" s="47">
        <f>IF(All_data!L14="&lt;500,000",1,IF(All_data!L14="500,000 - 1,000,000",2,IF(All_data!L14="1,000,000 - 3,000,000",3,IF(All_data!L14="&gt;3,000,000",4,"check"))))</f>
        <v>1</v>
      </c>
      <c r="R15" s="63">
        <f>IF(All_data!M14="Spouse",1,0)</f>
        <v>0</v>
      </c>
      <c r="S15" s="47">
        <f>IF(All_data!M14="Son/Daughter",1,0)</f>
        <v>0</v>
      </c>
      <c r="T15" s="47">
        <f>IF(All_data!M14="Niece/nephew",1,0)</f>
        <v>0</v>
      </c>
      <c r="U15" s="47">
        <f>IF(All_data!M14="Household head",1,0)</f>
        <v>1</v>
      </c>
      <c r="V15" s="47">
        <f>IF(All_data!N14="&lt; 1 year",1,IF(All_data!N14="1-3 years",2,IF(All_data!N14="3-5 years",3,IF(All_data!N14="&gt; 5 years",4,"check"))))</f>
        <v>4</v>
      </c>
      <c r="W15" s="47">
        <f>IF(All_data!O14="Rented",1,0)</f>
        <v>0</v>
      </c>
      <c r="X15" s="73">
        <f>IF(All_data!P14="Bungalow",1,0)</f>
        <v>1</v>
      </c>
      <c r="Y15" s="73">
        <f>IF(All_data!P14="Temporary",1,0)</f>
        <v>0</v>
      </c>
      <c r="Z15" s="73">
        <f>IF(All_data!P14="Story Building",1,0)</f>
        <v>0</v>
      </c>
      <c r="AA15" s="73">
        <f>IF(All_data!Q14="Iron Sheets/titles",1,0)</f>
        <v>1</v>
      </c>
      <c r="AB15" s="74">
        <f>IF(All_data!R14="Concrete Blocks",1,0)</f>
        <v>0</v>
      </c>
      <c r="AC15" s="73">
        <f>IF(All_data!R14="Bricks",1,0)</f>
        <v>1</v>
      </c>
      <c r="AD15" s="73">
        <f>IF(All_data!R14="Mud/poles",1,0)</f>
        <v>0</v>
      </c>
      <c r="AE15" s="73">
        <f>IF(All_data!S14="tiles",1,0)</f>
        <v>1</v>
      </c>
      <c r="AF15" s="73">
        <f>IF(All_data!S14="Cemented",1,0)</f>
        <v>0</v>
      </c>
      <c r="AG15" s="73">
        <f>IF(All_data!S14="Mud",1,0)</f>
        <v>0</v>
      </c>
      <c r="AH15" s="73">
        <f>IF(All_data!T14="House connection",1,0)</f>
        <v>1</v>
      </c>
      <c r="AI15" s="73">
        <f>IF(All_data!T14="Yard tap",1,0)</f>
        <v>0</v>
      </c>
      <c r="AJ15" s="73">
        <f>IF(All_data!T14="Stand pipe",1,0)</f>
        <v>0</v>
      </c>
      <c r="AK15" s="73">
        <f>IF(All_data!U14="Shared Facilities ",1,0)</f>
        <v>0</v>
      </c>
      <c r="AL15" s="73">
        <f>IF(All_data!V14="paved",0,1)</f>
        <v>1</v>
      </c>
      <c r="AM15" s="55">
        <v>8.52</v>
      </c>
      <c r="AN15" s="55">
        <v>0</v>
      </c>
      <c r="AO15" s="55">
        <v>0</v>
      </c>
      <c r="AP15" s="55">
        <v>5.5E-2</v>
      </c>
      <c r="AQ15" s="55">
        <v>0</v>
      </c>
      <c r="AR15" s="55">
        <v>0</v>
      </c>
      <c r="AS15" s="55">
        <v>0</v>
      </c>
      <c r="AT15" s="55">
        <v>2.9000000000000001E-2</v>
      </c>
      <c r="AU15" s="55">
        <v>0</v>
      </c>
      <c r="AV15" s="55">
        <v>0.32900000000000001</v>
      </c>
      <c r="AW15" s="55">
        <v>8.9329999999999998</v>
      </c>
      <c r="AX15" s="55">
        <v>1.276142857142857</v>
      </c>
      <c r="AY15" s="55">
        <v>0.31903571428571426</v>
      </c>
      <c r="AZ15" s="55">
        <v>30</v>
      </c>
      <c r="BA15" s="55">
        <v>0.29776666666666668</v>
      </c>
    </row>
    <row r="16" spans="1:53" ht="15.5" x14ac:dyDescent="0.35">
      <c r="A16" s="59">
        <v>13</v>
      </c>
      <c r="B16" s="27" t="s">
        <v>141</v>
      </c>
      <c r="C16" s="26" t="s">
        <v>42</v>
      </c>
      <c r="D16" s="26" t="s">
        <v>43</v>
      </c>
      <c r="E16" s="26" t="s">
        <v>92</v>
      </c>
      <c r="F16" s="47">
        <f>IF(All_data!F15="low-income",1,IF(All_data!F15="Middle-Income",2,IF(All_data!F15="High-Income",3,"check")))</f>
        <v>1</v>
      </c>
      <c r="G16" s="47">
        <v>3</v>
      </c>
      <c r="H16" s="47">
        <f>IF(All_data!H15="18-35 years",2,IF(All_data!H15="36-60 years",3,IF(All_data!H15="&gt;60 years",4,1)))</f>
        <v>4</v>
      </c>
      <c r="I16" s="47">
        <f>IF(All_data!I15="Male",0,1)</f>
        <v>0</v>
      </c>
      <c r="J16" s="73">
        <f>IF(All_data!J15="Illiterate",1,IF(All_data!J15="Primary",2,IF(All_data!J15="secondary",3,IF(All_data!J15="Tertiary",4,"check"))))</f>
        <v>2</v>
      </c>
      <c r="K16" s="47">
        <f>IF(All_data!K15="Government Employee",1,0)</f>
        <v>0</v>
      </c>
      <c r="L16" s="47">
        <f>IF(All_data!K15="Private Employee",1,0)</f>
        <v>0</v>
      </c>
      <c r="M16" s="47">
        <f>IF(All_data!K15="Business",1,0)</f>
        <v>0</v>
      </c>
      <c r="N16" s="47">
        <f>IF(All_data!K15="Student",1,0)</f>
        <v>0</v>
      </c>
      <c r="O16" s="47">
        <f>IF(All_data!K15="Housewife",1,0)</f>
        <v>0</v>
      </c>
      <c r="P16" s="47">
        <f>IF(All_data!K15="Retired",1,0)</f>
        <v>1</v>
      </c>
      <c r="Q16" s="47">
        <f>IF(All_data!L15="&lt;500,000",1,IF(All_data!L15="500,000 - 1,000,000",2,IF(All_data!L15="1,000,000 - 3,000,000",3,IF(All_data!L15="&gt;3,000,000",4,"check"))))</f>
        <v>1</v>
      </c>
      <c r="R16" s="63">
        <f>IF(All_data!M15="Spouse",1,0)</f>
        <v>0</v>
      </c>
      <c r="S16" s="47">
        <f>IF(All_data!M15="Son/Daughter",1,0)</f>
        <v>0</v>
      </c>
      <c r="T16" s="47">
        <f>IF(All_data!M15="Niece/nephew",1,0)</f>
        <v>0</v>
      </c>
      <c r="U16" s="47">
        <f>IF(All_data!M15="Household head",1,0)</f>
        <v>1</v>
      </c>
      <c r="V16" s="47">
        <f>IF(All_data!N15="&lt; 1 year",1,IF(All_data!N15="1-3 years",2,IF(All_data!N15="3-5 years",3,IF(All_data!N15="&gt; 5 years",4,"check"))))</f>
        <v>4</v>
      </c>
      <c r="W16" s="47">
        <f>IF(All_data!O15="Rented",1,0)</f>
        <v>0</v>
      </c>
      <c r="X16" s="73">
        <f>IF(All_data!P15="Bungalow",1,0)</f>
        <v>1</v>
      </c>
      <c r="Y16" s="73">
        <f>IF(All_data!P15="Temporary",1,0)</f>
        <v>0</v>
      </c>
      <c r="Z16" s="73">
        <f>IF(All_data!P15="Story Building",1,0)</f>
        <v>0</v>
      </c>
      <c r="AA16" s="73">
        <f>IF(All_data!Q15="Iron Sheets/titles",1,0)</f>
        <v>1</v>
      </c>
      <c r="AB16" s="74">
        <f>IF(All_data!R15="Concrete Blocks",1,0)</f>
        <v>0</v>
      </c>
      <c r="AC16" s="73">
        <f>IF(All_data!R15="Bricks",1,0)</f>
        <v>1</v>
      </c>
      <c r="AD16" s="73">
        <f>IF(All_data!R15="Mud/poles",1,0)</f>
        <v>0</v>
      </c>
      <c r="AE16" s="73">
        <f>IF(All_data!S15="tiles",1,0)</f>
        <v>0</v>
      </c>
      <c r="AF16" s="73">
        <f>IF(All_data!S15="Cemented",1,0)</f>
        <v>1</v>
      </c>
      <c r="AG16" s="73">
        <f>IF(All_data!S15="Mud",1,0)</f>
        <v>0</v>
      </c>
      <c r="AH16" s="73">
        <f>IF(All_data!T15="House connection",1,0)</f>
        <v>0</v>
      </c>
      <c r="AI16" s="73">
        <f>IF(All_data!T15="Yard tap",1,0)</f>
        <v>0</v>
      </c>
      <c r="AJ16" s="73">
        <f>IF(All_data!T15="Stand pipe",1,0)</f>
        <v>1</v>
      </c>
      <c r="AK16" s="73">
        <f>IF(All_data!U15="Shared Facilities ",1,0)</f>
        <v>0</v>
      </c>
      <c r="AL16" s="73">
        <f>IF(All_data!V15="paved",0,1)</f>
        <v>1</v>
      </c>
      <c r="AM16" s="55">
        <v>0.21000000000000002</v>
      </c>
      <c r="AN16" s="55">
        <v>0</v>
      </c>
      <c r="AO16" s="55">
        <v>0</v>
      </c>
      <c r="AP16" s="55">
        <v>0</v>
      </c>
      <c r="AQ16" s="55">
        <v>0</v>
      </c>
      <c r="AR16" s="55">
        <v>0.86999999999999988</v>
      </c>
      <c r="AS16" s="55">
        <v>0.57000000000000006</v>
      </c>
      <c r="AT16" s="55">
        <v>0</v>
      </c>
      <c r="AU16" s="55">
        <v>0</v>
      </c>
      <c r="AV16" s="55">
        <v>0.5</v>
      </c>
      <c r="AW16" s="55">
        <v>2.15</v>
      </c>
      <c r="AX16" s="55">
        <v>0.30714285714285711</v>
      </c>
      <c r="AY16" s="55">
        <v>0.10238095238095236</v>
      </c>
      <c r="AZ16" s="55">
        <v>4</v>
      </c>
      <c r="BA16" s="55">
        <v>0.53749999999999998</v>
      </c>
    </row>
    <row r="17" spans="1:53" ht="15.5" x14ac:dyDescent="0.35">
      <c r="A17" s="59">
        <v>14</v>
      </c>
      <c r="B17" s="27" t="s">
        <v>91</v>
      </c>
      <c r="C17" s="26" t="s">
        <v>42</v>
      </c>
      <c r="D17" s="26" t="s">
        <v>43</v>
      </c>
      <c r="E17" s="26" t="s">
        <v>92</v>
      </c>
      <c r="F17" s="47">
        <f>IF(All_data!F16="low-income",1,IF(All_data!F16="Middle-Income",2,IF(All_data!F16="High-Income",3,"check")))</f>
        <v>1</v>
      </c>
      <c r="G17" s="47">
        <v>6</v>
      </c>
      <c r="H17" s="47">
        <f>IF(All_data!H16="18-35 years",2,IF(All_data!H16="36-60 years",3,IF(All_data!H16="&gt;60 years",4,1)))</f>
        <v>3</v>
      </c>
      <c r="I17" s="47">
        <f>IF(All_data!I16="Male",0,1)</f>
        <v>0</v>
      </c>
      <c r="J17" s="73">
        <f>IF(All_data!J16="Illiterate",1,IF(All_data!J16="Primary",2,IF(All_data!J16="secondary",3,IF(All_data!J16="Tertiary",4,"check"))))</f>
        <v>1</v>
      </c>
      <c r="K17" s="47">
        <f>IF(All_data!K16="Government Employee",1,0)</f>
        <v>0</v>
      </c>
      <c r="L17" s="47">
        <f>IF(All_data!K16="Private Employee",1,0)</f>
        <v>0</v>
      </c>
      <c r="M17" s="47">
        <f>IF(All_data!K16="Business",1,0)</f>
        <v>1</v>
      </c>
      <c r="N17" s="47">
        <f>IF(All_data!K16="Student",1,0)</f>
        <v>0</v>
      </c>
      <c r="O17" s="47">
        <f>IF(All_data!K16="Housewife",1,0)</f>
        <v>0</v>
      </c>
      <c r="P17" s="47">
        <f>IF(All_data!K16="Retired",1,0)</f>
        <v>0</v>
      </c>
      <c r="Q17" s="47">
        <f>IF(All_data!L16="&lt;500,000",1,IF(All_data!L16="500,000 - 1,000,000",2,IF(All_data!L16="1,000,000 - 3,000,000",3,IF(All_data!L16="&gt;3,000,000",4,"check"))))</f>
        <v>1</v>
      </c>
      <c r="R17" s="63">
        <f>IF(All_data!M16="Spouse",1,0)</f>
        <v>0</v>
      </c>
      <c r="S17" s="47">
        <f>IF(All_data!M16="Son/Daughter",1,0)</f>
        <v>1</v>
      </c>
      <c r="T17" s="47">
        <f>IF(All_data!M16="Niece/nephew",1,0)</f>
        <v>0</v>
      </c>
      <c r="U17" s="47">
        <f>IF(All_data!M16="Household head",1,0)</f>
        <v>0</v>
      </c>
      <c r="V17" s="47">
        <f>IF(All_data!N16="&lt; 1 year",1,IF(All_data!N16="1-3 years",2,IF(All_data!N16="3-5 years",3,IF(All_data!N16="&gt; 5 years",4,"check"))))</f>
        <v>4</v>
      </c>
      <c r="W17" s="47">
        <f>IF(All_data!O16="Rented",1,0)</f>
        <v>1</v>
      </c>
      <c r="X17" s="73">
        <f>IF(All_data!P16="Bungalow",1,0)</f>
        <v>1</v>
      </c>
      <c r="Y17" s="73">
        <f>IF(All_data!P16="Temporary",1,0)</f>
        <v>0</v>
      </c>
      <c r="Z17" s="73">
        <f>IF(All_data!P16="Story Building",1,0)</f>
        <v>0</v>
      </c>
      <c r="AA17" s="73">
        <f>IF(All_data!Q16="Iron Sheets/titles",1,0)</f>
        <v>1</v>
      </c>
      <c r="AB17" s="74">
        <f>IF(All_data!R16="Concrete Blocks",1,0)</f>
        <v>0</v>
      </c>
      <c r="AC17" s="73">
        <f>IF(All_data!R16="Bricks",1,0)</f>
        <v>1</v>
      </c>
      <c r="AD17" s="73">
        <f>IF(All_data!R16="Mud/poles",1,0)</f>
        <v>0</v>
      </c>
      <c r="AE17" s="73">
        <f>IF(All_data!S16="tiles",1,0)</f>
        <v>0</v>
      </c>
      <c r="AF17" s="73">
        <f>IF(All_data!S16="Cemented",1,0)</f>
        <v>1</v>
      </c>
      <c r="AG17" s="73">
        <f>IF(All_data!S16="Mud",1,0)</f>
        <v>0</v>
      </c>
      <c r="AH17" s="73">
        <f>IF(All_data!T16="House connection",1,0)</f>
        <v>0</v>
      </c>
      <c r="AI17" s="73">
        <f>IF(All_data!T16="Yard tap",1,0)</f>
        <v>0</v>
      </c>
      <c r="AJ17" s="73">
        <f>IF(All_data!T16="Stand pipe",1,0)</f>
        <v>1</v>
      </c>
      <c r="AK17" s="73">
        <f>IF(All_data!U16="Shared Facilities ",1,0)</f>
        <v>0</v>
      </c>
      <c r="AL17" s="73">
        <f>IF(All_data!V16="paved",0,1)</f>
        <v>1</v>
      </c>
      <c r="AM17" s="55">
        <v>9.42</v>
      </c>
      <c r="AN17" s="55">
        <v>0</v>
      </c>
      <c r="AO17" s="55">
        <v>6.9000000000000006E-2</v>
      </c>
      <c r="AP17" s="55">
        <v>0.309</v>
      </c>
      <c r="AQ17" s="55">
        <v>0.28799999999999998</v>
      </c>
      <c r="AR17" s="55">
        <v>0.47399999999999998</v>
      </c>
      <c r="AS17" s="55">
        <v>0.151</v>
      </c>
      <c r="AT17" s="55">
        <v>0</v>
      </c>
      <c r="AU17" s="55">
        <v>0</v>
      </c>
      <c r="AV17" s="55">
        <v>0.83999999999999986</v>
      </c>
      <c r="AW17" s="55">
        <v>11.551</v>
      </c>
      <c r="AX17" s="55">
        <v>1.6501428571428571</v>
      </c>
      <c r="AY17" s="55">
        <v>0.2750238095238095</v>
      </c>
      <c r="AZ17" s="55">
        <v>40</v>
      </c>
      <c r="BA17" s="55">
        <v>0.288775</v>
      </c>
    </row>
    <row r="18" spans="1:53" ht="15.5" x14ac:dyDescent="0.35">
      <c r="A18" s="59">
        <v>15</v>
      </c>
      <c r="B18" s="27" t="s">
        <v>94</v>
      </c>
      <c r="C18" s="26" t="s">
        <v>42</v>
      </c>
      <c r="D18" s="26" t="s">
        <v>43</v>
      </c>
      <c r="E18" s="26" t="s">
        <v>92</v>
      </c>
      <c r="F18" s="47">
        <f>IF(All_data!F17="low-income",1,IF(All_data!F17="Middle-Income",2,IF(All_data!F17="High-Income",3,"check")))</f>
        <v>1</v>
      </c>
      <c r="G18" s="47">
        <v>11</v>
      </c>
      <c r="H18" s="47">
        <f>IF(All_data!H17="18-35 years",2,IF(All_data!H17="36-60 years",3,IF(All_data!H17="&gt;60 years",4,1)))</f>
        <v>4</v>
      </c>
      <c r="I18" s="47">
        <f>IF(All_data!I17="Male",0,1)</f>
        <v>0</v>
      </c>
      <c r="J18" s="73">
        <f>IF(All_data!J17="Illiterate",1,IF(All_data!J17="Primary",2,IF(All_data!J17="secondary",3,IF(All_data!J17="Tertiary",4,"check"))))</f>
        <v>2</v>
      </c>
      <c r="K18" s="47">
        <f>IF(All_data!K17="Government Employee",1,0)</f>
        <v>0</v>
      </c>
      <c r="L18" s="47">
        <f>IF(All_data!K17="Private Employee",1,0)</f>
        <v>0</v>
      </c>
      <c r="M18" s="47">
        <f>IF(All_data!K17="Business",1,0)</f>
        <v>1</v>
      </c>
      <c r="N18" s="47">
        <f>IF(All_data!K17="Student",1,0)</f>
        <v>0</v>
      </c>
      <c r="O18" s="47">
        <f>IF(All_data!K17="Housewife",1,0)</f>
        <v>0</v>
      </c>
      <c r="P18" s="47">
        <f>IF(All_data!K17="Retired",1,0)</f>
        <v>0</v>
      </c>
      <c r="Q18" s="47">
        <f>IF(All_data!L17="&lt;500,000",1,IF(All_data!L17="500,000 - 1,000,000",2,IF(All_data!L17="1,000,000 - 3,000,000",3,IF(All_data!L17="&gt;3,000,000",4,"check"))))</f>
        <v>1</v>
      </c>
      <c r="R18" s="63">
        <f>IF(All_data!M17="Spouse",1,0)</f>
        <v>0</v>
      </c>
      <c r="S18" s="47">
        <f>IF(All_data!M17="Son/Daughter",1,0)</f>
        <v>0</v>
      </c>
      <c r="T18" s="47">
        <f>IF(All_data!M17="Niece/nephew",1,0)</f>
        <v>0</v>
      </c>
      <c r="U18" s="47">
        <f>IF(All_data!M17="Household head",1,0)</f>
        <v>1</v>
      </c>
      <c r="V18" s="47">
        <f>IF(All_data!N17="&lt; 1 year",1,IF(All_data!N17="1-3 years",2,IF(All_data!N17="3-5 years",3,IF(All_data!N17="&gt; 5 years",4,"check"))))</f>
        <v>4</v>
      </c>
      <c r="W18" s="47">
        <f>IF(All_data!O17="Rented",1,0)</f>
        <v>0</v>
      </c>
      <c r="X18" s="73">
        <f>IF(All_data!P17="Bungalow",1,0)</f>
        <v>0</v>
      </c>
      <c r="Y18" s="73">
        <f>IF(All_data!P17="Temporary",1,0)</f>
        <v>1</v>
      </c>
      <c r="Z18" s="73">
        <f>IF(All_data!P17="Story Building",1,0)</f>
        <v>0</v>
      </c>
      <c r="AA18" s="73">
        <f>IF(All_data!Q17="Iron Sheets/titles",1,0)</f>
        <v>1</v>
      </c>
      <c r="AB18" s="74">
        <f>IF(All_data!R17="Concrete Blocks",1,0)</f>
        <v>0</v>
      </c>
      <c r="AC18" s="73">
        <f>IF(All_data!R17="Bricks",1,0)</f>
        <v>1</v>
      </c>
      <c r="AD18" s="73">
        <f>IF(All_data!R17="Mud/poles",1,0)</f>
        <v>0</v>
      </c>
      <c r="AE18" s="73">
        <f>IF(All_data!S17="tiles",1,0)</f>
        <v>0</v>
      </c>
      <c r="AF18" s="73">
        <f>IF(All_data!S17="Cemented",1,0)</f>
        <v>1</v>
      </c>
      <c r="AG18" s="73">
        <f>IF(All_data!S17="Mud",1,0)</f>
        <v>0</v>
      </c>
      <c r="AH18" s="73">
        <f>IF(All_data!T17="House connection",1,0)</f>
        <v>0</v>
      </c>
      <c r="AI18" s="73">
        <f>IF(All_data!T17="Yard tap",1,0)</f>
        <v>1</v>
      </c>
      <c r="AJ18" s="73">
        <f>IF(All_data!T17="Stand pipe",1,0)</f>
        <v>0</v>
      </c>
      <c r="AK18" s="73">
        <f>IF(All_data!U17="Shared Facilities ",1,0)</f>
        <v>0</v>
      </c>
      <c r="AL18" s="73">
        <f>IF(All_data!V17="paved",0,1)</f>
        <v>1</v>
      </c>
      <c r="AM18" s="55">
        <v>13.12</v>
      </c>
      <c r="AN18" s="55">
        <v>0</v>
      </c>
      <c r="AO18" s="55">
        <v>0</v>
      </c>
      <c r="AP18" s="55">
        <v>2.4299999999999997</v>
      </c>
      <c r="AQ18" s="55">
        <v>0</v>
      </c>
      <c r="AR18" s="55">
        <v>4.29</v>
      </c>
      <c r="AS18" s="55">
        <v>1.7160000000000002</v>
      </c>
      <c r="AT18" s="55">
        <v>0</v>
      </c>
      <c r="AU18" s="55">
        <v>0</v>
      </c>
      <c r="AV18" s="55">
        <v>0</v>
      </c>
      <c r="AW18" s="55">
        <v>21.556000000000001</v>
      </c>
      <c r="AX18" s="55">
        <v>3.0794285714285716</v>
      </c>
      <c r="AY18" s="55">
        <v>0.27994805194805195</v>
      </c>
      <c r="AZ18" s="55">
        <v>64</v>
      </c>
      <c r="BA18" s="55">
        <v>0.33681250000000001</v>
      </c>
    </row>
    <row r="19" spans="1:53" ht="15.5" x14ac:dyDescent="0.35">
      <c r="A19" s="59">
        <v>16</v>
      </c>
      <c r="B19" s="27" t="s">
        <v>95</v>
      </c>
      <c r="C19" s="26" t="s">
        <v>42</v>
      </c>
      <c r="D19" s="26" t="s">
        <v>43</v>
      </c>
      <c r="E19" s="26" t="s">
        <v>92</v>
      </c>
      <c r="F19" s="47">
        <f>IF(All_data!F18="low-income",1,IF(All_data!F18="Middle-Income",2,IF(All_data!F18="High-Income",3,"check")))</f>
        <v>1</v>
      </c>
      <c r="G19" s="47">
        <v>3</v>
      </c>
      <c r="H19" s="47">
        <f>IF(All_data!H18="18-35 years",2,IF(All_data!H18="36-60 years",3,IF(All_data!H18="&gt;60 years",4,1)))</f>
        <v>2</v>
      </c>
      <c r="I19" s="47">
        <f>IF(All_data!I18="Male",0,1)</f>
        <v>1</v>
      </c>
      <c r="J19" s="73">
        <f>IF(All_data!J18="Illiterate",1,IF(All_data!J18="Primary",2,IF(All_data!J18="secondary",3,IF(All_data!J18="Tertiary",4,"check"))))</f>
        <v>3</v>
      </c>
      <c r="K19" s="47">
        <f>IF(All_data!K18="Government Employee",1,0)</f>
        <v>0</v>
      </c>
      <c r="L19" s="47">
        <f>IF(All_data!K18="Private Employee",1,0)</f>
        <v>0</v>
      </c>
      <c r="M19" s="47">
        <f>IF(All_data!K18="Business",1,0)</f>
        <v>1</v>
      </c>
      <c r="N19" s="47">
        <f>IF(All_data!K18="Student",1,0)</f>
        <v>0</v>
      </c>
      <c r="O19" s="47">
        <f>IF(All_data!K18="Housewife",1,0)</f>
        <v>0</v>
      </c>
      <c r="P19" s="47">
        <f>IF(All_data!K18="Retired",1,0)</f>
        <v>0</v>
      </c>
      <c r="Q19" s="47">
        <f>IF(All_data!L18="&lt;500,000",1,IF(All_data!L18="500,000 - 1,000,000",2,IF(All_data!L18="1,000,000 - 3,000,000",3,IF(All_data!L18="&gt;3,000,000",4,"check"))))</f>
        <v>1</v>
      </c>
      <c r="R19" s="63">
        <f>IF(All_data!M18="Spouse",1,0)</f>
        <v>0</v>
      </c>
      <c r="S19" s="47">
        <f>IF(All_data!M18="Son/Daughter",1,0)</f>
        <v>0</v>
      </c>
      <c r="T19" s="47">
        <f>IF(All_data!M18="Niece/nephew",1,0)</f>
        <v>0</v>
      </c>
      <c r="U19" s="47">
        <f>IF(All_data!M18="Household head",1,0)</f>
        <v>1</v>
      </c>
      <c r="V19" s="47">
        <f>IF(All_data!N18="&lt; 1 year",1,IF(All_data!N18="1-3 years",2,IF(All_data!N18="3-5 years",3,IF(All_data!N18="&gt; 5 years",4,"check"))))</f>
        <v>2</v>
      </c>
      <c r="W19" s="47">
        <f>IF(All_data!O18="Rented",1,0)</f>
        <v>1</v>
      </c>
      <c r="X19" s="73">
        <f>IF(All_data!P18="Bungalow",1,0)</f>
        <v>1</v>
      </c>
      <c r="Y19" s="73">
        <f>IF(All_data!P18="Temporary",1,0)</f>
        <v>0</v>
      </c>
      <c r="Z19" s="73">
        <f>IF(All_data!P18="Story Building",1,0)</f>
        <v>0</v>
      </c>
      <c r="AA19" s="73">
        <f>IF(All_data!Q18="Iron Sheets/titles",1,0)</f>
        <v>1</v>
      </c>
      <c r="AB19" s="74">
        <f>IF(All_data!R18="Concrete Blocks",1,0)</f>
        <v>0</v>
      </c>
      <c r="AC19" s="73">
        <f>IF(All_data!R18="Bricks",1,0)</f>
        <v>0</v>
      </c>
      <c r="AD19" s="73">
        <f>IF(All_data!R18="Mud/poles",1,0)</f>
        <v>1</v>
      </c>
      <c r="AE19" s="73">
        <f>IF(All_data!S18="tiles",1,0)</f>
        <v>0</v>
      </c>
      <c r="AF19" s="73">
        <f>IF(All_data!S18="Cemented",1,0)</f>
        <v>0</v>
      </c>
      <c r="AG19" s="73">
        <f>IF(All_data!S18="Mud",1,0)</f>
        <v>1</v>
      </c>
      <c r="AH19" s="73">
        <f>IF(All_data!T18="House connection",1,0)</f>
        <v>0</v>
      </c>
      <c r="AI19" s="73">
        <f>IF(All_data!T18="Yard tap",1,0)</f>
        <v>0</v>
      </c>
      <c r="AJ19" s="73">
        <f>IF(All_data!T18="Stand pipe",1,0)</f>
        <v>1</v>
      </c>
      <c r="AK19" s="73">
        <f>IF(All_data!U18="Shared Facilities ",1,0)</f>
        <v>1</v>
      </c>
      <c r="AL19" s="73">
        <f>IF(All_data!V18="paved",0,1)</f>
        <v>1</v>
      </c>
      <c r="AM19" s="55">
        <v>4.18</v>
      </c>
      <c r="AN19" s="55">
        <v>0</v>
      </c>
      <c r="AO19" s="55">
        <v>0</v>
      </c>
      <c r="AP19" s="55">
        <v>0</v>
      </c>
      <c r="AQ19" s="55">
        <v>0</v>
      </c>
      <c r="AR19" s="55">
        <v>0.50700000000000001</v>
      </c>
      <c r="AS19" s="55">
        <v>0</v>
      </c>
      <c r="AT19" s="55">
        <v>0</v>
      </c>
      <c r="AU19" s="55">
        <v>0</v>
      </c>
      <c r="AV19" s="55">
        <v>0.51500000000000001</v>
      </c>
      <c r="AW19" s="55">
        <v>5.202</v>
      </c>
      <c r="AX19" s="55">
        <v>0.74314285714285711</v>
      </c>
      <c r="AY19" s="55">
        <v>0.24771428571428569</v>
      </c>
      <c r="AZ19" s="55">
        <v>10</v>
      </c>
      <c r="BA19" s="55">
        <v>0.5202</v>
      </c>
    </row>
    <row r="20" spans="1:53" ht="15.5" x14ac:dyDescent="0.35">
      <c r="A20" s="59">
        <v>17</v>
      </c>
      <c r="B20" s="27" t="s">
        <v>96</v>
      </c>
      <c r="C20" s="26" t="s">
        <v>42</v>
      </c>
      <c r="D20" s="26" t="s">
        <v>43</v>
      </c>
      <c r="E20" s="26" t="s">
        <v>92</v>
      </c>
      <c r="F20" s="47">
        <f>IF(All_data!F19="low-income",1,IF(All_data!F19="Middle-Income",2,IF(All_data!F19="High-Income",3,"check")))</f>
        <v>1</v>
      </c>
      <c r="G20" s="47">
        <v>12</v>
      </c>
      <c r="H20" s="47">
        <f>IF(All_data!H19="18-35 years",2,IF(All_data!H19="36-60 years",3,IF(All_data!H19="&gt;60 years",4,1)))</f>
        <v>3</v>
      </c>
      <c r="I20" s="47">
        <f>IF(All_data!I19="Male",0,1)</f>
        <v>1</v>
      </c>
      <c r="J20" s="73">
        <f>IF(All_data!J19="Illiterate",1,IF(All_data!J19="Primary",2,IF(All_data!J19="secondary",3,IF(All_data!J19="Tertiary",4,"check"))))</f>
        <v>3</v>
      </c>
      <c r="K20" s="47">
        <f>IF(All_data!K19="Government Employee",1,0)</f>
        <v>0</v>
      </c>
      <c r="L20" s="47">
        <f>IF(All_data!K19="Private Employee",1,0)</f>
        <v>0</v>
      </c>
      <c r="M20" s="47">
        <f>IF(All_data!K19="Business",1,0)</f>
        <v>1</v>
      </c>
      <c r="N20" s="47">
        <f>IF(All_data!K19="Student",1,0)</f>
        <v>0</v>
      </c>
      <c r="O20" s="47">
        <f>IF(All_data!K19="Housewife",1,0)</f>
        <v>0</v>
      </c>
      <c r="P20" s="47">
        <f>IF(All_data!K19="Retired",1,0)</f>
        <v>0</v>
      </c>
      <c r="Q20" s="47">
        <f>IF(All_data!L19="&lt;500,000",1,IF(All_data!L19="500,000 - 1,000,000",2,IF(All_data!L19="1,000,000 - 3,000,000",3,IF(All_data!L19="&gt;3,000,000",4,"check"))))</f>
        <v>1</v>
      </c>
      <c r="R20" s="63">
        <f>IF(All_data!M19="Spouse",1,0)</f>
        <v>0</v>
      </c>
      <c r="S20" s="47">
        <f>IF(All_data!M19="Son/Daughter",1,0)</f>
        <v>0</v>
      </c>
      <c r="T20" s="47">
        <f>IF(All_data!M19="Niece/nephew",1,0)</f>
        <v>0</v>
      </c>
      <c r="U20" s="47">
        <f>IF(All_data!M19="Household head",1,0)</f>
        <v>1</v>
      </c>
      <c r="V20" s="47">
        <f>IF(All_data!N19="&lt; 1 year",1,IF(All_data!N19="1-3 years",2,IF(All_data!N19="3-5 years",3,IF(All_data!N19="&gt; 5 years",4,"check"))))</f>
        <v>4</v>
      </c>
      <c r="W20" s="47">
        <f>IF(All_data!O19="Rented",1,0)</f>
        <v>0</v>
      </c>
      <c r="X20" s="73">
        <f>IF(All_data!P19="Bungalow",1,0)</f>
        <v>1</v>
      </c>
      <c r="Y20" s="73">
        <f>IF(All_data!P19="Temporary",1,0)</f>
        <v>0</v>
      </c>
      <c r="Z20" s="73">
        <f>IF(All_data!P19="Story Building",1,0)</f>
        <v>0</v>
      </c>
      <c r="AA20" s="73">
        <f>IF(All_data!Q19="Iron Sheets/titles",1,0)</f>
        <v>1</v>
      </c>
      <c r="AB20" s="74">
        <f>IF(All_data!R19="Concrete Blocks",1,0)</f>
        <v>0</v>
      </c>
      <c r="AC20" s="73">
        <f>IF(All_data!R19="Bricks",1,0)</f>
        <v>0</v>
      </c>
      <c r="AD20" s="73">
        <f>IF(All_data!R19="Mud/poles",1,0)</f>
        <v>1</v>
      </c>
      <c r="AE20" s="73">
        <f>IF(All_data!S19="tiles",1,0)</f>
        <v>0</v>
      </c>
      <c r="AF20" s="73">
        <f>IF(All_data!S19="Cemented",1,0)</f>
        <v>0</v>
      </c>
      <c r="AG20" s="73">
        <f>IF(All_data!S19="Mud",1,0)</f>
        <v>1</v>
      </c>
      <c r="AH20" s="73">
        <f>IF(All_data!T19="House connection",1,0)</f>
        <v>0</v>
      </c>
      <c r="AI20" s="73">
        <f>IF(All_data!T19="Yard tap",1,0)</f>
        <v>0</v>
      </c>
      <c r="AJ20" s="73">
        <f>IF(All_data!T19="Stand pipe",1,0)</f>
        <v>1</v>
      </c>
      <c r="AK20" s="73">
        <f>IF(All_data!U19="Shared Facilities ",1,0)</f>
        <v>1</v>
      </c>
      <c r="AL20" s="73">
        <f>IF(All_data!V19="paved",0,1)</f>
        <v>1</v>
      </c>
      <c r="AM20" s="55">
        <v>34.08</v>
      </c>
      <c r="AN20" s="55">
        <v>0</v>
      </c>
      <c r="AO20" s="55">
        <v>0</v>
      </c>
      <c r="AP20" s="55">
        <v>0</v>
      </c>
      <c r="AQ20" s="55">
        <v>0</v>
      </c>
      <c r="AR20" s="55">
        <v>0</v>
      </c>
      <c r="AS20" s="55">
        <v>0</v>
      </c>
      <c r="AT20" s="55">
        <v>0</v>
      </c>
      <c r="AU20" s="55">
        <v>0</v>
      </c>
      <c r="AV20" s="55">
        <v>0</v>
      </c>
      <c r="AW20" s="55">
        <v>37.28</v>
      </c>
      <c r="AX20" s="55">
        <v>5.3257142857142856</v>
      </c>
      <c r="AY20" s="55">
        <v>0.44380952380952382</v>
      </c>
      <c r="AZ20" s="55">
        <v>140</v>
      </c>
      <c r="BA20" s="55">
        <v>0.26628571428571429</v>
      </c>
    </row>
    <row r="21" spans="1:53" ht="15.5" x14ac:dyDescent="0.35">
      <c r="A21" s="59">
        <v>18</v>
      </c>
      <c r="B21" s="27" t="s">
        <v>97</v>
      </c>
      <c r="C21" s="26" t="s">
        <v>42</v>
      </c>
      <c r="D21" s="26" t="s">
        <v>43</v>
      </c>
      <c r="E21" s="29" t="s">
        <v>102</v>
      </c>
      <c r="F21" s="47">
        <f>IF(All_data!F20="low-income",1,IF(All_data!F20="Middle-Income",2,IF(All_data!F20="High-Income",3,"check")))</f>
        <v>1</v>
      </c>
      <c r="G21" s="47">
        <v>6</v>
      </c>
      <c r="H21" s="47">
        <f>IF(All_data!H20="18-35 years",2,IF(All_data!H20="36-60 years",3,IF(All_data!H20="&gt;60 years",4,1)))</f>
        <v>3</v>
      </c>
      <c r="I21" s="47">
        <f>IF(All_data!I20="Male",0,1)</f>
        <v>0</v>
      </c>
      <c r="J21" s="73">
        <f>IF(All_data!J20="Illiterate",1,IF(All_data!J20="Primary",2,IF(All_data!J20="secondary",3,IF(All_data!J20="Tertiary",4,"check"))))</f>
        <v>4</v>
      </c>
      <c r="K21" s="47">
        <f>IF(All_data!K20="Government Employee",1,0)</f>
        <v>1</v>
      </c>
      <c r="L21" s="47">
        <f>IF(All_data!K20="Private Employee",1,0)</f>
        <v>0</v>
      </c>
      <c r="M21" s="47">
        <f>IF(All_data!K20="Business",1,0)</f>
        <v>0</v>
      </c>
      <c r="N21" s="47">
        <f>IF(All_data!K20="Student",1,0)</f>
        <v>0</v>
      </c>
      <c r="O21" s="47">
        <f>IF(All_data!K20="Housewife",1,0)</f>
        <v>0</v>
      </c>
      <c r="P21" s="47">
        <f>IF(All_data!K20="Retired",1,0)</f>
        <v>0</v>
      </c>
      <c r="Q21" s="47">
        <f>IF(All_data!L20="&lt;500,000",1,IF(All_data!L20="500,000 - 1,000,000",2,IF(All_data!L20="1,000,000 - 3,000,000",3,IF(All_data!L20="&gt;3,000,000",4,"check"))))</f>
        <v>3</v>
      </c>
      <c r="R21" s="63">
        <f>IF(All_data!M20="Spouse",1,0)</f>
        <v>1</v>
      </c>
      <c r="S21" s="47">
        <f>IF(All_data!M20="Son/Daughter",1,0)</f>
        <v>0</v>
      </c>
      <c r="T21" s="47">
        <f>IF(All_data!M20="Niece/nephew",1,0)</f>
        <v>0</v>
      </c>
      <c r="U21" s="47">
        <f>IF(All_data!M20="Household head",1,0)</f>
        <v>0</v>
      </c>
      <c r="V21" s="47">
        <f>IF(All_data!N20="&lt; 1 year",1,IF(All_data!N20="1-3 years",2,IF(All_data!N20="3-5 years",3,IF(All_data!N20="&gt; 5 years",4,"check"))))</f>
        <v>2</v>
      </c>
      <c r="W21" s="47">
        <f>IF(All_data!O20="Rented",1,0)</f>
        <v>1</v>
      </c>
      <c r="X21" s="73">
        <f>IF(All_data!P20="Bungalow",1,0)</f>
        <v>1</v>
      </c>
      <c r="Y21" s="73">
        <f>IF(All_data!P20="Temporary",1,0)</f>
        <v>0</v>
      </c>
      <c r="Z21" s="73">
        <f>IF(All_data!P20="Story Building",1,0)</f>
        <v>0</v>
      </c>
      <c r="AA21" s="73">
        <f>IF(All_data!Q20="Iron Sheets/titles",1,0)</f>
        <v>1</v>
      </c>
      <c r="AB21" s="74">
        <f>IF(All_data!R20="Concrete Blocks",1,0)</f>
        <v>0</v>
      </c>
      <c r="AC21" s="73">
        <f>IF(All_data!R20="Bricks",1,0)</f>
        <v>1</v>
      </c>
      <c r="AD21" s="73">
        <f>IF(All_data!R20="Mud/poles",1,0)</f>
        <v>0</v>
      </c>
      <c r="AE21" s="73">
        <f>IF(All_data!S20="tiles",1,0)</f>
        <v>1</v>
      </c>
      <c r="AF21" s="73">
        <f>IF(All_data!S20="Cemented",1,0)</f>
        <v>0</v>
      </c>
      <c r="AG21" s="73">
        <f>IF(All_data!S20="Mud",1,0)</f>
        <v>0</v>
      </c>
      <c r="AH21" s="73">
        <f>IF(All_data!T20="House connection",1,0)</f>
        <v>1</v>
      </c>
      <c r="AI21" s="73">
        <f>IF(All_data!T20="Yard tap",1,0)</f>
        <v>0</v>
      </c>
      <c r="AJ21" s="73">
        <f>IF(All_data!T20="Stand pipe",1,0)</f>
        <v>0</v>
      </c>
      <c r="AK21" s="73">
        <f>IF(All_data!U20="Shared Facilities ",1,0)</f>
        <v>0</v>
      </c>
      <c r="AL21" s="73">
        <f>IF(All_data!V20="paved",0,1)</f>
        <v>1</v>
      </c>
      <c r="AM21" s="55">
        <v>22.380000000000003</v>
      </c>
      <c r="AN21" s="55">
        <v>0.41499999999999998</v>
      </c>
      <c r="AO21" s="55">
        <v>0</v>
      </c>
      <c r="AP21" s="55">
        <v>0</v>
      </c>
      <c r="AQ21" s="55">
        <v>0.23699999999999999</v>
      </c>
      <c r="AR21" s="55">
        <v>0.32900000000000001</v>
      </c>
      <c r="AS21" s="55">
        <v>1.492</v>
      </c>
      <c r="AT21" s="55">
        <v>0</v>
      </c>
      <c r="AU21" s="55">
        <v>0</v>
      </c>
      <c r="AV21" s="55">
        <v>8.1000000000000003E-2</v>
      </c>
      <c r="AW21" s="55">
        <v>24.934000000000001</v>
      </c>
      <c r="AX21" s="55">
        <v>3.5620000000000003</v>
      </c>
      <c r="AY21" s="55">
        <v>0.59366666666666668</v>
      </c>
      <c r="AZ21" s="55">
        <v>70</v>
      </c>
      <c r="BA21" s="55">
        <v>0.35620000000000002</v>
      </c>
    </row>
    <row r="22" spans="1:53" ht="15.5" x14ac:dyDescent="0.35">
      <c r="A22" s="59">
        <v>19</v>
      </c>
      <c r="B22" s="27" t="s">
        <v>100</v>
      </c>
      <c r="C22" s="26" t="s">
        <v>42</v>
      </c>
      <c r="D22" s="26" t="s">
        <v>43</v>
      </c>
      <c r="E22" s="29" t="s">
        <v>102</v>
      </c>
      <c r="F22" s="47">
        <f>IF(All_data!F21="low-income",1,IF(All_data!F21="Middle-Income",2,IF(All_data!F21="High-Income",3,"check")))</f>
        <v>1</v>
      </c>
      <c r="G22" s="47">
        <v>7</v>
      </c>
      <c r="H22" s="47">
        <f>IF(All_data!H21="18-35 years",2,IF(All_data!H21="36-60 years",3,IF(All_data!H21="&gt;60 years",4,1)))</f>
        <v>4</v>
      </c>
      <c r="I22" s="47">
        <f>IF(All_data!I21="Male",0,1)</f>
        <v>0</v>
      </c>
      <c r="J22" s="73">
        <f>IF(All_data!J21="Illiterate",1,IF(All_data!J21="Primary",2,IF(All_data!J21="secondary",3,IF(All_data!J21="Tertiary",4,"check"))))</f>
        <v>3</v>
      </c>
      <c r="K22" s="47">
        <f>IF(All_data!K21="Government Employee",1,0)</f>
        <v>0</v>
      </c>
      <c r="L22" s="47">
        <f>IF(All_data!K21="Private Employee",1,0)</f>
        <v>0</v>
      </c>
      <c r="M22" s="47">
        <f>IF(All_data!K21="Business",1,0)</f>
        <v>1</v>
      </c>
      <c r="N22" s="47">
        <f>IF(All_data!K21="Student",1,0)</f>
        <v>0</v>
      </c>
      <c r="O22" s="47">
        <f>IF(All_data!K21="Housewife",1,0)</f>
        <v>0</v>
      </c>
      <c r="P22" s="47">
        <f>IF(All_data!K21="Retired",1,0)</f>
        <v>0</v>
      </c>
      <c r="Q22" s="47">
        <f>IF(All_data!L21="&lt;500,000",1,IF(All_data!L21="500,000 - 1,000,000",2,IF(All_data!L21="1,000,000 - 3,000,000",3,IF(All_data!L21="&gt;3,000,000",4,"check"))))</f>
        <v>2</v>
      </c>
      <c r="R22" s="63">
        <f>IF(All_data!M21="Spouse",1,0)</f>
        <v>1</v>
      </c>
      <c r="S22" s="47">
        <f>IF(All_data!M21="Son/Daughter",1,0)</f>
        <v>0</v>
      </c>
      <c r="T22" s="47">
        <f>IF(All_data!M21="Niece/nephew",1,0)</f>
        <v>0</v>
      </c>
      <c r="U22" s="47">
        <f>IF(All_data!M21="Household head",1,0)</f>
        <v>0</v>
      </c>
      <c r="V22" s="47">
        <f>IF(All_data!N21="&lt; 1 year",1,IF(All_data!N21="1-3 years",2,IF(All_data!N21="3-5 years",3,IF(All_data!N21="&gt; 5 years",4,"check"))))</f>
        <v>4</v>
      </c>
      <c r="W22" s="47">
        <f>IF(All_data!O21="Rented",1,0)</f>
        <v>0</v>
      </c>
      <c r="X22" s="73">
        <f>IF(All_data!P21="Bungalow",1,0)</f>
        <v>1</v>
      </c>
      <c r="Y22" s="73">
        <f>IF(All_data!P21="Temporary",1,0)</f>
        <v>0</v>
      </c>
      <c r="Z22" s="73">
        <f>IF(All_data!P21="Story Building",1,0)</f>
        <v>0</v>
      </c>
      <c r="AA22" s="73">
        <f>IF(All_data!Q21="Iron Sheets/titles",1,0)</f>
        <v>1</v>
      </c>
      <c r="AB22" s="74">
        <f>IF(All_data!R21="Concrete Blocks",1,0)</f>
        <v>0</v>
      </c>
      <c r="AC22" s="73">
        <f>IF(All_data!R21="Bricks",1,0)</f>
        <v>1</v>
      </c>
      <c r="AD22" s="73">
        <f>IF(All_data!R21="Mud/poles",1,0)</f>
        <v>0</v>
      </c>
      <c r="AE22" s="73">
        <f>IF(All_data!S21="tiles",1,0)</f>
        <v>0</v>
      </c>
      <c r="AF22" s="73">
        <f>IF(All_data!S21="Cemented",1,0)</f>
        <v>1</v>
      </c>
      <c r="AG22" s="73">
        <f>IF(All_data!S21="Mud",1,0)</f>
        <v>0</v>
      </c>
      <c r="AH22" s="73">
        <f>IF(All_data!T21="House connection",1,0)</f>
        <v>0</v>
      </c>
      <c r="AI22" s="73">
        <f>IF(All_data!T21="Yard tap",1,0)</f>
        <v>1</v>
      </c>
      <c r="AJ22" s="73">
        <f>IF(All_data!T21="Stand pipe",1,0)</f>
        <v>0</v>
      </c>
      <c r="AK22" s="73">
        <f>IF(All_data!U21="Shared Facilities ",1,0)</f>
        <v>0</v>
      </c>
      <c r="AL22" s="73">
        <f>IF(All_data!V21="paved",0,1)</f>
        <v>1</v>
      </c>
      <c r="AM22" s="55">
        <v>11.9</v>
      </c>
      <c r="AN22" s="55">
        <v>0</v>
      </c>
      <c r="AO22" s="55">
        <v>0</v>
      </c>
      <c r="AP22" s="55">
        <v>1.0249999999999999</v>
      </c>
      <c r="AQ22" s="55">
        <v>0</v>
      </c>
      <c r="AR22" s="55">
        <v>1.0589999999999999</v>
      </c>
      <c r="AS22" s="55">
        <v>0.70199999999999996</v>
      </c>
      <c r="AT22" s="55">
        <v>0</v>
      </c>
      <c r="AU22" s="55">
        <v>0</v>
      </c>
      <c r="AV22" s="55">
        <v>0.18099999999999999</v>
      </c>
      <c r="AW22" s="55">
        <v>14.866999999999999</v>
      </c>
      <c r="AX22" s="55">
        <v>2.1238571428571427</v>
      </c>
      <c r="AY22" s="55">
        <v>0.30340816326530612</v>
      </c>
      <c r="AZ22" s="55">
        <v>34</v>
      </c>
      <c r="BA22" s="55">
        <v>0.43726470588235289</v>
      </c>
    </row>
    <row r="23" spans="1:53" ht="15.5" x14ac:dyDescent="0.35">
      <c r="A23" s="59">
        <v>20</v>
      </c>
      <c r="B23" s="27" t="s">
        <v>142</v>
      </c>
      <c r="C23" s="26" t="s">
        <v>42</v>
      </c>
      <c r="D23" s="26" t="s">
        <v>43</v>
      </c>
      <c r="E23" s="29" t="s">
        <v>102</v>
      </c>
      <c r="F23" s="47">
        <f>IF(All_data!F22="low-income",1,IF(All_data!F22="Middle-Income",2,IF(All_data!F22="High-Income",3,"check")))</f>
        <v>1</v>
      </c>
      <c r="G23" s="47">
        <v>3</v>
      </c>
      <c r="H23" s="47">
        <f>IF(All_data!H22="18-35 years",2,IF(All_data!H22="36-60 years",3,IF(All_data!H22="&gt;60 years",4,1)))</f>
        <v>2</v>
      </c>
      <c r="I23" s="47">
        <f>IF(All_data!I22="Male",0,1)</f>
        <v>0</v>
      </c>
      <c r="J23" s="73">
        <f>IF(All_data!J22="Illiterate",1,IF(All_data!J22="Primary",2,IF(All_data!J22="secondary",3,IF(All_data!J22="Tertiary",4,"check"))))</f>
        <v>1</v>
      </c>
      <c r="K23" s="47">
        <f>IF(All_data!K22="Government Employee",1,0)</f>
        <v>0</v>
      </c>
      <c r="L23" s="47">
        <f>IF(All_data!K22="Private Employee",1,0)</f>
        <v>0</v>
      </c>
      <c r="M23" s="47">
        <f>IF(All_data!K22="Business",1,0)</f>
        <v>0</v>
      </c>
      <c r="N23" s="47">
        <f>IF(All_data!K22="Student",1,0)</f>
        <v>0</v>
      </c>
      <c r="O23" s="47">
        <f>IF(All_data!K22="Housewife",1,0)</f>
        <v>0</v>
      </c>
      <c r="P23" s="47">
        <f>IF(All_data!K22="Retired",1,0)</f>
        <v>1</v>
      </c>
      <c r="Q23" s="47">
        <f>IF(All_data!L22="&lt;500,000",1,IF(All_data!L22="500,000 - 1,000,000",2,IF(All_data!L22="1,000,000 - 3,000,000",3,IF(All_data!L22="&gt;3,000,000",4,"check"))))</f>
        <v>1</v>
      </c>
      <c r="R23" s="63">
        <f>IF(All_data!M22="Spouse",1,0)</f>
        <v>0</v>
      </c>
      <c r="S23" s="47">
        <f>IF(All_data!M22="Son/Daughter",1,0)</f>
        <v>0</v>
      </c>
      <c r="T23" s="47">
        <f>IF(All_data!M22="Niece/nephew",1,0)</f>
        <v>0</v>
      </c>
      <c r="U23" s="47">
        <f>IF(All_data!M22="Household head",1,0)</f>
        <v>1</v>
      </c>
      <c r="V23" s="47">
        <f>IF(All_data!N22="&lt; 1 year",1,IF(All_data!N22="1-3 years",2,IF(All_data!N22="3-5 years",3,IF(All_data!N22="&gt; 5 years",4,"check"))))</f>
        <v>2</v>
      </c>
      <c r="W23" s="47">
        <f>IF(All_data!O22="Rented",1,0)</f>
        <v>1</v>
      </c>
      <c r="X23" s="73">
        <f>IF(All_data!P22="Bungalow",1,0)</f>
        <v>1</v>
      </c>
      <c r="Y23" s="73">
        <f>IF(All_data!P22="Temporary",1,0)</f>
        <v>0</v>
      </c>
      <c r="Z23" s="73">
        <f>IF(All_data!P22="Story Building",1,0)</f>
        <v>0</v>
      </c>
      <c r="AA23" s="73">
        <f>IF(All_data!Q22="Iron Sheets/titles",1,0)</f>
        <v>1</v>
      </c>
      <c r="AB23" s="74">
        <f>IF(All_data!R22="Concrete Blocks",1,0)</f>
        <v>0</v>
      </c>
      <c r="AC23" s="73">
        <f>IF(All_data!R22="Bricks",1,0)</f>
        <v>1</v>
      </c>
      <c r="AD23" s="73">
        <f>IF(All_data!R22="Mud/poles",1,0)</f>
        <v>0</v>
      </c>
      <c r="AE23" s="73">
        <f>IF(All_data!S22="tiles",1,0)</f>
        <v>0</v>
      </c>
      <c r="AF23" s="73">
        <f>IF(All_data!S22="Cemented",1,0)</f>
        <v>1</v>
      </c>
      <c r="AG23" s="73">
        <f>IF(All_data!S22="Mud",1,0)</f>
        <v>0</v>
      </c>
      <c r="AH23" s="73">
        <f>IF(All_data!T22="House connection",1,0)</f>
        <v>0</v>
      </c>
      <c r="AI23" s="73">
        <f>IF(All_data!T22="Yard tap",1,0)</f>
        <v>0</v>
      </c>
      <c r="AJ23" s="73">
        <f>IF(All_data!T22="Stand pipe",1,0)</f>
        <v>1</v>
      </c>
      <c r="AK23" s="73">
        <f>IF(All_data!U22="Shared Facilities ",1,0)</f>
        <v>0</v>
      </c>
      <c r="AL23" s="73">
        <f>IF(All_data!V22="paved",0,1)</f>
        <v>1</v>
      </c>
      <c r="AM23" s="55">
        <v>18.864999999999998</v>
      </c>
      <c r="AN23" s="55">
        <v>0</v>
      </c>
      <c r="AO23" s="55">
        <v>0</v>
      </c>
      <c r="AP23" s="55">
        <v>0</v>
      </c>
      <c r="AQ23" s="55">
        <v>5.3999999999999999E-2</v>
      </c>
      <c r="AR23" s="55">
        <v>0.39500000000000002</v>
      </c>
      <c r="AS23" s="55">
        <v>0.151</v>
      </c>
      <c r="AT23" s="55">
        <v>0</v>
      </c>
      <c r="AU23" s="55">
        <v>0</v>
      </c>
      <c r="AV23" s="55">
        <v>0</v>
      </c>
      <c r="AW23" s="55">
        <v>19.464999999999996</v>
      </c>
      <c r="AX23" s="55">
        <v>2.7807142857142852</v>
      </c>
      <c r="AY23" s="55">
        <v>0.92690476190476179</v>
      </c>
      <c r="AZ23" s="55">
        <v>64</v>
      </c>
      <c r="BA23" s="55">
        <v>0.30414062499999994</v>
      </c>
    </row>
    <row r="24" spans="1:53" ht="15.5" x14ac:dyDescent="0.35">
      <c r="A24" s="59">
        <v>21</v>
      </c>
      <c r="B24" s="27" t="s">
        <v>101</v>
      </c>
      <c r="C24" s="26" t="s">
        <v>42</v>
      </c>
      <c r="D24" s="26" t="s">
        <v>43</v>
      </c>
      <c r="E24" s="29" t="s">
        <v>102</v>
      </c>
      <c r="F24" s="47">
        <f>IF(All_data!F23="low-income",1,IF(All_data!F23="Middle-Income",2,IF(All_data!F23="High-Income",3,"check")))</f>
        <v>1</v>
      </c>
      <c r="G24" s="47">
        <v>2</v>
      </c>
      <c r="H24" s="47">
        <f>IF(All_data!H23="18-35 years",2,IF(All_data!H23="36-60 years",3,IF(All_data!H23="&gt;60 years",4,1)))</f>
        <v>2</v>
      </c>
      <c r="I24" s="47">
        <f>IF(All_data!I23="Male",0,1)</f>
        <v>0</v>
      </c>
      <c r="J24" s="73">
        <f>IF(All_data!J23="Illiterate",1,IF(All_data!J23="Primary",2,IF(All_data!J23="secondary",3,IF(All_data!J23="Tertiary",4,"check"))))</f>
        <v>3</v>
      </c>
      <c r="K24" s="47">
        <f>IF(All_data!K23="Government Employee",1,0)</f>
        <v>0</v>
      </c>
      <c r="L24" s="47">
        <f>IF(All_data!K23="Private Employee",1,0)</f>
        <v>1</v>
      </c>
      <c r="M24" s="47">
        <f>IF(All_data!K23="Business",1,0)</f>
        <v>0</v>
      </c>
      <c r="N24" s="47">
        <f>IF(All_data!K23="Student",1,0)</f>
        <v>0</v>
      </c>
      <c r="O24" s="47">
        <f>IF(All_data!K23="Housewife",1,0)</f>
        <v>0</v>
      </c>
      <c r="P24" s="47">
        <f>IF(All_data!K23="Retired",1,0)</f>
        <v>0</v>
      </c>
      <c r="Q24" s="47">
        <f>IF(All_data!L23="&lt;500,000",1,IF(All_data!L23="500,000 - 1,000,000",2,IF(All_data!L23="1,000,000 - 3,000,000",3,IF(All_data!L23="&gt;3,000,000",4,"check"))))</f>
        <v>2</v>
      </c>
      <c r="R24" s="63">
        <f>IF(All_data!M23="Spouse",1,0)</f>
        <v>0</v>
      </c>
      <c r="S24" s="47">
        <f>IF(All_data!M23="Son/Daughter",1,0)</f>
        <v>0</v>
      </c>
      <c r="T24" s="47">
        <f>IF(All_data!M23="Niece/nephew",1,0)</f>
        <v>0</v>
      </c>
      <c r="U24" s="47">
        <f>IF(All_data!M23="Household head",1,0)</f>
        <v>1</v>
      </c>
      <c r="V24" s="47">
        <f>IF(All_data!N23="&lt; 1 year",1,IF(All_data!N23="1-3 years",2,IF(All_data!N23="3-5 years",3,IF(All_data!N23="&gt; 5 years",4,"check"))))</f>
        <v>2</v>
      </c>
      <c r="W24" s="47">
        <f>IF(All_data!O23="Rented",1,0)</f>
        <v>1</v>
      </c>
      <c r="X24" s="73">
        <f>IF(All_data!P23="Bungalow",1,0)</f>
        <v>1</v>
      </c>
      <c r="Y24" s="73">
        <f>IF(All_data!P23="Temporary",1,0)</f>
        <v>0</v>
      </c>
      <c r="Z24" s="73">
        <f>IF(All_data!P23="Story Building",1,0)</f>
        <v>0</v>
      </c>
      <c r="AA24" s="73">
        <f>IF(All_data!Q23="Iron Sheets/titles",1,0)</f>
        <v>1</v>
      </c>
      <c r="AB24" s="74">
        <f>IF(All_data!R23="Concrete Blocks",1,0)</f>
        <v>0</v>
      </c>
      <c r="AC24" s="73">
        <f>IF(All_data!R23="Bricks",1,0)</f>
        <v>1</v>
      </c>
      <c r="AD24" s="73">
        <f>IF(All_data!R23="Mud/poles",1,0)</f>
        <v>0</v>
      </c>
      <c r="AE24" s="73">
        <f>IF(All_data!S23="tiles",1,0)</f>
        <v>0</v>
      </c>
      <c r="AF24" s="73">
        <f>IF(All_data!S23="Cemented",1,0)</f>
        <v>1</v>
      </c>
      <c r="AG24" s="73">
        <f>IF(All_data!S23="Mud",1,0)</f>
        <v>0</v>
      </c>
      <c r="AH24" s="73">
        <f>IF(All_data!T23="House connection",1,0)</f>
        <v>0</v>
      </c>
      <c r="AI24" s="73">
        <f>IF(All_data!T23="Yard tap",1,0)</f>
        <v>1</v>
      </c>
      <c r="AJ24" s="73">
        <f>IF(All_data!T23="Stand pipe",1,0)</f>
        <v>0</v>
      </c>
      <c r="AK24" s="73">
        <f>IF(All_data!U23="Shared Facilities ",1,0)</f>
        <v>0</v>
      </c>
      <c r="AL24" s="73">
        <f>IF(All_data!V23="paved",0,1)</f>
        <v>1</v>
      </c>
      <c r="AM24" s="55">
        <v>2.9</v>
      </c>
      <c r="AN24" s="55">
        <v>0</v>
      </c>
      <c r="AO24" s="55">
        <v>0</v>
      </c>
      <c r="AP24" s="55">
        <v>8.299999999999999E-2</v>
      </c>
      <c r="AQ24" s="55">
        <v>0.10800000000000001</v>
      </c>
      <c r="AR24" s="55">
        <v>8.7999999999999995E-2</v>
      </c>
      <c r="AS24" s="55">
        <v>0</v>
      </c>
      <c r="AT24" s="55">
        <v>0</v>
      </c>
      <c r="AU24" s="55">
        <v>0</v>
      </c>
      <c r="AV24" s="55">
        <v>2.5550000000000002</v>
      </c>
      <c r="AW24" s="55">
        <v>5.734</v>
      </c>
      <c r="AX24" s="55">
        <v>0.81914285714285717</v>
      </c>
      <c r="AY24" s="55">
        <v>0.40957142857142859</v>
      </c>
      <c r="AZ24" s="55">
        <v>34</v>
      </c>
      <c r="BA24" s="55">
        <v>0.1686470588235294</v>
      </c>
    </row>
    <row r="25" spans="1:53" ht="15.5" x14ac:dyDescent="0.35">
      <c r="A25" s="59">
        <v>22</v>
      </c>
      <c r="B25" s="27" t="s">
        <v>105</v>
      </c>
      <c r="C25" s="26" t="s">
        <v>42</v>
      </c>
      <c r="D25" s="26" t="s">
        <v>43</v>
      </c>
      <c r="E25" s="29" t="s">
        <v>102</v>
      </c>
      <c r="F25" s="47">
        <f>IF(All_data!F24="low-income",1,IF(All_data!F24="Middle-Income",2,IF(All_data!F24="High-Income",3,"check")))</f>
        <v>1</v>
      </c>
      <c r="G25" s="47">
        <v>6</v>
      </c>
      <c r="H25" s="47">
        <f>IF(All_data!H24="18-35 years",2,IF(All_data!H24="36-60 years",3,IF(All_data!H24="&gt;60 years",4,1)))</f>
        <v>3</v>
      </c>
      <c r="I25" s="47">
        <f>IF(All_data!I24="Male",0,1)</f>
        <v>1</v>
      </c>
      <c r="J25" s="73">
        <f>IF(All_data!J24="Illiterate",1,IF(All_data!J24="Primary",2,IF(All_data!J24="secondary",3,IF(All_data!J24="Tertiary",4,"check"))))</f>
        <v>1</v>
      </c>
      <c r="K25" s="47">
        <f>IF(All_data!K24="Government Employee",1,0)</f>
        <v>1</v>
      </c>
      <c r="L25" s="47">
        <f>IF(All_data!K24="Private Employee",1,0)</f>
        <v>0</v>
      </c>
      <c r="M25" s="47">
        <f>IF(All_data!K24="Business",1,0)</f>
        <v>0</v>
      </c>
      <c r="N25" s="47">
        <f>IF(All_data!K24="Student",1,0)</f>
        <v>0</v>
      </c>
      <c r="O25" s="47">
        <f>IF(All_data!K24="Housewife",1,0)</f>
        <v>0</v>
      </c>
      <c r="P25" s="47">
        <f>IF(All_data!K24="Retired",1,0)</f>
        <v>0</v>
      </c>
      <c r="Q25" s="47">
        <f>IF(All_data!L24="&lt;500,000",1,IF(All_data!L24="500,000 - 1,000,000",2,IF(All_data!L24="1,000,000 - 3,000,000",3,IF(All_data!L24="&gt;3,000,000",4,"check"))))</f>
        <v>1</v>
      </c>
      <c r="R25" s="63">
        <f>IF(All_data!M24="Spouse",1,0)</f>
        <v>0</v>
      </c>
      <c r="S25" s="47">
        <f>IF(All_data!M24="Son/Daughter",1,0)</f>
        <v>0</v>
      </c>
      <c r="T25" s="47">
        <f>IF(All_data!M24="Niece/nephew",1,0)</f>
        <v>0</v>
      </c>
      <c r="U25" s="47">
        <f>IF(All_data!M24="Household head",1,0)</f>
        <v>1</v>
      </c>
      <c r="V25" s="47">
        <f>IF(All_data!N24="&lt; 1 year",1,IF(All_data!N24="1-3 years",2,IF(All_data!N24="3-5 years",3,IF(All_data!N24="&gt; 5 years",4,"check"))))</f>
        <v>4</v>
      </c>
      <c r="W25" s="47">
        <f>IF(All_data!O24="Rented",1,0)</f>
        <v>0</v>
      </c>
      <c r="X25" s="73">
        <f>IF(All_data!P24="Bungalow",1,0)</f>
        <v>1</v>
      </c>
      <c r="Y25" s="73">
        <f>IF(All_data!P24="Temporary",1,0)</f>
        <v>0</v>
      </c>
      <c r="Z25" s="73">
        <f>IF(All_data!P24="Story Building",1,0)</f>
        <v>0</v>
      </c>
      <c r="AA25" s="73">
        <f>IF(All_data!Q24="Iron Sheets/titles",1,0)</f>
        <v>1</v>
      </c>
      <c r="AB25" s="74">
        <f>IF(All_data!R24="Concrete Blocks",1,0)</f>
        <v>0</v>
      </c>
      <c r="AC25" s="73">
        <f>IF(All_data!R24="Bricks",1,0)</f>
        <v>1</v>
      </c>
      <c r="AD25" s="73">
        <f>IF(All_data!R24="Mud/poles",1,0)</f>
        <v>0</v>
      </c>
      <c r="AE25" s="73">
        <f>IF(All_data!S24="tiles",1,0)</f>
        <v>0</v>
      </c>
      <c r="AF25" s="73">
        <f>IF(All_data!S24="Cemented",1,0)</f>
        <v>1</v>
      </c>
      <c r="AG25" s="73">
        <f>IF(All_data!S24="Mud",1,0)</f>
        <v>0</v>
      </c>
      <c r="AH25" s="73">
        <f>IF(All_data!T24="House connection",1,0)</f>
        <v>1</v>
      </c>
      <c r="AI25" s="73">
        <f>IF(All_data!T24="Yard tap",1,0)</f>
        <v>0</v>
      </c>
      <c r="AJ25" s="73">
        <f>IF(All_data!T24="Stand pipe",1,0)</f>
        <v>0</v>
      </c>
      <c r="AK25" s="73">
        <f>IF(All_data!U24="Shared Facilities ",1,0)</f>
        <v>0</v>
      </c>
      <c r="AL25" s="73">
        <f>IF(All_data!V24="paved",0,1)</f>
        <v>1</v>
      </c>
      <c r="AM25" s="55">
        <v>12.18</v>
      </c>
      <c r="AN25" s="55">
        <v>0</v>
      </c>
      <c r="AO25" s="55">
        <v>0</v>
      </c>
      <c r="AP25" s="55">
        <v>1.6999999999999987E-2</v>
      </c>
      <c r="AQ25" s="55">
        <v>3.4000000000000002E-2</v>
      </c>
      <c r="AR25" s="55">
        <v>1.67</v>
      </c>
      <c r="AS25" s="55">
        <v>0.15200000000000002</v>
      </c>
      <c r="AT25" s="55">
        <v>0</v>
      </c>
      <c r="AU25" s="55">
        <v>0.151</v>
      </c>
      <c r="AV25" s="55">
        <v>0</v>
      </c>
      <c r="AW25" s="55">
        <v>14.203999999999999</v>
      </c>
      <c r="AX25" s="55">
        <v>2.0291428571428569</v>
      </c>
      <c r="AY25" s="55">
        <v>0.33819047619047615</v>
      </c>
      <c r="AZ25" s="55">
        <v>30</v>
      </c>
      <c r="BA25" s="55">
        <v>0.47346666666666665</v>
      </c>
    </row>
    <row r="26" spans="1:53" ht="15.5" x14ac:dyDescent="0.35">
      <c r="A26" s="59">
        <v>23</v>
      </c>
      <c r="B26" s="27" t="s">
        <v>107</v>
      </c>
      <c r="C26" s="26" t="s">
        <v>42</v>
      </c>
      <c r="D26" s="26" t="s">
        <v>43</v>
      </c>
      <c r="E26" s="29" t="s">
        <v>102</v>
      </c>
      <c r="F26" s="47">
        <f>IF(All_data!F25="low-income",1,IF(All_data!F25="Middle-Income",2,IF(All_data!F25="High-Income",3,"check")))</f>
        <v>1</v>
      </c>
      <c r="G26" s="47">
        <v>3</v>
      </c>
      <c r="H26" s="47">
        <f>IF(All_data!H25="18-35 years",2,IF(All_data!H25="36-60 years",3,IF(All_data!H25="&gt;60 years",4,1)))</f>
        <v>2</v>
      </c>
      <c r="I26" s="47">
        <f>IF(All_data!I25="Male",0,1)</f>
        <v>0</v>
      </c>
      <c r="J26" s="73">
        <f>IF(All_data!J25="Illiterate",1,IF(All_data!J25="Primary",2,IF(All_data!J25="secondary",3,IF(All_data!J25="Tertiary",4,"check"))))</f>
        <v>4</v>
      </c>
      <c r="K26" s="47">
        <f>IF(All_data!K25="Government Employee",1,0)</f>
        <v>0</v>
      </c>
      <c r="L26" s="47">
        <f>IF(All_data!K25="Private Employee",1,0)</f>
        <v>1</v>
      </c>
      <c r="M26" s="47">
        <f>IF(All_data!K25="Business",1,0)</f>
        <v>0</v>
      </c>
      <c r="N26" s="47">
        <f>IF(All_data!K25="Student",1,0)</f>
        <v>0</v>
      </c>
      <c r="O26" s="47">
        <f>IF(All_data!K25="Housewife",1,0)</f>
        <v>0</v>
      </c>
      <c r="P26" s="47">
        <f>IF(All_data!K25="Retired",1,0)</f>
        <v>0</v>
      </c>
      <c r="Q26" s="47">
        <f>IF(All_data!L25="&lt;500,000",1,IF(All_data!L25="500,000 - 1,000,000",2,IF(All_data!L25="1,000,000 - 3,000,000",3,IF(All_data!L25="&gt;3,000,000",4,"check"))))</f>
        <v>2</v>
      </c>
      <c r="R26" s="63">
        <f>IF(All_data!M25="Spouse",1,0)</f>
        <v>1</v>
      </c>
      <c r="S26" s="47">
        <f>IF(All_data!M25="Son/Daughter",1,0)</f>
        <v>0</v>
      </c>
      <c r="T26" s="47">
        <f>IF(All_data!M25="Niece/nephew",1,0)</f>
        <v>0</v>
      </c>
      <c r="U26" s="47">
        <f>IF(All_data!M25="Household head",1,0)</f>
        <v>0</v>
      </c>
      <c r="V26" s="47">
        <f>IF(All_data!N25="&lt; 1 year",1,IF(All_data!N25="1-3 years",2,IF(All_data!N25="3-5 years",3,IF(All_data!N25="&gt; 5 years",4,"check"))))</f>
        <v>2</v>
      </c>
      <c r="W26" s="47">
        <f>IF(All_data!O25="Rented",1,0)</f>
        <v>1</v>
      </c>
      <c r="X26" s="73">
        <f>IF(All_data!P25="Bungalow",1,0)</f>
        <v>1</v>
      </c>
      <c r="Y26" s="73">
        <f>IF(All_data!P25="Temporary",1,0)</f>
        <v>0</v>
      </c>
      <c r="Z26" s="73">
        <f>IF(All_data!P25="Story Building",1,0)</f>
        <v>0</v>
      </c>
      <c r="AA26" s="73">
        <f>IF(All_data!Q25="Iron Sheets/titles",1,0)</f>
        <v>1</v>
      </c>
      <c r="AB26" s="74">
        <f>IF(All_data!R25="Concrete Blocks",1,0)</f>
        <v>0</v>
      </c>
      <c r="AC26" s="73">
        <f>IF(All_data!R25="Bricks",1,0)</f>
        <v>1</v>
      </c>
      <c r="AD26" s="73">
        <f>IF(All_data!R25="Mud/poles",1,0)</f>
        <v>0</v>
      </c>
      <c r="AE26" s="73">
        <f>IF(All_data!S25="tiles",1,0)</f>
        <v>0</v>
      </c>
      <c r="AF26" s="73">
        <f>IF(All_data!S25="Cemented",1,0)</f>
        <v>1</v>
      </c>
      <c r="AG26" s="73">
        <f>IF(All_data!S25="Mud",1,0)</f>
        <v>0</v>
      </c>
      <c r="AH26" s="73">
        <f>IF(All_data!T25="House connection",1,0)</f>
        <v>0</v>
      </c>
      <c r="AI26" s="73">
        <f>IF(All_data!T25="Yard tap",1,0)</f>
        <v>0</v>
      </c>
      <c r="AJ26" s="73">
        <f>IF(All_data!T25="Stand pipe",1,0)</f>
        <v>1</v>
      </c>
      <c r="AK26" s="73">
        <f>IF(All_data!U25="Shared Facilities ",1,0)</f>
        <v>0</v>
      </c>
      <c r="AL26" s="73">
        <f>IF(All_data!V25="paved",0,1)</f>
        <v>1</v>
      </c>
      <c r="AM26" s="55">
        <v>9.6000000000000002E-2</v>
      </c>
      <c r="AN26" s="55">
        <v>0</v>
      </c>
      <c r="AO26" s="55">
        <v>0</v>
      </c>
      <c r="AP26" s="55">
        <v>0</v>
      </c>
      <c r="AQ26" s="55">
        <v>4.7999999999999987E-2</v>
      </c>
      <c r="AR26" s="55">
        <v>5.1999999999999991E-2</v>
      </c>
      <c r="AS26" s="55">
        <v>0.14600000000000002</v>
      </c>
      <c r="AT26" s="55">
        <v>0</v>
      </c>
      <c r="AU26" s="55">
        <v>0</v>
      </c>
      <c r="AV26" s="55">
        <v>0</v>
      </c>
      <c r="AW26" s="55">
        <v>0.34199999999999997</v>
      </c>
      <c r="AX26" s="55">
        <v>4.8857142857142856E-2</v>
      </c>
      <c r="AY26" s="55">
        <v>1.6285714285714285E-2</v>
      </c>
      <c r="AZ26" s="55">
        <v>4</v>
      </c>
      <c r="BA26" s="55">
        <v>8.5499999999999993E-2</v>
      </c>
    </row>
    <row r="27" spans="1:53" ht="15.5" x14ac:dyDescent="0.35">
      <c r="A27" s="59">
        <v>24</v>
      </c>
      <c r="B27" s="27" t="s">
        <v>164</v>
      </c>
      <c r="C27" s="26" t="s">
        <v>42</v>
      </c>
      <c r="D27" s="26" t="s">
        <v>43</v>
      </c>
      <c r="E27" s="29" t="s">
        <v>102</v>
      </c>
      <c r="F27" s="47">
        <f>IF(All_data!F26="low-income",1,IF(All_data!F26="Middle-Income",2,IF(All_data!F26="High-Income",3,"check")))</f>
        <v>1</v>
      </c>
      <c r="G27" s="47">
        <v>3</v>
      </c>
      <c r="H27" s="47">
        <f>IF(All_data!H26="18-35 years",2,IF(All_data!H26="36-60 years",3,IF(All_data!H26="&gt;60 years",4,1)))</f>
        <v>2</v>
      </c>
      <c r="I27" s="47">
        <f>IF(All_data!I26="Male",0,1)</f>
        <v>0</v>
      </c>
      <c r="J27" s="73">
        <f>IF(All_data!J26="Illiterate",1,IF(All_data!J26="Primary",2,IF(All_data!J26="secondary",3,IF(All_data!J26="Tertiary",4,"check"))))</f>
        <v>4</v>
      </c>
      <c r="K27" s="47">
        <f>IF(All_data!K26="Government Employee",1,0)</f>
        <v>0</v>
      </c>
      <c r="L27" s="47">
        <f>IF(All_data!K26="Private Employee",1,0)</f>
        <v>0</v>
      </c>
      <c r="M27" s="47">
        <f>IF(All_data!K26="Business",1,0)</f>
        <v>1</v>
      </c>
      <c r="N27" s="47">
        <f>IF(All_data!K26="Student",1,0)</f>
        <v>0</v>
      </c>
      <c r="O27" s="47">
        <f>IF(All_data!K26="Housewife",1,0)</f>
        <v>0</v>
      </c>
      <c r="P27" s="47">
        <f>IF(All_data!K26="Retired",1,0)</f>
        <v>0</v>
      </c>
      <c r="Q27" s="47">
        <f>IF(All_data!L26="&lt;500,000",1,IF(All_data!L26="500,000 - 1,000,000",2,IF(All_data!L26="1,000,000 - 3,000,000",3,IF(All_data!L26="&gt;3,000,000",4,"check"))))</f>
        <v>2</v>
      </c>
      <c r="R27" s="63">
        <f>IF(All_data!M26="Spouse",1,0)</f>
        <v>0</v>
      </c>
      <c r="S27" s="47">
        <f>IF(All_data!M26="Son/Daughter",1,0)</f>
        <v>0</v>
      </c>
      <c r="T27" s="47">
        <f>IF(All_data!M26="Niece/nephew",1,0)</f>
        <v>0</v>
      </c>
      <c r="U27" s="47">
        <f>IF(All_data!M26="Household head",1,0)</f>
        <v>1</v>
      </c>
      <c r="V27" s="47">
        <f>IF(All_data!N26="&lt; 1 year",1,IF(All_data!N26="1-3 years",2,IF(All_data!N26="3-5 years",3,IF(All_data!N26="&gt; 5 years",4,"check"))))</f>
        <v>2</v>
      </c>
      <c r="W27" s="47">
        <f>IF(All_data!O26="Rented",1,0)</f>
        <v>1</v>
      </c>
      <c r="X27" s="73">
        <f>IF(All_data!P26="Bungalow",1,0)</f>
        <v>1</v>
      </c>
      <c r="Y27" s="73">
        <f>IF(All_data!P26="Temporary",1,0)</f>
        <v>0</v>
      </c>
      <c r="Z27" s="73">
        <f>IF(All_data!P26="Story Building",1,0)</f>
        <v>0</v>
      </c>
      <c r="AA27" s="73">
        <f>IF(All_data!Q26="Iron Sheets/titles",1,0)</f>
        <v>1</v>
      </c>
      <c r="AB27" s="74">
        <f>IF(All_data!R26="Concrete Blocks",1,0)</f>
        <v>0</v>
      </c>
      <c r="AC27" s="73">
        <f>IF(All_data!R26="Bricks",1,0)</f>
        <v>1</v>
      </c>
      <c r="AD27" s="73">
        <f>IF(All_data!R26="Mud/poles",1,0)</f>
        <v>0</v>
      </c>
      <c r="AE27" s="73">
        <f>IF(All_data!S26="tiles",1,0)</f>
        <v>0</v>
      </c>
      <c r="AF27" s="73">
        <f>IF(All_data!S26="Cemented",1,0)</f>
        <v>1</v>
      </c>
      <c r="AG27" s="73">
        <f>IF(All_data!S26="Mud",1,0)</f>
        <v>0</v>
      </c>
      <c r="AH27" s="73">
        <f>IF(All_data!T26="House connection",1,0)</f>
        <v>0</v>
      </c>
      <c r="AI27" s="73">
        <f>IF(All_data!T26="Yard tap",1,0)</f>
        <v>1</v>
      </c>
      <c r="AJ27" s="73">
        <f>IF(All_data!T26="Stand pipe",1,0)</f>
        <v>0</v>
      </c>
      <c r="AK27" s="73">
        <f>IF(All_data!U26="Shared Facilities ",1,0)</f>
        <v>0</v>
      </c>
      <c r="AL27" s="73">
        <f>IF(All_data!V26="paved",0,1)</f>
        <v>1</v>
      </c>
      <c r="AM27" s="55">
        <v>0.56399999999999995</v>
      </c>
      <c r="AN27" s="55">
        <v>0</v>
      </c>
      <c r="AO27" s="55">
        <v>0</v>
      </c>
      <c r="AP27" s="55">
        <v>0</v>
      </c>
      <c r="AQ27" s="55">
        <v>0</v>
      </c>
      <c r="AR27" s="55">
        <v>7.8999999999999987E-2</v>
      </c>
      <c r="AS27" s="55">
        <v>0.14199999999999999</v>
      </c>
      <c r="AT27" s="55">
        <v>0</v>
      </c>
      <c r="AU27" s="55">
        <v>0</v>
      </c>
      <c r="AV27" s="55">
        <v>0</v>
      </c>
      <c r="AW27" s="55">
        <v>0.78499999999999992</v>
      </c>
      <c r="AX27" s="55">
        <v>0.11214285714285713</v>
      </c>
      <c r="AY27" s="55">
        <v>3.7380952380952376E-2</v>
      </c>
      <c r="AZ27" s="55">
        <v>8</v>
      </c>
      <c r="BA27" s="55">
        <v>9.812499999999999E-2</v>
      </c>
    </row>
    <row r="28" spans="1:53" ht="15.5" x14ac:dyDescent="0.35">
      <c r="A28" s="59">
        <v>25</v>
      </c>
      <c r="B28" s="27" t="s">
        <v>108</v>
      </c>
      <c r="C28" s="60" t="s">
        <v>42</v>
      </c>
      <c r="D28" s="60" t="s">
        <v>43</v>
      </c>
      <c r="E28" s="61" t="s">
        <v>102</v>
      </c>
      <c r="F28" s="47">
        <f>IF(All_data!F27="low-income",1,IF(All_data!F27="Middle-Income",2,IF(All_data!F27="High-Income",3,"check")))</f>
        <v>1</v>
      </c>
      <c r="G28" s="47">
        <v>4</v>
      </c>
      <c r="H28" s="47">
        <f>IF(All_data!H27="18-35 years",2,IF(All_data!H27="36-60 years",3,IF(All_data!H27="&gt;60 years",4,1)))</f>
        <v>2</v>
      </c>
      <c r="I28" s="47">
        <f>IF(All_data!I27="Male",0,1)</f>
        <v>0</v>
      </c>
      <c r="J28" s="73">
        <f>IF(All_data!J27="Illiterate",1,IF(All_data!J27="Primary",2,IF(All_data!J27="secondary",3,IF(All_data!J27="Tertiary",4,"check"))))</f>
        <v>3</v>
      </c>
      <c r="K28" s="47">
        <f>IF(All_data!K27="Government Employee",1,0)</f>
        <v>0</v>
      </c>
      <c r="L28" s="47">
        <f>IF(All_data!K27="Private Employee",1,0)</f>
        <v>1</v>
      </c>
      <c r="M28" s="47">
        <f>IF(All_data!K27="Business",1,0)</f>
        <v>0</v>
      </c>
      <c r="N28" s="47">
        <f>IF(All_data!K27="Student",1,0)</f>
        <v>0</v>
      </c>
      <c r="O28" s="47">
        <f>IF(All_data!K27="Housewife",1,0)</f>
        <v>0</v>
      </c>
      <c r="P28" s="47">
        <f>IF(All_data!K27="Retired",1,0)</f>
        <v>0</v>
      </c>
      <c r="Q28" s="47">
        <f>IF(All_data!L27="&lt;500,000",1,IF(All_data!L27="500,000 - 1,000,000",2,IF(All_data!L27="1,000,000 - 3,000,000",3,IF(All_data!L27="&gt;3,000,000",4,"check"))))</f>
        <v>1</v>
      </c>
      <c r="R28" s="63">
        <f>IF(All_data!M27="Spouse",1,0)</f>
        <v>1</v>
      </c>
      <c r="S28" s="47">
        <f>IF(All_data!M27="Son/Daughter",1,0)</f>
        <v>0</v>
      </c>
      <c r="T28" s="47">
        <f>IF(All_data!M27="Niece/nephew",1,0)</f>
        <v>0</v>
      </c>
      <c r="U28" s="47">
        <f>IF(All_data!M27="Household head",1,0)</f>
        <v>0</v>
      </c>
      <c r="V28" s="47">
        <f>IF(All_data!N27="&lt; 1 year",1,IF(All_data!N27="1-3 years",2,IF(All_data!N27="3-5 years",3,IF(All_data!N27="&gt; 5 years",4,"check"))))</f>
        <v>3</v>
      </c>
      <c r="W28" s="47">
        <f>IF(All_data!O27="Rented",1,0)</f>
        <v>1</v>
      </c>
      <c r="X28" s="73">
        <f>IF(All_data!P27="Bungalow",1,0)</f>
        <v>1</v>
      </c>
      <c r="Y28" s="73">
        <f>IF(All_data!P27="Temporary",1,0)</f>
        <v>0</v>
      </c>
      <c r="Z28" s="73">
        <f>IF(All_data!P27="Story Building",1,0)</f>
        <v>0</v>
      </c>
      <c r="AA28" s="73">
        <f>IF(All_data!Q27="Iron Sheets/titles",1,0)</f>
        <v>1</v>
      </c>
      <c r="AB28" s="74">
        <f>IF(All_data!R27="Concrete Blocks",1,0)</f>
        <v>0</v>
      </c>
      <c r="AC28" s="73">
        <f>IF(All_data!R27="Bricks",1,0)</f>
        <v>1</v>
      </c>
      <c r="AD28" s="73">
        <f>IF(All_data!R27="Mud/poles",1,0)</f>
        <v>0</v>
      </c>
      <c r="AE28" s="73">
        <f>IF(All_data!S27="tiles",1,0)</f>
        <v>0</v>
      </c>
      <c r="AF28" s="73">
        <f>IF(All_data!S27="Cemented",1,0)</f>
        <v>1</v>
      </c>
      <c r="AG28" s="73">
        <f>IF(All_data!S27="Mud",1,0)</f>
        <v>0</v>
      </c>
      <c r="AH28" s="73">
        <f>IF(All_data!T27="House connection",1,0)</f>
        <v>0</v>
      </c>
      <c r="AI28" s="73">
        <f>IF(All_data!T27="Yard tap",1,0)</f>
        <v>1</v>
      </c>
      <c r="AJ28" s="73">
        <f>IF(All_data!T27="Stand pipe",1,0)</f>
        <v>0</v>
      </c>
      <c r="AK28" s="73">
        <f>IF(All_data!U27="Shared Facilities ",1,0)</f>
        <v>0</v>
      </c>
      <c r="AL28" s="73">
        <f>IF(All_data!V27="paved",0,1)</f>
        <v>1</v>
      </c>
      <c r="AM28" s="55">
        <v>7.1</v>
      </c>
      <c r="AN28" s="55">
        <v>0</v>
      </c>
      <c r="AO28" s="55">
        <v>0</v>
      </c>
      <c r="AP28" s="55">
        <v>0.28000000000000003</v>
      </c>
      <c r="AQ28" s="55">
        <v>0</v>
      </c>
      <c r="AR28" s="55">
        <v>0.45999999999999996</v>
      </c>
      <c r="AS28" s="55">
        <v>9.5000000000000001E-2</v>
      </c>
      <c r="AT28" s="55">
        <v>0</v>
      </c>
      <c r="AU28" s="55">
        <v>0</v>
      </c>
      <c r="AV28" s="55">
        <v>0</v>
      </c>
      <c r="AW28" s="55">
        <v>7.9349999999999996</v>
      </c>
      <c r="AX28" s="55">
        <v>1.1335714285714285</v>
      </c>
      <c r="AY28" s="55">
        <v>0.28339285714285711</v>
      </c>
      <c r="AZ28" s="55">
        <v>20</v>
      </c>
      <c r="BA28" s="55">
        <v>0.39674999999999999</v>
      </c>
    </row>
    <row r="29" spans="1:53" ht="15.5" x14ac:dyDescent="0.35">
      <c r="A29" s="59">
        <v>26</v>
      </c>
      <c r="B29" s="27" t="s">
        <v>109</v>
      </c>
      <c r="C29" s="26" t="s">
        <v>42</v>
      </c>
      <c r="D29" s="26" t="s">
        <v>43</v>
      </c>
      <c r="E29" s="29" t="s">
        <v>102</v>
      </c>
      <c r="F29" s="47">
        <f>IF(All_data!F28="low-income",1,IF(All_data!F28="Middle-Income",2,IF(All_data!F28="High-Income",3,"check")))</f>
        <v>1</v>
      </c>
      <c r="G29" s="47">
        <v>2</v>
      </c>
      <c r="H29" s="47">
        <f>IF(All_data!H28="18-35 years",2,IF(All_data!H28="36-60 years",3,IF(All_data!H28="&gt;60 years",4,1)))</f>
        <v>3</v>
      </c>
      <c r="I29" s="47">
        <f>IF(All_data!I28="Male",0,1)</f>
        <v>0</v>
      </c>
      <c r="J29" s="73">
        <f>IF(All_data!J28="Illiterate",1,IF(All_data!J28="Primary",2,IF(All_data!J28="secondary",3,IF(All_data!J28="Tertiary",4,"check"))))</f>
        <v>3</v>
      </c>
      <c r="K29" s="47">
        <f>IF(All_data!K28="Government Employee",1,0)</f>
        <v>0</v>
      </c>
      <c r="L29" s="47">
        <f>IF(All_data!K28="Private Employee",1,0)</f>
        <v>0</v>
      </c>
      <c r="M29" s="47">
        <f>IF(All_data!K28="Business",1,0)</f>
        <v>1</v>
      </c>
      <c r="N29" s="47">
        <f>IF(All_data!K28="Student",1,0)</f>
        <v>0</v>
      </c>
      <c r="O29" s="47">
        <f>IF(All_data!K28="Housewife",1,0)</f>
        <v>0</v>
      </c>
      <c r="P29" s="47">
        <f>IF(All_data!K28="Retired",1,0)</f>
        <v>0</v>
      </c>
      <c r="Q29" s="47">
        <f>IF(All_data!L28="&lt;500,000",1,IF(All_data!L28="500,000 - 1,000,000",2,IF(All_data!L28="1,000,000 - 3,000,000",3,IF(All_data!L28="&gt;3,000,000",4,"check"))))</f>
        <v>1</v>
      </c>
      <c r="R29" s="63">
        <f>IF(All_data!M28="Spouse",1,0)</f>
        <v>1</v>
      </c>
      <c r="S29" s="47">
        <f>IF(All_data!M28="Son/Daughter",1,0)</f>
        <v>0</v>
      </c>
      <c r="T29" s="47">
        <f>IF(All_data!M28="Niece/nephew",1,0)</f>
        <v>0</v>
      </c>
      <c r="U29" s="47">
        <f>IF(All_data!M28="Household head",1,0)</f>
        <v>0</v>
      </c>
      <c r="V29" s="47">
        <f>IF(All_data!N28="&lt; 1 year",1,IF(All_data!N28="1-3 years",2,IF(All_data!N28="3-5 years",3,IF(All_data!N28="&gt; 5 years",4,"check"))))</f>
        <v>2</v>
      </c>
      <c r="W29" s="47">
        <f>IF(All_data!O28="Rented",1,0)</f>
        <v>1</v>
      </c>
      <c r="X29" s="73">
        <f>IF(All_data!P28="Bungalow",1,0)</f>
        <v>1</v>
      </c>
      <c r="Y29" s="73">
        <f>IF(All_data!P28="Temporary",1,0)</f>
        <v>0</v>
      </c>
      <c r="Z29" s="73">
        <f>IF(All_data!P28="Story Building",1,0)</f>
        <v>0</v>
      </c>
      <c r="AA29" s="73">
        <f>IF(All_data!Q28="Iron Sheets/titles",1,0)</f>
        <v>1</v>
      </c>
      <c r="AB29" s="74">
        <f>IF(All_data!R28="Concrete Blocks",1,0)</f>
        <v>0</v>
      </c>
      <c r="AC29" s="73">
        <f>IF(All_data!R28="Bricks",1,0)</f>
        <v>1</v>
      </c>
      <c r="AD29" s="73">
        <f>IF(All_data!R28="Mud/poles",1,0)</f>
        <v>0</v>
      </c>
      <c r="AE29" s="73">
        <f>IF(All_data!S28="tiles",1,0)</f>
        <v>0</v>
      </c>
      <c r="AF29" s="73">
        <f>IF(All_data!S28="Cemented",1,0)</f>
        <v>1</v>
      </c>
      <c r="AG29" s="73">
        <f>IF(All_data!S28="Mud",1,0)</f>
        <v>0</v>
      </c>
      <c r="AH29" s="73">
        <f>IF(All_data!T28="House connection",1,0)</f>
        <v>0</v>
      </c>
      <c r="AI29" s="73">
        <f>IF(All_data!T28="Yard tap",1,0)</f>
        <v>1</v>
      </c>
      <c r="AJ29" s="73">
        <f>IF(All_data!T28="Stand pipe",1,0)</f>
        <v>0</v>
      </c>
      <c r="AK29" s="73">
        <f>IF(All_data!U28="Shared Facilities ",1,0)</f>
        <v>1</v>
      </c>
      <c r="AL29" s="73">
        <f>IF(All_data!V28="paved",0,1)</f>
        <v>1</v>
      </c>
      <c r="AM29" s="55">
        <v>14.06</v>
      </c>
      <c r="AN29" s="55">
        <v>0</v>
      </c>
      <c r="AO29" s="55">
        <v>0</v>
      </c>
      <c r="AP29" s="55">
        <v>0</v>
      </c>
      <c r="AQ29" s="55">
        <v>1.3000000000000012E-2</v>
      </c>
      <c r="AR29" s="55">
        <v>0.127</v>
      </c>
      <c r="AS29" s="55">
        <v>8.8999999999999996E-2</v>
      </c>
      <c r="AT29" s="55">
        <v>0</v>
      </c>
      <c r="AU29" s="55">
        <v>0.11199999999999999</v>
      </c>
      <c r="AV29" s="55">
        <v>0.20700000000000002</v>
      </c>
      <c r="AW29" s="55">
        <v>14.608000000000002</v>
      </c>
      <c r="AX29" s="55">
        <v>2.0868571428571432</v>
      </c>
      <c r="AY29" s="55">
        <v>1.0434285714285716</v>
      </c>
      <c r="AZ29" s="55">
        <v>34</v>
      </c>
      <c r="BA29" s="55">
        <v>0.42964705882352949</v>
      </c>
    </row>
    <row r="30" spans="1:53" ht="15.5" x14ac:dyDescent="0.35">
      <c r="A30" s="59">
        <v>27</v>
      </c>
      <c r="B30" s="27" t="s">
        <v>110</v>
      </c>
      <c r="C30" s="26" t="s">
        <v>42</v>
      </c>
      <c r="D30" s="26" t="s">
        <v>43</v>
      </c>
      <c r="E30" s="29" t="s">
        <v>102</v>
      </c>
      <c r="F30" s="47">
        <f>IF(All_data!F29="low-income",1,IF(All_data!F29="Middle-Income",2,IF(All_data!F29="High-Income",3,"check")))</f>
        <v>1</v>
      </c>
      <c r="G30" s="47">
        <v>5</v>
      </c>
      <c r="H30" s="47">
        <f>IF(All_data!H29="18-35 years",2,IF(All_data!H29="36-60 years",3,IF(All_data!H29="&gt;60 years",4,1)))</f>
        <v>2</v>
      </c>
      <c r="I30" s="47">
        <f>IF(All_data!I29="Male",0,1)</f>
        <v>0</v>
      </c>
      <c r="J30" s="73">
        <f>IF(All_data!J29="Illiterate",1,IF(All_data!J29="Primary",2,IF(All_data!J29="secondary",3,IF(All_data!J29="Tertiary",4,"check"))))</f>
        <v>3</v>
      </c>
      <c r="K30" s="47">
        <f>IF(All_data!K29="Government Employee",1,0)</f>
        <v>0</v>
      </c>
      <c r="L30" s="47">
        <f>IF(All_data!K29="Private Employee",1,0)</f>
        <v>0</v>
      </c>
      <c r="M30" s="47">
        <f>IF(All_data!K29="Business",1,0)</f>
        <v>1</v>
      </c>
      <c r="N30" s="47">
        <f>IF(All_data!K29="Student",1,0)</f>
        <v>0</v>
      </c>
      <c r="O30" s="47">
        <f>IF(All_data!K29="Housewife",1,0)</f>
        <v>0</v>
      </c>
      <c r="P30" s="47">
        <f>IF(All_data!K29="Retired",1,0)</f>
        <v>0</v>
      </c>
      <c r="Q30" s="47">
        <f>IF(All_data!L29="&lt;500,000",1,IF(All_data!L29="500,000 - 1,000,000",2,IF(All_data!L29="1,000,000 - 3,000,000",3,IF(All_data!L29="&gt;3,000,000",4,"check"))))</f>
        <v>1</v>
      </c>
      <c r="R30" s="63">
        <f>IF(All_data!M29="Spouse",1,0)</f>
        <v>1</v>
      </c>
      <c r="S30" s="47">
        <f>IF(All_data!M29="Son/Daughter",1,0)</f>
        <v>0</v>
      </c>
      <c r="T30" s="47">
        <f>IF(All_data!M29="Niece/nephew",1,0)</f>
        <v>0</v>
      </c>
      <c r="U30" s="47">
        <f>IF(All_data!M29="Household head",1,0)</f>
        <v>0</v>
      </c>
      <c r="V30" s="47">
        <f>IF(All_data!N29="&lt; 1 year",1,IF(All_data!N29="1-3 years",2,IF(All_data!N29="3-5 years",3,IF(All_data!N29="&gt; 5 years",4,"check"))))</f>
        <v>1</v>
      </c>
      <c r="W30" s="47">
        <f>IF(All_data!O29="Rented",1,0)</f>
        <v>1</v>
      </c>
      <c r="X30" s="73">
        <f>IF(All_data!P29="Bungalow",1,0)</f>
        <v>1</v>
      </c>
      <c r="Y30" s="73">
        <f>IF(All_data!P29="Temporary",1,0)</f>
        <v>0</v>
      </c>
      <c r="Z30" s="73">
        <f>IF(All_data!P29="Story Building",1,0)</f>
        <v>0</v>
      </c>
      <c r="AA30" s="73">
        <f>IF(All_data!Q29="Iron Sheets/titles",1,0)</f>
        <v>1</v>
      </c>
      <c r="AB30" s="74">
        <f>IF(All_data!R29="Concrete Blocks",1,0)</f>
        <v>0</v>
      </c>
      <c r="AC30" s="73">
        <f>IF(All_data!R29="Bricks",1,0)</f>
        <v>1</v>
      </c>
      <c r="AD30" s="73">
        <f>IF(All_data!R29="Mud/poles",1,0)</f>
        <v>0</v>
      </c>
      <c r="AE30" s="73">
        <f>IF(All_data!S29="tiles",1,0)</f>
        <v>0</v>
      </c>
      <c r="AF30" s="73">
        <f>IF(All_data!S29="Cemented",1,0)</f>
        <v>1</v>
      </c>
      <c r="AG30" s="73">
        <f>IF(All_data!S29="Mud",1,0)</f>
        <v>0</v>
      </c>
      <c r="AH30" s="73">
        <f>IF(All_data!T29="House connection",1,0)</f>
        <v>0</v>
      </c>
      <c r="AI30" s="73">
        <f>IF(All_data!T29="Yard tap",1,0)</f>
        <v>1</v>
      </c>
      <c r="AJ30" s="73">
        <f>IF(All_data!T29="Stand pipe",1,0)</f>
        <v>0</v>
      </c>
      <c r="AK30" s="73">
        <f>IF(All_data!U29="Shared Facilities ",1,0)</f>
        <v>1</v>
      </c>
      <c r="AL30" s="73">
        <f>IF(All_data!V29="paved",0,1)</f>
        <v>1</v>
      </c>
      <c r="AM30" s="55">
        <v>29.38</v>
      </c>
      <c r="AN30" s="55">
        <v>9.35</v>
      </c>
      <c r="AO30" s="55">
        <v>0</v>
      </c>
      <c r="AP30" s="55">
        <v>0</v>
      </c>
      <c r="AQ30" s="55">
        <v>0</v>
      </c>
      <c r="AR30" s="55">
        <v>3.28</v>
      </c>
      <c r="AS30" s="55">
        <v>1.99</v>
      </c>
      <c r="AT30" s="55">
        <v>0</v>
      </c>
      <c r="AU30" s="55">
        <v>0</v>
      </c>
      <c r="AV30" s="55">
        <v>0</v>
      </c>
      <c r="AW30" s="55">
        <v>44</v>
      </c>
      <c r="AX30" s="55">
        <v>6.2857142857142856</v>
      </c>
      <c r="AY30" s="55">
        <v>1.2571428571428571</v>
      </c>
      <c r="AZ30" s="55">
        <v>140</v>
      </c>
      <c r="BA30" s="55">
        <v>0.31428571428571428</v>
      </c>
    </row>
    <row r="31" spans="1:53" ht="15.5" x14ac:dyDescent="0.35">
      <c r="A31" s="59">
        <v>28</v>
      </c>
      <c r="B31" s="27" t="s">
        <v>111</v>
      </c>
      <c r="C31" s="26" t="s">
        <v>42</v>
      </c>
      <c r="D31" s="26" t="s">
        <v>43</v>
      </c>
      <c r="E31" s="29" t="s">
        <v>102</v>
      </c>
      <c r="F31" s="47">
        <f>IF(All_data!F30="low-income",1,IF(All_data!F30="Middle-Income",2,IF(All_data!F30="High-Income",3,"check")))</f>
        <v>1</v>
      </c>
      <c r="G31" s="47">
        <v>3</v>
      </c>
      <c r="H31" s="47">
        <f>IF(All_data!H30="18-35 years",2,IF(All_data!H30="36-60 years",3,IF(All_data!H30="&gt;60 years",4,1)))</f>
        <v>3</v>
      </c>
      <c r="I31" s="47">
        <f>IF(All_data!I30="Male",0,1)</f>
        <v>0</v>
      </c>
      <c r="J31" s="73">
        <f>IF(All_data!J30="Illiterate",1,IF(All_data!J30="Primary",2,IF(All_data!J30="secondary",3,IF(All_data!J30="Tertiary",4,"check"))))</f>
        <v>2</v>
      </c>
      <c r="K31" s="47">
        <f>IF(All_data!K30="Government Employee",1,0)</f>
        <v>0</v>
      </c>
      <c r="L31" s="47">
        <f>IF(All_data!K30="Private Employee",1,0)</f>
        <v>0</v>
      </c>
      <c r="M31" s="47">
        <f>IF(All_data!K30="Business",1,0)</f>
        <v>1</v>
      </c>
      <c r="N31" s="47">
        <f>IF(All_data!K30="Student",1,0)</f>
        <v>0</v>
      </c>
      <c r="O31" s="47">
        <f>IF(All_data!K30="Housewife",1,0)</f>
        <v>0</v>
      </c>
      <c r="P31" s="47">
        <f>IF(All_data!K30="Retired",1,0)</f>
        <v>0</v>
      </c>
      <c r="Q31" s="47">
        <f>IF(All_data!L30="&lt;500,000",1,IF(All_data!L30="500,000 - 1,000,000",2,IF(All_data!L30="1,000,000 - 3,000,000",3,IF(All_data!L30="&gt;3,000,000",4,"check"))))</f>
        <v>1</v>
      </c>
      <c r="R31" s="63">
        <f>IF(All_data!M30="Spouse",1,0)</f>
        <v>1</v>
      </c>
      <c r="S31" s="47">
        <f>IF(All_data!M30="Son/Daughter",1,0)</f>
        <v>0</v>
      </c>
      <c r="T31" s="47">
        <f>IF(All_data!M30="Niece/nephew",1,0)</f>
        <v>0</v>
      </c>
      <c r="U31" s="47">
        <f>IF(All_data!M30="Household head",1,0)</f>
        <v>0</v>
      </c>
      <c r="V31" s="47">
        <f>IF(All_data!N30="&lt; 1 year",1,IF(All_data!N30="1-3 years",2,IF(All_data!N30="3-5 years",3,IF(All_data!N30="&gt; 5 years",4,"check"))))</f>
        <v>2</v>
      </c>
      <c r="W31" s="47">
        <f>IF(All_data!O30="Rented",1,0)</f>
        <v>1</v>
      </c>
      <c r="X31" s="73">
        <f>IF(All_data!P30="Bungalow",1,0)</f>
        <v>0</v>
      </c>
      <c r="Y31" s="73">
        <f>IF(All_data!P30="Temporary",1,0)</f>
        <v>1</v>
      </c>
      <c r="Z31" s="73">
        <f>IF(All_data!P30="Story Building",1,0)</f>
        <v>0</v>
      </c>
      <c r="AA31" s="73">
        <f>IF(All_data!Q30="Iron Sheets/titles",1,0)</f>
        <v>1</v>
      </c>
      <c r="AB31" s="74">
        <f>IF(All_data!R30="Concrete Blocks",1,0)</f>
        <v>0</v>
      </c>
      <c r="AC31" s="73">
        <f>IF(All_data!R30="Bricks",1,0)</f>
        <v>1</v>
      </c>
      <c r="AD31" s="73">
        <f>IF(All_data!R30="Mud/poles",1,0)</f>
        <v>0</v>
      </c>
      <c r="AE31" s="73">
        <f>IF(All_data!S30="tiles",1,0)</f>
        <v>0</v>
      </c>
      <c r="AF31" s="73">
        <f>IF(All_data!S30="Cemented",1,0)</f>
        <v>1</v>
      </c>
      <c r="AG31" s="73">
        <f>IF(All_data!S30="Mud",1,0)</f>
        <v>0</v>
      </c>
      <c r="AH31" s="73">
        <f>IF(All_data!T30="House connection",1,0)</f>
        <v>0</v>
      </c>
      <c r="AI31" s="73">
        <f>IF(All_data!T30="Yard tap",1,0)</f>
        <v>0</v>
      </c>
      <c r="AJ31" s="73">
        <f>IF(All_data!T30="Stand pipe",1,0)</f>
        <v>1</v>
      </c>
      <c r="AK31" s="73">
        <f>IF(All_data!U30="Shared Facilities ",1,0)</f>
        <v>1</v>
      </c>
      <c r="AL31" s="73">
        <f>IF(All_data!V30="paved",0,1)</f>
        <v>1</v>
      </c>
      <c r="AM31" s="55">
        <v>6.68</v>
      </c>
      <c r="AN31" s="55">
        <v>0</v>
      </c>
      <c r="AO31" s="55">
        <v>0</v>
      </c>
      <c r="AP31" s="55">
        <v>0</v>
      </c>
      <c r="AQ31" s="55">
        <v>2.9000000000000001E-2</v>
      </c>
      <c r="AR31" s="55">
        <v>0.38</v>
      </c>
      <c r="AS31" s="55">
        <v>3.2000000000000001E-2</v>
      </c>
      <c r="AT31" s="55">
        <v>0</v>
      </c>
      <c r="AU31" s="55">
        <v>0</v>
      </c>
      <c r="AV31" s="55">
        <v>0.23699999999999999</v>
      </c>
      <c r="AW31" s="55">
        <v>7.3579999999999997</v>
      </c>
      <c r="AX31" s="55">
        <v>1.0511428571428572</v>
      </c>
      <c r="AY31" s="55">
        <v>0.3503809523809524</v>
      </c>
      <c r="AZ31" s="55">
        <v>18</v>
      </c>
      <c r="BA31" s="55">
        <v>0.40877777777777774</v>
      </c>
    </row>
    <row r="32" spans="1:53" ht="15.5" x14ac:dyDescent="0.35">
      <c r="A32" s="59">
        <v>29</v>
      </c>
      <c r="B32" s="27" t="s">
        <v>145</v>
      </c>
      <c r="C32" s="26" t="s">
        <v>42</v>
      </c>
      <c r="D32" s="26" t="s">
        <v>43</v>
      </c>
      <c r="E32" s="29" t="s">
        <v>117</v>
      </c>
      <c r="F32" s="47">
        <f>IF(All_data!F31="low-income",1,IF(All_data!F31="Middle-Income",2,IF(All_data!F31="High-Income",3,"check")))</f>
        <v>1</v>
      </c>
      <c r="G32" s="47">
        <v>8</v>
      </c>
      <c r="H32" s="47">
        <f>IF(All_data!H31="18-35 years",2,IF(All_data!H31="36-60 years",3,IF(All_data!H31="&gt;60 years",4,1)))</f>
        <v>4</v>
      </c>
      <c r="I32" s="47">
        <f>IF(All_data!I31="Male",0,1)</f>
        <v>1</v>
      </c>
      <c r="J32" s="73">
        <f>IF(All_data!J31="Illiterate",1,IF(All_data!J31="Primary",2,IF(All_data!J31="secondary",3,IF(All_data!J31="Tertiary",4,"check"))))</f>
        <v>2</v>
      </c>
      <c r="K32" s="47">
        <f>IF(All_data!K31="Government Employee",1,0)</f>
        <v>0</v>
      </c>
      <c r="L32" s="47">
        <f>IF(All_data!K31="Private Employee",1,0)</f>
        <v>0</v>
      </c>
      <c r="M32" s="47">
        <f>IF(All_data!K31="Business",1,0)</f>
        <v>0</v>
      </c>
      <c r="N32" s="47">
        <f>IF(All_data!K31="Student",1,0)</f>
        <v>0</v>
      </c>
      <c r="O32" s="47">
        <f>IF(All_data!K31="Housewife",1,0)</f>
        <v>0</v>
      </c>
      <c r="P32" s="47">
        <f>IF(All_data!K31="Retired",1,0)</f>
        <v>1</v>
      </c>
      <c r="Q32" s="47">
        <f>IF(All_data!L31="&lt;500,000",1,IF(All_data!L31="500,000 - 1,000,000",2,IF(All_data!L31="1,000,000 - 3,000,000",3,IF(All_data!L31="&gt;3,000,000",4,"check"))))</f>
        <v>1</v>
      </c>
      <c r="R32" s="63">
        <f>IF(All_data!M31="Spouse",1,0)</f>
        <v>0</v>
      </c>
      <c r="S32" s="47">
        <f>IF(All_data!M31="Son/Daughter",1,0)</f>
        <v>0</v>
      </c>
      <c r="T32" s="47">
        <f>IF(All_data!M31="Niece/nephew",1,0)</f>
        <v>0</v>
      </c>
      <c r="U32" s="47">
        <f>IF(All_data!M31="Household head",1,0)</f>
        <v>1</v>
      </c>
      <c r="V32" s="47">
        <f>IF(All_data!N31="&lt; 1 year",1,IF(All_data!N31="1-3 years",2,IF(All_data!N31="3-5 years",3,IF(All_data!N31="&gt; 5 years",4,"check"))))</f>
        <v>3</v>
      </c>
      <c r="W32" s="47">
        <f>IF(All_data!O31="Rented",1,0)</f>
        <v>0</v>
      </c>
      <c r="X32" s="73">
        <f>IF(All_data!P31="Bungalow",1,0)</f>
        <v>1</v>
      </c>
      <c r="Y32" s="73">
        <f>IF(All_data!P31="Temporary",1,0)</f>
        <v>0</v>
      </c>
      <c r="Z32" s="73">
        <f>IF(All_data!P31="Story Building",1,0)</f>
        <v>0</v>
      </c>
      <c r="AA32" s="73">
        <f>IF(All_data!Q31="Iron Sheets/titles",1,0)</f>
        <v>1</v>
      </c>
      <c r="AB32" s="74">
        <f>IF(All_data!R31="Concrete Blocks",1,0)</f>
        <v>0</v>
      </c>
      <c r="AC32" s="73">
        <f>IF(All_data!R31="Bricks",1,0)</f>
        <v>1</v>
      </c>
      <c r="AD32" s="73">
        <f>IF(All_data!R31="Mud/poles",1,0)</f>
        <v>0</v>
      </c>
      <c r="AE32" s="73">
        <f>IF(All_data!S31="tiles",1,0)</f>
        <v>0</v>
      </c>
      <c r="AF32" s="73">
        <f>IF(All_data!S31="Cemented",1,0)</f>
        <v>1</v>
      </c>
      <c r="AG32" s="73">
        <f>IF(All_data!S31="Mud",1,0)</f>
        <v>0</v>
      </c>
      <c r="AH32" s="73">
        <f>IF(All_data!T31="House connection",1,0)</f>
        <v>0</v>
      </c>
      <c r="AI32" s="73">
        <f>IF(All_data!T31="Yard tap",1,0)</f>
        <v>1</v>
      </c>
      <c r="AJ32" s="73">
        <f>IF(All_data!T31="Stand pipe",1,0)</f>
        <v>0</v>
      </c>
      <c r="AK32" s="73">
        <f>IF(All_data!U31="Shared Facilities ",1,0)</f>
        <v>0</v>
      </c>
      <c r="AL32" s="73">
        <f>IF(All_data!V31="paved",0,1)</f>
        <v>1</v>
      </c>
      <c r="AM32" s="55">
        <v>5.26</v>
      </c>
      <c r="AN32" s="55">
        <v>0</v>
      </c>
      <c r="AO32" s="55">
        <v>0</v>
      </c>
      <c r="AP32" s="55">
        <v>0.13300000000000001</v>
      </c>
      <c r="AQ32" s="55">
        <v>0.19700000000000001</v>
      </c>
      <c r="AR32" s="55">
        <v>1.2609999999999999</v>
      </c>
      <c r="AS32" s="55">
        <v>1.18</v>
      </c>
      <c r="AT32" s="55">
        <v>0</v>
      </c>
      <c r="AU32" s="55">
        <v>0</v>
      </c>
      <c r="AV32" s="55">
        <v>0</v>
      </c>
      <c r="AW32" s="55">
        <v>8.0310000000000006</v>
      </c>
      <c r="AX32" s="55">
        <v>1.1472857142857145</v>
      </c>
      <c r="AY32" s="55">
        <v>0.14341071428571431</v>
      </c>
      <c r="AZ32" s="55">
        <v>24</v>
      </c>
      <c r="BA32" s="55">
        <v>0.33462500000000001</v>
      </c>
    </row>
    <row r="33" spans="1:53" ht="15.5" x14ac:dyDescent="0.35">
      <c r="A33" s="59">
        <v>30</v>
      </c>
      <c r="B33" s="27" t="s">
        <v>146</v>
      </c>
      <c r="C33" s="26" t="s">
        <v>42</v>
      </c>
      <c r="D33" s="26" t="s">
        <v>43</v>
      </c>
      <c r="E33" s="29" t="s">
        <v>117</v>
      </c>
      <c r="F33" s="47">
        <f>IF(All_data!F32="low-income",1,IF(All_data!F32="Middle-Income",2,IF(All_data!F32="High-Income",3,"check")))</f>
        <v>1</v>
      </c>
      <c r="G33" s="47">
        <v>3</v>
      </c>
      <c r="H33" s="47">
        <f>IF(All_data!H32="18-35 years",2,IF(All_data!H32="36-60 years",3,IF(All_data!H32="&gt;60 years",4,1)))</f>
        <v>3</v>
      </c>
      <c r="I33" s="47">
        <f>IF(All_data!I32="Male",0,1)</f>
        <v>0</v>
      </c>
      <c r="J33" s="73">
        <f>IF(All_data!J32="Illiterate",1,IF(All_data!J32="Primary",2,IF(All_data!J32="secondary",3,IF(All_data!J32="Tertiary",4,"check"))))</f>
        <v>4</v>
      </c>
      <c r="K33" s="47">
        <f>IF(All_data!K32="Government Employee",1,0)</f>
        <v>1</v>
      </c>
      <c r="L33" s="47">
        <f>IF(All_data!K32="Private Employee",1,0)</f>
        <v>0</v>
      </c>
      <c r="M33" s="47">
        <f>IF(All_data!K32="Business",1,0)</f>
        <v>0</v>
      </c>
      <c r="N33" s="47">
        <f>IF(All_data!K32="Student",1,0)</f>
        <v>0</v>
      </c>
      <c r="O33" s="47">
        <f>IF(All_data!K32="Housewife",1,0)</f>
        <v>0</v>
      </c>
      <c r="P33" s="47">
        <f>IF(All_data!K32="Retired",1,0)</f>
        <v>0</v>
      </c>
      <c r="Q33" s="47">
        <f>IF(All_data!L32="&lt;500,000",1,IF(All_data!L32="500,000 - 1,000,000",2,IF(All_data!L32="1,000,000 - 3,000,000",3,IF(All_data!L32="&gt;3,000,000",4,"check"))))</f>
        <v>2</v>
      </c>
      <c r="R33" s="63">
        <f>IF(All_data!M32="Spouse",1,0)</f>
        <v>0</v>
      </c>
      <c r="S33" s="47">
        <f>IF(All_data!M32="Son/Daughter",1,0)</f>
        <v>0</v>
      </c>
      <c r="T33" s="47">
        <f>IF(All_data!M32="Niece/nephew",1,0)</f>
        <v>0</v>
      </c>
      <c r="U33" s="47">
        <f>IF(All_data!M32="Household head",1,0)</f>
        <v>1</v>
      </c>
      <c r="V33" s="47">
        <f>IF(All_data!N32="&lt; 1 year",1,IF(All_data!N32="1-3 years",2,IF(All_data!N32="3-5 years",3,IF(All_data!N32="&gt; 5 years",4,"check"))))</f>
        <v>4</v>
      </c>
      <c r="W33" s="47">
        <f>IF(All_data!O32="Rented",1,0)</f>
        <v>0</v>
      </c>
      <c r="X33" s="73">
        <f>IF(All_data!P32="Bungalow",1,0)</f>
        <v>1</v>
      </c>
      <c r="Y33" s="73">
        <f>IF(All_data!P32="Temporary",1,0)</f>
        <v>0</v>
      </c>
      <c r="Z33" s="73">
        <f>IF(All_data!P32="Story Building",1,0)</f>
        <v>0</v>
      </c>
      <c r="AA33" s="73">
        <f>IF(All_data!Q32="Iron Sheets/titles",1,0)</f>
        <v>1</v>
      </c>
      <c r="AB33" s="74">
        <f>IF(All_data!R32="Concrete Blocks",1,0)</f>
        <v>0</v>
      </c>
      <c r="AC33" s="73">
        <f>IF(All_data!R32="Bricks",1,0)</f>
        <v>1</v>
      </c>
      <c r="AD33" s="73">
        <f>IF(All_data!R32="Mud/poles",1,0)</f>
        <v>0</v>
      </c>
      <c r="AE33" s="73">
        <f>IF(All_data!S32="tiles",1,0)</f>
        <v>0</v>
      </c>
      <c r="AF33" s="73">
        <f>IF(All_data!S32="Cemented",1,0)</f>
        <v>1</v>
      </c>
      <c r="AG33" s="73">
        <f>IF(All_data!S32="Mud",1,0)</f>
        <v>0</v>
      </c>
      <c r="AH33" s="73">
        <f>IF(All_data!T32="House connection",1,0)</f>
        <v>1</v>
      </c>
      <c r="AI33" s="73">
        <f>IF(All_data!T32="Yard tap",1,0)</f>
        <v>0</v>
      </c>
      <c r="AJ33" s="73">
        <f>IF(All_data!T32="Stand pipe",1,0)</f>
        <v>0</v>
      </c>
      <c r="AK33" s="73">
        <f>IF(All_data!U32="Shared Facilities ",1,0)</f>
        <v>0</v>
      </c>
      <c r="AL33" s="73">
        <f>IF(All_data!V32="paved",0,1)</f>
        <v>1</v>
      </c>
      <c r="AM33" s="55">
        <v>1.38</v>
      </c>
      <c r="AN33" s="55">
        <v>0</v>
      </c>
      <c r="AO33" s="55">
        <v>0</v>
      </c>
      <c r="AP33" s="55">
        <v>0</v>
      </c>
      <c r="AQ33" s="55">
        <v>0.17099999999999999</v>
      </c>
      <c r="AR33" s="55">
        <v>0.21700000000000003</v>
      </c>
      <c r="AS33" s="55">
        <v>8.8999999999999968E-2</v>
      </c>
      <c r="AT33" s="55">
        <v>0</v>
      </c>
      <c r="AU33" s="55">
        <v>3.8000000000000006E-2</v>
      </c>
      <c r="AV33" s="55">
        <v>0</v>
      </c>
      <c r="AW33" s="55">
        <v>1.895</v>
      </c>
      <c r="AX33" s="55">
        <v>0.27071428571428574</v>
      </c>
      <c r="AY33" s="55">
        <v>9.0238095238095242E-2</v>
      </c>
      <c r="AZ33" s="55">
        <v>4</v>
      </c>
      <c r="BA33" s="55">
        <v>0.47375</v>
      </c>
    </row>
    <row r="34" spans="1:53" ht="15.5" x14ac:dyDescent="0.35">
      <c r="A34" s="59">
        <v>31</v>
      </c>
      <c r="B34" s="27" t="s">
        <v>112</v>
      </c>
      <c r="C34" s="26" t="s">
        <v>42</v>
      </c>
      <c r="D34" s="26" t="s">
        <v>43</v>
      </c>
      <c r="E34" s="29" t="s">
        <v>120</v>
      </c>
      <c r="F34" s="47">
        <f>IF(All_data!F33="low-income",1,IF(All_data!F33="Middle-Income",2,IF(All_data!F33="High-Income",3,"check")))</f>
        <v>1</v>
      </c>
      <c r="G34" s="47">
        <v>2</v>
      </c>
      <c r="H34" s="47">
        <f>IF(All_data!H33="18-35 years",2,IF(All_data!H33="36-60 years",3,IF(All_data!H33="&gt;60 years",4,1)))</f>
        <v>4</v>
      </c>
      <c r="I34" s="47">
        <f>IF(All_data!I33="Male",0,1)</f>
        <v>1</v>
      </c>
      <c r="J34" s="73">
        <f>IF(All_data!J33="Illiterate",1,IF(All_data!J33="Primary",2,IF(All_data!J33="secondary",3,IF(All_data!J33="Tertiary",4,"check"))))</f>
        <v>1</v>
      </c>
      <c r="K34" s="47">
        <f>IF(All_data!K33="Government Employee",1,0)</f>
        <v>0</v>
      </c>
      <c r="L34" s="47">
        <f>IF(All_data!K33="Private Employee",1,0)</f>
        <v>0</v>
      </c>
      <c r="M34" s="47">
        <f>IF(All_data!K33="Business",1,0)</f>
        <v>0</v>
      </c>
      <c r="N34" s="47">
        <f>IF(All_data!K33="Student",1,0)</f>
        <v>0</v>
      </c>
      <c r="O34" s="47">
        <f>IF(All_data!K33="Housewife",1,0)</f>
        <v>0</v>
      </c>
      <c r="P34" s="47">
        <f>IF(All_data!K33="Retired",1,0)</f>
        <v>1</v>
      </c>
      <c r="Q34" s="47">
        <f>IF(All_data!L33="&lt;500,000",1,IF(All_data!L33="500,000 - 1,000,000",2,IF(All_data!L33="1,000,000 - 3,000,000",3,IF(All_data!L33="&gt;3,000,000",4,"check"))))</f>
        <v>1</v>
      </c>
      <c r="R34" s="63">
        <f>IF(All_data!M33="Spouse",1,0)</f>
        <v>0</v>
      </c>
      <c r="S34" s="47">
        <f>IF(All_data!M33="Son/Daughter",1,0)</f>
        <v>1</v>
      </c>
      <c r="T34" s="47">
        <f>IF(All_data!M33="Niece/nephew",1,0)</f>
        <v>0</v>
      </c>
      <c r="U34" s="47">
        <f>IF(All_data!M33="Household head",1,0)</f>
        <v>0</v>
      </c>
      <c r="V34" s="47">
        <f>IF(All_data!N33="&lt; 1 year",1,IF(All_data!N33="1-3 years",2,IF(All_data!N33="3-5 years",3,IF(All_data!N33="&gt; 5 years",4,"check"))))</f>
        <v>4</v>
      </c>
      <c r="W34" s="47">
        <f>IF(All_data!O33="Rented",1,0)</f>
        <v>0</v>
      </c>
      <c r="X34" s="73">
        <f>IF(All_data!P33="Bungalow",1,0)</f>
        <v>1</v>
      </c>
      <c r="Y34" s="73">
        <f>IF(All_data!P33="Temporary",1,0)</f>
        <v>0</v>
      </c>
      <c r="Z34" s="73">
        <f>IF(All_data!P33="Story Building",1,0)</f>
        <v>0</v>
      </c>
      <c r="AA34" s="73">
        <f>IF(All_data!Q33="Iron Sheets/titles",1,0)</f>
        <v>1</v>
      </c>
      <c r="AB34" s="74">
        <f>IF(All_data!R33="Concrete Blocks",1,0)</f>
        <v>0</v>
      </c>
      <c r="AC34" s="73">
        <f>IF(All_data!R33="Bricks",1,0)</f>
        <v>1</v>
      </c>
      <c r="AD34" s="73">
        <f>IF(All_data!R33="Mud/poles",1,0)</f>
        <v>0</v>
      </c>
      <c r="AE34" s="73">
        <f>IF(All_data!S33="tiles",1,0)</f>
        <v>0</v>
      </c>
      <c r="AF34" s="73">
        <f>IF(All_data!S33="Cemented",1,0)</f>
        <v>1</v>
      </c>
      <c r="AG34" s="73">
        <f>IF(All_data!S33="Mud",1,0)</f>
        <v>0</v>
      </c>
      <c r="AH34" s="73">
        <f>IF(All_data!T33="House connection",1,0)</f>
        <v>0</v>
      </c>
      <c r="AI34" s="73">
        <f>IF(All_data!T33="Yard tap",1,0)</f>
        <v>1</v>
      </c>
      <c r="AJ34" s="73">
        <f>IF(All_data!T33="Stand pipe",1,0)</f>
        <v>0</v>
      </c>
      <c r="AK34" s="73">
        <f>IF(All_data!U33="Shared Facilities ",1,0)</f>
        <v>1</v>
      </c>
      <c r="AL34" s="73">
        <f>IF(All_data!V33="paved",0,1)</f>
        <v>1</v>
      </c>
      <c r="AM34" s="55">
        <v>8.24</v>
      </c>
      <c r="AN34" s="55">
        <v>0</v>
      </c>
      <c r="AO34" s="55">
        <v>0</v>
      </c>
      <c r="AP34" s="55">
        <v>7.0000000000000007E-2</v>
      </c>
      <c r="AQ34" s="55">
        <v>9.0999999999999998E-2</v>
      </c>
      <c r="AR34" s="55">
        <v>0.44599999999999995</v>
      </c>
      <c r="AS34" s="55">
        <v>3.9000000000000007E-2</v>
      </c>
      <c r="AT34" s="55">
        <v>0</v>
      </c>
      <c r="AU34" s="55">
        <v>0</v>
      </c>
      <c r="AV34" s="55">
        <v>0</v>
      </c>
      <c r="AW34" s="55">
        <v>8.8859999999999992</v>
      </c>
      <c r="AX34" s="55">
        <v>1.2694285714285714</v>
      </c>
      <c r="AY34" s="55">
        <v>0.63471428571428568</v>
      </c>
      <c r="AZ34" s="55">
        <v>20</v>
      </c>
      <c r="BA34" s="55">
        <v>0.44429999999999997</v>
      </c>
    </row>
    <row r="35" spans="1:53" ht="15.5" x14ac:dyDescent="0.35">
      <c r="A35" s="59">
        <v>32</v>
      </c>
      <c r="B35" s="27" t="s">
        <v>113</v>
      </c>
      <c r="C35" s="26" t="s">
        <v>42</v>
      </c>
      <c r="D35" s="26" t="s">
        <v>43</v>
      </c>
      <c r="E35" s="29" t="s">
        <v>120</v>
      </c>
      <c r="F35" s="47">
        <f>IF(All_data!F34="low-income",1,IF(All_data!F34="Middle-Income",2,IF(All_data!F34="High-Income",3,"check")))</f>
        <v>1</v>
      </c>
      <c r="G35" s="47">
        <v>4</v>
      </c>
      <c r="H35" s="47">
        <f>IF(All_data!H34="18-35 years",2,IF(All_data!H34="36-60 years",3,IF(All_data!H34="&gt;60 years",4,1)))</f>
        <v>2</v>
      </c>
      <c r="I35" s="47">
        <f>IF(All_data!I34="Male",0,1)</f>
        <v>0</v>
      </c>
      <c r="J35" s="73">
        <f>IF(All_data!J34="Illiterate",1,IF(All_data!J34="Primary",2,IF(All_data!J34="secondary",3,IF(All_data!J34="Tertiary",4,"check"))))</f>
        <v>3</v>
      </c>
      <c r="K35" s="47">
        <f>IF(All_data!K34="Government Employee",1,0)</f>
        <v>0</v>
      </c>
      <c r="L35" s="47">
        <f>IF(All_data!K34="Private Employee",1,0)</f>
        <v>1</v>
      </c>
      <c r="M35" s="47">
        <f>IF(All_data!K34="Business",1,0)</f>
        <v>0</v>
      </c>
      <c r="N35" s="47">
        <f>IF(All_data!K34="Student",1,0)</f>
        <v>0</v>
      </c>
      <c r="O35" s="47">
        <f>IF(All_data!K34="Housewife",1,0)</f>
        <v>0</v>
      </c>
      <c r="P35" s="47">
        <f>IF(All_data!K34="Retired",1,0)</f>
        <v>0</v>
      </c>
      <c r="Q35" s="47">
        <f>IF(All_data!L34="&lt;500,000",1,IF(All_data!L34="500,000 - 1,000,000",2,IF(All_data!L34="1,000,000 - 3,000,000",3,IF(All_data!L34="&gt;3,000,000",4,"check"))))</f>
        <v>2</v>
      </c>
      <c r="R35" s="63">
        <f>IF(All_data!M34="Spouse",1,0)</f>
        <v>1</v>
      </c>
      <c r="S35" s="47">
        <f>IF(All_data!M34="Son/Daughter",1,0)</f>
        <v>0</v>
      </c>
      <c r="T35" s="47">
        <f>IF(All_data!M34="Niece/nephew",1,0)</f>
        <v>0</v>
      </c>
      <c r="U35" s="47">
        <f>IF(All_data!M34="Household head",1,0)</f>
        <v>0</v>
      </c>
      <c r="V35" s="47">
        <f>IF(All_data!N34="&lt; 1 year",1,IF(All_data!N34="1-3 years",2,IF(All_data!N34="3-5 years",3,IF(All_data!N34="&gt; 5 years",4,"check"))))</f>
        <v>2</v>
      </c>
      <c r="W35" s="47">
        <f>IF(All_data!O34="Rented",1,0)</f>
        <v>1</v>
      </c>
      <c r="X35" s="73">
        <f>IF(All_data!P34="Bungalow",1,0)</f>
        <v>1</v>
      </c>
      <c r="Y35" s="73">
        <f>IF(All_data!P34="Temporary",1,0)</f>
        <v>0</v>
      </c>
      <c r="Z35" s="73">
        <f>IF(All_data!P34="Story Building",1,0)</f>
        <v>0</v>
      </c>
      <c r="AA35" s="73">
        <f>IF(All_data!Q34="Iron Sheets/titles",1,0)</f>
        <v>1</v>
      </c>
      <c r="AB35" s="74">
        <f>IF(All_data!R34="Concrete Blocks",1,0)</f>
        <v>0</v>
      </c>
      <c r="AC35" s="73">
        <f>IF(All_data!R34="Bricks",1,0)</f>
        <v>1</v>
      </c>
      <c r="AD35" s="73">
        <f>IF(All_data!R34="Mud/poles",1,0)</f>
        <v>0</v>
      </c>
      <c r="AE35" s="73">
        <f>IF(All_data!S34="tiles",1,0)</f>
        <v>0</v>
      </c>
      <c r="AF35" s="73">
        <f>IF(All_data!S34="Cemented",1,0)</f>
        <v>1</v>
      </c>
      <c r="AG35" s="73">
        <f>IF(All_data!S34="Mud",1,0)</f>
        <v>0</v>
      </c>
      <c r="AH35" s="73">
        <f>IF(All_data!T34="House connection",1,0)</f>
        <v>0</v>
      </c>
      <c r="AI35" s="73">
        <f>IF(All_data!T34="Yard tap",1,0)</f>
        <v>0</v>
      </c>
      <c r="AJ35" s="73">
        <f>IF(All_data!T34="Stand pipe",1,0)</f>
        <v>1</v>
      </c>
      <c r="AK35" s="73">
        <f>IF(All_data!U34="Shared Facilities ",1,0)</f>
        <v>0</v>
      </c>
      <c r="AL35" s="73">
        <f>IF(All_data!V34="paved",0,1)</f>
        <v>1</v>
      </c>
      <c r="AM35" s="55">
        <v>4</v>
      </c>
      <c r="AN35" s="55">
        <v>0</v>
      </c>
      <c r="AO35" s="55">
        <v>0</v>
      </c>
      <c r="AP35" s="55">
        <v>0</v>
      </c>
      <c r="AQ35" s="55">
        <v>4.9999999999999989E-2</v>
      </c>
      <c r="AR35" s="55">
        <v>0.121</v>
      </c>
      <c r="AS35" s="55">
        <v>0</v>
      </c>
      <c r="AT35" s="55">
        <v>0</v>
      </c>
      <c r="AU35" s="55">
        <v>0</v>
      </c>
      <c r="AV35" s="55">
        <v>0</v>
      </c>
      <c r="AW35" s="55">
        <v>4.1709999999999994</v>
      </c>
      <c r="AX35" s="55">
        <v>0.59585714285714275</v>
      </c>
      <c r="AY35" s="55">
        <v>0.14896428571428569</v>
      </c>
      <c r="AZ35" s="55">
        <v>8</v>
      </c>
      <c r="BA35" s="55">
        <v>0.52137499999999992</v>
      </c>
    </row>
    <row r="36" spans="1:53" ht="15.5" x14ac:dyDescent="0.35">
      <c r="A36" s="59">
        <v>33</v>
      </c>
      <c r="B36" s="27" t="s">
        <v>147</v>
      </c>
      <c r="C36" s="26" t="s">
        <v>42</v>
      </c>
      <c r="D36" s="26" t="s">
        <v>43</v>
      </c>
      <c r="E36" s="29" t="s">
        <v>120</v>
      </c>
      <c r="F36" s="47">
        <f>IF(All_data!F35="low-income",1,IF(All_data!F35="Middle-Income",2,IF(All_data!F35="High-Income",3,"check")))</f>
        <v>1</v>
      </c>
      <c r="G36" s="47">
        <v>6</v>
      </c>
      <c r="H36" s="47">
        <f>IF(All_data!H35="18-35 years",2,IF(All_data!H35="36-60 years",3,IF(All_data!H35="&gt;60 years",4,1)))</f>
        <v>3</v>
      </c>
      <c r="I36" s="47">
        <f>IF(All_data!I35="Male",0,1)</f>
        <v>0</v>
      </c>
      <c r="J36" s="73">
        <f>IF(All_data!J35="Illiterate",1,IF(All_data!J35="Primary",2,IF(All_data!J35="secondary",3,IF(All_data!J35="Tertiary",4,"check"))))</f>
        <v>3</v>
      </c>
      <c r="K36" s="47">
        <f>IF(All_data!K35="Government Employee",1,0)</f>
        <v>0</v>
      </c>
      <c r="L36" s="47">
        <f>IF(All_data!K35="Private Employee",1,0)</f>
        <v>0</v>
      </c>
      <c r="M36" s="47">
        <f>IF(All_data!K35="Business",1,0)</f>
        <v>1</v>
      </c>
      <c r="N36" s="47">
        <f>IF(All_data!K35="Student",1,0)</f>
        <v>0</v>
      </c>
      <c r="O36" s="47">
        <f>IF(All_data!K35="Housewife",1,0)</f>
        <v>0</v>
      </c>
      <c r="P36" s="47">
        <f>IF(All_data!K35="Retired",1,0)</f>
        <v>0</v>
      </c>
      <c r="Q36" s="47">
        <f>IF(All_data!L35="&lt;500,000",1,IF(All_data!L35="500,000 - 1,000,000",2,IF(All_data!L35="1,000,000 - 3,000,000",3,IF(All_data!L35="&gt;3,000,000",4,"check"))))</f>
        <v>2</v>
      </c>
      <c r="R36" s="63">
        <f>IF(All_data!M35="Spouse",1,0)</f>
        <v>1</v>
      </c>
      <c r="S36" s="47">
        <f>IF(All_data!M35="Son/Daughter",1,0)</f>
        <v>0</v>
      </c>
      <c r="T36" s="47">
        <f>IF(All_data!M35="Niece/nephew",1,0)</f>
        <v>0</v>
      </c>
      <c r="U36" s="47">
        <f>IF(All_data!M35="Household head",1,0)</f>
        <v>0</v>
      </c>
      <c r="V36" s="47">
        <f>IF(All_data!N35="&lt; 1 year",1,IF(All_data!N35="1-3 years",2,IF(All_data!N35="3-5 years",3,IF(All_data!N35="&gt; 5 years",4,"check"))))</f>
        <v>4</v>
      </c>
      <c r="W36" s="47">
        <f>IF(All_data!O35="Rented",1,0)</f>
        <v>1</v>
      </c>
      <c r="X36" s="73">
        <f>IF(All_data!P35="Bungalow",1,0)</f>
        <v>1</v>
      </c>
      <c r="Y36" s="73">
        <f>IF(All_data!P35="Temporary",1,0)</f>
        <v>0</v>
      </c>
      <c r="Z36" s="73">
        <f>IF(All_data!P35="Story Building",1,0)</f>
        <v>0</v>
      </c>
      <c r="AA36" s="73">
        <f>IF(All_data!Q35="Iron Sheets/titles",1,0)</f>
        <v>1</v>
      </c>
      <c r="AB36" s="74">
        <f>IF(All_data!R35="Concrete Blocks",1,0)</f>
        <v>0</v>
      </c>
      <c r="AC36" s="73">
        <f>IF(All_data!R35="Bricks",1,0)</f>
        <v>1</v>
      </c>
      <c r="AD36" s="73">
        <f>IF(All_data!R35="Mud/poles",1,0)</f>
        <v>0</v>
      </c>
      <c r="AE36" s="73">
        <f>IF(All_data!S35="tiles",1,0)</f>
        <v>0</v>
      </c>
      <c r="AF36" s="73">
        <f>IF(All_data!S35="Cemented",1,0)</f>
        <v>1</v>
      </c>
      <c r="AG36" s="73">
        <f>IF(All_data!S35="Mud",1,0)</f>
        <v>0</v>
      </c>
      <c r="AH36" s="73">
        <f>IF(All_data!T35="House connection",1,0)</f>
        <v>0</v>
      </c>
      <c r="AI36" s="73">
        <f>IF(All_data!T35="Yard tap",1,0)</f>
        <v>0</v>
      </c>
      <c r="AJ36" s="73">
        <f>IF(All_data!T35="Stand pipe",1,0)</f>
        <v>1</v>
      </c>
      <c r="AK36" s="73">
        <f>IF(All_data!U35="Shared Facilities ",1,0)</f>
        <v>1</v>
      </c>
      <c r="AL36" s="73">
        <f>IF(All_data!V35="paved",0,1)</f>
        <v>1</v>
      </c>
      <c r="AM36" s="55">
        <v>18</v>
      </c>
      <c r="AN36" s="55">
        <v>0</v>
      </c>
      <c r="AO36" s="55">
        <v>0</v>
      </c>
      <c r="AP36" s="55">
        <v>0</v>
      </c>
      <c r="AQ36" s="55">
        <v>7.3000000000000009E-2</v>
      </c>
      <c r="AR36" s="55">
        <v>1.5699999999999998</v>
      </c>
      <c r="AS36" s="55">
        <v>0.33599999999999991</v>
      </c>
      <c r="AT36" s="55">
        <v>0</v>
      </c>
      <c r="AU36" s="55">
        <v>0</v>
      </c>
      <c r="AV36" s="55">
        <v>0</v>
      </c>
      <c r="AW36" s="55">
        <v>19.978999999999999</v>
      </c>
      <c r="AX36" s="55">
        <v>2.8541428571428571</v>
      </c>
      <c r="AY36" s="55">
        <v>0.47569047619047616</v>
      </c>
      <c r="AZ36" s="55">
        <v>74</v>
      </c>
      <c r="BA36" s="55">
        <v>0.26998648648648649</v>
      </c>
    </row>
    <row r="37" spans="1:53" ht="15.5" x14ac:dyDescent="0.35">
      <c r="A37" s="59">
        <v>34</v>
      </c>
      <c r="B37" s="27" t="s">
        <v>149</v>
      </c>
      <c r="C37" s="26" t="s">
        <v>42</v>
      </c>
      <c r="D37" s="26" t="s">
        <v>43</v>
      </c>
      <c r="E37" s="29" t="s">
        <v>120</v>
      </c>
      <c r="F37" s="47">
        <f>IF(All_data!F36="low-income",1,IF(All_data!F36="Middle-Income",2,IF(All_data!F36="High-Income",3,"check")))</f>
        <v>1</v>
      </c>
      <c r="G37" s="47">
        <v>4</v>
      </c>
      <c r="H37" s="47">
        <f>IF(All_data!H36="18-35 years",2,IF(All_data!H36="36-60 years",3,IF(All_data!H36="&gt;60 years",4,1)))</f>
        <v>4</v>
      </c>
      <c r="I37" s="47">
        <f>IF(All_data!I36="Male",0,1)</f>
        <v>1</v>
      </c>
      <c r="J37" s="73">
        <f>IF(All_data!J36="Illiterate",1,IF(All_data!J36="Primary",2,IF(All_data!J36="secondary",3,IF(All_data!J36="Tertiary",4,"check"))))</f>
        <v>3</v>
      </c>
      <c r="K37" s="47">
        <f>IF(All_data!K36="Government Employee",1,0)</f>
        <v>0</v>
      </c>
      <c r="L37" s="47">
        <f>IF(All_data!K36="Private Employee",1,0)</f>
        <v>0</v>
      </c>
      <c r="M37" s="47">
        <f>IF(All_data!K36="Business",1,0)</f>
        <v>1</v>
      </c>
      <c r="N37" s="47">
        <f>IF(All_data!K36="Student",1,0)</f>
        <v>0</v>
      </c>
      <c r="O37" s="47">
        <f>IF(All_data!K36="Housewife",1,0)</f>
        <v>0</v>
      </c>
      <c r="P37" s="47">
        <f>IF(All_data!K36="Retired",1,0)</f>
        <v>0</v>
      </c>
      <c r="Q37" s="47">
        <f>IF(All_data!L36="&lt;500,000",1,IF(All_data!L36="500,000 - 1,000,000",2,IF(All_data!L36="1,000,000 - 3,000,000",3,IF(All_data!L36="&gt;3,000,000",4,"check"))))</f>
        <v>1</v>
      </c>
      <c r="R37" s="63">
        <f>IF(All_data!M36="Spouse",1,0)</f>
        <v>0</v>
      </c>
      <c r="S37" s="47">
        <f>IF(All_data!M36="Son/Daughter",1,0)</f>
        <v>0</v>
      </c>
      <c r="T37" s="47">
        <f>IF(All_data!M36="Niece/nephew",1,0)</f>
        <v>0</v>
      </c>
      <c r="U37" s="47">
        <f>IF(All_data!M36="Household head",1,0)</f>
        <v>1</v>
      </c>
      <c r="V37" s="47">
        <f>IF(All_data!N36="&lt; 1 year",1,IF(All_data!N36="1-3 years",2,IF(All_data!N36="3-5 years",3,IF(All_data!N36="&gt; 5 years",4,"check"))))</f>
        <v>4</v>
      </c>
      <c r="W37" s="47">
        <f>IF(All_data!O36="Rented",1,0)</f>
        <v>0</v>
      </c>
      <c r="X37" s="73">
        <f>IF(All_data!P36="Bungalow",1,0)</f>
        <v>1</v>
      </c>
      <c r="Y37" s="73">
        <f>IF(All_data!P36="Temporary",1,0)</f>
        <v>0</v>
      </c>
      <c r="Z37" s="73">
        <f>IF(All_data!P36="Story Building",1,0)</f>
        <v>0</v>
      </c>
      <c r="AA37" s="73">
        <f>IF(All_data!Q36="Iron Sheets/titles",1,0)</f>
        <v>1</v>
      </c>
      <c r="AB37" s="74">
        <f>IF(All_data!R36="Concrete Blocks",1,0)</f>
        <v>0</v>
      </c>
      <c r="AC37" s="73">
        <f>IF(All_data!R36="Bricks",1,0)</f>
        <v>1</v>
      </c>
      <c r="AD37" s="73">
        <f>IF(All_data!R36="Mud/poles",1,0)</f>
        <v>0</v>
      </c>
      <c r="AE37" s="73">
        <f>IF(All_data!S36="tiles",1,0)</f>
        <v>0</v>
      </c>
      <c r="AF37" s="73">
        <f>IF(All_data!S36="Cemented",1,0)</f>
        <v>1</v>
      </c>
      <c r="AG37" s="73">
        <f>IF(All_data!S36="Mud",1,0)</f>
        <v>0</v>
      </c>
      <c r="AH37" s="73">
        <f>IF(All_data!T36="House connection",1,0)</f>
        <v>0</v>
      </c>
      <c r="AI37" s="73">
        <f>IF(All_data!T36="Yard tap",1,0)</f>
        <v>1</v>
      </c>
      <c r="AJ37" s="73">
        <f>IF(All_data!T36="Stand pipe",1,0)</f>
        <v>0</v>
      </c>
      <c r="AK37" s="73">
        <f>IF(All_data!U36="Shared Facilities ",1,0)</f>
        <v>0</v>
      </c>
      <c r="AL37" s="73">
        <f>IF(All_data!V36="paved",0,1)</f>
        <v>1</v>
      </c>
      <c r="AM37" s="55">
        <v>23.44</v>
      </c>
      <c r="AN37" s="55">
        <v>0</v>
      </c>
      <c r="AO37" s="55">
        <v>0</v>
      </c>
      <c r="AP37" s="55">
        <v>0</v>
      </c>
      <c r="AQ37" s="55">
        <v>0</v>
      </c>
      <c r="AR37" s="55">
        <v>2.2599999999999998</v>
      </c>
      <c r="AS37" s="55">
        <v>4.42</v>
      </c>
      <c r="AT37" s="55">
        <v>0</v>
      </c>
      <c r="AU37" s="55">
        <v>0</v>
      </c>
      <c r="AV37" s="55">
        <v>10.18</v>
      </c>
      <c r="AW37" s="55">
        <v>40.300000000000004</v>
      </c>
      <c r="AX37" s="55">
        <v>5.757142857142858</v>
      </c>
      <c r="AY37" s="55">
        <v>1.4392857142857145</v>
      </c>
      <c r="AZ37" s="55">
        <v>160</v>
      </c>
      <c r="BA37" s="55">
        <v>0.25187500000000002</v>
      </c>
    </row>
    <row r="38" spans="1:53" ht="15.5" x14ac:dyDescent="0.35">
      <c r="A38" s="59">
        <v>35</v>
      </c>
      <c r="B38" s="27" t="s">
        <v>114</v>
      </c>
      <c r="C38" s="26" t="s">
        <v>42</v>
      </c>
      <c r="D38" s="26" t="s">
        <v>43</v>
      </c>
      <c r="E38" s="29" t="s">
        <v>120</v>
      </c>
      <c r="F38" s="47">
        <f>IF(All_data!F37="low-income",1,IF(All_data!F37="Middle-Income",2,IF(All_data!F37="High-Income",3,"check")))</f>
        <v>1</v>
      </c>
      <c r="G38" s="47">
        <v>8</v>
      </c>
      <c r="H38" s="47">
        <f>IF(All_data!H37="18-35 years",2,IF(All_data!H37="36-60 years",3,IF(All_data!H37="&gt;60 years",4,1)))</f>
        <v>4</v>
      </c>
      <c r="I38" s="47">
        <f>IF(All_data!I37="Male",0,1)</f>
        <v>1</v>
      </c>
      <c r="J38" s="73">
        <f>IF(All_data!J37="Illiterate",1,IF(All_data!J37="Primary",2,IF(All_data!J37="secondary",3,IF(All_data!J37="Tertiary",4,"check"))))</f>
        <v>3</v>
      </c>
      <c r="K38" s="47">
        <f>IF(All_data!K37="Government Employee",1,0)</f>
        <v>0</v>
      </c>
      <c r="L38" s="47">
        <f>IF(All_data!K37="Private Employee",1,0)</f>
        <v>0</v>
      </c>
      <c r="M38" s="47">
        <f>IF(All_data!K37="Business",1,0)</f>
        <v>1</v>
      </c>
      <c r="N38" s="47">
        <f>IF(All_data!K37="Student",1,0)</f>
        <v>0</v>
      </c>
      <c r="O38" s="47">
        <f>IF(All_data!K37="Housewife",1,0)</f>
        <v>0</v>
      </c>
      <c r="P38" s="47">
        <f>IF(All_data!K37="Retired",1,0)</f>
        <v>0</v>
      </c>
      <c r="Q38" s="47">
        <f>IF(All_data!L37="&lt;500,000",1,IF(All_data!L37="500,000 - 1,000,000",2,IF(All_data!L37="1,000,000 - 3,000,000",3,IF(All_data!L37="&gt;3,000,000",4,"check"))))</f>
        <v>1</v>
      </c>
      <c r="R38" s="63">
        <f>IF(All_data!M37="Spouse",1,0)</f>
        <v>0</v>
      </c>
      <c r="S38" s="47">
        <f>IF(All_data!M37="Son/Daughter",1,0)</f>
        <v>0</v>
      </c>
      <c r="T38" s="47">
        <f>IF(All_data!M37="Niece/nephew",1,0)</f>
        <v>0</v>
      </c>
      <c r="U38" s="47">
        <f>IF(All_data!M37="Household head",1,0)</f>
        <v>1</v>
      </c>
      <c r="V38" s="47">
        <f>IF(All_data!N37="&lt; 1 year",1,IF(All_data!N37="1-3 years",2,IF(All_data!N37="3-5 years",3,IF(All_data!N37="&gt; 5 years",4,"check"))))</f>
        <v>4</v>
      </c>
      <c r="W38" s="47">
        <f>IF(All_data!O37="Rented",1,0)</f>
        <v>0</v>
      </c>
      <c r="X38" s="73">
        <f>IF(All_data!P37="Bungalow",1,0)</f>
        <v>1</v>
      </c>
      <c r="Y38" s="73">
        <f>IF(All_data!P37="Temporary",1,0)</f>
        <v>0</v>
      </c>
      <c r="Z38" s="73">
        <f>IF(All_data!P37="Story Building",1,0)</f>
        <v>0</v>
      </c>
      <c r="AA38" s="73">
        <f>IF(All_data!Q37="Iron Sheets/titles",1,0)</f>
        <v>1</v>
      </c>
      <c r="AB38" s="74">
        <f>IF(All_data!R37="Concrete Blocks",1,0)</f>
        <v>0</v>
      </c>
      <c r="AC38" s="73">
        <f>IF(All_data!R37="Bricks",1,0)</f>
        <v>1</v>
      </c>
      <c r="AD38" s="73">
        <f>IF(All_data!R37="Mud/poles",1,0)</f>
        <v>0</v>
      </c>
      <c r="AE38" s="73">
        <f>IF(All_data!S37="tiles",1,0)</f>
        <v>0</v>
      </c>
      <c r="AF38" s="73">
        <f>IF(All_data!S37="Cemented",1,0)</f>
        <v>1</v>
      </c>
      <c r="AG38" s="73">
        <f>IF(All_data!S37="Mud",1,0)</f>
        <v>0</v>
      </c>
      <c r="AH38" s="73">
        <f>IF(All_data!T37="House connection",1,0)</f>
        <v>0</v>
      </c>
      <c r="AI38" s="73">
        <f>IF(All_data!T37="Yard tap",1,0)</f>
        <v>1</v>
      </c>
      <c r="AJ38" s="73">
        <f>IF(All_data!T37="Stand pipe",1,0)</f>
        <v>0</v>
      </c>
      <c r="AK38" s="73">
        <f>IF(All_data!U37="Shared Facilities ",1,0)</f>
        <v>1</v>
      </c>
      <c r="AL38" s="73">
        <f>IF(All_data!V37="paved",0,1)</f>
        <v>1</v>
      </c>
      <c r="AM38" s="55">
        <v>8.6999999999999993</v>
      </c>
      <c r="AN38" s="55">
        <v>7.08</v>
      </c>
      <c r="AO38" s="55">
        <v>0</v>
      </c>
      <c r="AP38" s="55">
        <v>8.0999999999999989E-2</v>
      </c>
      <c r="AQ38" s="55">
        <v>3.1E-2</v>
      </c>
      <c r="AR38" s="55">
        <v>0.46699999999999997</v>
      </c>
      <c r="AS38" s="55">
        <v>4.8999999999999988E-2</v>
      </c>
      <c r="AT38" s="55">
        <v>0</v>
      </c>
      <c r="AU38" s="55">
        <v>0</v>
      </c>
      <c r="AV38" s="55">
        <v>0</v>
      </c>
      <c r="AW38" s="55">
        <v>16.407999999999998</v>
      </c>
      <c r="AX38" s="55">
        <v>2.3439999999999999</v>
      </c>
      <c r="AY38" s="55">
        <v>0.29299999999999998</v>
      </c>
      <c r="AZ38" s="55">
        <v>44</v>
      </c>
      <c r="BA38" s="55">
        <v>0.37290909090909086</v>
      </c>
    </row>
    <row r="39" spans="1:53" ht="15.5" x14ac:dyDescent="0.35">
      <c r="A39" s="59">
        <v>36</v>
      </c>
      <c r="B39" s="27" t="s">
        <v>115</v>
      </c>
      <c r="C39" s="26" t="s">
        <v>42</v>
      </c>
      <c r="D39" s="26" t="s">
        <v>43</v>
      </c>
      <c r="E39" s="29" t="s">
        <v>120</v>
      </c>
      <c r="F39" s="47">
        <f>IF(All_data!F38="low-income",1,IF(All_data!F38="Middle-Income",2,IF(All_data!F38="High-Income",3,"check")))</f>
        <v>1</v>
      </c>
      <c r="G39" s="47">
        <v>6</v>
      </c>
      <c r="H39" s="47">
        <f>IF(All_data!H38="18-35 years",2,IF(All_data!H38="36-60 years",3,IF(All_data!H38="&gt;60 years",4,1)))</f>
        <v>4</v>
      </c>
      <c r="I39" s="47">
        <f>IF(All_data!I38="Male",0,1)</f>
        <v>0</v>
      </c>
      <c r="J39" s="73">
        <f>IF(All_data!J38="Illiterate",1,IF(All_data!J38="Primary",2,IF(All_data!J38="secondary",3,IF(All_data!J38="Tertiary",4,"check"))))</f>
        <v>3</v>
      </c>
      <c r="K39" s="47">
        <f>IF(All_data!K38="Government Employee",1,0)</f>
        <v>0</v>
      </c>
      <c r="L39" s="47">
        <f>IF(All_data!K38="Private Employee",1,0)</f>
        <v>1</v>
      </c>
      <c r="M39" s="47">
        <f>IF(All_data!K38="Business",1,0)</f>
        <v>0</v>
      </c>
      <c r="N39" s="47">
        <f>IF(All_data!K38="Student",1,0)</f>
        <v>0</v>
      </c>
      <c r="O39" s="47">
        <f>IF(All_data!K38="Housewife",1,0)</f>
        <v>0</v>
      </c>
      <c r="P39" s="47">
        <f>IF(All_data!K38="Retired",1,0)</f>
        <v>0</v>
      </c>
      <c r="Q39" s="47">
        <f>IF(All_data!L38="&lt;500,000",1,IF(All_data!L38="500,000 - 1,000,000",2,IF(All_data!L38="1,000,000 - 3,000,000",3,IF(All_data!L38="&gt;3,000,000",4,"check"))))</f>
        <v>2</v>
      </c>
      <c r="R39" s="63">
        <f>IF(All_data!M38="Spouse",1,0)</f>
        <v>1</v>
      </c>
      <c r="S39" s="47">
        <f>IF(All_data!M38="Son/Daughter",1,0)</f>
        <v>0</v>
      </c>
      <c r="T39" s="47">
        <f>IF(All_data!M38="Niece/nephew",1,0)</f>
        <v>0</v>
      </c>
      <c r="U39" s="47">
        <f>IF(All_data!M38="Household head",1,0)</f>
        <v>0</v>
      </c>
      <c r="V39" s="47">
        <f>IF(All_data!N38="&lt; 1 year",1,IF(All_data!N38="1-3 years",2,IF(All_data!N38="3-5 years",3,IF(All_data!N38="&gt; 5 years",4,"check"))))</f>
        <v>4</v>
      </c>
      <c r="W39" s="47">
        <f>IF(All_data!O38="Rented",1,0)</f>
        <v>0</v>
      </c>
      <c r="X39" s="73">
        <f>IF(All_data!P38="Bungalow",1,0)</f>
        <v>1</v>
      </c>
      <c r="Y39" s="73">
        <f>IF(All_data!P38="Temporary",1,0)</f>
        <v>0</v>
      </c>
      <c r="Z39" s="73">
        <f>IF(All_data!P38="Story Building",1,0)</f>
        <v>0</v>
      </c>
      <c r="AA39" s="73">
        <f>IF(All_data!Q38="Iron Sheets/titles",1,0)</f>
        <v>1</v>
      </c>
      <c r="AB39" s="74">
        <f>IF(All_data!R38="Concrete Blocks",1,0)</f>
        <v>0</v>
      </c>
      <c r="AC39" s="73">
        <f>IF(All_data!R38="Bricks",1,0)</f>
        <v>1</v>
      </c>
      <c r="AD39" s="73">
        <f>IF(All_data!R38="Mud/poles",1,0)</f>
        <v>0</v>
      </c>
      <c r="AE39" s="73">
        <f>IF(All_data!S38="tiles",1,0)</f>
        <v>0</v>
      </c>
      <c r="AF39" s="73">
        <f>IF(All_data!S38="Cemented",1,0)</f>
        <v>1</v>
      </c>
      <c r="AG39" s="73">
        <f>IF(All_data!S38="Mud",1,0)</f>
        <v>0</v>
      </c>
      <c r="AH39" s="73">
        <f>IF(All_data!T38="House connection",1,0)</f>
        <v>1</v>
      </c>
      <c r="AI39" s="73">
        <f>IF(All_data!T38="Yard tap",1,0)</f>
        <v>0</v>
      </c>
      <c r="AJ39" s="73">
        <f>IF(All_data!T38="Stand pipe",1,0)</f>
        <v>0</v>
      </c>
      <c r="AK39" s="73">
        <f>IF(All_data!U38="Shared Facilities ",1,0)</f>
        <v>0</v>
      </c>
      <c r="AL39" s="73">
        <f>IF(All_data!V38="paved",0,1)</f>
        <v>1</v>
      </c>
      <c r="AM39" s="55">
        <v>13.78</v>
      </c>
      <c r="AN39" s="55">
        <v>10.99</v>
      </c>
      <c r="AO39" s="55">
        <v>0.22999999999999998</v>
      </c>
      <c r="AP39" s="55">
        <v>0.90100000000000002</v>
      </c>
      <c r="AQ39" s="55">
        <v>2.2999999999999993E-2</v>
      </c>
      <c r="AR39" s="55">
        <v>0.61199999999999999</v>
      </c>
      <c r="AS39" s="55">
        <v>7.9999999999999988E-2</v>
      </c>
      <c r="AT39" s="55">
        <v>0</v>
      </c>
      <c r="AU39" s="55">
        <v>4.300000000000001E-2</v>
      </c>
      <c r="AV39" s="55">
        <v>0</v>
      </c>
      <c r="AW39" s="55">
        <v>26.658999999999995</v>
      </c>
      <c r="AX39" s="55">
        <v>3.8084285714285708</v>
      </c>
      <c r="AY39" s="55">
        <v>0.6347380952380951</v>
      </c>
      <c r="AZ39" s="55">
        <v>70</v>
      </c>
      <c r="BA39" s="55">
        <v>0.38084285714285709</v>
      </c>
    </row>
    <row r="40" spans="1:53" ht="15.5" x14ac:dyDescent="0.35">
      <c r="A40" s="59">
        <v>37</v>
      </c>
      <c r="B40" s="27" t="s">
        <v>150</v>
      </c>
      <c r="C40" s="26" t="s">
        <v>42</v>
      </c>
      <c r="D40" s="26" t="s">
        <v>43</v>
      </c>
      <c r="E40" s="29" t="s">
        <v>120</v>
      </c>
      <c r="F40" s="47">
        <f>IF(All_data!F39="low-income",1,IF(All_data!F39="Middle-Income",2,IF(All_data!F39="High-Income",3,"check")))</f>
        <v>1</v>
      </c>
      <c r="G40" s="47">
        <v>7</v>
      </c>
      <c r="H40" s="47">
        <f>IF(All_data!H39="18-35 years",2,IF(All_data!H39="36-60 years",3,IF(All_data!H39="&gt;60 years",4,1)))</f>
        <v>3</v>
      </c>
      <c r="I40" s="47">
        <f>IF(All_data!I39="Male",0,1)</f>
        <v>1</v>
      </c>
      <c r="J40" s="73">
        <f>IF(All_data!J39="Illiterate",1,IF(All_data!J39="Primary",2,IF(All_data!J39="secondary",3,IF(All_data!J39="Tertiary",4,"check"))))</f>
        <v>3</v>
      </c>
      <c r="K40" s="47">
        <f>IF(All_data!K39="Government Employee",1,0)</f>
        <v>0</v>
      </c>
      <c r="L40" s="47">
        <f>IF(All_data!K39="Private Employee",1,0)</f>
        <v>0</v>
      </c>
      <c r="M40" s="47">
        <f>IF(All_data!K39="Business",1,0)</f>
        <v>1</v>
      </c>
      <c r="N40" s="47">
        <f>IF(All_data!K39="Student",1,0)</f>
        <v>0</v>
      </c>
      <c r="O40" s="47">
        <f>IF(All_data!K39="Housewife",1,0)</f>
        <v>0</v>
      </c>
      <c r="P40" s="47">
        <f>IF(All_data!K39="Retired",1,0)</f>
        <v>0</v>
      </c>
      <c r="Q40" s="47">
        <f>IF(All_data!L39="&lt;500,000",1,IF(All_data!L39="500,000 - 1,000,000",2,IF(All_data!L39="1,000,000 - 3,000,000",3,IF(All_data!L39="&gt;3,000,000",4,"check"))))</f>
        <v>1</v>
      </c>
      <c r="R40" s="63">
        <f>IF(All_data!M39="Spouse",1,0)</f>
        <v>0</v>
      </c>
      <c r="S40" s="47">
        <f>IF(All_data!M39="Son/Daughter",1,0)</f>
        <v>0</v>
      </c>
      <c r="T40" s="47">
        <f>IF(All_data!M39="Niece/nephew",1,0)</f>
        <v>0</v>
      </c>
      <c r="U40" s="47">
        <f>IF(All_data!M39="Household head",1,0)</f>
        <v>1</v>
      </c>
      <c r="V40" s="47">
        <f>IF(All_data!N39="&lt; 1 year",1,IF(All_data!N39="1-3 years",2,IF(All_data!N39="3-5 years",3,IF(All_data!N39="&gt; 5 years",4,"check"))))</f>
        <v>4</v>
      </c>
      <c r="W40" s="47">
        <f>IF(All_data!O39="Rented",1,0)</f>
        <v>0</v>
      </c>
      <c r="X40" s="73">
        <f>IF(All_data!P39="Bungalow",1,0)</f>
        <v>1</v>
      </c>
      <c r="Y40" s="73">
        <f>IF(All_data!P39="Temporary",1,0)</f>
        <v>0</v>
      </c>
      <c r="Z40" s="73">
        <f>IF(All_data!P39="Story Building",1,0)</f>
        <v>0</v>
      </c>
      <c r="AA40" s="73">
        <f>IF(All_data!Q39="Iron Sheets/titles",1,0)</f>
        <v>1</v>
      </c>
      <c r="AB40" s="74">
        <f>IF(All_data!R39="Concrete Blocks",1,0)</f>
        <v>0</v>
      </c>
      <c r="AC40" s="73">
        <f>IF(All_data!R39="Bricks",1,0)</f>
        <v>1</v>
      </c>
      <c r="AD40" s="73">
        <f>IF(All_data!R39="Mud/poles",1,0)</f>
        <v>0</v>
      </c>
      <c r="AE40" s="73">
        <f>IF(All_data!S39="tiles",1,0)</f>
        <v>0</v>
      </c>
      <c r="AF40" s="73">
        <f>IF(All_data!S39="Cemented",1,0)</f>
        <v>1</v>
      </c>
      <c r="AG40" s="73">
        <f>IF(All_data!S39="Mud",1,0)</f>
        <v>0</v>
      </c>
      <c r="AH40" s="73">
        <f>IF(All_data!T39="House connection",1,0)</f>
        <v>0</v>
      </c>
      <c r="AI40" s="73">
        <f>IF(All_data!T39="Yard tap",1,0)</f>
        <v>1</v>
      </c>
      <c r="AJ40" s="73">
        <f>IF(All_data!T39="Stand pipe",1,0)</f>
        <v>0</v>
      </c>
      <c r="AK40" s="73">
        <f>IF(All_data!U39="Shared Facilities ",1,0)</f>
        <v>0</v>
      </c>
      <c r="AL40" s="73">
        <f>IF(All_data!V39="paved",0,1)</f>
        <v>1</v>
      </c>
      <c r="AM40" s="55">
        <v>5.66</v>
      </c>
      <c r="AN40" s="55">
        <v>0</v>
      </c>
      <c r="AO40" s="55">
        <v>0</v>
      </c>
      <c r="AP40" s="55">
        <v>0</v>
      </c>
      <c r="AQ40" s="55">
        <v>1.5000000000000013E-2</v>
      </c>
      <c r="AR40" s="55">
        <v>0.19</v>
      </c>
      <c r="AS40" s="55">
        <v>6.2E-2</v>
      </c>
      <c r="AT40" s="55">
        <v>0</v>
      </c>
      <c r="AU40" s="55">
        <v>0</v>
      </c>
      <c r="AV40" s="55">
        <v>0</v>
      </c>
      <c r="AW40" s="55">
        <v>5.9270000000000005</v>
      </c>
      <c r="AX40" s="55">
        <v>0.84671428571428575</v>
      </c>
      <c r="AY40" s="55">
        <v>0.12095918367346939</v>
      </c>
      <c r="AZ40" s="55">
        <v>12</v>
      </c>
      <c r="BA40" s="55">
        <v>0.49391666666666673</v>
      </c>
    </row>
    <row r="41" spans="1:53" ht="15.5" x14ac:dyDescent="0.35">
      <c r="A41" s="59">
        <v>38</v>
      </c>
      <c r="B41" s="27" t="s">
        <v>166</v>
      </c>
      <c r="C41" s="26" t="s">
        <v>42</v>
      </c>
      <c r="D41" s="26" t="s">
        <v>43</v>
      </c>
      <c r="E41" s="29" t="s">
        <v>120</v>
      </c>
      <c r="F41" s="47">
        <f>IF(All_data!F40="low-income",1,IF(All_data!F40="Middle-Income",2,IF(All_data!F40="High-Income",3,"check")))</f>
        <v>1</v>
      </c>
      <c r="G41" s="47">
        <v>6</v>
      </c>
      <c r="H41" s="47">
        <f>IF(All_data!H40="18-35 years",2,IF(All_data!H40="36-60 years",3,IF(All_data!H40="&gt;60 years",4,1)))</f>
        <v>3</v>
      </c>
      <c r="I41" s="47">
        <f>IF(All_data!I40="Male",0,1)</f>
        <v>0</v>
      </c>
      <c r="J41" s="73">
        <f>IF(All_data!J40="Illiterate",1,IF(All_data!J40="Primary",2,IF(All_data!J40="secondary",3,IF(All_data!J40="Tertiary",4,"check"))))</f>
        <v>3</v>
      </c>
      <c r="K41" s="47">
        <f>IF(All_data!K40="Government Employee",1,0)</f>
        <v>0</v>
      </c>
      <c r="L41" s="47">
        <f>IF(All_data!K40="Private Employee",1,0)</f>
        <v>0</v>
      </c>
      <c r="M41" s="47">
        <f>IF(All_data!K40="Business",1,0)</f>
        <v>1</v>
      </c>
      <c r="N41" s="47">
        <f>IF(All_data!K40="Student",1,0)</f>
        <v>0</v>
      </c>
      <c r="O41" s="47">
        <f>IF(All_data!K40="Housewife",1,0)</f>
        <v>0</v>
      </c>
      <c r="P41" s="47">
        <f>IF(All_data!K40="Retired",1,0)</f>
        <v>0</v>
      </c>
      <c r="Q41" s="47">
        <f>IF(All_data!L40="&lt;500,000",1,IF(All_data!L40="500,000 - 1,000,000",2,IF(All_data!L40="1,000,000 - 3,000,000",3,IF(All_data!L40="&gt;3,000,000",4,"check"))))</f>
        <v>1</v>
      </c>
      <c r="R41" s="63">
        <f>IF(All_data!M40="Spouse",1,0)</f>
        <v>1</v>
      </c>
      <c r="S41" s="47">
        <f>IF(All_data!M40="Son/Daughter",1,0)</f>
        <v>0</v>
      </c>
      <c r="T41" s="47">
        <f>IF(All_data!M40="Niece/nephew",1,0)</f>
        <v>0</v>
      </c>
      <c r="U41" s="47">
        <f>IF(All_data!M40="Household head",1,0)</f>
        <v>0</v>
      </c>
      <c r="V41" s="47">
        <f>IF(All_data!N40="&lt; 1 year",1,IF(All_data!N40="1-3 years",2,IF(All_data!N40="3-5 years",3,IF(All_data!N40="&gt; 5 years",4,"check"))))</f>
        <v>4</v>
      </c>
      <c r="W41" s="47">
        <f>IF(All_data!O40="Rented",1,0)</f>
        <v>1</v>
      </c>
      <c r="X41" s="73">
        <f>IF(All_data!P40="Bungalow",1,0)</f>
        <v>1</v>
      </c>
      <c r="Y41" s="73">
        <f>IF(All_data!P40="Temporary",1,0)</f>
        <v>0</v>
      </c>
      <c r="Z41" s="73">
        <f>IF(All_data!P40="Story Building",1,0)</f>
        <v>0</v>
      </c>
      <c r="AA41" s="73">
        <f>IF(All_data!Q40="Iron Sheets/titles",1,0)</f>
        <v>1</v>
      </c>
      <c r="AB41" s="74">
        <f>IF(All_data!R40="Concrete Blocks",1,0)</f>
        <v>0</v>
      </c>
      <c r="AC41" s="73">
        <f>IF(All_data!R40="Bricks",1,0)</f>
        <v>1</v>
      </c>
      <c r="AD41" s="73">
        <f>IF(All_data!R40="Mud/poles",1,0)</f>
        <v>0</v>
      </c>
      <c r="AE41" s="73">
        <f>IF(All_data!S40="tiles",1,0)</f>
        <v>0</v>
      </c>
      <c r="AF41" s="73">
        <f>IF(All_data!S40="Cemented",1,0)</f>
        <v>1</v>
      </c>
      <c r="AG41" s="73">
        <f>IF(All_data!S40="Mud",1,0)</f>
        <v>0</v>
      </c>
      <c r="AH41" s="73">
        <f>IF(All_data!T40="House connection",1,0)</f>
        <v>0</v>
      </c>
      <c r="AI41" s="73">
        <f>IF(All_data!T40="Yard tap",1,0)</f>
        <v>0</v>
      </c>
      <c r="AJ41" s="73">
        <f>IF(All_data!T40="Stand pipe",1,0)</f>
        <v>1</v>
      </c>
      <c r="AK41" s="73">
        <f>IF(All_data!U40="Shared Facilities ",1,0)</f>
        <v>0</v>
      </c>
      <c r="AL41" s="73">
        <f>IF(All_data!V40="paved",0,1)</f>
        <v>1</v>
      </c>
      <c r="AM41" s="55">
        <v>2.0009999999999999</v>
      </c>
      <c r="AN41" s="55">
        <v>0</v>
      </c>
      <c r="AO41" s="55">
        <v>0</v>
      </c>
      <c r="AP41" s="55">
        <v>2.2999999999999993E-2</v>
      </c>
      <c r="AQ41" s="55">
        <v>0</v>
      </c>
      <c r="AR41" s="55">
        <v>0.255</v>
      </c>
      <c r="AS41" s="55">
        <v>2.0999999999999991E-2</v>
      </c>
      <c r="AT41" s="55">
        <v>0</v>
      </c>
      <c r="AU41" s="55">
        <v>0</v>
      </c>
      <c r="AV41" s="55">
        <v>8.3999999999999991E-2</v>
      </c>
      <c r="AW41" s="55">
        <v>2.3839999999999999</v>
      </c>
      <c r="AX41" s="55">
        <v>0.34057142857142858</v>
      </c>
      <c r="AY41" s="55">
        <v>5.6761904761904763E-2</v>
      </c>
      <c r="AZ41" s="55">
        <v>6</v>
      </c>
      <c r="BA41" s="55">
        <v>0.39733333333333332</v>
      </c>
    </row>
    <row r="42" spans="1:53" ht="15.5" x14ac:dyDescent="0.35">
      <c r="A42" s="59">
        <v>39</v>
      </c>
      <c r="B42" s="27" t="s">
        <v>116</v>
      </c>
      <c r="C42" s="26" t="s">
        <v>42</v>
      </c>
      <c r="D42" s="26" t="s">
        <v>43</v>
      </c>
      <c r="E42" s="29" t="s">
        <v>120</v>
      </c>
      <c r="F42" s="47">
        <f>IF(All_data!F41="low-income",1,IF(All_data!F41="Middle-Income",2,IF(All_data!F41="High-Income",3,"check")))</f>
        <v>1</v>
      </c>
      <c r="G42" s="47">
        <v>2</v>
      </c>
      <c r="H42" s="47">
        <f>IF(All_data!H41="18-35 years",2,IF(All_data!H41="36-60 years",3,IF(All_data!H41="&gt;60 years",4,1)))</f>
        <v>2</v>
      </c>
      <c r="I42" s="47">
        <f>IF(All_data!I41="Male",0,1)</f>
        <v>0</v>
      </c>
      <c r="J42" s="73">
        <f>IF(All_data!J41="Illiterate",1,IF(All_data!J41="Primary",2,IF(All_data!J41="secondary",3,IF(All_data!J41="Tertiary",4,"check"))))</f>
        <v>3</v>
      </c>
      <c r="K42" s="47">
        <f>IF(All_data!K41="Government Employee",1,0)</f>
        <v>0</v>
      </c>
      <c r="L42" s="47">
        <f>IF(All_data!K41="Private Employee",1,0)</f>
        <v>0</v>
      </c>
      <c r="M42" s="47">
        <f>IF(All_data!K41="Business",1,0)</f>
        <v>1</v>
      </c>
      <c r="N42" s="47">
        <f>IF(All_data!K41="Student",1,0)</f>
        <v>0</v>
      </c>
      <c r="O42" s="47">
        <f>IF(All_data!K41="Housewife",1,0)</f>
        <v>0</v>
      </c>
      <c r="P42" s="47">
        <f>IF(All_data!K41="Retired",1,0)</f>
        <v>0</v>
      </c>
      <c r="Q42" s="47">
        <f>IF(All_data!L41="&lt;500,000",1,IF(All_data!L41="500,000 - 1,000,000",2,IF(All_data!L41="1,000,000 - 3,000,000",3,IF(All_data!L41="&gt;3,000,000",4,"check"))))</f>
        <v>1</v>
      </c>
      <c r="R42" s="63">
        <f>IF(All_data!M41="Spouse",1,0)</f>
        <v>1</v>
      </c>
      <c r="S42" s="47">
        <f>IF(All_data!M41="Son/Daughter",1,0)</f>
        <v>0</v>
      </c>
      <c r="T42" s="47">
        <f>IF(All_data!M41="Niece/nephew",1,0)</f>
        <v>0</v>
      </c>
      <c r="U42" s="47">
        <f>IF(All_data!M41="Household head",1,0)</f>
        <v>0</v>
      </c>
      <c r="V42" s="47">
        <f>IF(All_data!N41="&lt; 1 year",1,IF(All_data!N41="1-3 years",2,IF(All_data!N41="3-5 years",3,IF(All_data!N41="&gt; 5 years",4,"check"))))</f>
        <v>2</v>
      </c>
      <c r="W42" s="47">
        <f>IF(All_data!O41="Rented",1,0)</f>
        <v>1</v>
      </c>
      <c r="X42" s="73">
        <f>IF(All_data!P41="Bungalow",1,0)</f>
        <v>1</v>
      </c>
      <c r="Y42" s="73">
        <f>IF(All_data!P41="Temporary",1,0)</f>
        <v>0</v>
      </c>
      <c r="Z42" s="73">
        <f>IF(All_data!P41="Story Building",1,0)</f>
        <v>0</v>
      </c>
      <c r="AA42" s="73">
        <f>IF(All_data!Q41="Iron Sheets/titles",1,0)</f>
        <v>1</v>
      </c>
      <c r="AB42" s="74">
        <f>IF(All_data!R41="Concrete Blocks",1,0)</f>
        <v>0</v>
      </c>
      <c r="AC42" s="73">
        <f>IF(All_data!R41="Bricks",1,0)</f>
        <v>1</v>
      </c>
      <c r="AD42" s="73">
        <f>IF(All_data!R41="Mud/poles",1,0)</f>
        <v>0</v>
      </c>
      <c r="AE42" s="73">
        <f>IF(All_data!S41="tiles",1,0)</f>
        <v>0</v>
      </c>
      <c r="AF42" s="73">
        <f>IF(All_data!S41="Cemented",1,0)</f>
        <v>1</v>
      </c>
      <c r="AG42" s="73">
        <f>IF(All_data!S41="Mud",1,0)</f>
        <v>0</v>
      </c>
      <c r="AH42" s="73">
        <f>IF(All_data!T41="House connection",1,0)</f>
        <v>0</v>
      </c>
      <c r="AI42" s="73">
        <f>IF(All_data!T41="Yard tap",1,0)</f>
        <v>1</v>
      </c>
      <c r="AJ42" s="73">
        <f>IF(All_data!T41="Stand pipe",1,0)</f>
        <v>0</v>
      </c>
      <c r="AK42" s="73">
        <f>IF(All_data!U41="Shared Facilities ",1,0)</f>
        <v>1</v>
      </c>
      <c r="AL42" s="73">
        <f>IF(All_data!V41="paved",0,1)</f>
        <v>1</v>
      </c>
      <c r="AM42" s="55">
        <v>7.74</v>
      </c>
      <c r="AN42" s="55">
        <v>0</v>
      </c>
      <c r="AO42" s="55">
        <v>0</v>
      </c>
      <c r="AP42" s="55">
        <v>0</v>
      </c>
      <c r="AQ42" s="55">
        <v>0.17599999999999999</v>
      </c>
      <c r="AR42" s="55">
        <v>0.03</v>
      </c>
      <c r="AS42" s="55">
        <v>0</v>
      </c>
      <c r="AT42" s="55">
        <v>0</v>
      </c>
      <c r="AU42" s="55">
        <v>0</v>
      </c>
      <c r="AV42" s="55">
        <v>0</v>
      </c>
      <c r="AW42" s="55">
        <v>7.9460000000000006</v>
      </c>
      <c r="AX42" s="55">
        <v>1.1351428571428572</v>
      </c>
      <c r="AY42" s="55">
        <v>0.56757142857142862</v>
      </c>
      <c r="AZ42" s="55">
        <v>10</v>
      </c>
      <c r="BA42" s="55">
        <v>0.79460000000000008</v>
      </c>
    </row>
    <row r="43" spans="1:53" ht="15.5" x14ac:dyDescent="0.35">
      <c r="A43" s="59">
        <v>40</v>
      </c>
      <c r="B43" s="27" t="s">
        <v>167</v>
      </c>
      <c r="C43" s="26" t="s">
        <v>130</v>
      </c>
      <c r="D43" s="26" t="s">
        <v>131</v>
      </c>
      <c r="E43" s="26" t="s">
        <v>132</v>
      </c>
      <c r="F43" s="47">
        <f>IF(All_data!F42="low-income",1,IF(All_data!F42="Middle-Income",2,IF(All_data!F42="High-Income",3,"check")))</f>
        <v>2</v>
      </c>
      <c r="G43" s="56">
        <v>4</v>
      </c>
      <c r="H43" s="47">
        <f>IF(All_data!H42="18-35 years",2,IF(All_data!H42="36-60 years",3,IF(All_data!H42="&gt;60 years",4,1)))</f>
        <v>3</v>
      </c>
      <c r="I43" s="47">
        <f>IF(All_data!I42="Male",0,1)</f>
        <v>0</v>
      </c>
      <c r="J43" s="73">
        <f>IF(All_data!J42="Illiterate",1,IF(All_data!J42="Primary",2,IF(All_data!J42="secondary",3,IF(All_data!J42="Tertiary",4,"check"))))</f>
        <v>4</v>
      </c>
      <c r="K43" s="47">
        <f>IF(All_data!K42="Government Employee",1,0)</f>
        <v>0</v>
      </c>
      <c r="L43" s="47">
        <f>IF(All_data!K42="Private Employee",1,0)</f>
        <v>0</v>
      </c>
      <c r="M43" s="47">
        <f>IF(All_data!K42="Business",1,0)</f>
        <v>1</v>
      </c>
      <c r="N43" s="47">
        <f>IF(All_data!K42="Student",1,0)</f>
        <v>0</v>
      </c>
      <c r="O43" s="47">
        <f>IF(All_data!K42="Housewife",1,0)</f>
        <v>0</v>
      </c>
      <c r="P43" s="47">
        <f>IF(All_data!K42="Retired",1,0)</f>
        <v>0</v>
      </c>
      <c r="Q43" s="47">
        <f>IF(All_data!L42="&lt;500,000",1,IF(All_data!L42="500,000 - 1,000,000",2,IF(All_data!L42="1,000,000 - 3,000,000",3,IF(All_data!L42="&gt;3,000,000",4,"check"))))</f>
        <v>2</v>
      </c>
      <c r="R43" s="63">
        <f>IF(All_data!M42="Spouse",1,0)</f>
        <v>0</v>
      </c>
      <c r="S43" s="47">
        <f>IF(All_data!M42="Son/Daughter",1,0)</f>
        <v>0</v>
      </c>
      <c r="T43" s="47">
        <f>IF(All_data!M42="Niece/nephew",1,0)</f>
        <v>0</v>
      </c>
      <c r="U43" s="47">
        <f>IF(All_data!M42="Household head",1,0)</f>
        <v>1</v>
      </c>
      <c r="V43" s="47">
        <f>IF(All_data!N42="&lt; 1 year",1,IF(All_data!N42="1-3 years",2,IF(All_data!N42="3-5 years",3,IF(All_data!N42="&gt; 5 years",4,"check"))))</f>
        <v>4</v>
      </c>
      <c r="W43" s="47">
        <f>IF(All_data!O42="Rented",1,0)</f>
        <v>0</v>
      </c>
      <c r="X43" s="73">
        <f>IF(All_data!P42="Bungalow",1,0)</f>
        <v>1</v>
      </c>
      <c r="Y43" s="73">
        <f>IF(All_data!P42="Temporary",1,0)</f>
        <v>0</v>
      </c>
      <c r="Z43" s="73">
        <f>IF(All_data!P42="Story Building",1,0)</f>
        <v>0</v>
      </c>
      <c r="AA43" s="73">
        <f>IF(All_data!Q42="Iron Sheets/titles",1,0)</f>
        <v>1</v>
      </c>
      <c r="AB43" s="74">
        <f>IF(All_data!R42="Concrete Blocks",1,0)</f>
        <v>0</v>
      </c>
      <c r="AC43" s="73">
        <f>IF(All_data!R42="Bricks",1,0)</f>
        <v>1</v>
      </c>
      <c r="AD43" s="73">
        <f>IF(All_data!R42="Mud/poles",1,0)</f>
        <v>0</v>
      </c>
      <c r="AE43" s="73">
        <f>IF(All_data!S42="tiles",1,0)</f>
        <v>1</v>
      </c>
      <c r="AF43" s="73">
        <f>IF(All_data!S42="Cemented",1,0)</f>
        <v>0</v>
      </c>
      <c r="AG43" s="73">
        <f>IF(All_data!S42="Mud",1,0)</f>
        <v>0</v>
      </c>
      <c r="AH43" s="73">
        <f>IF(All_data!T42="House connection",1,0)</f>
        <v>0</v>
      </c>
      <c r="AI43" s="73">
        <f>IF(All_data!T42="Yard tap",1,0)</f>
        <v>0</v>
      </c>
      <c r="AJ43" s="73">
        <f>IF(All_data!T42="Stand pipe",1,0)</f>
        <v>0</v>
      </c>
      <c r="AK43" s="73">
        <f>IF(All_data!U42="Shared Facilities ",1,0)</f>
        <v>0</v>
      </c>
      <c r="AL43" s="73">
        <f>IF(All_data!V42="paved",0,1)</f>
        <v>1</v>
      </c>
      <c r="AM43" s="57">
        <v>15</v>
      </c>
      <c r="AN43" s="57">
        <v>0</v>
      </c>
      <c r="AO43" s="57">
        <v>0</v>
      </c>
      <c r="AP43" s="57">
        <v>0</v>
      </c>
      <c r="AQ43" s="58">
        <v>6.5000000000000002E-2</v>
      </c>
      <c r="AR43" s="58">
        <v>0.23899999999999993</v>
      </c>
      <c r="AS43" s="58">
        <v>0.14700000000000002</v>
      </c>
      <c r="AT43" s="57">
        <v>0</v>
      </c>
      <c r="AU43" s="57">
        <v>0</v>
      </c>
      <c r="AV43" s="57">
        <v>1.385</v>
      </c>
      <c r="AW43" s="57">
        <v>16.84</v>
      </c>
      <c r="AX43" s="57">
        <v>2.4057142857142857</v>
      </c>
      <c r="AY43" s="57">
        <v>0.60142857142857142</v>
      </c>
      <c r="AZ43" s="47">
        <v>70</v>
      </c>
      <c r="BA43" s="47">
        <v>0.24</v>
      </c>
    </row>
    <row r="44" spans="1:53" ht="15.5" x14ac:dyDescent="0.35">
      <c r="A44" s="59">
        <v>41</v>
      </c>
      <c r="B44" s="27" t="s">
        <v>118</v>
      </c>
      <c r="C44" s="26" t="s">
        <v>130</v>
      </c>
      <c r="D44" s="26" t="s">
        <v>131</v>
      </c>
      <c r="E44" s="26" t="s">
        <v>132</v>
      </c>
      <c r="F44" s="47">
        <f>IF(All_data!F43="low-income",1,IF(All_data!F43="Middle-Income",2,IF(All_data!F43="High-Income",3,"check")))</f>
        <v>2</v>
      </c>
      <c r="G44" s="56">
        <v>2</v>
      </c>
      <c r="H44" s="47">
        <f>IF(All_data!H43="18-35 years",2,IF(All_data!H43="36-60 years",3,IF(All_data!H43="&gt;60 years",4,1)))</f>
        <v>3</v>
      </c>
      <c r="I44" s="47">
        <f>IF(All_data!I43="Male",0,1)</f>
        <v>0</v>
      </c>
      <c r="J44" s="73">
        <f>IF(All_data!J43="Illiterate",1,IF(All_data!J43="Primary",2,IF(All_data!J43="secondary",3,IF(All_data!J43="Tertiary",4,"check"))))</f>
        <v>1</v>
      </c>
      <c r="K44" s="47">
        <f>IF(All_data!K43="Government Employee",1,0)</f>
        <v>0</v>
      </c>
      <c r="L44" s="47">
        <f>IF(All_data!K43="Private Employee",1,0)</f>
        <v>1</v>
      </c>
      <c r="M44" s="47">
        <f>IF(All_data!K43="Business",1,0)</f>
        <v>0</v>
      </c>
      <c r="N44" s="47">
        <f>IF(All_data!K43="Student",1,0)</f>
        <v>0</v>
      </c>
      <c r="O44" s="47">
        <f>IF(All_data!K43="Housewife",1,0)</f>
        <v>0</v>
      </c>
      <c r="P44" s="47">
        <f>IF(All_data!K43="Retired",1,0)</f>
        <v>0</v>
      </c>
      <c r="Q44" s="47">
        <f>IF(All_data!L43="&lt;500,000",1,IF(All_data!L43="500,000 - 1,000,000",2,IF(All_data!L43="1,000,000 - 3,000,000",3,IF(All_data!L43="&gt;3,000,000",4,"check"))))</f>
        <v>1</v>
      </c>
      <c r="R44" s="63">
        <f>IF(All_data!M43="Spouse",1,0)</f>
        <v>0</v>
      </c>
      <c r="S44" s="47">
        <f>IF(All_data!M43="Son/Daughter",1,0)</f>
        <v>0</v>
      </c>
      <c r="T44" s="47">
        <f>IF(All_data!M43="Niece/nephew",1,0)</f>
        <v>0</v>
      </c>
      <c r="U44" s="47">
        <f>IF(All_data!M43="Household head",1,0)</f>
        <v>1</v>
      </c>
      <c r="V44" s="47">
        <f>IF(All_data!N43="&lt; 1 year",1,IF(All_data!N43="1-3 years",2,IF(All_data!N43="3-5 years",3,IF(All_data!N43="&gt; 5 years",4,"check"))))</f>
        <v>2</v>
      </c>
      <c r="W44" s="47">
        <f>IF(All_data!O43="Rented",1,0)</f>
        <v>1</v>
      </c>
      <c r="X44" s="73">
        <f>IF(All_data!P43="Bungalow",1,0)</f>
        <v>1</v>
      </c>
      <c r="Y44" s="73">
        <f>IF(All_data!P43="Temporary",1,0)</f>
        <v>0</v>
      </c>
      <c r="Z44" s="73">
        <f>IF(All_data!P43="Story Building",1,0)</f>
        <v>0</v>
      </c>
      <c r="AA44" s="73">
        <f>IF(All_data!Q43="Iron Sheets/titles",1,0)</f>
        <v>1</v>
      </c>
      <c r="AB44" s="74">
        <f>IF(All_data!R43="Concrete Blocks",1,0)</f>
        <v>0</v>
      </c>
      <c r="AC44" s="73">
        <f>IF(All_data!R43="Bricks",1,0)</f>
        <v>1</v>
      </c>
      <c r="AD44" s="73">
        <f>IF(All_data!R43="Mud/poles",1,0)</f>
        <v>0</v>
      </c>
      <c r="AE44" s="73">
        <f>IF(All_data!S43="tiles",1,0)</f>
        <v>0</v>
      </c>
      <c r="AF44" s="73">
        <f>IF(All_data!S43="Cemented",1,0)</f>
        <v>1</v>
      </c>
      <c r="AG44" s="73">
        <f>IF(All_data!S43="Mud",1,0)</f>
        <v>0</v>
      </c>
      <c r="AH44" s="73">
        <f>IF(All_data!T43="House connection",1,0)</f>
        <v>0</v>
      </c>
      <c r="AI44" s="73">
        <f>IF(All_data!T43="Yard tap",1,0)</f>
        <v>1</v>
      </c>
      <c r="AJ44" s="73">
        <f>IF(All_data!T43="Stand pipe",1,0)</f>
        <v>0</v>
      </c>
      <c r="AK44" s="73">
        <f>IF(All_data!U43="Shared Facilities ",1,0)</f>
        <v>1</v>
      </c>
      <c r="AL44" s="73">
        <f>IF(All_data!V43="paved",0,1)</f>
        <v>1</v>
      </c>
      <c r="AM44" s="57">
        <v>5.46</v>
      </c>
      <c r="AN44" s="57">
        <v>0.255</v>
      </c>
      <c r="AO44" s="57">
        <v>0</v>
      </c>
      <c r="AP44" s="57">
        <v>0</v>
      </c>
      <c r="AQ44" s="58">
        <v>3.4000000000000002E-2</v>
      </c>
      <c r="AR44" s="58">
        <v>0.185</v>
      </c>
      <c r="AS44" s="58">
        <v>8.8999999999999996E-2</v>
      </c>
      <c r="AT44" s="57">
        <v>0</v>
      </c>
      <c r="AU44" s="57">
        <v>0</v>
      </c>
      <c r="AV44" s="57">
        <v>0.186</v>
      </c>
      <c r="AW44" s="57">
        <v>6.21</v>
      </c>
      <c r="AX44" s="57">
        <v>0.88714285714285712</v>
      </c>
      <c r="AY44" s="57">
        <v>0.44357142857142856</v>
      </c>
      <c r="AZ44" s="47">
        <v>8</v>
      </c>
      <c r="BA44" s="47">
        <v>0.78</v>
      </c>
    </row>
    <row r="45" spans="1:53" ht="15.5" x14ac:dyDescent="0.35">
      <c r="A45" s="59">
        <v>42</v>
      </c>
      <c r="B45" s="27" t="s">
        <v>151</v>
      </c>
      <c r="C45" s="26" t="s">
        <v>130</v>
      </c>
      <c r="D45" s="26" t="s">
        <v>131</v>
      </c>
      <c r="E45" s="26" t="s">
        <v>132</v>
      </c>
      <c r="F45" s="47">
        <f>IF(All_data!F44="low-income",1,IF(All_data!F44="Middle-Income",2,IF(All_data!F44="High-Income",3,"check")))</f>
        <v>2</v>
      </c>
      <c r="G45" s="56">
        <v>4</v>
      </c>
      <c r="H45" s="47">
        <f>IF(All_data!H44="18-35 years",2,IF(All_data!H44="36-60 years",3,IF(All_data!H44="&gt;60 years",4,1)))</f>
        <v>3</v>
      </c>
      <c r="I45" s="47">
        <f>IF(All_data!I44="Male",0,1)</f>
        <v>1</v>
      </c>
      <c r="J45" s="73">
        <f>IF(All_data!J44="Illiterate",1,IF(All_data!J44="Primary",2,IF(All_data!J44="secondary",3,IF(All_data!J44="Tertiary",4,"check"))))</f>
        <v>3</v>
      </c>
      <c r="K45" s="47">
        <f>IF(All_data!K44="Government Employee",1,0)</f>
        <v>0</v>
      </c>
      <c r="L45" s="47">
        <f>IF(All_data!K44="Private Employee",1,0)</f>
        <v>1</v>
      </c>
      <c r="M45" s="47">
        <f>IF(All_data!K44="Business",1,0)</f>
        <v>0</v>
      </c>
      <c r="N45" s="47">
        <f>IF(All_data!K44="Student",1,0)</f>
        <v>0</v>
      </c>
      <c r="O45" s="47">
        <f>IF(All_data!K44="Housewife",1,0)</f>
        <v>0</v>
      </c>
      <c r="P45" s="47">
        <f>IF(All_data!K44="Retired",1,0)</f>
        <v>0</v>
      </c>
      <c r="Q45" s="47">
        <f>IF(All_data!L44="&lt;500,000",1,IF(All_data!L44="500,000 - 1,000,000",2,IF(All_data!L44="1,000,000 - 3,000,000",3,IF(All_data!L44="&gt;3,000,000",4,"check"))))</f>
        <v>2</v>
      </c>
      <c r="R45" s="63">
        <f>IF(All_data!M44="Spouse",1,0)</f>
        <v>0</v>
      </c>
      <c r="S45" s="47">
        <f>IF(All_data!M44="Son/Daughter",1,0)</f>
        <v>0</v>
      </c>
      <c r="T45" s="47">
        <f>IF(All_data!M44="Niece/nephew",1,0)</f>
        <v>0</v>
      </c>
      <c r="U45" s="47">
        <f>IF(All_data!M44="Household head",1,0)</f>
        <v>1</v>
      </c>
      <c r="V45" s="47">
        <f>IF(All_data!N44="&lt; 1 year",1,IF(All_data!N44="1-3 years",2,IF(All_data!N44="3-5 years",3,IF(All_data!N44="&gt; 5 years",4,"check"))))</f>
        <v>1</v>
      </c>
      <c r="W45" s="47">
        <f>IF(All_data!O44="Rented",1,0)</f>
        <v>1</v>
      </c>
      <c r="X45" s="73">
        <f>IF(All_data!P44="Bungalow",1,0)</f>
        <v>1</v>
      </c>
      <c r="Y45" s="73">
        <f>IF(All_data!P44="Temporary",1,0)</f>
        <v>0</v>
      </c>
      <c r="Z45" s="73">
        <f>IF(All_data!P44="Story Building",1,0)</f>
        <v>0</v>
      </c>
      <c r="AA45" s="73">
        <f>IF(All_data!Q44="Iron Sheets/titles",1,0)</f>
        <v>1</v>
      </c>
      <c r="AB45" s="74">
        <f>IF(All_data!R44="Concrete Blocks",1,0)</f>
        <v>0</v>
      </c>
      <c r="AC45" s="73">
        <f>IF(All_data!R44="Bricks",1,0)</f>
        <v>1</v>
      </c>
      <c r="AD45" s="73">
        <f>IF(All_data!R44="Mud/poles",1,0)</f>
        <v>0</v>
      </c>
      <c r="AE45" s="73">
        <f>IF(All_data!S44="tiles",1,0)</f>
        <v>1</v>
      </c>
      <c r="AF45" s="73">
        <f>IF(All_data!S44="Cemented",1,0)</f>
        <v>0</v>
      </c>
      <c r="AG45" s="73">
        <f>IF(All_data!S44="Mud",1,0)</f>
        <v>0</v>
      </c>
      <c r="AH45" s="73">
        <f>IF(All_data!T44="House connection",1,0)</f>
        <v>0</v>
      </c>
      <c r="AI45" s="73">
        <f>IF(All_data!T44="Yard tap",1,0)</f>
        <v>0</v>
      </c>
      <c r="AJ45" s="73">
        <f>IF(All_data!T44="Stand pipe",1,0)</f>
        <v>0</v>
      </c>
      <c r="AK45" s="73">
        <f>IF(All_data!U44="Shared Facilities ",1,0)</f>
        <v>0</v>
      </c>
      <c r="AL45" s="73">
        <f>IF(All_data!V44="paved",0,1)</f>
        <v>1</v>
      </c>
      <c r="AM45" s="57">
        <v>19.28</v>
      </c>
      <c r="AN45" s="57">
        <v>0</v>
      </c>
      <c r="AO45" s="57">
        <v>0</v>
      </c>
      <c r="AP45" s="57">
        <v>0</v>
      </c>
      <c r="AQ45" s="58">
        <v>9.000000000000008E-3</v>
      </c>
      <c r="AR45" s="58">
        <v>0.35400000000000004</v>
      </c>
      <c r="AS45" s="58">
        <v>0.19700000000000001</v>
      </c>
      <c r="AT45" s="57">
        <v>0</v>
      </c>
      <c r="AU45" s="57">
        <v>0</v>
      </c>
      <c r="AV45" s="57">
        <v>0.18</v>
      </c>
      <c r="AW45" s="57">
        <v>20.02</v>
      </c>
      <c r="AX45" s="57">
        <v>2.86</v>
      </c>
      <c r="AY45" s="57">
        <v>0.71499999999999997</v>
      </c>
      <c r="AZ45" s="47">
        <v>40</v>
      </c>
      <c r="BA45" s="47">
        <v>0.5</v>
      </c>
    </row>
    <row r="46" spans="1:53" ht="15.5" x14ac:dyDescent="0.35">
      <c r="A46" s="59">
        <v>43</v>
      </c>
      <c r="B46" s="27" t="s">
        <v>152</v>
      </c>
      <c r="C46" s="26" t="s">
        <v>130</v>
      </c>
      <c r="D46" s="26" t="s">
        <v>131</v>
      </c>
      <c r="E46" s="26" t="s">
        <v>132</v>
      </c>
      <c r="F46" s="47">
        <f>IF(All_data!F45="low-income",1,IF(All_data!F45="Middle-Income",2,IF(All_data!F45="High-Income",3,"check")))</f>
        <v>2</v>
      </c>
      <c r="G46" s="56">
        <v>1</v>
      </c>
      <c r="H46" s="47">
        <f>IF(All_data!H45="18-35 years",2,IF(All_data!H45="36-60 years",3,IF(All_data!H45="&gt;60 years",4,1)))</f>
        <v>3</v>
      </c>
      <c r="I46" s="47">
        <f>IF(All_data!I45="Male",0,1)</f>
        <v>0</v>
      </c>
      <c r="J46" s="73">
        <f>IF(All_data!J45="Illiterate",1,IF(All_data!J45="Primary",2,IF(All_data!J45="secondary",3,IF(All_data!J45="Tertiary",4,"check"))))</f>
        <v>3</v>
      </c>
      <c r="K46" s="47">
        <f>IF(All_data!K45="Government Employee",1,0)</f>
        <v>0</v>
      </c>
      <c r="L46" s="47">
        <f>IF(All_data!K45="Private Employee",1,0)</f>
        <v>0</v>
      </c>
      <c r="M46" s="47">
        <f>IF(All_data!K45="Business",1,0)</f>
        <v>1</v>
      </c>
      <c r="N46" s="47">
        <f>IF(All_data!K45="Student",1,0)</f>
        <v>0</v>
      </c>
      <c r="O46" s="47">
        <f>IF(All_data!K45="Housewife",1,0)</f>
        <v>0</v>
      </c>
      <c r="P46" s="47">
        <f>IF(All_data!K45="Retired",1,0)</f>
        <v>0</v>
      </c>
      <c r="Q46" s="47">
        <f>IF(All_data!L45="&lt;500,000",1,IF(All_data!L45="500,000 - 1,000,000",2,IF(All_data!L45="1,000,000 - 3,000,000",3,IF(All_data!L45="&gt;3,000,000",4,"check"))))</f>
        <v>2</v>
      </c>
      <c r="R46" s="63">
        <f>IF(All_data!M45="Spouse",1,0)</f>
        <v>0</v>
      </c>
      <c r="S46" s="47">
        <f>IF(All_data!M45="Son/Daughter",1,0)</f>
        <v>1</v>
      </c>
      <c r="T46" s="47">
        <f>IF(All_data!M45="Niece/nephew",1,0)</f>
        <v>0</v>
      </c>
      <c r="U46" s="47">
        <f>IF(All_data!M45="Household head",1,0)</f>
        <v>0</v>
      </c>
      <c r="V46" s="47">
        <f>IF(All_data!N45="&lt; 1 year",1,IF(All_data!N45="1-3 years",2,IF(All_data!N45="3-5 years",3,IF(All_data!N45="&gt; 5 years",4,"check"))))</f>
        <v>4</v>
      </c>
      <c r="W46" s="47">
        <f>IF(All_data!O45="Rented",1,0)</f>
        <v>1</v>
      </c>
      <c r="X46" s="73">
        <f>IF(All_data!P45="Bungalow",1,0)</f>
        <v>1</v>
      </c>
      <c r="Y46" s="73">
        <f>IF(All_data!P45="Temporary",1,0)</f>
        <v>0</v>
      </c>
      <c r="Z46" s="73">
        <f>IF(All_data!P45="Story Building",1,0)</f>
        <v>0</v>
      </c>
      <c r="AA46" s="73">
        <f>IF(All_data!Q45="Iron Sheets/titles",1,0)</f>
        <v>1</v>
      </c>
      <c r="AB46" s="74">
        <f>IF(All_data!R45="Concrete Blocks",1,0)</f>
        <v>0</v>
      </c>
      <c r="AC46" s="73">
        <f>IF(All_data!R45="Bricks",1,0)</f>
        <v>1</v>
      </c>
      <c r="AD46" s="73">
        <f>IF(All_data!R45="Mud/poles",1,0)</f>
        <v>0</v>
      </c>
      <c r="AE46" s="73">
        <f>IF(All_data!S45="tiles",1,0)</f>
        <v>0</v>
      </c>
      <c r="AF46" s="73">
        <f>IF(All_data!S45="Cemented",1,0)</f>
        <v>1</v>
      </c>
      <c r="AG46" s="73">
        <f>IF(All_data!S45="Mud",1,0)</f>
        <v>0</v>
      </c>
      <c r="AH46" s="73">
        <f>IF(All_data!T45="House connection",1,0)</f>
        <v>0</v>
      </c>
      <c r="AI46" s="73">
        <f>IF(All_data!T45="Yard tap",1,0)</f>
        <v>0</v>
      </c>
      <c r="AJ46" s="73">
        <f>IF(All_data!T45="Stand pipe",1,0)</f>
        <v>0</v>
      </c>
      <c r="AK46" s="73">
        <f>IF(All_data!U45="Shared Facilities ",1,0)</f>
        <v>0</v>
      </c>
      <c r="AL46" s="73">
        <f>IF(All_data!V45="paved",0,1)</f>
        <v>1</v>
      </c>
      <c r="AM46" s="57">
        <v>5.2</v>
      </c>
      <c r="AN46" s="57">
        <v>0</v>
      </c>
      <c r="AO46" s="57">
        <v>0</v>
      </c>
      <c r="AP46" s="57">
        <v>0</v>
      </c>
      <c r="AQ46" s="58">
        <v>0</v>
      </c>
      <c r="AR46" s="58">
        <v>8.6999999999999994E-2</v>
      </c>
      <c r="AS46" s="58">
        <v>0.10999999999999999</v>
      </c>
      <c r="AT46" s="57">
        <v>0</v>
      </c>
      <c r="AU46" s="57">
        <v>9.5000000000000001E-2</v>
      </c>
      <c r="AV46" s="57">
        <v>0</v>
      </c>
      <c r="AW46" s="57">
        <v>5.49</v>
      </c>
      <c r="AX46" s="57">
        <v>0.78428571428571436</v>
      </c>
      <c r="AY46" s="57">
        <v>0.78428571428571436</v>
      </c>
      <c r="AZ46" s="47">
        <v>8</v>
      </c>
      <c r="BA46" s="47">
        <v>0.69</v>
      </c>
    </row>
    <row r="47" spans="1:53" ht="15.5" x14ac:dyDescent="0.35">
      <c r="A47" s="59">
        <v>44</v>
      </c>
      <c r="B47" s="27" t="s">
        <v>119</v>
      </c>
      <c r="C47" s="26" t="s">
        <v>130</v>
      </c>
      <c r="D47" s="26" t="s">
        <v>131</v>
      </c>
      <c r="E47" s="26" t="s">
        <v>132</v>
      </c>
      <c r="F47" s="47">
        <f>IF(All_data!F46="low-income",1,IF(All_data!F46="Middle-Income",2,IF(All_data!F46="High-Income",3,"check")))</f>
        <v>2</v>
      </c>
      <c r="G47" s="56">
        <v>3</v>
      </c>
      <c r="H47" s="47">
        <f>IF(All_data!H46="18-35 years",2,IF(All_data!H46="36-60 years",3,IF(All_data!H46="&gt;60 years",4,1)))</f>
        <v>3</v>
      </c>
      <c r="I47" s="47">
        <f>IF(All_data!I46="Male",0,1)</f>
        <v>1</v>
      </c>
      <c r="J47" s="73">
        <f>IF(All_data!J46="Illiterate",1,IF(All_data!J46="Primary",2,IF(All_data!J46="secondary",3,IF(All_data!J46="Tertiary",4,"check"))))</f>
        <v>4</v>
      </c>
      <c r="K47" s="47">
        <f>IF(All_data!K46="Government Employee",1,0)</f>
        <v>0</v>
      </c>
      <c r="L47" s="47">
        <f>IF(All_data!K46="Private Employee",1,0)</f>
        <v>1</v>
      </c>
      <c r="M47" s="47">
        <f>IF(All_data!K46="Business",1,0)</f>
        <v>0</v>
      </c>
      <c r="N47" s="47">
        <f>IF(All_data!K46="Student",1,0)</f>
        <v>0</v>
      </c>
      <c r="O47" s="47">
        <f>IF(All_data!K46="Housewife",1,0)</f>
        <v>0</v>
      </c>
      <c r="P47" s="47">
        <f>IF(All_data!K46="Retired",1,0)</f>
        <v>0</v>
      </c>
      <c r="Q47" s="47">
        <f>IF(All_data!L46="&lt;500,000",1,IF(All_data!L46="500,000 - 1,000,000",2,IF(All_data!L46="1,000,000 - 3,000,000",3,IF(All_data!L46="&gt;3,000,000",4,"check"))))</f>
        <v>2</v>
      </c>
      <c r="R47" s="63">
        <f>IF(All_data!M46="Spouse",1,0)</f>
        <v>1</v>
      </c>
      <c r="S47" s="47">
        <f>IF(All_data!M46="Son/Daughter",1,0)</f>
        <v>0</v>
      </c>
      <c r="T47" s="47">
        <f>IF(All_data!M46="Niece/nephew",1,0)</f>
        <v>0</v>
      </c>
      <c r="U47" s="47">
        <f>IF(All_data!M46="Household head",1,0)</f>
        <v>0</v>
      </c>
      <c r="V47" s="47">
        <f>IF(All_data!N46="&lt; 1 year",1,IF(All_data!N46="1-3 years",2,IF(All_data!N46="3-5 years",3,IF(All_data!N46="&gt; 5 years",4,"check"))))</f>
        <v>4</v>
      </c>
      <c r="W47" s="47">
        <f>IF(All_data!O46="Rented",1,0)</f>
        <v>1</v>
      </c>
      <c r="X47" s="73">
        <f>IF(All_data!P46="Bungalow",1,0)</f>
        <v>1</v>
      </c>
      <c r="Y47" s="73">
        <f>IF(All_data!P46="Temporary",1,0)</f>
        <v>0</v>
      </c>
      <c r="Z47" s="73">
        <f>IF(All_data!P46="Story Building",1,0)</f>
        <v>0</v>
      </c>
      <c r="AA47" s="73">
        <f>IF(All_data!Q46="Iron Sheets/titles",1,0)</f>
        <v>1</v>
      </c>
      <c r="AB47" s="74">
        <f>IF(All_data!R46="Concrete Blocks",1,0)</f>
        <v>0</v>
      </c>
      <c r="AC47" s="73">
        <f>IF(All_data!R46="Bricks",1,0)</f>
        <v>1</v>
      </c>
      <c r="AD47" s="73">
        <f>IF(All_data!R46="Mud/poles",1,0)</f>
        <v>0</v>
      </c>
      <c r="AE47" s="73">
        <f>IF(All_data!S46="tiles",1,0)</f>
        <v>1</v>
      </c>
      <c r="AF47" s="73">
        <f>IF(All_data!S46="Cemented",1,0)</f>
        <v>0</v>
      </c>
      <c r="AG47" s="73">
        <f>IF(All_data!S46="Mud",1,0)</f>
        <v>0</v>
      </c>
      <c r="AH47" s="73">
        <f>IF(All_data!T46="House connection",1,0)</f>
        <v>0</v>
      </c>
      <c r="AI47" s="73">
        <f>IF(All_data!T46="Yard tap",1,0)</f>
        <v>0</v>
      </c>
      <c r="AJ47" s="73">
        <f>IF(All_data!T46="Stand pipe",1,0)</f>
        <v>0</v>
      </c>
      <c r="AK47" s="73">
        <f>IF(All_data!U46="Shared Facilities ",1,0)</f>
        <v>0</v>
      </c>
      <c r="AL47" s="73">
        <f>IF(All_data!V46="paved",0,1)</f>
        <v>1</v>
      </c>
      <c r="AM47" s="57">
        <v>10.67</v>
      </c>
      <c r="AN47" s="57">
        <v>3.68</v>
      </c>
      <c r="AO47" s="57">
        <v>0</v>
      </c>
      <c r="AP47" s="57">
        <v>0</v>
      </c>
      <c r="AQ47" s="58">
        <v>1.56</v>
      </c>
      <c r="AR47" s="58">
        <v>1</v>
      </c>
      <c r="AS47" s="58">
        <v>0.32</v>
      </c>
      <c r="AT47" s="57">
        <v>0.32</v>
      </c>
      <c r="AU47" s="57">
        <v>0</v>
      </c>
      <c r="AV47" s="57">
        <v>0.96</v>
      </c>
      <c r="AW47" s="57">
        <v>18.510000000000002</v>
      </c>
      <c r="AX47" s="57">
        <v>2.6442857142857146</v>
      </c>
      <c r="AY47" s="57">
        <v>0.88142857142857156</v>
      </c>
      <c r="AZ47" s="47">
        <v>50</v>
      </c>
      <c r="BA47" s="47">
        <v>0.37</v>
      </c>
    </row>
    <row r="48" spans="1:53" ht="15.5" x14ac:dyDescent="0.35">
      <c r="A48" s="59">
        <v>45</v>
      </c>
      <c r="B48" s="27" t="s">
        <v>121</v>
      </c>
      <c r="C48" s="26" t="s">
        <v>130</v>
      </c>
      <c r="D48" s="26" t="s">
        <v>131</v>
      </c>
      <c r="E48" s="26" t="s">
        <v>132</v>
      </c>
      <c r="F48" s="47">
        <f>IF(All_data!F47="low-income",1,IF(All_data!F47="Middle-Income",2,IF(All_data!F47="High-Income",3,"check")))</f>
        <v>2</v>
      </c>
      <c r="G48" s="56">
        <v>2</v>
      </c>
      <c r="H48" s="47">
        <f>IF(All_data!H47="18-35 years",2,IF(All_data!H47="36-60 years",3,IF(All_data!H47="&gt;60 years",4,1)))</f>
        <v>2</v>
      </c>
      <c r="I48" s="47">
        <f>IF(All_data!I47="Male",0,1)</f>
        <v>1</v>
      </c>
      <c r="J48" s="73">
        <f>IF(All_data!J47="Illiterate",1,IF(All_data!J47="Primary",2,IF(All_data!J47="secondary",3,IF(All_data!J47="Tertiary",4,"check"))))</f>
        <v>3</v>
      </c>
      <c r="K48" s="47">
        <f>IF(All_data!K47="Government Employee",1,0)</f>
        <v>0</v>
      </c>
      <c r="L48" s="47">
        <f>IF(All_data!K47="Private Employee",1,0)</f>
        <v>0</v>
      </c>
      <c r="M48" s="47">
        <f>IF(All_data!K47="Business",1,0)</f>
        <v>1</v>
      </c>
      <c r="N48" s="47">
        <f>IF(All_data!K47="Student",1,0)</f>
        <v>0</v>
      </c>
      <c r="O48" s="47">
        <f>IF(All_data!K47="Housewife",1,0)</f>
        <v>0</v>
      </c>
      <c r="P48" s="47">
        <f>IF(All_data!K47="Retired",1,0)</f>
        <v>0</v>
      </c>
      <c r="Q48" s="47">
        <f>IF(All_data!L47="&lt;500,000",1,IF(All_data!L47="500,000 - 1,000,000",2,IF(All_data!L47="1,000,000 - 3,000,000",3,IF(All_data!L47="&gt;3,000,000",4,"check"))))</f>
        <v>2</v>
      </c>
      <c r="R48" s="63">
        <f>IF(All_data!M47="Spouse",1,0)</f>
        <v>0</v>
      </c>
      <c r="S48" s="47">
        <f>IF(All_data!M47="Son/Daughter",1,0)</f>
        <v>0</v>
      </c>
      <c r="T48" s="47">
        <f>IF(All_data!M47="Niece/nephew",1,0)</f>
        <v>0</v>
      </c>
      <c r="U48" s="47">
        <f>IF(All_data!M47="Household head",1,0)</f>
        <v>1</v>
      </c>
      <c r="V48" s="47">
        <f>IF(All_data!N47="&lt; 1 year",1,IF(All_data!N47="1-3 years",2,IF(All_data!N47="3-5 years",3,IF(All_data!N47="&gt; 5 years",4,"check"))))</f>
        <v>1</v>
      </c>
      <c r="W48" s="47">
        <f>IF(All_data!O47="Rented",1,0)</f>
        <v>1</v>
      </c>
      <c r="X48" s="73">
        <f>IF(All_data!P47="Bungalow",1,0)</f>
        <v>1</v>
      </c>
      <c r="Y48" s="73">
        <f>IF(All_data!P47="Temporary",1,0)</f>
        <v>0</v>
      </c>
      <c r="Z48" s="73">
        <f>IF(All_data!P47="Story Building",1,0)</f>
        <v>0</v>
      </c>
      <c r="AA48" s="73">
        <f>IF(All_data!Q47="Iron Sheets/titles",1,0)</f>
        <v>1</v>
      </c>
      <c r="AB48" s="74">
        <f>IF(All_data!R47="Concrete Blocks",1,0)</f>
        <v>0</v>
      </c>
      <c r="AC48" s="73">
        <f>IF(All_data!R47="Bricks",1,0)</f>
        <v>1</v>
      </c>
      <c r="AD48" s="73">
        <f>IF(All_data!R47="Mud/poles",1,0)</f>
        <v>0</v>
      </c>
      <c r="AE48" s="73">
        <f>IF(All_data!S47="tiles",1,0)</f>
        <v>0</v>
      </c>
      <c r="AF48" s="73">
        <f>IF(All_data!S47="Cemented",1,0)</f>
        <v>1</v>
      </c>
      <c r="AG48" s="73">
        <f>IF(All_data!S47="Mud",1,0)</f>
        <v>0</v>
      </c>
      <c r="AH48" s="73">
        <f>IF(All_data!T47="House connection",1,0)</f>
        <v>0</v>
      </c>
      <c r="AI48" s="73">
        <f>IF(All_data!T47="Yard tap",1,0)</f>
        <v>0</v>
      </c>
      <c r="AJ48" s="73">
        <f>IF(All_data!T47="Stand pipe",1,0)</f>
        <v>0</v>
      </c>
      <c r="AK48" s="73">
        <f>IF(All_data!U47="Shared Facilities ",1,0)</f>
        <v>1</v>
      </c>
      <c r="AL48" s="73">
        <f>IF(All_data!V47="paved",0,1)</f>
        <v>1</v>
      </c>
      <c r="AM48" s="57">
        <v>5</v>
      </c>
      <c r="AN48" s="57">
        <v>2.34</v>
      </c>
      <c r="AO48" s="57">
        <v>0</v>
      </c>
      <c r="AP48" s="57">
        <v>0</v>
      </c>
      <c r="AQ48" s="58">
        <v>0.05</v>
      </c>
      <c r="AR48" s="58">
        <v>4.4999999999999998E-2</v>
      </c>
      <c r="AS48" s="58">
        <v>0.24299999999999999</v>
      </c>
      <c r="AT48" s="57">
        <v>0</v>
      </c>
      <c r="AU48" s="57">
        <v>0</v>
      </c>
      <c r="AV48" s="57">
        <v>0.36</v>
      </c>
      <c r="AW48" s="57">
        <v>8.0380000000000003</v>
      </c>
      <c r="AX48" s="57">
        <v>1.1482857142857144</v>
      </c>
      <c r="AY48" s="57">
        <v>0.57414285714285718</v>
      </c>
      <c r="AZ48" s="47">
        <v>10</v>
      </c>
      <c r="BA48" s="57">
        <v>0.80380000000000007</v>
      </c>
    </row>
    <row r="49" spans="1:53" ht="15.5" x14ac:dyDescent="0.35">
      <c r="A49" s="59">
        <v>46</v>
      </c>
      <c r="B49" s="27" t="s">
        <v>122</v>
      </c>
      <c r="C49" s="26" t="s">
        <v>130</v>
      </c>
      <c r="D49" s="26" t="s">
        <v>131</v>
      </c>
      <c r="E49" s="26" t="s">
        <v>132</v>
      </c>
      <c r="F49" s="47">
        <f>IF(All_data!F48="low-income",1,IF(All_data!F48="Middle-Income",2,IF(All_data!F48="High-Income",3,"check")))</f>
        <v>2</v>
      </c>
      <c r="G49" s="56">
        <v>2</v>
      </c>
      <c r="H49" s="47">
        <f>IF(All_data!H48="18-35 years",2,IF(All_data!H48="36-60 years",3,IF(All_data!H48="&gt;60 years",4,1)))</f>
        <v>3</v>
      </c>
      <c r="I49" s="47">
        <f>IF(All_data!I48="Male",0,1)</f>
        <v>0</v>
      </c>
      <c r="J49" s="73">
        <f>IF(All_data!J48="Illiterate",1,IF(All_data!J48="Primary",2,IF(All_data!J48="secondary",3,IF(All_data!J48="Tertiary",4,"check"))))</f>
        <v>4</v>
      </c>
      <c r="K49" s="47">
        <f>IF(All_data!K48="Government Employee",1,0)</f>
        <v>0</v>
      </c>
      <c r="L49" s="47">
        <f>IF(All_data!K48="Private Employee",1,0)</f>
        <v>1</v>
      </c>
      <c r="M49" s="47">
        <f>IF(All_data!K48="Business",1,0)</f>
        <v>0</v>
      </c>
      <c r="N49" s="47">
        <f>IF(All_data!K48="Student",1,0)</f>
        <v>0</v>
      </c>
      <c r="O49" s="47">
        <f>IF(All_data!K48="Housewife",1,0)</f>
        <v>0</v>
      </c>
      <c r="P49" s="47">
        <f>IF(All_data!K48="Retired",1,0)</f>
        <v>0</v>
      </c>
      <c r="Q49" s="47">
        <f>IF(All_data!L48="&lt;500,000",1,IF(All_data!L48="500,000 - 1,000,000",2,IF(All_data!L48="1,000,000 - 3,000,000",3,IF(All_data!L48="&gt;3,000,000",4,"check"))))</f>
        <v>2</v>
      </c>
      <c r="R49" s="63">
        <f>IF(All_data!M48="Spouse",1,0)</f>
        <v>0</v>
      </c>
      <c r="S49" s="47">
        <f>IF(All_data!M48="Son/Daughter",1,0)</f>
        <v>0</v>
      </c>
      <c r="T49" s="47">
        <f>IF(All_data!M48="Niece/nephew",1,0)</f>
        <v>0</v>
      </c>
      <c r="U49" s="47">
        <f>IF(All_data!M48="Household head",1,0)</f>
        <v>1</v>
      </c>
      <c r="V49" s="47">
        <f>IF(All_data!N48="&lt; 1 year",1,IF(All_data!N48="1-3 years",2,IF(All_data!N48="3-5 years",3,IF(All_data!N48="&gt; 5 years",4,"check"))))</f>
        <v>4</v>
      </c>
      <c r="W49" s="47">
        <f>IF(All_data!O48="Rented",1,0)</f>
        <v>0</v>
      </c>
      <c r="X49" s="73">
        <f>IF(All_data!P48="Bungalow",1,0)</f>
        <v>1</v>
      </c>
      <c r="Y49" s="73">
        <f>IF(All_data!P48="Temporary",1,0)</f>
        <v>0</v>
      </c>
      <c r="Z49" s="73">
        <f>IF(All_data!P48="Story Building",1,0)</f>
        <v>0</v>
      </c>
      <c r="AA49" s="73">
        <f>IF(All_data!Q48="Iron Sheets/titles",1,0)</f>
        <v>1</v>
      </c>
      <c r="AB49" s="74">
        <f>IF(All_data!R48="Concrete Blocks",1,0)</f>
        <v>0</v>
      </c>
      <c r="AC49" s="73">
        <f>IF(All_data!R48="Bricks",1,0)</f>
        <v>1</v>
      </c>
      <c r="AD49" s="73">
        <f>IF(All_data!R48="Mud/poles",1,0)</f>
        <v>0</v>
      </c>
      <c r="AE49" s="73">
        <f>IF(All_data!S48="tiles",1,0)</f>
        <v>0</v>
      </c>
      <c r="AF49" s="73">
        <f>IF(All_data!S48="Cemented",1,0)</f>
        <v>1</v>
      </c>
      <c r="AG49" s="73">
        <f>IF(All_data!S48="Mud",1,0)</f>
        <v>0</v>
      </c>
      <c r="AH49" s="73">
        <f>IF(All_data!T48="House connection",1,0)</f>
        <v>0</v>
      </c>
      <c r="AI49" s="73">
        <f>IF(All_data!T48="Yard tap",1,0)</f>
        <v>1</v>
      </c>
      <c r="AJ49" s="73">
        <f>IF(All_data!T48="Stand pipe",1,0)</f>
        <v>0</v>
      </c>
      <c r="AK49" s="73">
        <f>IF(All_data!U48="Shared Facilities ",1,0)</f>
        <v>1</v>
      </c>
      <c r="AL49" s="73">
        <f>IF(All_data!V48="paved",0,1)</f>
        <v>1</v>
      </c>
      <c r="AM49" s="57">
        <v>8.17</v>
      </c>
      <c r="AN49" s="57">
        <v>0</v>
      </c>
      <c r="AO49" s="57">
        <v>0</v>
      </c>
      <c r="AP49" s="57">
        <v>0</v>
      </c>
      <c r="AQ49" s="58">
        <v>0.34699999999999998</v>
      </c>
      <c r="AR49" s="58">
        <v>2.0000000000000018E-3</v>
      </c>
      <c r="AS49" s="58">
        <v>0</v>
      </c>
      <c r="AT49" s="57">
        <v>0</v>
      </c>
      <c r="AU49" s="57">
        <v>0</v>
      </c>
      <c r="AV49" s="57">
        <v>1.3</v>
      </c>
      <c r="AW49" s="57">
        <v>9.82</v>
      </c>
      <c r="AX49" s="57">
        <v>1.4028571428571428</v>
      </c>
      <c r="AY49" s="57">
        <v>0.7014285714285714</v>
      </c>
      <c r="AZ49" s="47">
        <v>12</v>
      </c>
      <c r="BA49" s="47">
        <v>0.82</v>
      </c>
    </row>
    <row r="50" spans="1:53" ht="15.5" x14ac:dyDescent="0.35">
      <c r="A50" s="59">
        <v>47</v>
      </c>
      <c r="B50" s="27" t="s">
        <v>123</v>
      </c>
      <c r="C50" s="26" t="s">
        <v>130</v>
      </c>
      <c r="D50" s="26" t="s">
        <v>131</v>
      </c>
      <c r="E50" s="26" t="s">
        <v>132</v>
      </c>
      <c r="F50" s="47">
        <f>IF(All_data!F49="low-income",1,IF(All_data!F49="Middle-Income",2,IF(All_data!F49="High-Income",3,"check")))</f>
        <v>2</v>
      </c>
      <c r="G50" s="56">
        <v>1</v>
      </c>
      <c r="H50" s="47">
        <f>IF(All_data!H49="18-35 years",2,IF(All_data!H49="36-60 years",3,IF(All_data!H49="&gt;60 years",4,1)))</f>
        <v>3</v>
      </c>
      <c r="I50" s="47">
        <f>IF(All_data!I49="Male",0,1)</f>
        <v>0</v>
      </c>
      <c r="J50" s="73">
        <f>IF(All_data!J49="Illiterate",1,IF(All_data!J49="Primary",2,IF(All_data!J49="secondary",3,IF(All_data!J49="Tertiary",4,"check"))))</f>
        <v>4</v>
      </c>
      <c r="K50" s="47">
        <f>IF(All_data!K49="Government Employee",1,0)</f>
        <v>1</v>
      </c>
      <c r="L50" s="47">
        <f>IF(All_data!K49="Private Employee",1,0)</f>
        <v>0</v>
      </c>
      <c r="M50" s="47">
        <f>IF(All_data!K49="Business",1,0)</f>
        <v>0</v>
      </c>
      <c r="N50" s="47">
        <f>IF(All_data!K49="Student",1,0)</f>
        <v>0</v>
      </c>
      <c r="O50" s="47">
        <f>IF(All_data!K49="Housewife",1,0)</f>
        <v>0</v>
      </c>
      <c r="P50" s="47">
        <f>IF(All_data!K49="Retired",1,0)</f>
        <v>0</v>
      </c>
      <c r="Q50" s="47">
        <f>IF(All_data!L49="&lt;500,000",1,IF(All_data!L49="500,000 - 1,000,000",2,IF(All_data!L49="1,000,000 - 3,000,000",3,IF(All_data!L49="&gt;3,000,000",4,"check"))))</f>
        <v>2</v>
      </c>
      <c r="R50" s="63">
        <f>IF(All_data!M49="Spouse",1,0)</f>
        <v>1</v>
      </c>
      <c r="S50" s="47">
        <f>IF(All_data!M49="Son/Daughter",1,0)</f>
        <v>0</v>
      </c>
      <c r="T50" s="47">
        <f>IF(All_data!M49="Niece/nephew",1,0)</f>
        <v>0</v>
      </c>
      <c r="U50" s="47">
        <f>IF(All_data!M49="Household head",1,0)</f>
        <v>0</v>
      </c>
      <c r="V50" s="47">
        <f>IF(All_data!N49="&lt; 1 year",1,IF(All_data!N49="1-3 years",2,IF(All_data!N49="3-5 years",3,IF(All_data!N49="&gt; 5 years",4,"check"))))</f>
        <v>2</v>
      </c>
      <c r="W50" s="47">
        <f>IF(All_data!O49="Rented",1,0)</f>
        <v>1</v>
      </c>
      <c r="X50" s="73">
        <f>IF(All_data!P49="Bungalow",1,0)</f>
        <v>1</v>
      </c>
      <c r="Y50" s="73">
        <f>IF(All_data!P49="Temporary",1,0)</f>
        <v>0</v>
      </c>
      <c r="Z50" s="73">
        <f>IF(All_data!P49="Story Building",1,0)</f>
        <v>0</v>
      </c>
      <c r="AA50" s="73">
        <f>IF(All_data!Q49="Iron Sheets/titles",1,0)</f>
        <v>1</v>
      </c>
      <c r="AB50" s="74">
        <f>IF(All_data!R49="Concrete Blocks",1,0)</f>
        <v>0</v>
      </c>
      <c r="AC50" s="73">
        <f>IF(All_data!R49="Bricks",1,0)</f>
        <v>1</v>
      </c>
      <c r="AD50" s="73">
        <f>IF(All_data!R49="Mud/poles",1,0)</f>
        <v>0</v>
      </c>
      <c r="AE50" s="73">
        <f>IF(All_data!S49="tiles",1,0)</f>
        <v>0</v>
      </c>
      <c r="AF50" s="73">
        <f>IF(All_data!S49="Cemented",1,0)</f>
        <v>1</v>
      </c>
      <c r="AG50" s="73">
        <f>IF(All_data!S49="Mud",1,0)</f>
        <v>0</v>
      </c>
      <c r="AH50" s="73">
        <f>IF(All_data!T49="House connection",1,0)</f>
        <v>0</v>
      </c>
      <c r="AI50" s="73">
        <f>IF(All_data!T49="Yard tap",1,0)</f>
        <v>1</v>
      </c>
      <c r="AJ50" s="73">
        <f>IF(All_data!T49="Stand pipe",1,0)</f>
        <v>0</v>
      </c>
      <c r="AK50" s="73">
        <f>IF(All_data!U49="Shared Facilities ",1,0)</f>
        <v>1</v>
      </c>
      <c r="AL50" s="73">
        <f>IF(All_data!V49="paved",0,1)</f>
        <v>1</v>
      </c>
      <c r="AM50" s="57">
        <v>2.161</v>
      </c>
      <c r="AN50" s="57">
        <v>0</v>
      </c>
      <c r="AO50" s="57">
        <v>0</v>
      </c>
      <c r="AP50" s="57">
        <v>0</v>
      </c>
      <c r="AQ50" s="58">
        <v>4.6000000000000013E-2</v>
      </c>
      <c r="AR50" s="58">
        <v>0.2</v>
      </c>
      <c r="AS50" s="58">
        <v>1.5999999999999986E-2</v>
      </c>
      <c r="AT50" s="57">
        <v>0</v>
      </c>
      <c r="AU50" s="57">
        <v>0</v>
      </c>
      <c r="AV50" s="57">
        <v>0.20400000000000001</v>
      </c>
      <c r="AW50" s="57">
        <v>2.63</v>
      </c>
      <c r="AX50" s="57">
        <v>0.37571428571428572</v>
      </c>
      <c r="AY50" s="57">
        <v>0.37571428571428572</v>
      </c>
      <c r="AZ50" s="47">
        <v>6</v>
      </c>
      <c r="BA50" s="47">
        <v>0.44</v>
      </c>
    </row>
    <row r="51" spans="1:53" ht="15.5" x14ac:dyDescent="0.35">
      <c r="A51" s="59">
        <v>48</v>
      </c>
      <c r="B51" s="27" t="s">
        <v>124</v>
      </c>
      <c r="C51" s="26" t="s">
        <v>130</v>
      </c>
      <c r="D51" s="26" t="s">
        <v>131</v>
      </c>
      <c r="E51" s="26" t="s">
        <v>132</v>
      </c>
      <c r="F51" s="47">
        <f>IF(All_data!F50="low-income",1,IF(All_data!F50="Middle-Income",2,IF(All_data!F50="High-Income",3,"check")))</f>
        <v>2</v>
      </c>
      <c r="G51" s="56">
        <v>2</v>
      </c>
      <c r="H51" s="47">
        <f>IF(All_data!H50="18-35 years",2,IF(All_data!H50="36-60 years",3,IF(All_data!H50="&gt;60 years",4,1)))</f>
        <v>3</v>
      </c>
      <c r="I51" s="47">
        <f>IF(All_data!I50="Male",0,1)</f>
        <v>1</v>
      </c>
      <c r="J51" s="73">
        <f>IF(All_data!J50="Illiterate",1,IF(All_data!J50="Primary",2,IF(All_data!J50="secondary",3,IF(All_data!J50="Tertiary",4,"check"))))</f>
        <v>4</v>
      </c>
      <c r="K51" s="47">
        <f>IF(All_data!K50="Government Employee",1,0)</f>
        <v>0</v>
      </c>
      <c r="L51" s="47">
        <f>IF(All_data!K50="Private Employee",1,0)</f>
        <v>1</v>
      </c>
      <c r="M51" s="47">
        <f>IF(All_data!K50="Business",1,0)</f>
        <v>0</v>
      </c>
      <c r="N51" s="47">
        <f>IF(All_data!K50="Student",1,0)</f>
        <v>0</v>
      </c>
      <c r="O51" s="47">
        <f>IF(All_data!K50="Housewife",1,0)</f>
        <v>0</v>
      </c>
      <c r="P51" s="47">
        <f>IF(All_data!K50="Retired",1,0)</f>
        <v>0</v>
      </c>
      <c r="Q51" s="47">
        <f>IF(All_data!L50="&lt;500,000",1,IF(All_data!L50="500,000 - 1,000,000",2,IF(All_data!L50="1,000,000 - 3,000,000",3,IF(All_data!L50="&gt;3,000,000",4,"check"))))</f>
        <v>2</v>
      </c>
      <c r="R51" s="63">
        <f>IF(All_data!M50="Spouse",1,0)</f>
        <v>0</v>
      </c>
      <c r="S51" s="47">
        <f>IF(All_data!M50="Son/Daughter",1,0)</f>
        <v>1</v>
      </c>
      <c r="T51" s="47">
        <f>IF(All_data!M50="Niece/nephew",1,0)</f>
        <v>0</v>
      </c>
      <c r="U51" s="47">
        <f>IF(All_data!M50="Household head",1,0)</f>
        <v>0</v>
      </c>
      <c r="V51" s="47">
        <f>IF(All_data!N50="&lt; 1 year",1,IF(All_data!N50="1-3 years",2,IF(All_data!N50="3-5 years",3,IF(All_data!N50="&gt; 5 years",4,"check"))))</f>
        <v>4</v>
      </c>
      <c r="W51" s="47">
        <f>IF(All_data!O50="Rented",1,0)</f>
        <v>0</v>
      </c>
      <c r="X51" s="73">
        <f>IF(All_data!P50="Bungalow",1,0)</f>
        <v>1</v>
      </c>
      <c r="Y51" s="73">
        <f>IF(All_data!P50="Temporary",1,0)</f>
        <v>0</v>
      </c>
      <c r="Z51" s="73">
        <f>IF(All_data!P50="Story Building",1,0)</f>
        <v>0</v>
      </c>
      <c r="AA51" s="73">
        <f>IF(All_data!Q50="Iron Sheets/titles",1,0)</f>
        <v>1</v>
      </c>
      <c r="AB51" s="74">
        <f>IF(All_data!R50="Concrete Blocks",1,0)</f>
        <v>0</v>
      </c>
      <c r="AC51" s="73">
        <f>IF(All_data!R50="Bricks",1,0)</f>
        <v>1</v>
      </c>
      <c r="AD51" s="73">
        <f>IF(All_data!R50="Mud/poles",1,0)</f>
        <v>0</v>
      </c>
      <c r="AE51" s="73">
        <f>IF(All_data!S50="tiles",1,0)</f>
        <v>0</v>
      </c>
      <c r="AF51" s="73">
        <f>IF(All_data!S50="Cemented",1,0)</f>
        <v>1</v>
      </c>
      <c r="AG51" s="73">
        <f>IF(All_data!S50="Mud",1,0)</f>
        <v>0</v>
      </c>
      <c r="AH51" s="73">
        <f>IF(All_data!T50="House connection",1,0)</f>
        <v>0</v>
      </c>
      <c r="AI51" s="73">
        <f>IF(All_data!T50="Yard tap",1,0)</f>
        <v>1</v>
      </c>
      <c r="AJ51" s="73">
        <f>IF(All_data!T50="Stand pipe",1,0)</f>
        <v>0</v>
      </c>
      <c r="AK51" s="73">
        <f>IF(All_data!U50="Shared Facilities ",1,0)</f>
        <v>1</v>
      </c>
      <c r="AL51" s="73">
        <f>IF(All_data!V50="paved",0,1)</f>
        <v>1</v>
      </c>
      <c r="AM51" s="57">
        <v>6.88</v>
      </c>
      <c r="AN51" s="57">
        <v>0</v>
      </c>
      <c r="AO51" s="57">
        <v>0.1</v>
      </c>
      <c r="AP51" s="57">
        <v>3.9000000000000007E-2</v>
      </c>
      <c r="AQ51" s="58">
        <v>0.35499999999999998</v>
      </c>
      <c r="AR51" s="58">
        <v>0.43700000000000006</v>
      </c>
      <c r="AS51" s="58">
        <v>0.34699999999999998</v>
      </c>
      <c r="AT51" s="57">
        <v>0</v>
      </c>
      <c r="AU51" s="57">
        <v>0</v>
      </c>
      <c r="AV51" s="57">
        <v>1.3000000000000012E-2</v>
      </c>
      <c r="AW51" s="57">
        <v>8.17</v>
      </c>
      <c r="AX51" s="57">
        <v>1.167142857142857</v>
      </c>
      <c r="AY51" s="57">
        <v>0.58357142857142852</v>
      </c>
      <c r="AZ51" s="47">
        <v>10</v>
      </c>
      <c r="BA51" s="47">
        <v>0.82</v>
      </c>
    </row>
    <row r="52" spans="1:53" ht="15.5" x14ac:dyDescent="0.35">
      <c r="A52" s="59">
        <v>49</v>
      </c>
      <c r="B52" s="27" t="s">
        <v>168</v>
      </c>
      <c r="C52" s="26" t="s">
        <v>130</v>
      </c>
      <c r="D52" s="26" t="s">
        <v>131</v>
      </c>
      <c r="E52" s="26" t="s">
        <v>132</v>
      </c>
      <c r="F52" s="47">
        <f>IF(All_data!F51="low-income",1,IF(All_data!F51="Middle-Income",2,IF(All_data!F51="High-Income",3,"check")))</f>
        <v>2</v>
      </c>
      <c r="G52" s="56">
        <v>4</v>
      </c>
      <c r="H52" s="47">
        <f>IF(All_data!H51="18-35 years",2,IF(All_data!H51="36-60 years",3,IF(All_data!H51="&gt;60 years",4,1)))</f>
        <v>2</v>
      </c>
      <c r="I52" s="47">
        <f>IF(All_data!I51="Male",0,1)</f>
        <v>0</v>
      </c>
      <c r="J52" s="73">
        <f>IF(All_data!J51="Illiterate",1,IF(All_data!J51="Primary",2,IF(All_data!J51="secondary",3,IF(All_data!J51="Tertiary",4,"check"))))</f>
        <v>4</v>
      </c>
      <c r="K52" s="47">
        <f>IF(All_data!K51="Government Employee",1,0)</f>
        <v>0</v>
      </c>
      <c r="L52" s="47">
        <f>IF(All_data!K51="Private Employee",1,0)</f>
        <v>0</v>
      </c>
      <c r="M52" s="47">
        <f>IF(All_data!K51="Business",1,0)</f>
        <v>1</v>
      </c>
      <c r="N52" s="47">
        <f>IF(All_data!K51="Student",1,0)</f>
        <v>0</v>
      </c>
      <c r="O52" s="47">
        <f>IF(All_data!K51="Housewife",1,0)</f>
        <v>0</v>
      </c>
      <c r="P52" s="47">
        <f>IF(All_data!K51="Retired",1,0)</f>
        <v>0</v>
      </c>
      <c r="Q52" s="47">
        <f>IF(All_data!L51="&lt;500,000",1,IF(All_data!L51="500,000 - 1,000,000",2,IF(All_data!L51="1,000,000 - 3,000,000",3,IF(All_data!L51="&gt;3,000,000",4,"check"))))</f>
        <v>2</v>
      </c>
      <c r="R52" s="63">
        <f>IF(All_data!M51="Spouse",1,0)</f>
        <v>1</v>
      </c>
      <c r="S52" s="47">
        <f>IF(All_data!M51="Son/Daughter",1,0)</f>
        <v>0</v>
      </c>
      <c r="T52" s="47">
        <f>IF(All_data!M51="Niece/nephew",1,0)</f>
        <v>0</v>
      </c>
      <c r="U52" s="47">
        <f>IF(All_data!M51="Household head",1,0)</f>
        <v>0</v>
      </c>
      <c r="V52" s="47">
        <f>IF(All_data!N51="&lt; 1 year",1,IF(All_data!N51="1-3 years",2,IF(All_data!N51="3-5 years",3,IF(All_data!N51="&gt; 5 years",4,"check"))))</f>
        <v>1</v>
      </c>
      <c r="W52" s="47">
        <f>IF(All_data!O51="Rented",1,0)</f>
        <v>1</v>
      </c>
      <c r="X52" s="73">
        <f>IF(All_data!P51="Bungalow",1,0)</f>
        <v>1</v>
      </c>
      <c r="Y52" s="73">
        <f>IF(All_data!P51="Temporary",1,0)</f>
        <v>0</v>
      </c>
      <c r="Z52" s="73">
        <f>IF(All_data!P51="Story Building",1,0)</f>
        <v>0</v>
      </c>
      <c r="AA52" s="73">
        <f>IF(All_data!Q51="Iron Sheets/titles",1,0)</f>
        <v>1</v>
      </c>
      <c r="AB52" s="74">
        <f>IF(All_data!R51="Concrete Blocks",1,0)</f>
        <v>0</v>
      </c>
      <c r="AC52" s="73">
        <f>IF(All_data!R51="Bricks",1,0)</f>
        <v>1</v>
      </c>
      <c r="AD52" s="73">
        <f>IF(All_data!R51="Mud/poles",1,0)</f>
        <v>0</v>
      </c>
      <c r="AE52" s="73">
        <f>IF(All_data!S51="tiles",1,0)</f>
        <v>1</v>
      </c>
      <c r="AF52" s="73">
        <f>IF(All_data!S51="Cemented",1,0)</f>
        <v>0</v>
      </c>
      <c r="AG52" s="73">
        <f>IF(All_data!S51="Mud",1,0)</f>
        <v>0</v>
      </c>
      <c r="AH52" s="73">
        <f>IF(All_data!T51="House connection",1,0)</f>
        <v>0</v>
      </c>
      <c r="AI52" s="73">
        <f>IF(All_data!T51="Yard tap",1,0)</f>
        <v>0</v>
      </c>
      <c r="AJ52" s="73">
        <f>IF(All_data!T51="Stand pipe",1,0)</f>
        <v>0</v>
      </c>
      <c r="AK52" s="73">
        <f>IF(All_data!U51="Shared Facilities ",1,0)</f>
        <v>0</v>
      </c>
      <c r="AL52" s="73">
        <f>IF(All_data!V51="paved",0,1)</f>
        <v>1</v>
      </c>
      <c r="AM52" s="57">
        <v>18.2</v>
      </c>
      <c r="AN52" s="57">
        <v>0</v>
      </c>
      <c r="AO52" s="57">
        <v>0</v>
      </c>
      <c r="AP52" s="57">
        <v>0.41099999999999998</v>
      </c>
      <c r="AQ52" s="58">
        <v>0.16799999999999998</v>
      </c>
      <c r="AR52" s="58">
        <v>0.44999999999999996</v>
      </c>
      <c r="AS52" s="58">
        <v>6.0999999999999999E-2</v>
      </c>
      <c r="AT52" s="57">
        <v>0</v>
      </c>
      <c r="AU52" s="57">
        <v>0</v>
      </c>
      <c r="AV52" s="57">
        <v>1.48</v>
      </c>
      <c r="AW52" s="57">
        <v>20.77</v>
      </c>
      <c r="AX52" s="57">
        <v>2.9671428571428571</v>
      </c>
      <c r="AY52" s="57">
        <v>0.74178571428571427</v>
      </c>
      <c r="AZ52" s="47">
        <v>64</v>
      </c>
      <c r="BA52" s="47">
        <v>0.32</v>
      </c>
    </row>
    <row r="53" spans="1:53" ht="15.5" x14ac:dyDescent="0.35">
      <c r="A53" s="59">
        <v>50</v>
      </c>
      <c r="B53" s="27" t="s">
        <v>169</v>
      </c>
      <c r="C53" s="26" t="s">
        <v>130</v>
      </c>
      <c r="D53" s="26" t="s">
        <v>131</v>
      </c>
      <c r="E53" s="26" t="s">
        <v>132</v>
      </c>
      <c r="F53" s="47">
        <f>IF(All_data!F52="low-income",1,IF(All_data!F52="Middle-Income",2,IF(All_data!F52="High-Income",3,"check")))</f>
        <v>2</v>
      </c>
      <c r="G53" s="56">
        <v>7</v>
      </c>
      <c r="H53" s="47">
        <f>IF(All_data!H52="18-35 years",2,IF(All_data!H52="36-60 years",3,IF(All_data!H52="&gt;60 years",4,1)))</f>
        <v>3</v>
      </c>
      <c r="I53" s="47">
        <f>IF(All_data!I52="Male",0,1)</f>
        <v>1</v>
      </c>
      <c r="J53" s="73">
        <f>IF(All_data!J52="Illiterate",1,IF(All_data!J52="Primary",2,IF(All_data!J52="secondary",3,IF(All_data!J52="Tertiary",4,"check"))))</f>
        <v>4</v>
      </c>
      <c r="K53" s="47">
        <f>IF(All_data!K52="Government Employee",1,0)</f>
        <v>0</v>
      </c>
      <c r="L53" s="47">
        <f>IF(All_data!K52="Private Employee",1,0)</f>
        <v>0</v>
      </c>
      <c r="M53" s="47">
        <f>IF(All_data!K52="Business",1,0)</f>
        <v>0</v>
      </c>
      <c r="N53" s="47">
        <f>IF(All_data!K52="Student",1,0)</f>
        <v>0</v>
      </c>
      <c r="O53" s="47">
        <f>IF(All_data!K52="Housewife",1,0)</f>
        <v>0</v>
      </c>
      <c r="P53" s="47">
        <f>IF(All_data!K52="Retired",1,0)</f>
        <v>1</v>
      </c>
      <c r="Q53" s="47">
        <f>IF(All_data!L52="&lt;500,000",1,IF(All_data!L52="500,000 - 1,000,000",2,IF(All_data!L52="1,000,000 - 3,000,000",3,IF(All_data!L52="&gt;3,000,000",4,"check"))))</f>
        <v>1</v>
      </c>
      <c r="R53" s="63">
        <f>IF(All_data!M52="Spouse",1,0)</f>
        <v>0</v>
      </c>
      <c r="S53" s="47">
        <f>IF(All_data!M52="Son/Daughter",1,0)</f>
        <v>1</v>
      </c>
      <c r="T53" s="47">
        <f>IF(All_data!M52="Niece/nephew",1,0)</f>
        <v>0</v>
      </c>
      <c r="U53" s="47">
        <f>IF(All_data!M52="Household head",1,0)</f>
        <v>0</v>
      </c>
      <c r="V53" s="47">
        <f>IF(All_data!N52="&lt; 1 year",1,IF(All_data!N52="1-3 years",2,IF(All_data!N52="3-5 years",3,IF(All_data!N52="&gt; 5 years",4,"check"))))</f>
        <v>4</v>
      </c>
      <c r="W53" s="47">
        <f>IF(All_data!O52="Rented",1,0)</f>
        <v>0</v>
      </c>
      <c r="X53" s="73">
        <f>IF(All_data!P52="Bungalow",1,0)</f>
        <v>1</v>
      </c>
      <c r="Y53" s="73">
        <f>IF(All_data!P52="Temporary",1,0)</f>
        <v>0</v>
      </c>
      <c r="Z53" s="73">
        <f>IF(All_data!P52="Story Building",1,0)</f>
        <v>0</v>
      </c>
      <c r="AA53" s="73">
        <f>IF(All_data!Q52="Iron Sheets/titles",1,0)</f>
        <v>1</v>
      </c>
      <c r="AB53" s="74">
        <f>IF(All_data!R52="Concrete Blocks",1,0)</f>
        <v>0</v>
      </c>
      <c r="AC53" s="73">
        <f>IF(All_data!R52="Bricks",1,0)</f>
        <v>1</v>
      </c>
      <c r="AD53" s="73">
        <f>IF(All_data!R52="Mud/poles",1,0)</f>
        <v>0</v>
      </c>
      <c r="AE53" s="73">
        <f>IF(All_data!S52="tiles",1,0)</f>
        <v>1</v>
      </c>
      <c r="AF53" s="73">
        <f>IF(All_data!S52="Cemented",1,0)</f>
        <v>0</v>
      </c>
      <c r="AG53" s="73">
        <f>IF(All_data!S52="Mud",1,0)</f>
        <v>0</v>
      </c>
      <c r="AH53" s="73">
        <f>IF(All_data!T52="House connection",1,0)</f>
        <v>0</v>
      </c>
      <c r="AI53" s="73">
        <f>IF(All_data!T52="Yard tap",1,0)</f>
        <v>0</v>
      </c>
      <c r="AJ53" s="73">
        <f>IF(All_data!T52="Stand pipe",1,0)</f>
        <v>0</v>
      </c>
      <c r="AK53" s="73">
        <f>IF(All_data!U52="Shared Facilities ",1,0)</f>
        <v>0</v>
      </c>
      <c r="AL53" s="73">
        <f>IF(All_data!V52="paved",0,1)</f>
        <v>1</v>
      </c>
      <c r="AM53" s="57">
        <v>32</v>
      </c>
      <c r="AN53" s="57">
        <v>1.73</v>
      </c>
      <c r="AO53" s="57">
        <v>0</v>
      </c>
      <c r="AP53" s="57">
        <v>0</v>
      </c>
      <c r="AQ53" s="58">
        <v>2.14</v>
      </c>
      <c r="AR53" s="58">
        <v>0.98</v>
      </c>
      <c r="AS53" s="58">
        <v>5.1999999999999998E-2</v>
      </c>
      <c r="AT53" s="57">
        <v>0</v>
      </c>
      <c r="AU53" s="57">
        <v>0</v>
      </c>
      <c r="AV53" s="57">
        <v>1.0900000000000001</v>
      </c>
      <c r="AW53" s="57">
        <v>37.99</v>
      </c>
      <c r="AX53" s="57">
        <v>5.427142857142857</v>
      </c>
      <c r="AY53" s="57">
        <v>0.77530612244897956</v>
      </c>
      <c r="AZ53" s="47">
        <v>120</v>
      </c>
      <c r="BA53" s="47">
        <v>0.32</v>
      </c>
    </row>
    <row r="54" spans="1:53" ht="15.5" x14ac:dyDescent="0.35">
      <c r="A54" s="59">
        <v>51</v>
      </c>
      <c r="B54" s="27" t="s">
        <v>125</v>
      </c>
      <c r="C54" s="26" t="s">
        <v>130</v>
      </c>
      <c r="D54" s="26" t="s">
        <v>131</v>
      </c>
      <c r="E54" s="26" t="s">
        <v>132</v>
      </c>
      <c r="F54" s="47">
        <f>IF(All_data!F53="low-income",1,IF(All_data!F53="Middle-Income",2,IF(All_data!F53="High-Income",3,"check")))</f>
        <v>2</v>
      </c>
      <c r="G54" s="56">
        <v>4</v>
      </c>
      <c r="H54" s="47">
        <f>IF(All_data!H53="18-35 years",2,IF(All_data!H53="36-60 years",3,IF(All_data!H53="&gt;60 years",4,1)))</f>
        <v>3</v>
      </c>
      <c r="I54" s="47">
        <f>IF(All_data!I53="Male",0,1)</f>
        <v>1</v>
      </c>
      <c r="J54" s="73">
        <f>IF(All_data!J53="Illiterate",1,IF(All_data!J53="Primary",2,IF(All_data!J53="secondary",3,IF(All_data!J53="Tertiary",4,"check"))))</f>
        <v>4</v>
      </c>
      <c r="K54" s="47">
        <f>IF(All_data!K53="Government Employee",1,0)</f>
        <v>0</v>
      </c>
      <c r="L54" s="47">
        <f>IF(All_data!K53="Private Employee",1,0)</f>
        <v>1</v>
      </c>
      <c r="M54" s="47">
        <f>IF(All_data!K53="Business",1,0)</f>
        <v>0</v>
      </c>
      <c r="N54" s="47">
        <f>IF(All_data!K53="Student",1,0)</f>
        <v>0</v>
      </c>
      <c r="O54" s="47">
        <f>IF(All_data!K53="Housewife",1,0)</f>
        <v>0</v>
      </c>
      <c r="P54" s="47">
        <f>IF(All_data!K53="Retired",1,0)</f>
        <v>0</v>
      </c>
      <c r="Q54" s="47">
        <f>IF(All_data!L53="&lt;500,000",1,IF(All_data!L53="500,000 - 1,000,000",2,IF(All_data!L53="1,000,000 - 3,000,000",3,IF(All_data!L53="&gt;3,000,000",4,"check"))))</f>
        <v>2</v>
      </c>
      <c r="R54" s="63">
        <f>IF(All_data!M53="Spouse",1,0)</f>
        <v>0</v>
      </c>
      <c r="S54" s="47">
        <f>IF(All_data!M53="Son/Daughter",1,0)</f>
        <v>1</v>
      </c>
      <c r="T54" s="47">
        <f>IF(All_data!M53="Niece/nephew",1,0)</f>
        <v>0</v>
      </c>
      <c r="U54" s="47">
        <f>IF(All_data!M53="Household head",1,0)</f>
        <v>0</v>
      </c>
      <c r="V54" s="47">
        <f>IF(All_data!N53="&lt; 1 year",1,IF(All_data!N53="1-3 years",2,IF(All_data!N53="3-5 years",3,IF(All_data!N53="&gt; 5 years",4,"check"))))</f>
        <v>4</v>
      </c>
      <c r="W54" s="47">
        <f>IF(All_data!O53="Rented",1,0)</f>
        <v>1</v>
      </c>
      <c r="X54" s="73">
        <f>IF(All_data!P53="Bungalow",1,0)</f>
        <v>1</v>
      </c>
      <c r="Y54" s="73">
        <f>IF(All_data!P53="Temporary",1,0)</f>
        <v>0</v>
      </c>
      <c r="Z54" s="73">
        <f>IF(All_data!P53="Story Building",1,0)</f>
        <v>0</v>
      </c>
      <c r="AA54" s="73">
        <f>IF(All_data!Q53="Iron Sheets/titles",1,0)</f>
        <v>1</v>
      </c>
      <c r="AB54" s="74">
        <f>IF(All_data!R53="Concrete Blocks",1,0)</f>
        <v>0</v>
      </c>
      <c r="AC54" s="73">
        <f>IF(All_data!R53="Bricks",1,0)</f>
        <v>1</v>
      </c>
      <c r="AD54" s="73">
        <f>IF(All_data!R53="Mud/poles",1,0)</f>
        <v>0</v>
      </c>
      <c r="AE54" s="73">
        <f>IF(All_data!S53="tiles",1,0)</f>
        <v>0</v>
      </c>
      <c r="AF54" s="73">
        <f>IF(All_data!S53="Cemented",1,0)</f>
        <v>1</v>
      </c>
      <c r="AG54" s="73">
        <f>IF(All_data!S53="Mud",1,0)</f>
        <v>0</v>
      </c>
      <c r="AH54" s="73">
        <f>IF(All_data!T53="House connection",1,0)</f>
        <v>0</v>
      </c>
      <c r="AI54" s="73">
        <f>IF(All_data!T53="Yard tap",1,0)</f>
        <v>1</v>
      </c>
      <c r="AJ54" s="73">
        <f>IF(All_data!T53="Stand pipe",1,0)</f>
        <v>0</v>
      </c>
      <c r="AK54" s="73">
        <f>IF(All_data!U53="Shared Facilities ",1,0)</f>
        <v>1</v>
      </c>
      <c r="AL54" s="73">
        <f>IF(All_data!V53="paved",0,1)</f>
        <v>1</v>
      </c>
      <c r="AM54" s="57">
        <v>14.62</v>
      </c>
      <c r="AN54" s="57">
        <v>2.21</v>
      </c>
      <c r="AO54" s="57">
        <v>0</v>
      </c>
      <c r="AP54" s="57">
        <v>0.8</v>
      </c>
      <c r="AQ54" s="58">
        <v>0.64</v>
      </c>
      <c r="AR54" s="58">
        <v>0.24</v>
      </c>
      <c r="AS54" s="58">
        <v>7.8E-2</v>
      </c>
      <c r="AT54" s="57">
        <v>0</v>
      </c>
      <c r="AU54" s="57">
        <v>0</v>
      </c>
      <c r="AV54" s="57">
        <v>3.67</v>
      </c>
      <c r="AW54" s="57">
        <v>22.26</v>
      </c>
      <c r="AX54" s="57">
        <v>3.18</v>
      </c>
      <c r="AY54" s="57">
        <v>0.79500000000000004</v>
      </c>
      <c r="AZ54" s="47">
        <v>54</v>
      </c>
      <c r="BA54" s="47">
        <v>0.41</v>
      </c>
    </row>
    <row r="55" spans="1:53" ht="15.5" x14ac:dyDescent="0.35">
      <c r="A55" s="59">
        <v>52</v>
      </c>
      <c r="B55" s="27" t="s">
        <v>126</v>
      </c>
      <c r="C55" s="26" t="s">
        <v>130</v>
      </c>
      <c r="D55" s="26" t="s">
        <v>131</v>
      </c>
      <c r="E55" s="26" t="s">
        <v>132</v>
      </c>
      <c r="F55" s="47">
        <f>IF(All_data!F54="low-income",1,IF(All_data!F54="Middle-Income",2,IF(All_data!F54="High-Income",3,"check")))</f>
        <v>2</v>
      </c>
      <c r="G55" s="56">
        <v>9</v>
      </c>
      <c r="H55" s="47">
        <f>IF(All_data!H54="18-35 years",2,IF(All_data!H54="36-60 years",3,IF(All_data!H54="&gt;60 years",4,1)))</f>
        <v>2</v>
      </c>
      <c r="I55" s="47">
        <f>IF(All_data!I54="Male",0,1)</f>
        <v>1</v>
      </c>
      <c r="J55" s="73">
        <f>IF(All_data!J54="Illiterate",1,IF(All_data!J54="Primary",2,IF(All_data!J54="secondary",3,IF(All_data!J54="Tertiary",4,"check"))))</f>
        <v>4</v>
      </c>
      <c r="K55" s="47">
        <f>IF(All_data!K54="Government Employee",1,0)</f>
        <v>1</v>
      </c>
      <c r="L55" s="47">
        <f>IF(All_data!K54="Private Employee",1,0)</f>
        <v>0</v>
      </c>
      <c r="M55" s="47">
        <f>IF(All_data!K54="Business",1,0)</f>
        <v>0</v>
      </c>
      <c r="N55" s="47">
        <f>IF(All_data!K54="Student",1,0)</f>
        <v>0</v>
      </c>
      <c r="O55" s="47">
        <f>IF(All_data!K54="Housewife",1,0)</f>
        <v>0</v>
      </c>
      <c r="P55" s="47">
        <f>IF(All_data!K54="Retired",1,0)</f>
        <v>0</v>
      </c>
      <c r="Q55" s="47">
        <f>IF(All_data!L54="&lt;500,000",1,IF(All_data!L54="500,000 - 1,000,000",2,IF(All_data!L54="1,000,000 - 3,000,000",3,IF(All_data!L54="&gt;3,000,000",4,"check"))))</f>
        <v>2</v>
      </c>
      <c r="R55" s="63">
        <f>IF(All_data!M54="Spouse",1,0)</f>
        <v>0</v>
      </c>
      <c r="S55" s="47">
        <f>IF(All_data!M54="Son/Daughter",1,0)</f>
        <v>0</v>
      </c>
      <c r="T55" s="47">
        <f>IF(All_data!M54="Niece/nephew",1,0)</f>
        <v>1</v>
      </c>
      <c r="U55" s="47">
        <f>IF(All_data!M54="Household head",1,0)</f>
        <v>0</v>
      </c>
      <c r="V55" s="47">
        <f>IF(All_data!N54="&lt; 1 year",1,IF(All_data!N54="1-3 years",2,IF(All_data!N54="3-5 years",3,IF(All_data!N54="&gt; 5 years",4,"check"))))</f>
        <v>3</v>
      </c>
      <c r="W55" s="47">
        <f>IF(All_data!O54="Rented",1,0)</f>
        <v>1</v>
      </c>
      <c r="X55" s="73">
        <f>IF(All_data!P54="Bungalow",1,0)</f>
        <v>1</v>
      </c>
      <c r="Y55" s="73">
        <f>IF(All_data!P54="Temporary",1,0)</f>
        <v>0</v>
      </c>
      <c r="Z55" s="73">
        <f>IF(All_data!P54="Story Building",1,0)</f>
        <v>0</v>
      </c>
      <c r="AA55" s="73">
        <f>IF(All_data!Q54="Iron Sheets/titles",1,0)</f>
        <v>1</v>
      </c>
      <c r="AB55" s="74">
        <f>IF(All_data!R54="Concrete Blocks",1,0)</f>
        <v>0</v>
      </c>
      <c r="AC55" s="73">
        <f>IF(All_data!R54="Bricks",1,0)</f>
        <v>1</v>
      </c>
      <c r="AD55" s="73">
        <f>IF(All_data!R54="Mud/poles",1,0)</f>
        <v>0</v>
      </c>
      <c r="AE55" s="73">
        <f>IF(All_data!S54="tiles",1,0)</f>
        <v>0</v>
      </c>
      <c r="AF55" s="73">
        <f>IF(All_data!S54="Cemented",1,0)</f>
        <v>1</v>
      </c>
      <c r="AG55" s="73">
        <f>IF(All_data!S54="Mud",1,0)</f>
        <v>0</v>
      </c>
      <c r="AH55" s="73">
        <f>IF(All_data!T54="House connection",1,0)</f>
        <v>0</v>
      </c>
      <c r="AI55" s="73">
        <f>IF(All_data!T54="Yard tap",1,0)</f>
        <v>0</v>
      </c>
      <c r="AJ55" s="73">
        <f>IF(All_data!T54="Stand pipe",1,0)</f>
        <v>0</v>
      </c>
      <c r="AK55" s="73">
        <f>IF(All_data!U54="Shared Facilities ",1,0)</f>
        <v>0</v>
      </c>
      <c r="AL55" s="73">
        <f>IF(All_data!V54="paved",0,1)</f>
        <v>1</v>
      </c>
      <c r="AM55" s="57">
        <v>40.72</v>
      </c>
      <c r="AN55" s="57">
        <v>0</v>
      </c>
      <c r="AO55" s="57">
        <v>0</v>
      </c>
      <c r="AP55" s="57">
        <v>1.76</v>
      </c>
      <c r="AQ55" s="58">
        <v>0.27500000000000002</v>
      </c>
      <c r="AR55" s="58">
        <v>1.67</v>
      </c>
      <c r="AS55" s="58">
        <v>1.054</v>
      </c>
      <c r="AT55" s="57">
        <v>0</v>
      </c>
      <c r="AU55" s="57">
        <v>0</v>
      </c>
      <c r="AV55" s="57">
        <v>0</v>
      </c>
      <c r="AW55" s="57">
        <v>45.478999999999999</v>
      </c>
      <c r="AX55" s="57">
        <v>6.4969999999999999</v>
      </c>
      <c r="AY55" s="57">
        <v>0.72188888888888891</v>
      </c>
      <c r="AZ55" s="47">
        <v>140</v>
      </c>
      <c r="BA55" s="47">
        <v>0.32500000000000001</v>
      </c>
    </row>
    <row r="56" spans="1:53" ht="15.5" x14ac:dyDescent="0.35">
      <c r="A56" s="59">
        <v>53</v>
      </c>
      <c r="B56" s="27" t="s">
        <v>127</v>
      </c>
      <c r="C56" s="26" t="s">
        <v>130</v>
      </c>
      <c r="D56" s="26" t="s">
        <v>131</v>
      </c>
      <c r="E56" s="26" t="s">
        <v>132</v>
      </c>
      <c r="F56" s="47">
        <f>IF(All_data!F55="low-income",1,IF(All_data!F55="Middle-Income",2,IF(All_data!F55="High-Income",3,"check")))</f>
        <v>2</v>
      </c>
      <c r="G56" s="56">
        <v>6</v>
      </c>
      <c r="H56" s="47">
        <f>IF(All_data!H55="18-35 years",2,IF(All_data!H55="36-60 years",3,IF(All_data!H55="&gt;60 years",4,1)))</f>
        <v>3</v>
      </c>
      <c r="I56" s="47">
        <f>IF(All_data!I55="Male",0,1)</f>
        <v>0</v>
      </c>
      <c r="J56" s="73">
        <f>IF(All_data!J55="Illiterate",1,IF(All_data!J55="Primary",2,IF(All_data!J55="secondary",3,IF(All_data!J55="Tertiary",4,"check"))))</f>
        <v>3</v>
      </c>
      <c r="K56" s="47">
        <f>IF(All_data!K55="Government Employee",1,0)</f>
        <v>1</v>
      </c>
      <c r="L56" s="47">
        <f>IF(All_data!K55="Private Employee",1,0)</f>
        <v>0</v>
      </c>
      <c r="M56" s="47">
        <f>IF(All_data!K55="Business",1,0)</f>
        <v>0</v>
      </c>
      <c r="N56" s="47">
        <f>IF(All_data!K55="Student",1,0)</f>
        <v>0</v>
      </c>
      <c r="O56" s="47">
        <f>IF(All_data!K55="Housewife",1,0)</f>
        <v>0</v>
      </c>
      <c r="P56" s="47">
        <f>IF(All_data!K55="Retired",1,0)</f>
        <v>0</v>
      </c>
      <c r="Q56" s="47">
        <f>IF(All_data!L55="&lt;500,000",1,IF(All_data!L55="500,000 - 1,000,000",2,IF(All_data!L55="1,000,000 - 3,000,000",3,IF(All_data!L55="&gt;3,000,000",4,"check"))))</f>
        <v>2</v>
      </c>
      <c r="R56" s="63">
        <f>IF(All_data!M55="Spouse",1,0)</f>
        <v>0</v>
      </c>
      <c r="S56" s="47">
        <f>IF(All_data!M55="Son/Daughter",1,0)</f>
        <v>1</v>
      </c>
      <c r="T56" s="47">
        <f>IF(All_data!M55="Niece/nephew",1,0)</f>
        <v>0</v>
      </c>
      <c r="U56" s="47">
        <f>IF(All_data!M55="Household head",1,0)</f>
        <v>0</v>
      </c>
      <c r="V56" s="47">
        <f>IF(All_data!N55="&lt; 1 year",1,IF(All_data!N55="1-3 years",2,IF(All_data!N55="3-5 years",3,IF(All_data!N55="&gt; 5 years",4,"check"))))</f>
        <v>4</v>
      </c>
      <c r="W56" s="47">
        <f>IF(All_data!O55="Rented",1,0)</f>
        <v>0</v>
      </c>
      <c r="X56" s="73">
        <f>IF(All_data!P55="Bungalow",1,0)</f>
        <v>1</v>
      </c>
      <c r="Y56" s="73">
        <f>IF(All_data!P55="Temporary",1,0)</f>
        <v>0</v>
      </c>
      <c r="Z56" s="73">
        <f>IF(All_data!P55="Story Building",1,0)</f>
        <v>0</v>
      </c>
      <c r="AA56" s="73">
        <f>IF(All_data!Q55="Iron Sheets/titles",1,0)</f>
        <v>1</v>
      </c>
      <c r="AB56" s="74">
        <f>IF(All_data!R55="Concrete Blocks",1,0)</f>
        <v>0</v>
      </c>
      <c r="AC56" s="73">
        <f>IF(All_data!R55="Bricks",1,0)</f>
        <v>1</v>
      </c>
      <c r="AD56" s="73">
        <f>IF(All_data!R55="Mud/poles",1,0)</f>
        <v>0</v>
      </c>
      <c r="AE56" s="73">
        <f>IF(All_data!S55="tiles",1,0)</f>
        <v>0</v>
      </c>
      <c r="AF56" s="73">
        <f>IF(All_data!S55="Cemented",1,0)</f>
        <v>1</v>
      </c>
      <c r="AG56" s="73">
        <f>IF(All_data!S55="Mud",1,0)</f>
        <v>0</v>
      </c>
      <c r="AH56" s="73">
        <f>IF(All_data!T55="House connection",1,0)</f>
        <v>0</v>
      </c>
      <c r="AI56" s="73">
        <f>IF(All_data!T55="Yard tap",1,0)</f>
        <v>0</v>
      </c>
      <c r="AJ56" s="73">
        <f>IF(All_data!T55="Stand pipe",1,0)</f>
        <v>0</v>
      </c>
      <c r="AK56" s="73">
        <f>IF(All_data!U55="Shared Facilities ",1,0)</f>
        <v>0</v>
      </c>
      <c r="AL56" s="73">
        <f>IF(All_data!V55="paved",0,1)</f>
        <v>1</v>
      </c>
      <c r="AM56" s="57">
        <v>8.64</v>
      </c>
      <c r="AN56" s="57">
        <v>0</v>
      </c>
      <c r="AO56" s="57">
        <v>0</v>
      </c>
      <c r="AP56" s="57">
        <v>3.5514000000000001</v>
      </c>
      <c r="AQ56" s="58">
        <v>0.64200000000000013</v>
      </c>
      <c r="AR56" s="58">
        <v>0.75600000000000001</v>
      </c>
      <c r="AS56" s="58">
        <v>0.09</v>
      </c>
      <c r="AT56" s="57">
        <v>0</v>
      </c>
      <c r="AU56" s="57">
        <v>3.9000000000000007E-2</v>
      </c>
      <c r="AV56" s="57">
        <v>0</v>
      </c>
      <c r="AW56" s="57">
        <v>13.718400000000001</v>
      </c>
      <c r="AX56" s="57">
        <v>1.9597714285714287</v>
      </c>
      <c r="AY56" s="57">
        <v>0.32662857142857143</v>
      </c>
      <c r="AZ56" s="47">
        <v>20</v>
      </c>
      <c r="BA56" s="47">
        <v>0.68600000000000005</v>
      </c>
    </row>
    <row r="57" spans="1:53" ht="15.5" x14ac:dyDescent="0.35">
      <c r="A57" s="59">
        <v>54</v>
      </c>
      <c r="B57" s="27" t="s">
        <v>128</v>
      </c>
      <c r="C57" s="26" t="s">
        <v>130</v>
      </c>
      <c r="D57" s="26" t="s">
        <v>131</v>
      </c>
      <c r="E57" s="26" t="s">
        <v>132</v>
      </c>
      <c r="F57" s="47">
        <f>IF(All_data!F56="low-income",1,IF(All_data!F56="Middle-Income",2,IF(All_data!F56="High-Income",3,"check")))</f>
        <v>2</v>
      </c>
      <c r="G57" s="56">
        <v>2</v>
      </c>
      <c r="H57" s="47">
        <f>IF(All_data!H56="18-35 years",2,IF(All_data!H56="36-60 years",3,IF(All_data!H56="&gt;60 years",4,1)))</f>
        <v>3</v>
      </c>
      <c r="I57" s="47">
        <f>IF(All_data!I56="Male",0,1)</f>
        <v>1</v>
      </c>
      <c r="J57" s="73">
        <f>IF(All_data!J56="Illiterate",1,IF(All_data!J56="Primary",2,IF(All_data!J56="secondary",3,IF(All_data!J56="Tertiary",4,"check"))))</f>
        <v>4</v>
      </c>
      <c r="K57" s="47">
        <f>IF(All_data!K56="Government Employee",1,0)</f>
        <v>1</v>
      </c>
      <c r="L57" s="47">
        <f>IF(All_data!K56="Private Employee",1,0)</f>
        <v>0</v>
      </c>
      <c r="M57" s="47">
        <f>IF(All_data!K56="Business",1,0)</f>
        <v>0</v>
      </c>
      <c r="N57" s="47">
        <f>IF(All_data!K56="Student",1,0)</f>
        <v>0</v>
      </c>
      <c r="O57" s="47">
        <f>IF(All_data!K56="Housewife",1,0)</f>
        <v>0</v>
      </c>
      <c r="P57" s="47">
        <f>IF(All_data!K56="Retired",1,0)</f>
        <v>0</v>
      </c>
      <c r="Q57" s="47">
        <f>IF(All_data!L56="&lt;500,000",1,IF(All_data!L56="500,000 - 1,000,000",2,IF(All_data!L56="1,000,000 - 3,000,000",3,IF(All_data!L56="&gt;3,000,000",4,"check"))))</f>
        <v>2</v>
      </c>
      <c r="R57" s="63">
        <f>IF(All_data!M56="Spouse",1,0)</f>
        <v>0</v>
      </c>
      <c r="S57" s="47">
        <f>IF(All_data!M56="Son/Daughter",1,0)</f>
        <v>1</v>
      </c>
      <c r="T57" s="47">
        <f>IF(All_data!M56="Niece/nephew",1,0)</f>
        <v>0</v>
      </c>
      <c r="U57" s="47">
        <f>IF(All_data!M56="Household head",1,0)</f>
        <v>0</v>
      </c>
      <c r="V57" s="47">
        <f>IF(All_data!N56="&lt; 1 year",1,IF(All_data!N56="1-3 years",2,IF(All_data!N56="3-5 years",3,IF(All_data!N56="&gt; 5 years",4,"check"))))</f>
        <v>2</v>
      </c>
      <c r="W57" s="47">
        <f>IF(All_data!O56="Rented",1,0)</f>
        <v>1</v>
      </c>
      <c r="X57" s="73">
        <f>IF(All_data!P56="Bungalow",1,0)</f>
        <v>1</v>
      </c>
      <c r="Y57" s="73">
        <f>IF(All_data!P56="Temporary",1,0)</f>
        <v>0</v>
      </c>
      <c r="Z57" s="73">
        <f>IF(All_data!P56="Story Building",1,0)</f>
        <v>0</v>
      </c>
      <c r="AA57" s="73">
        <f>IF(All_data!Q56="Iron Sheets/titles",1,0)</f>
        <v>1</v>
      </c>
      <c r="AB57" s="74">
        <f>IF(All_data!R56="Concrete Blocks",1,0)</f>
        <v>0</v>
      </c>
      <c r="AC57" s="73">
        <f>IF(All_data!R56="Bricks",1,0)</f>
        <v>1</v>
      </c>
      <c r="AD57" s="73">
        <f>IF(All_data!R56="Mud/poles",1,0)</f>
        <v>0</v>
      </c>
      <c r="AE57" s="73">
        <f>IF(All_data!S56="tiles",1,0)</f>
        <v>0</v>
      </c>
      <c r="AF57" s="73">
        <f>IF(All_data!S56="Cemented",1,0)</f>
        <v>1</v>
      </c>
      <c r="AG57" s="73">
        <f>IF(All_data!S56="Mud",1,0)</f>
        <v>0</v>
      </c>
      <c r="AH57" s="73">
        <f>IF(All_data!T56="House connection",1,0)</f>
        <v>0</v>
      </c>
      <c r="AI57" s="73">
        <f>IF(All_data!T56="Yard tap",1,0)</f>
        <v>1</v>
      </c>
      <c r="AJ57" s="73">
        <f>IF(All_data!T56="Stand pipe",1,0)</f>
        <v>0</v>
      </c>
      <c r="AK57" s="73">
        <f>IF(All_data!U56="Shared Facilities ",1,0)</f>
        <v>1</v>
      </c>
      <c r="AL57" s="73">
        <f>IF(All_data!V56="paved",0,1)</f>
        <v>1</v>
      </c>
      <c r="AM57" s="57">
        <v>7.61</v>
      </c>
      <c r="AN57" s="57">
        <v>0</v>
      </c>
      <c r="AO57" s="57">
        <v>0</v>
      </c>
      <c r="AP57" s="57">
        <v>0</v>
      </c>
      <c r="AQ57" s="58">
        <v>5.0000000000000001E-3</v>
      </c>
      <c r="AR57" s="58">
        <v>0.21</v>
      </c>
      <c r="AS57" s="58">
        <v>0.19400000000000001</v>
      </c>
      <c r="AT57" s="57">
        <v>0</v>
      </c>
      <c r="AU57" s="57">
        <v>0</v>
      </c>
      <c r="AV57" s="57">
        <v>0</v>
      </c>
      <c r="AW57" s="57">
        <v>8.0190000000000001</v>
      </c>
      <c r="AX57" s="57">
        <v>1.1455714285714287</v>
      </c>
      <c r="AY57" s="57">
        <v>0.57278571428571434</v>
      </c>
      <c r="AZ57" s="47">
        <v>10</v>
      </c>
      <c r="BA57" s="47">
        <v>0.80200000000000005</v>
      </c>
    </row>
    <row r="58" spans="1:53" ht="15.5" x14ac:dyDescent="0.35">
      <c r="A58" s="59">
        <v>55</v>
      </c>
      <c r="B58" s="27" t="s">
        <v>170</v>
      </c>
      <c r="C58" s="26" t="s">
        <v>130</v>
      </c>
      <c r="D58" s="26" t="s">
        <v>131</v>
      </c>
      <c r="E58" s="26" t="s">
        <v>132</v>
      </c>
      <c r="F58" s="47">
        <f>IF(All_data!F57="low-income",1,IF(All_data!F57="Middle-Income",2,IF(All_data!F57="High-Income",3,"check")))</f>
        <v>2</v>
      </c>
      <c r="G58" s="56">
        <v>4</v>
      </c>
      <c r="H58" s="47">
        <f>IF(All_data!H57="18-35 years",2,IF(All_data!H57="36-60 years",3,IF(All_data!H57="&gt;60 years",4,1)))</f>
        <v>1</v>
      </c>
      <c r="I58" s="47">
        <f>IF(All_data!I57="Male",0,1)</f>
        <v>1</v>
      </c>
      <c r="J58" s="73">
        <f>IF(All_data!J57="Illiterate",1,IF(All_data!J57="Primary",2,IF(All_data!J57="secondary",3,IF(All_data!J57="Tertiary",4,"check"))))</f>
        <v>4</v>
      </c>
      <c r="K58" s="47">
        <f>IF(All_data!K57="Government Employee",1,0)</f>
        <v>0</v>
      </c>
      <c r="L58" s="47">
        <f>IF(All_data!K57="Private Employee",1,0)</f>
        <v>0</v>
      </c>
      <c r="M58" s="47">
        <f>IF(All_data!K57="Business",1,0)</f>
        <v>0</v>
      </c>
      <c r="N58" s="47">
        <f>IF(All_data!K57="Student",1,0)</f>
        <v>0</v>
      </c>
      <c r="O58" s="47">
        <f>IF(All_data!K57="Housewife",1,0)</f>
        <v>0</v>
      </c>
      <c r="P58" s="47">
        <f>IF(All_data!K57="Retired",1,0)</f>
        <v>1</v>
      </c>
      <c r="Q58" s="47">
        <f>IF(All_data!L57="&lt;500,000",1,IF(All_data!L57="500,000 - 1,000,000",2,IF(All_data!L57="1,000,000 - 3,000,000",3,IF(All_data!L57="&gt;3,000,000",4,"check"))))</f>
        <v>2</v>
      </c>
      <c r="R58" s="63">
        <f>IF(All_data!M57="Spouse",1,0)</f>
        <v>0</v>
      </c>
      <c r="S58" s="47">
        <f>IF(All_data!M57="Son/Daughter",1,0)</f>
        <v>0</v>
      </c>
      <c r="T58" s="47">
        <f>IF(All_data!M57="Niece/nephew",1,0)</f>
        <v>0</v>
      </c>
      <c r="U58" s="47">
        <f>IF(All_data!M57="Household head",1,0)</f>
        <v>1</v>
      </c>
      <c r="V58" s="47">
        <f>IF(All_data!N57="&lt; 1 year",1,IF(All_data!N57="1-3 years",2,IF(All_data!N57="3-5 years",3,IF(All_data!N57="&gt; 5 years",4,"check"))))</f>
        <v>4</v>
      </c>
      <c r="W58" s="47">
        <f>IF(All_data!O57="Rented",1,0)</f>
        <v>0</v>
      </c>
      <c r="X58" s="73">
        <f>IF(All_data!P57="Bungalow",1,0)</f>
        <v>1</v>
      </c>
      <c r="Y58" s="73">
        <f>IF(All_data!P57="Temporary",1,0)</f>
        <v>0</v>
      </c>
      <c r="Z58" s="73">
        <f>IF(All_data!P57="Story Building",1,0)</f>
        <v>0</v>
      </c>
      <c r="AA58" s="73">
        <f>IF(All_data!Q57="Iron Sheets/titles",1,0)</f>
        <v>1</v>
      </c>
      <c r="AB58" s="74">
        <f>IF(All_data!R57="Concrete Blocks",1,0)</f>
        <v>0</v>
      </c>
      <c r="AC58" s="73">
        <f>IF(All_data!R57="Bricks",1,0)</f>
        <v>1</v>
      </c>
      <c r="AD58" s="73">
        <f>IF(All_data!R57="Mud/poles",1,0)</f>
        <v>0</v>
      </c>
      <c r="AE58" s="73">
        <f>IF(All_data!S57="tiles",1,0)</f>
        <v>1</v>
      </c>
      <c r="AF58" s="73">
        <f>IF(All_data!S57="Cemented",1,0)</f>
        <v>0</v>
      </c>
      <c r="AG58" s="73">
        <f>IF(All_data!S57="Mud",1,0)</f>
        <v>0</v>
      </c>
      <c r="AH58" s="73">
        <f>IF(All_data!T57="House connection",1,0)</f>
        <v>0</v>
      </c>
      <c r="AI58" s="73">
        <f>IF(All_data!T57="Yard tap",1,0)</f>
        <v>0</v>
      </c>
      <c r="AJ58" s="73">
        <f>IF(All_data!T57="Stand pipe",1,0)</f>
        <v>0</v>
      </c>
      <c r="AK58" s="73">
        <f>IF(All_data!U57="Shared Facilities ",1,0)</f>
        <v>0</v>
      </c>
      <c r="AL58" s="73">
        <f>IF(All_data!V57="paved",0,1)</f>
        <v>1</v>
      </c>
      <c r="AM58" s="57">
        <v>20.6</v>
      </c>
      <c r="AN58" s="57">
        <v>0</v>
      </c>
      <c r="AO58" s="57">
        <v>0</v>
      </c>
      <c r="AP58" s="57">
        <v>0</v>
      </c>
      <c r="AQ58" s="58">
        <v>0</v>
      </c>
      <c r="AR58" s="58">
        <v>0.40200000000000002</v>
      </c>
      <c r="AS58" s="58">
        <v>0.14000000000000001</v>
      </c>
      <c r="AT58" s="57">
        <v>0</v>
      </c>
      <c r="AU58" s="57">
        <v>0</v>
      </c>
      <c r="AV58" s="57">
        <v>1.48</v>
      </c>
      <c r="AW58" s="57">
        <v>22.622</v>
      </c>
      <c r="AX58" s="57">
        <v>3.2317142857142858</v>
      </c>
      <c r="AY58" s="57">
        <v>0.80792857142857144</v>
      </c>
      <c r="AZ58" s="47">
        <v>50</v>
      </c>
      <c r="BA58" s="47">
        <v>0.45200000000000001</v>
      </c>
    </row>
    <row r="59" spans="1:53" ht="15.5" x14ac:dyDescent="0.35">
      <c r="A59" s="59">
        <v>56</v>
      </c>
      <c r="B59" s="27" t="s">
        <v>171</v>
      </c>
      <c r="C59" s="26" t="s">
        <v>130</v>
      </c>
      <c r="D59" s="26" t="s">
        <v>131</v>
      </c>
      <c r="E59" s="26" t="s">
        <v>132</v>
      </c>
      <c r="F59" s="47">
        <f>IF(All_data!F58="low-income",1,IF(All_data!F58="Middle-Income",2,IF(All_data!F58="High-Income",3,"check")))</f>
        <v>2</v>
      </c>
      <c r="G59" s="56">
        <v>2</v>
      </c>
      <c r="H59" s="47">
        <f>IF(All_data!H58="18-35 years",2,IF(All_data!H58="36-60 years",3,IF(All_data!H58="&gt;60 years",4,1)))</f>
        <v>2</v>
      </c>
      <c r="I59" s="47">
        <f>IF(All_data!I58="Male",0,1)</f>
        <v>0</v>
      </c>
      <c r="J59" s="73">
        <f>IF(All_data!J58="Illiterate",1,IF(All_data!J58="Primary",2,IF(All_data!J58="secondary",3,IF(All_data!J58="Tertiary",4,"check"))))</f>
        <v>3</v>
      </c>
      <c r="K59" s="47">
        <f>IF(All_data!K58="Government Employee",1,0)</f>
        <v>0</v>
      </c>
      <c r="L59" s="47">
        <f>IF(All_data!K58="Private Employee",1,0)</f>
        <v>0</v>
      </c>
      <c r="M59" s="47">
        <f>IF(All_data!K58="Business",1,0)</f>
        <v>1</v>
      </c>
      <c r="N59" s="47">
        <f>IF(All_data!K58="Student",1,0)</f>
        <v>0</v>
      </c>
      <c r="O59" s="47">
        <f>IF(All_data!K58="Housewife",1,0)</f>
        <v>0</v>
      </c>
      <c r="P59" s="47">
        <f>IF(All_data!K58="Retired",1,0)</f>
        <v>0</v>
      </c>
      <c r="Q59" s="47">
        <f>IF(All_data!L58="&lt;500,000",1,IF(All_data!L58="500,000 - 1,000,000",2,IF(All_data!L58="1,000,000 - 3,000,000",3,IF(All_data!L58="&gt;3,000,000",4,"check"))))</f>
        <v>2</v>
      </c>
      <c r="R59" s="63">
        <f>IF(All_data!M58="Spouse",1,0)</f>
        <v>0</v>
      </c>
      <c r="S59" s="47">
        <f>IF(All_data!M58="Son/Daughter",1,0)</f>
        <v>0</v>
      </c>
      <c r="T59" s="47">
        <f>IF(All_data!M58="Niece/nephew",1,0)</f>
        <v>0</v>
      </c>
      <c r="U59" s="47">
        <f>IF(All_data!M58="Household head",1,0)</f>
        <v>1</v>
      </c>
      <c r="V59" s="47">
        <f>IF(All_data!N58="&lt; 1 year",1,IF(All_data!N58="1-3 years",2,IF(All_data!N58="3-5 years",3,IF(All_data!N58="&gt; 5 years",4,"check"))))</f>
        <v>2</v>
      </c>
      <c r="W59" s="47">
        <f>IF(All_data!O58="Rented",1,0)</f>
        <v>1</v>
      </c>
      <c r="X59" s="73">
        <f>IF(All_data!P58="Bungalow",1,0)</f>
        <v>1</v>
      </c>
      <c r="Y59" s="73">
        <f>IF(All_data!P58="Temporary",1,0)</f>
        <v>0</v>
      </c>
      <c r="Z59" s="73">
        <f>IF(All_data!P58="Story Building",1,0)</f>
        <v>0</v>
      </c>
      <c r="AA59" s="73">
        <f>IF(All_data!Q58="Iron Sheets/titles",1,0)</f>
        <v>1</v>
      </c>
      <c r="AB59" s="74">
        <f>IF(All_data!R58="Concrete Blocks",1,0)</f>
        <v>0</v>
      </c>
      <c r="AC59" s="73">
        <f>IF(All_data!R58="Bricks",1,0)</f>
        <v>1</v>
      </c>
      <c r="AD59" s="73">
        <f>IF(All_data!R58="Mud/poles",1,0)</f>
        <v>0</v>
      </c>
      <c r="AE59" s="73">
        <f>IF(All_data!S58="tiles",1,0)</f>
        <v>1</v>
      </c>
      <c r="AF59" s="73">
        <f>IF(All_data!S58="Cemented",1,0)</f>
        <v>0</v>
      </c>
      <c r="AG59" s="73">
        <f>IF(All_data!S58="Mud",1,0)</f>
        <v>0</v>
      </c>
      <c r="AH59" s="73">
        <f>IF(All_data!T58="House connection",1,0)</f>
        <v>0</v>
      </c>
      <c r="AI59" s="73">
        <f>IF(All_data!T58="Yard tap",1,0)</f>
        <v>1</v>
      </c>
      <c r="AJ59" s="73">
        <f>IF(All_data!T58="Stand pipe",1,0)</f>
        <v>0</v>
      </c>
      <c r="AK59" s="73">
        <f>IF(All_data!U58="Shared Facilities ",1,0)</f>
        <v>1</v>
      </c>
      <c r="AL59" s="73">
        <f>IF(All_data!V58="paved",0,1)</f>
        <v>1</v>
      </c>
      <c r="AM59" s="57">
        <v>7</v>
      </c>
      <c r="AN59" s="57">
        <v>0</v>
      </c>
      <c r="AO59" s="57">
        <v>0</v>
      </c>
      <c r="AP59" s="57">
        <v>0</v>
      </c>
      <c r="AQ59" s="58">
        <v>0</v>
      </c>
      <c r="AR59" s="58">
        <v>0</v>
      </c>
      <c r="AS59" s="58">
        <v>0.192</v>
      </c>
      <c r="AT59" s="57">
        <v>0.193</v>
      </c>
      <c r="AU59" s="57">
        <v>8.8999999999999996E-2</v>
      </c>
      <c r="AV59" s="57">
        <v>0</v>
      </c>
      <c r="AW59" s="57">
        <v>7.4740000000000002</v>
      </c>
      <c r="AX59" s="57">
        <v>1.0677142857142858</v>
      </c>
      <c r="AY59" s="57">
        <v>0.53385714285714292</v>
      </c>
      <c r="AZ59" s="47">
        <v>10</v>
      </c>
      <c r="BA59" s="47">
        <v>0.747</v>
      </c>
    </row>
    <row r="60" spans="1:53" ht="15.5" x14ac:dyDescent="0.35">
      <c r="A60" s="59">
        <v>57</v>
      </c>
      <c r="B60" s="27" t="s">
        <v>172</v>
      </c>
      <c r="C60" s="26" t="s">
        <v>130</v>
      </c>
      <c r="D60" s="26" t="s">
        <v>131</v>
      </c>
      <c r="E60" s="26" t="s">
        <v>132</v>
      </c>
      <c r="F60" s="47">
        <f>IF(All_data!F59="low-income",1,IF(All_data!F59="Middle-Income",2,IF(All_data!F59="High-Income",3,"check")))</f>
        <v>2</v>
      </c>
      <c r="G60" s="56">
        <v>3</v>
      </c>
      <c r="H60" s="47">
        <f>IF(All_data!H59="18-35 years",2,IF(All_data!H59="36-60 years",3,IF(All_data!H59="&gt;60 years",4,1)))</f>
        <v>3</v>
      </c>
      <c r="I60" s="47">
        <f>IF(All_data!I59="Male",0,1)</f>
        <v>0</v>
      </c>
      <c r="J60" s="73">
        <f>IF(All_data!J59="Illiterate",1,IF(All_data!J59="Primary",2,IF(All_data!J59="secondary",3,IF(All_data!J59="Tertiary",4,"check"))))</f>
        <v>3</v>
      </c>
      <c r="K60" s="47">
        <f>IF(All_data!K59="Government Employee",1,0)</f>
        <v>0</v>
      </c>
      <c r="L60" s="47">
        <f>IF(All_data!K59="Private Employee",1,0)</f>
        <v>0</v>
      </c>
      <c r="M60" s="47">
        <f>IF(All_data!K59="Business",1,0)</f>
        <v>1</v>
      </c>
      <c r="N60" s="47">
        <f>IF(All_data!K59="Student",1,0)</f>
        <v>0</v>
      </c>
      <c r="O60" s="47">
        <f>IF(All_data!K59="Housewife",1,0)</f>
        <v>0</v>
      </c>
      <c r="P60" s="47">
        <f>IF(All_data!K59="Retired",1,0)</f>
        <v>0</v>
      </c>
      <c r="Q60" s="47">
        <f>IF(All_data!L59="&lt;500,000",1,IF(All_data!L59="500,000 - 1,000,000",2,IF(All_data!L59="1,000,000 - 3,000,000",3,IF(All_data!L59="&gt;3,000,000",4,"check"))))</f>
        <v>2</v>
      </c>
      <c r="R60" s="63">
        <f>IF(All_data!M59="Spouse",1,0)</f>
        <v>1</v>
      </c>
      <c r="S60" s="47">
        <f>IF(All_data!M59="Son/Daughter",1,0)</f>
        <v>0</v>
      </c>
      <c r="T60" s="47">
        <f>IF(All_data!M59="Niece/nephew",1,0)</f>
        <v>0</v>
      </c>
      <c r="U60" s="47">
        <f>IF(All_data!M59="Household head",1,0)</f>
        <v>0</v>
      </c>
      <c r="V60" s="47">
        <f>IF(All_data!N59="&lt; 1 year",1,IF(All_data!N59="1-3 years",2,IF(All_data!N59="3-5 years",3,IF(All_data!N59="&gt; 5 years",4,"check"))))</f>
        <v>4</v>
      </c>
      <c r="W60" s="47">
        <f>IF(All_data!O59="Rented",1,0)</f>
        <v>0</v>
      </c>
      <c r="X60" s="73">
        <f>IF(All_data!P59="Bungalow",1,0)</f>
        <v>1</v>
      </c>
      <c r="Y60" s="73">
        <f>IF(All_data!P59="Temporary",1,0)</f>
        <v>0</v>
      </c>
      <c r="Z60" s="73">
        <f>IF(All_data!P59="Story Building",1,0)</f>
        <v>0</v>
      </c>
      <c r="AA60" s="73">
        <f>IF(All_data!Q59="Iron Sheets/titles",1,0)</f>
        <v>1</v>
      </c>
      <c r="AB60" s="74">
        <f>IF(All_data!R59="Concrete Blocks",1,0)</f>
        <v>0</v>
      </c>
      <c r="AC60" s="73">
        <f>IF(All_data!R59="Bricks",1,0)</f>
        <v>1</v>
      </c>
      <c r="AD60" s="73">
        <f>IF(All_data!R59="Mud/poles",1,0)</f>
        <v>0</v>
      </c>
      <c r="AE60" s="73">
        <f>IF(All_data!S59="tiles",1,0)</f>
        <v>1</v>
      </c>
      <c r="AF60" s="73">
        <f>IF(All_data!S59="Cemented",1,0)</f>
        <v>0</v>
      </c>
      <c r="AG60" s="73">
        <f>IF(All_data!S59="Mud",1,0)</f>
        <v>0</v>
      </c>
      <c r="AH60" s="73">
        <f>IF(All_data!T59="House connection",1,0)</f>
        <v>0</v>
      </c>
      <c r="AI60" s="73">
        <f>IF(All_data!T59="Yard tap",1,0)</f>
        <v>0</v>
      </c>
      <c r="AJ60" s="73">
        <f>IF(All_data!T59="Stand pipe",1,0)</f>
        <v>0</v>
      </c>
      <c r="AK60" s="73">
        <f>IF(All_data!U59="Shared Facilities ",1,0)</f>
        <v>0</v>
      </c>
      <c r="AL60" s="73">
        <f>IF(All_data!V59="paved",0,1)</f>
        <v>1</v>
      </c>
      <c r="AM60" s="57">
        <v>4.9720000000000004</v>
      </c>
      <c r="AN60" s="57">
        <v>0</v>
      </c>
      <c r="AO60" s="57">
        <v>0</v>
      </c>
      <c r="AP60" s="57">
        <v>0.34</v>
      </c>
      <c r="AQ60" s="58">
        <v>0</v>
      </c>
      <c r="AR60" s="58">
        <v>0.22</v>
      </c>
      <c r="AS60" s="58">
        <v>0.315</v>
      </c>
      <c r="AT60" s="57">
        <v>0.218</v>
      </c>
      <c r="AU60" s="57">
        <v>0</v>
      </c>
      <c r="AV60" s="57">
        <v>0</v>
      </c>
      <c r="AW60" s="57">
        <v>6.0650000000000004</v>
      </c>
      <c r="AX60" s="57">
        <v>0.86642857142857144</v>
      </c>
      <c r="AY60" s="57">
        <v>0.28880952380952379</v>
      </c>
      <c r="AZ60" s="47">
        <v>12</v>
      </c>
      <c r="BA60" s="58">
        <v>0.50541666666666674</v>
      </c>
    </row>
    <row r="61" spans="1:53" ht="15.5" x14ac:dyDescent="0.35">
      <c r="A61" s="59">
        <v>58</v>
      </c>
      <c r="B61" s="27" t="s">
        <v>173</v>
      </c>
      <c r="C61" s="26" t="s">
        <v>130</v>
      </c>
      <c r="D61" s="26" t="s">
        <v>131</v>
      </c>
      <c r="E61" s="26" t="s">
        <v>144</v>
      </c>
      <c r="F61" s="47">
        <f>IF(All_data!F60="low-income",1,IF(All_data!F60="Middle-Income",2,IF(All_data!F60="High-Income",3,"check")))</f>
        <v>2</v>
      </c>
      <c r="G61" s="56">
        <v>2</v>
      </c>
      <c r="H61" s="47">
        <f>IF(All_data!H60="18-35 years",2,IF(All_data!H60="36-60 years",3,IF(All_data!H60="&gt;60 years",4,1)))</f>
        <v>3</v>
      </c>
      <c r="I61" s="47">
        <f>IF(All_data!I60="Male",0,1)</f>
        <v>0</v>
      </c>
      <c r="J61" s="73">
        <f>IF(All_data!J60="Illiterate",1,IF(All_data!J60="Primary",2,IF(All_data!J60="secondary",3,IF(All_data!J60="Tertiary",4,"check"))))</f>
        <v>3</v>
      </c>
      <c r="K61" s="47">
        <f>IF(All_data!K60="Government Employee",1,0)</f>
        <v>0</v>
      </c>
      <c r="L61" s="47">
        <f>IF(All_data!K60="Private Employee",1,0)</f>
        <v>1</v>
      </c>
      <c r="M61" s="47">
        <f>IF(All_data!K60="Business",1,0)</f>
        <v>0</v>
      </c>
      <c r="N61" s="47">
        <f>IF(All_data!K60="Student",1,0)</f>
        <v>0</v>
      </c>
      <c r="O61" s="47">
        <f>IF(All_data!K60="Housewife",1,0)</f>
        <v>0</v>
      </c>
      <c r="P61" s="47">
        <f>IF(All_data!K60="Retired",1,0)</f>
        <v>0</v>
      </c>
      <c r="Q61" s="47">
        <f>IF(All_data!L60="&lt;500,000",1,IF(All_data!L60="500,000 - 1,000,000",2,IF(All_data!L60="1,000,000 - 3,000,000",3,IF(All_data!L60="&gt;3,000,000",4,"check"))))</f>
        <v>2</v>
      </c>
      <c r="R61" s="63">
        <f>IF(All_data!M60="Spouse",1,0)</f>
        <v>1</v>
      </c>
      <c r="S61" s="47">
        <f>IF(All_data!M60="Son/Daughter",1,0)</f>
        <v>0</v>
      </c>
      <c r="T61" s="47">
        <f>IF(All_data!M60="Niece/nephew",1,0)</f>
        <v>0</v>
      </c>
      <c r="U61" s="47">
        <f>IF(All_data!M60="Household head",1,0)</f>
        <v>0</v>
      </c>
      <c r="V61" s="47">
        <f>IF(All_data!N60="&lt; 1 year",1,IF(All_data!N60="1-3 years",2,IF(All_data!N60="3-5 years",3,IF(All_data!N60="&gt; 5 years",4,"check"))))</f>
        <v>1</v>
      </c>
      <c r="W61" s="47">
        <f>IF(All_data!O60="Rented",1,0)</f>
        <v>1</v>
      </c>
      <c r="X61" s="73">
        <f>IF(All_data!P60="Bungalow",1,0)</f>
        <v>1</v>
      </c>
      <c r="Y61" s="73">
        <f>IF(All_data!P60="Temporary",1,0)</f>
        <v>0</v>
      </c>
      <c r="Z61" s="73">
        <f>IF(All_data!P60="Story Building",1,0)</f>
        <v>0</v>
      </c>
      <c r="AA61" s="73">
        <f>IF(All_data!Q60="Iron Sheets/titles",1,0)</f>
        <v>1</v>
      </c>
      <c r="AB61" s="74">
        <f>IF(All_data!R60="Concrete Blocks",1,0)</f>
        <v>0</v>
      </c>
      <c r="AC61" s="73">
        <f>IF(All_data!R60="Bricks",1,0)</f>
        <v>1</v>
      </c>
      <c r="AD61" s="73">
        <f>IF(All_data!R60="Mud/poles",1,0)</f>
        <v>0</v>
      </c>
      <c r="AE61" s="73">
        <f>IF(All_data!S60="tiles",1,0)</f>
        <v>0</v>
      </c>
      <c r="AF61" s="73">
        <f>IF(All_data!S60="Cemented",1,0)</f>
        <v>1</v>
      </c>
      <c r="AG61" s="73">
        <f>IF(All_data!S60="Mud",1,0)</f>
        <v>0</v>
      </c>
      <c r="AH61" s="73">
        <f>IF(All_data!T60="House connection",1,0)</f>
        <v>0</v>
      </c>
      <c r="AI61" s="73">
        <f>IF(All_data!T60="Yard tap",1,0)</f>
        <v>1</v>
      </c>
      <c r="AJ61" s="73">
        <f>IF(All_data!T60="Stand pipe",1,0)</f>
        <v>0</v>
      </c>
      <c r="AK61" s="73">
        <f>IF(All_data!U60="Shared Facilities ",1,0)</f>
        <v>1</v>
      </c>
      <c r="AL61" s="73">
        <f>IF(All_data!V60="paved",0,1)</f>
        <v>1</v>
      </c>
      <c r="AM61" s="57">
        <v>3.57</v>
      </c>
      <c r="AN61" s="57">
        <v>0</v>
      </c>
      <c r="AO61" s="57">
        <v>0</v>
      </c>
      <c r="AP61" s="57">
        <v>0</v>
      </c>
      <c r="AQ61" s="58">
        <v>7.7000000000000013E-2</v>
      </c>
      <c r="AR61" s="58">
        <v>0.28999999999999998</v>
      </c>
      <c r="AS61" s="58">
        <v>0.19500000000000001</v>
      </c>
      <c r="AT61" s="57">
        <v>0</v>
      </c>
      <c r="AU61" s="57">
        <v>0.17699999999999999</v>
      </c>
      <c r="AV61" s="57">
        <v>2.64</v>
      </c>
      <c r="AW61" s="57">
        <v>3.379</v>
      </c>
      <c r="AX61" s="57">
        <v>0.48271428571428571</v>
      </c>
      <c r="AY61" s="57">
        <v>0.24135714285714285</v>
      </c>
      <c r="AZ61" s="47">
        <v>6</v>
      </c>
      <c r="BA61" s="47">
        <v>0.56299999999999994</v>
      </c>
    </row>
    <row r="62" spans="1:53" ht="15.5" x14ac:dyDescent="0.35">
      <c r="A62" s="59">
        <v>59</v>
      </c>
      <c r="B62" s="27" t="s">
        <v>174</v>
      </c>
      <c r="C62" s="26" t="s">
        <v>130</v>
      </c>
      <c r="D62" s="26" t="s">
        <v>131</v>
      </c>
      <c r="E62" s="26" t="s">
        <v>144</v>
      </c>
      <c r="F62" s="47">
        <f>IF(All_data!F61="low-income",1,IF(All_data!F61="Middle-Income",2,IF(All_data!F61="High-Income",3,"check")))</f>
        <v>2</v>
      </c>
      <c r="G62" s="56">
        <v>1</v>
      </c>
      <c r="H62" s="47">
        <f>IF(All_data!H61="18-35 years",2,IF(All_data!H61="36-60 years",3,IF(All_data!H61="&gt;60 years",4,1)))</f>
        <v>2</v>
      </c>
      <c r="I62" s="47">
        <f>IF(All_data!I61="Male",0,1)</f>
        <v>1</v>
      </c>
      <c r="J62" s="73">
        <f>IF(All_data!J61="Illiterate",1,IF(All_data!J61="Primary",2,IF(All_data!J61="secondary",3,IF(All_data!J61="Tertiary",4,"check"))))</f>
        <v>4</v>
      </c>
      <c r="K62" s="47">
        <f>IF(All_data!K61="Government Employee",1,0)</f>
        <v>0</v>
      </c>
      <c r="L62" s="47">
        <f>IF(All_data!K61="Private Employee",1,0)</f>
        <v>1</v>
      </c>
      <c r="M62" s="47">
        <f>IF(All_data!K61="Business",1,0)</f>
        <v>0</v>
      </c>
      <c r="N62" s="47">
        <f>IF(All_data!K61="Student",1,0)</f>
        <v>0</v>
      </c>
      <c r="O62" s="47">
        <f>IF(All_data!K61="Housewife",1,0)</f>
        <v>0</v>
      </c>
      <c r="P62" s="47">
        <f>IF(All_data!K61="Retired",1,0)</f>
        <v>0</v>
      </c>
      <c r="Q62" s="47">
        <f>IF(All_data!L61="&lt;500,000",1,IF(All_data!L61="500,000 - 1,000,000",2,IF(All_data!L61="1,000,000 - 3,000,000",3,IF(All_data!L61="&gt;3,000,000",4,"check"))))</f>
        <v>2</v>
      </c>
      <c r="R62" s="63">
        <f>IF(All_data!M61="Spouse",1,0)</f>
        <v>0</v>
      </c>
      <c r="S62" s="47">
        <f>IF(All_data!M61="Son/Daughter",1,0)</f>
        <v>0</v>
      </c>
      <c r="T62" s="47">
        <f>IF(All_data!M61="Niece/nephew",1,0)</f>
        <v>0</v>
      </c>
      <c r="U62" s="47">
        <f>IF(All_data!M61="Household head",1,0)</f>
        <v>1</v>
      </c>
      <c r="V62" s="47">
        <f>IF(All_data!N61="&lt; 1 year",1,IF(All_data!N61="1-3 years",2,IF(All_data!N61="3-5 years",3,IF(All_data!N61="&gt; 5 years",4,"check"))))</f>
        <v>4</v>
      </c>
      <c r="W62" s="47">
        <f>IF(All_data!O61="Rented",1,0)</f>
        <v>0</v>
      </c>
      <c r="X62" s="73">
        <f>IF(All_data!P61="Bungalow",1,0)</f>
        <v>1</v>
      </c>
      <c r="Y62" s="73">
        <f>IF(All_data!P61="Temporary",1,0)</f>
        <v>0</v>
      </c>
      <c r="Z62" s="73">
        <f>IF(All_data!P61="Story Building",1,0)</f>
        <v>0</v>
      </c>
      <c r="AA62" s="73">
        <f>IF(All_data!Q61="Iron Sheets/titles",1,0)</f>
        <v>1</v>
      </c>
      <c r="AB62" s="74">
        <f>IF(All_data!R61="Concrete Blocks",1,0)</f>
        <v>0</v>
      </c>
      <c r="AC62" s="73">
        <f>IF(All_data!R61="Bricks",1,0)</f>
        <v>1</v>
      </c>
      <c r="AD62" s="73">
        <f>IF(All_data!R61="Mud/poles",1,0)</f>
        <v>0</v>
      </c>
      <c r="AE62" s="73">
        <f>IF(All_data!S61="tiles",1,0)</f>
        <v>1</v>
      </c>
      <c r="AF62" s="73">
        <f>IF(All_data!S61="Cemented",1,0)</f>
        <v>0</v>
      </c>
      <c r="AG62" s="73">
        <f>IF(All_data!S61="Mud",1,0)</f>
        <v>0</v>
      </c>
      <c r="AH62" s="73">
        <f>IF(All_data!T61="House connection",1,0)</f>
        <v>0</v>
      </c>
      <c r="AI62" s="73">
        <f>IF(All_data!T61="Yard tap",1,0)</f>
        <v>0</v>
      </c>
      <c r="AJ62" s="73">
        <f>IF(All_data!T61="Stand pipe",1,0)</f>
        <v>0</v>
      </c>
      <c r="AK62" s="73">
        <f>IF(All_data!U61="Shared Facilities ",1,0)</f>
        <v>0</v>
      </c>
      <c r="AL62" s="73">
        <f>IF(All_data!V61="paved",0,1)</f>
        <v>1</v>
      </c>
      <c r="AM62" s="57">
        <v>4.7720000000000002</v>
      </c>
      <c r="AN62" s="57">
        <v>0</v>
      </c>
      <c r="AO62" s="57">
        <v>0</v>
      </c>
      <c r="AP62" s="57">
        <v>0</v>
      </c>
      <c r="AQ62" s="58">
        <v>0</v>
      </c>
      <c r="AR62" s="58">
        <v>0.16</v>
      </c>
      <c r="AS62" s="58">
        <v>0.315</v>
      </c>
      <c r="AT62" s="57">
        <v>0</v>
      </c>
      <c r="AU62" s="57">
        <v>0</v>
      </c>
      <c r="AV62" s="57">
        <v>0</v>
      </c>
      <c r="AW62" s="57">
        <v>5.2469999999999999</v>
      </c>
      <c r="AX62" s="57">
        <v>0.74957142857142856</v>
      </c>
      <c r="AY62" s="57">
        <v>0.74957142857142856</v>
      </c>
      <c r="AZ62" s="47">
        <v>8</v>
      </c>
      <c r="BA62" s="47">
        <v>0.65600000000000003</v>
      </c>
    </row>
    <row r="63" spans="1:53" ht="15.5" x14ac:dyDescent="0.35">
      <c r="A63" s="59">
        <v>60</v>
      </c>
      <c r="B63" s="27" t="s">
        <v>175</v>
      </c>
      <c r="C63" s="26" t="s">
        <v>130</v>
      </c>
      <c r="D63" s="26" t="s">
        <v>131</v>
      </c>
      <c r="E63" s="26" t="s">
        <v>144</v>
      </c>
      <c r="F63" s="47">
        <f>IF(All_data!F62="low-income",1,IF(All_data!F62="Middle-Income",2,IF(All_data!F62="High-Income",3,"check")))</f>
        <v>2</v>
      </c>
      <c r="G63" s="56">
        <v>6</v>
      </c>
      <c r="H63" s="47">
        <f>IF(All_data!H62="18-35 years",2,IF(All_data!H62="36-60 years",3,IF(All_data!H62="&gt;60 years",4,1)))</f>
        <v>2</v>
      </c>
      <c r="I63" s="47">
        <f>IF(All_data!I62="Male",0,1)</f>
        <v>0</v>
      </c>
      <c r="J63" s="73">
        <f>IF(All_data!J62="Illiterate",1,IF(All_data!J62="Primary",2,IF(All_data!J62="secondary",3,IF(All_data!J62="Tertiary",4,"check"))))</f>
        <v>3</v>
      </c>
      <c r="K63" s="47">
        <f>IF(All_data!K62="Government Employee",1,0)</f>
        <v>0</v>
      </c>
      <c r="L63" s="47">
        <f>IF(All_data!K62="Private Employee",1,0)</f>
        <v>1</v>
      </c>
      <c r="M63" s="47">
        <f>IF(All_data!K62="Business",1,0)</f>
        <v>0</v>
      </c>
      <c r="N63" s="47">
        <f>IF(All_data!K62="Student",1,0)</f>
        <v>0</v>
      </c>
      <c r="O63" s="47">
        <f>IF(All_data!K62="Housewife",1,0)</f>
        <v>0</v>
      </c>
      <c r="P63" s="47">
        <f>IF(All_data!K62="Retired",1,0)</f>
        <v>0</v>
      </c>
      <c r="Q63" s="47">
        <f>IF(All_data!L62="&lt;500,000",1,IF(All_data!L62="500,000 - 1,000,000",2,IF(All_data!L62="1,000,000 - 3,000,000",3,IF(All_data!L62="&gt;3,000,000",4,"check"))))</f>
        <v>2</v>
      </c>
      <c r="R63" s="63">
        <f>IF(All_data!M62="Spouse",1,0)</f>
        <v>0</v>
      </c>
      <c r="S63" s="47">
        <f>IF(All_data!M62="Son/Daughter",1,0)</f>
        <v>0</v>
      </c>
      <c r="T63" s="47">
        <f>IF(All_data!M62="Niece/nephew",1,0)</f>
        <v>0</v>
      </c>
      <c r="U63" s="47">
        <f>IF(All_data!M62="Household head",1,0)</f>
        <v>1</v>
      </c>
      <c r="V63" s="47">
        <f>IF(All_data!N62="&lt; 1 year",1,IF(All_data!N62="1-3 years",2,IF(All_data!N62="3-5 years",3,IF(All_data!N62="&gt; 5 years",4,"check"))))</f>
        <v>4</v>
      </c>
      <c r="W63" s="47">
        <f>IF(All_data!O62="Rented",1,0)</f>
        <v>1</v>
      </c>
      <c r="X63" s="73">
        <f>IF(All_data!P62="Bungalow",1,0)</f>
        <v>1</v>
      </c>
      <c r="Y63" s="73">
        <f>IF(All_data!P62="Temporary",1,0)</f>
        <v>0</v>
      </c>
      <c r="Z63" s="73">
        <f>IF(All_data!P62="Story Building",1,0)</f>
        <v>0</v>
      </c>
      <c r="AA63" s="73">
        <f>IF(All_data!Q62="Iron Sheets/titles",1,0)</f>
        <v>1</v>
      </c>
      <c r="AB63" s="74">
        <f>IF(All_data!R62="Concrete Blocks",1,0)</f>
        <v>0</v>
      </c>
      <c r="AC63" s="73">
        <f>IF(All_data!R62="Bricks",1,0)</f>
        <v>1</v>
      </c>
      <c r="AD63" s="73">
        <f>IF(All_data!R62="Mud/poles",1,0)</f>
        <v>0</v>
      </c>
      <c r="AE63" s="73">
        <f>IF(All_data!S62="tiles",1,0)</f>
        <v>1</v>
      </c>
      <c r="AF63" s="73">
        <f>IF(All_data!S62="Cemented",1,0)</f>
        <v>0</v>
      </c>
      <c r="AG63" s="73">
        <f>IF(All_data!S62="Mud",1,0)</f>
        <v>0</v>
      </c>
      <c r="AH63" s="73">
        <f>IF(All_data!T62="House connection",1,0)</f>
        <v>0</v>
      </c>
      <c r="AI63" s="73">
        <f>IF(All_data!T62="Yard tap",1,0)</f>
        <v>0</v>
      </c>
      <c r="AJ63" s="73">
        <f>IF(All_data!T62="Stand pipe",1,0)</f>
        <v>0</v>
      </c>
      <c r="AK63" s="73">
        <f>IF(All_data!U62="Shared Facilities ",1,0)</f>
        <v>0</v>
      </c>
      <c r="AL63" s="73">
        <f>IF(All_data!V62="paved",0,1)</f>
        <v>1</v>
      </c>
      <c r="AM63" s="57">
        <v>6.28</v>
      </c>
      <c r="AN63" s="57">
        <v>0</v>
      </c>
      <c r="AO63" s="57">
        <v>0</v>
      </c>
      <c r="AP63" s="57">
        <v>0.13700000000000001</v>
      </c>
      <c r="AQ63" s="58">
        <v>0.52500000000000002</v>
      </c>
      <c r="AR63" s="58">
        <v>0.45799999999999996</v>
      </c>
      <c r="AS63" s="58">
        <v>0.27100000000000002</v>
      </c>
      <c r="AT63" s="57">
        <v>0</v>
      </c>
      <c r="AU63" s="57">
        <v>2E-3</v>
      </c>
      <c r="AV63" s="57">
        <v>0</v>
      </c>
      <c r="AW63" s="57">
        <v>7.67</v>
      </c>
      <c r="AX63" s="57">
        <v>1.0957142857142856</v>
      </c>
      <c r="AY63" s="57">
        <v>0.1826190476190476</v>
      </c>
      <c r="AZ63" s="47">
        <v>10</v>
      </c>
      <c r="BA63" s="47">
        <v>0.76700000000000002</v>
      </c>
    </row>
    <row r="64" spans="1:53" ht="15.5" x14ac:dyDescent="0.35">
      <c r="A64" s="59">
        <v>61</v>
      </c>
      <c r="B64" s="27" t="s">
        <v>176</v>
      </c>
      <c r="C64" s="26" t="s">
        <v>130</v>
      </c>
      <c r="D64" s="26" t="s">
        <v>131</v>
      </c>
      <c r="E64" s="26" t="s">
        <v>144</v>
      </c>
      <c r="F64" s="47">
        <f>IF(All_data!F63="low-income",1,IF(All_data!F63="Middle-Income",2,IF(All_data!F63="High-Income",3,"check")))</f>
        <v>2</v>
      </c>
      <c r="G64" s="56">
        <v>2</v>
      </c>
      <c r="H64" s="47">
        <f>IF(All_data!H63="18-35 years",2,IF(All_data!H63="36-60 years",3,IF(All_data!H63="&gt;60 years",4,1)))</f>
        <v>2</v>
      </c>
      <c r="I64" s="47">
        <f>IF(All_data!I63="Male",0,1)</f>
        <v>0</v>
      </c>
      <c r="J64" s="73">
        <f>IF(All_data!J63="Illiterate",1,IF(All_data!J63="Primary",2,IF(All_data!J63="secondary",3,IF(All_data!J63="Tertiary",4,"check"))))</f>
        <v>4</v>
      </c>
      <c r="K64" s="47">
        <f>IF(All_data!K63="Government Employee",1,0)</f>
        <v>0</v>
      </c>
      <c r="L64" s="47">
        <f>IF(All_data!K63="Private Employee",1,0)</f>
        <v>0</v>
      </c>
      <c r="M64" s="47">
        <f>IF(All_data!K63="Business",1,0)</f>
        <v>1</v>
      </c>
      <c r="N64" s="47">
        <f>IF(All_data!K63="Student",1,0)</f>
        <v>0</v>
      </c>
      <c r="O64" s="47">
        <f>IF(All_data!K63="Housewife",1,0)</f>
        <v>0</v>
      </c>
      <c r="P64" s="47">
        <f>IF(All_data!K63="Retired",1,0)</f>
        <v>0</v>
      </c>
      <c r="Q64" s="47">
        <f>IF(All_data!L63="&lt;500,000",1,IF(All_data!L63="500,000 - 1,000,000",2,IF(All_data!L63="1,000,000 - 3,000,000",3,IF(All_data!L63="&gt;3,000,000",4,"check"))))</f>
        <v>2</v>
      </c>
      <c r="R64" s="63">
        <f>IF(All_data!M63="Spouse",1,0)</f>
        <v>0</v>
      </c>
      <c r="S64" s="47">
        <f>IF(All_data!M63="Son/Daughter",1,0)</f>
        <v>0</v>
      </c>
      <c r="T64" s="47">
        <f>IF(All_data!M63="Niece/nephew",1,0)</f>
        <v>0</v>
      </c>
      <c r="U64" s="47">
        <f>IF(All_data!M63="Household head",1,0)</f>
        <v>1</v>
      </c>
      <c r="V64" s="47">
        <f>IF(All_data!N63="&lt; 1 year",1,IF(All_data!N63="1-3 years",2,IF(All_data!N63="3-5 years",3,IF(All_data!N63="&gt; 5 years",4,"check"))))</f>
        <v>4</v>
      </c>
      <c r="W64" s="47">
        <f>IF(All_data!O63="Rented",1,0)</f>
        <v>0</v>
      </c>
      <c r="X64" s="73">
        <f>IF(All_data!P63="Bungalow",1,0)</f>
        <v>1</v>
      </c>
      <c r="Y64" s="73">
        <f>IF(All_data!P63="Temporary",1,0)</f>
        <v>0</v>
      </c>
      <c r="Z64" s="73">
        <f>IF(All_data!P63="Story Building",1,0)</f>
        <v>0</v>
      </c>
      <c r="AA64" s="73">
        <f>IF(All_data!Q63="Iron Sheets/titles",1,0)</f>
        <v>1</v>
      </c>
      <c r="AB64" s="74">
        <f>IF(All_data!R63="Concrete Blocks",1,0)</f>
        <v>0</v>
      </c>
      <c r="AC64" s="73">
        <f>IF(All_data!R63="Bricks",1,0)</f>
        <v>1</v>
      </c>
      <c r="AD64" s="73">
        <f>IF(All_data!R63="Mud/poles",1,0)</f>
        <v>0</v>
      </c>
      <c r="AE64" s="73">
        <f>IF(All_data!S63="tiles",1,0)</f>
        <v>0</v>
      </c>
      <c r="AF64" s="73">
        <f>IF(All_data!S63="Cemented",1,0)</f>
        <v>1</v>
      </c>
      <c r="AG64" s="73">
        <f>IF(All_data!S63="Mud",1,0)</f>
        <v>0</v>
      </c>
      <c r="AH64" s="73">
        <f>IF(All_data!T63="House connection",1,0)</f>
        <v>0</v>
      </c>
      <c r="AI64" s="73">
        <f>IF(All_data!T63="Yard tap",1,0)</f>
        <v>1</v>
      </c>
      <c r="AJ64" s="73">
        <f>IF(All_data!T63="Stand pipe",1,0)</f>
        <v>0</v>
      </c>
      <c r="AK64" s="73">
        <f>IF(All_data!U63="Shared Facilities ",1,0)</f>
        <v>1</v>
      </c>
      <c r="AL64" s="73">
        <f>IF(All_data!V63="paved",0,1)</f>
        <v>1</v>
      </c>
      <c r="AM64" s="57">
        <v>5.22</v>
      </c>
      <c r="AN64" s="57">
        <v>0</v>
      </c>
      <c r="AO64" s="57">
        <v>0</v>
      </c>
      <c r="AP64" s="57">
        <v>0.25600000000000001</v>
      </c>
      <c r="AQ64" s="58">
        <v>0.18</v>
      </c>
      <c r="AR64" s="58">
        <v>0.89399999999999991</v>
      </c>
      <c r="AS64" s="58">
        <v>0.182</v>
      </c>
      <c r="AT64" s="57">
        <v>0</v>
      </c>
      <c r="AU64" s="57">
        <v>1.3000000000000012E-2</v>
      </c>
      <c r="AV64" s="57">
        <v>1.66</v>
      </c>
      <c r="AW64" s="57">
        <v>8.41</v>
      </c>
      <c r="AX64" s="57">
        <v>1.2014285714285715</v>
      </c>
      <c r="AY64" s="57">
        <v>0.60071428571428576</v>
      </c>
      <c r="AZ64" s="47">
        <v>10</v>
      </c>
      <c r="BA64" s="47">
        <v>0.84099999999999997</v>
      </c>
    </row>
    <row r="65" spans="1:53" ht="15.5" x14ac:dyDescent="0.35">
      <c r="A65" s="59">
        <v>62</v>
      </c>
      <c r="B65" s="27" t="s">
        <v>177</v>
      </c>
      <c r="C65" s="26" t="s">
        <v>130</v>
      </c>
      <c r="D65" s="26" t="s">
        <v>131</v>
      </c>
      <c r="E65" s="26" t="s">
        <v>144</v>
      </c>
      <c r="F65" s="47">
        <f>IF(All_data!F64="low-income",1,IF(All_data!F64="Middle-Income",2,IF(All_data!F64="High-Income",3,"check")))</f>
        <v>2</v>
      </c>
      <c r="G65" s="56">
        <v>6</v>
      </c>
      <c r="H65" s="47">
        <f>IF(All_data!H64="18-35 years",2,IF(All_data!H64="36-60 years",3,IF(All_data!H64="&gt;60 years",4,1)))</f>
        <v>2</v>
      </c>
      <c r="I65" s="47">
        <f>IF(All_data!I64="Male",0,1)</f>
        <v>0</v>
      </c>
      <c r="J65" s="73">
        <f>IF(All_data!J64="Illiterate",1,IF(All_data!J64="Primary",2,IF(All_data!J64="secondary",3,IF(All_data!J64="Tertiary",4,"check"))))</f>
        <v>2</v>
      </c>
      <c r="K65" s="47">
        <f>IF(All_data!K64="Government Employee",1,0)</f>
        <v>1</v>
      </c>
      <c r="L65" s="47">
        <f>IF(All_data!K64="Private Employee",1,0)</f>
        <v>0</v>
      </c>
      <c r="M65" s="47">
        <f>IF(All_data!K64="Business",1,0)</f>
        <v>0</v>
      </c>
      <c r="N65" s="47">
        <f>IF(All_data!K64="Student",1,0)</f>
        <v>0</v>
      </c>
      <c r="O65" s="47">
        <f>IF(All_data!K64="Housewife",1,0)</f>
        <v>0</v>
      </c>
      <c r="P65" s="47">
        <f>IF(All_data!K64="Retired",1,0)</f>
        <v>0</v>
      </c>
      <c r="Q65" s="47">
        <f>IF(All_data!L64="&lt;500,000",1,IF(All_data!L64="500,000 - 1,000,000",2,IF(All_data!L64="1,000,000 - 3,000,000",3,IF(All_data!L64="&gt;3,000,000",4,"check"))))</f>
        <v>2</v>
      </c>
      <c r="R65" s="63">
        <f>IF(All_data!M64="Spouse",1,0)</f>
        <v>0</v>
      </c>
      <c r="S65" s="47">
        <f>IF(All_data!M64="Son/Daughter",1,0)</f>
        <v>1</v>
      </c>
      <c r="T65" s="47">
        <f>IF(All_data!M64="Niece/nephew",1,0)</f>
        <v>0</v>
      </c>
      <c r="U65" s="47">
        <f>IF(All_data!M64="Household head",1,0)</f>
        <v>0</v>
      </c>
      <c r="V65" s="47">
        <f>IF(All_data!N64="&lt; 1 year",1,IF(All_data!N64="1-3 years",2,IF(All_data!N64="3-5 years",3,IF(All_data!N64="&gt; 5 years",4,"check"))))</f>
        <v>2</v>
      </c>
      <c r="W65" s="47">
        <f>IF(All_data!O64="Rented",1,0)</f>
        <v>1</v>
      </c>
      <c r="X65" s="73">
        <f>IF(All_data!P64="Bungalow",1,0)</f>
        <v>1</v>
      </c>
      <c r="Y65" s="73">
        <f>IF(All_data!P64="Temporary",1,0)</f>
        <v>0</v>
      </c>
      <c r="Z65" s="73">
        <f>IF(All_data!P64="Story Building",1,0)</f>
        <v>0</v>
      </c>
      <c r="AA65" s="73">
        <f>IF(All_data!Q64="Iron Sheets/titles",1,0)</f>
        <v>1</v>
      </c>
      <c r="AB65" s="74">
        <f>IF(All_data!R64="Concrete Blocks",1,0)</f>
        <v>0</v>
      </c>
      <c r="AC65" s="73">
        <f>IF(All_data!R64="Bricks",1,0)</f>
        <v>1</v>
      </c>
      <c r="AD65" s="73">
        <f>IF(All_data!R64="Mud/poles",1,0)</f>
        <v>0</v>
      </c>
      <c r="AE65" s="73">
        <f>IF(All_data!S64="tiles",1,0)</f>
        <v>1</v>
      </c>
      <c r="AF65" s="73">
        <f>IF(All_data!S64="Cemented",1,0)</f>
        <v>0</v>
      </c>
      <c r="AG65" s="73">
        <f>IF(All_data!S64="Mud",1,0)</f>
        <v>0</v>
      </c>
      <c r="AH65" s="73">
        <f>IF(All_data!T64="House connection",1,0)</f>
        <v>0</v>
      </c>
      <c r="AI65" s="73">
        <f>IF(All_data!T64="Yard tap",1,0)</f>
        <v>0</v>
      </c>
      <c r="AJ65" s="73">
        <f>IF(All_data!T64="Stand pipe",1,0)</f>
        <v>0</v>
      </c>
      <c r="AK65" s="73">
        <f>IF(All_data!U64="Shared Facilities ",1,0)</f>
        <v>0</v>
      </c>
      <c r="AL65" s="73">
        <f>IF(All_data!V64="paved",0,1)</f>
        <v>1</v>
      </c>
      <c r="AM65" s="57">
        <v>4.4800000000000004</v>
      </c>
      <c r="AN65" s="57">
        <v>0</v>
      </c>
      <c r="AO65" s="57">
        <v>0</v>
      </c>
      <c r="AP65" s="57">
        <v>0</v>
      </c>
      <c r="AQ65" s="58">
        <v>0.28399999999999997</v>
      </c>
      <c r="AR65" s="58">
        <v>0.29499999999999998</v>
      </c>
      <c r="AS65" s="58">
        <v>0</v>
      </c>
      <c r="AT65" s="57">
        <v>0</v>
      </c>
      <c r="AU65" s="57">
        <v>0.14499999999999999</v>
      </c>
      <c r="AV65" s="57">
        <v>0.45800000000000002</v>
      </c>
      <c r="AW65" s="57">
        <v>5.6619999999999999</v>
      </c>
      <c r="AX65" s="57">
        <v>0.80885714285714283</v>
      </c>
      <c r="AY65" s="57">
        <v>0.1348095238095238</v>
      </c>
      <c r="AZ65" s="47">
        <v>8</v>
      </c>
      <c r="BA65" s="47">
        <v>0.70799999999999996</v>
      </c>
    </row>
    <row r="66" spans="1:53" ht="15.5" x14ac:dyDescent="0.35">
      <c r="A66" s="59">
        <v>63</v>
      </c>
      <c r="B66" s="27" t="s">
        <v>178</v>
      </c>
      <c r="C66" s="26" t="s">
        <v>130</v>
      </c>
      <c r="D66" s="26" t="s">
        <v>131</v>
      </c>
      <c r="E66" s="26" t="s">
        <v>144</v>
      </c>
      <c r="F66" s="47">
        <f>IF(All_data!F65="low-income",1,IF(All_data!F65="Middle-Income",2,IF(All_data!F65="High-Income",3,"check")))</f>
        <v>2</v>
      </c>
      <c r="G66" s="56">
        <v>3</v>
      </c>
      <c r="H66" s="47">
        <f>IF(All_data!H65="18-35 years",2,IF(All_data!H65="36-60 years",3,IF(All_data!H65="&gt;60 years",4,1)))</f>
        <v>2</v>
      </c>
      <c r="I66" s="47">
        <f>IF(All_data!I65="Male",0,1)</f>
        <v>1</v>
      </c>
      <c r="J66" s="73">
        <f>IF(All_data!J65="Illiterate",1,IF(All_data!J65="Primary",2,IF(All_data!J65="secondary",3,IF(All_data!J65="Tertiary",4,"check"))))</f>
        <v>3</v>
      </c>
      <c r="K66" s="47">
        <f>IF(All_data!K65="Government Employee",1,0)</f>
        <v>0</v>
      </c>
      <c r="L66" s="47">
        <f>IF(All_data!K65="Private Employee",1,0)</f>
        <v>0</v>
      </c>
      <c r="M66" s="47">
        <f>IF(All_data!K65="Business",1,0)</f>
        <v>0</v>
      </c>
      <c r="N66" s="47">
        <f>IF(All_data!K65="Student",1,0)</f>
        <v>0</v>
      </c>
      <c r="O66" s="47">
        <f>IF(All_data!K65="Housewife",1,0)</f>
        <v>0</v>
      </c>
      <c r="P66" s="47">
        <f>IF(All_data!K65="Retired",1,0)</f>
        <v>0</v>
      </c>
      <c r="Q66" s="47">
        <f>IF(All_data!L65="&lt;500,000",1,IF(All_data!L65="500,000 - 1,000,000",2,IF(All_data!L65="1,000,000 - 3,000,000",3,IF(All_data!L65="&gt;3,000,000",4,"check"))))</f>
        <v>2</v>
      </c>
      <c r="R66" s="63">
        <f>IF(All_data!M65="Spouse",1,0)</f>
        <v>0</v>
      </c>
      <c r="S66" s="47">
        <f>IF(All_data!M65="Son/Daughter",1,0)</f>
        <v>0</v>
      </c>
      <c r="T66" s="47">
        <f>IF(All_data!M65="Niece/nephew",1,0)</f>
        <v>0</v>
      </c>
      <c r="U66" s="47">
        <f>IF(All_data!M65="Household head",1,0)</f>
        <v>1</v>
      </c>
      <c r="V66" s="47">
        <f>IF(All_data!N65="&lt; 1 year",1,IF(All_data!N65="1-3 years",2,IF(All_data!N65="3-5 years",3,IF(All_data!N65="&gt; 5 years",4,"check"))))</f>
        <v>4</v>
      </c>
      <c r="W66" s="47">
        <f>IF(All_data!O65="Rented",1,0)</f>
        <v>1</v>
      </c>
      <c r="X66" s="73">
        <f>IF(All_data!P65="Bungalow",1,0)</f>
        <v>1</v>
      </c>
      <c r="Y66" s="73">
        <f>IF(All_data!P65="Temporary",1,0)</f>
        <v>0</v>
      </c>
      <c r="Z66" s="73">
        <f>IF(All_data!P65="Story Building",1,0)</f>
        <v>0</v>
      </c>
      <c r="AA66" s="73">
        <f>IF(All_data!Q65="Iron Sheets/titles",1,0)</f>
        <v>1</v>
      </c>
      <c r="AB66" s="74">
        <f>IF(All_data!R65="Concrete Blocks",1,0)</f>
        <v>0</v>
      </c>
      <c r="AC66" s="73">
        <f>IF(All_data!R65="Bricks",1,0)</f>
        <v>1</v>
      </c>
      <c r="AD66" s="73">
        <f>IF(All_data!R65="Mud/poles",1,0)</f>
        <v>0</v>
      </c>
      <c r="AE66" s="73">
        <f>IF(All_data!S65="tiles",1,0)</f>
        <v>0</v>
      </c>
      <c r="AF66" s="73">
        <f>IF(All_data!S65="Cemented",1,0)</f>
        <v>1</v>
      </c>
      <c r="AG66" s="73">
        <f>IF(All_data!S65="Mud",1,0)</f>
        <v>0</v>
      </c>
      <c r="AH66" s="73">
        <f>IF(All_data!T65="House connection",1,0)</f>
        <v>0</v>
      </c>
      <c r="AI66" s="73">
        <f>IF(All_data!T65="Yard tap",1,0)</f>
        <v>1</v>
      </c>
      <c r="AJ66" s="73">
        <f>IF(All_data!T65="Stand pipe",1,0)</f>
        <v>0</v>
      </c>
      <c r="AK66" s="73">
        <f>IF(All_data!U65="Shared Facilities ",1,0)</f>
        <v>1</v>
      </c>
      <c r="AL66" s="73">
        <f>IF(All_data!V65="paved",0,1)</f>
        <v>1</v>
      </c>
      <c r="AM66" s="57">
        <v>4.5199999999999996</v>
      </c>
      <c r="AN66" s="57">
        <v>0</v>
      </c>
      <c r="AO66" s="57">
        <v>0</v>
      </c>
      <c r="AP66" s="57">
        <v>0</v>
      </c>
      <c r="AQ66" s="58">
        <v>0.35</v>
      </c>
      <c r="AR66" s="58">
        <v>0.36399999999999999</v>
      </c>
      <c r="AS66" s="58">
        <v>0.154</v>
      </c>
      <c r="AT66" s="57">
        <v>0</v>
      </c>
      <c r="AU66" s="57">
        <v>0</v>
      </c>
      <c r="AV66" s="57">
        <v>1.03</v>
      </c>
      <c r="AW66" s="57">
        <v>6.42</v>
      </c>
      <c r="AX66" s="57">
        <v>0.91714285714285715</v>
      </c>
      <c r="AY66" s="57">
        <v>0.30571428571428572</v>
      </c>
      <c r="AZ66" s="47">
        <v>10</v>
      </c>
      <c r="BA66" s="47">
        <v>0.64200000000000002</v>
      </c>
    </row>
    <row r="67" spans="1:53" ht="15.5" x14ac:dyDescent="0.35">
      <c r="A67" s="59">
        <v>64</v>
      </c>
      <c r="B67" s="27" t="s">
        <v>179</v>
      </c>
      <c r="C67" s="26" t="s">
        <v>130</v>
      </c>
      <c r="D67" s="26" t="s">
        <v>131</v>
      </c>
      <c r="E67" s="26" t="s">
        <v>144</v>
      </c>
      <c r="F67" s="47">
        <f>IF(All_data!F66="low-income",1,IF(All_data!F66="Middle-Income",2,IF(All_data!F66="High-Income",3,"check")))</f>
        <v>2</v>
      </c>
      <c r="G67" s="56">
        <v>2</v>
      </c>
      <c r="H67" s="47">
        <f>IF(All_data!H66="18-35 years",2,IF(All_data!H66="36-60 years",3,IF(All_data!H66="&gt;60 years",4,1)))</f>
        <v>2</v>
      </c>
      <c r="I67" s="47">
        <f>IF(All_data!I66="Male",0,1)</f>
        <v>0</v>
      </c>
      <c r="J67" s="73">
        <f>IF(All_data!J66="Illiterate",1,IF(All_data!J66="Primary",2,IF(All_data!J66="secondary",3,IF(All_data!J66="Tertiary",4,"check"))))</f>
        <v>3</v>
      </c>
      <c r="K67" s="47">
        <f>IF(All_data!K66="Government Employee",1,0)</f>
        <v>0</v>
      </c>
      <c r="L67" s="47">
        <f>IF(All_data!K66="Private Employee",1,0)</f>
        <v>0</v>
      </c>
      <c r="M67" s="47">
        <f>IF(All_data!K66="Business",1,0)</f>
        <v>1</v>
      </c>
      <c r="N67" s="47">
        <f>IF(All_data!K66="Student",1,0)</f>
        <v>0</v>
      </c>
      <c r="O67" s="47">
        <f>IF(All_data!K66="Housewife",1,0)</f>
        <v>0</v>
      </c>
      <c r="P67" s="47">
        <f>IF(All_data!K66="Retired",1,0)</f>
        <v>0</v>
      </c>
      <c r="Q67" s="47">
        <f>IF(All_data!L66="&lt;500,000",1,IF(All_data!L66="500,000 - 1,000,000",2,IF(All_data!L66="1,000,000 - 3,000,000",3,IF(All_data!L66="&gt;3,000,000",4,"check"))))</f>
        <v>2</v>
      </c>
      <c r="R67" s="63">
        <f>IF(All_data!M66="Spouse",1,0)</f>
        <v>0</v>
      </c>
      <c r="S67" s="47">
        <f>IF(All_data!M66="Son/Daughter",1,0)</f>
        <v>0</v>
      </c>
      <c r="T67" s="47">
        <f>IF(All_data!M66="Niece/nephew",1,0)</f>
        <v>0</v>
      </c>
      <c r="U67" s="47">
        <f>IF(All_data!M66="Household head",1,0)</f>
        <v>1</v>
      </c>
      <c r="V67" s="47">
        <f>IF(All_data!N66="&lt; 1 year",1,IF(All_data!N66="1-3 years",2,IF(All_data!N66="3-5 years",3,IF(All_data!N66="&gt; 5 years",4,"check"))))</f>
        <v>2</v>
      </c>
      <c r="W67" s="47">
        <f>IF(All_data!O66="Rented",1,0)</f>
        <v>1</v>
      </c>
      <c r="X67" s="73">
        <f>IF(All_data!P66="Bungalow",1,0)</f>
        <v>1</v>
      </c>
      <c r="Y67" s="73">
        <f>IF(All_data!P66="Temporary",1,0)</f>
        <v>0</v>
      </c>
      <c r="Z67" s="73">
        <f>IF(All_data!P66="Story Building",1,0)</f>
        <v>0</v>
      </c>
      <c r="AA67" s="73">
        <f>IF(All_data!Q66="Iron Sheets/titles",1,0)</f>
        <v>1</v>
      </c>
      <c r="AB67" s="74">
        <f>IF(All_data!R66="Concrete Blocks",1,0)</f>
        <v>0</v>
      </c>
      <c r="AC67" s="73">
        <f>IF(All_data!R66="Bricks",1,0)</f>
        <v>1</v>
      </c>
      <c r="AD67" s="73">
        <f>IF(All_data!R66="Mud/poles",1,0)</f>
        <v>0</v>
      </c>
      <c r="AE67" s="73">
        <f>IF(All_data!S66="tiles",1,0)</f>
        <v>0</v>
      </c>
      <c r="AF67" s="73">
        <f>IF(All_data!S66="Cemented",1,0)</f>
        <v>1</v>
      </c>
      <c r="AG67" s="73">
        <f>IF(All_data!S66="Mud",1,0)</f>
        <v>0</v>
      </c>
      <c r="AH67" s="73">
        <f>IF(All_data!T66="House connection",1,0)</f>
        <v>0</v>
      </c>
      <c r="AI67" s="73">
        <f>IF(All_data!T66="Yard tap",1,0)</f>
        <v>1</v>
      </c>
      <c r="AJ67" s="73">
        <f>IF(All_data!T66="Stand pipe",1,0)</f>
        <v>0</v>
      </c>
      <c r="AK67" s="73">
        <f>IF(All_data!U66="Shared Facilities ",1,0)</f>
        <v>1</v>
      </c>
      <c r="AL67" s="73">
        <f>IF(All_data!V66="paved",0,1)</f>
        <v>1</v>
      </c>
      <c r="AM67" s="57">
        <v>2</v>
      </c>
      <c r="AN67" s="57">
        <v>0</v>
      </c>
      <c r="AO67" s="57">
        <v>0</v>
      </c>
      <c r="AP67" s="57">
        <v>0</v>
      </c>
      <c r="AQ67" s="58">
        <v>0.314</v>
      </c>
      <c r="AR67" s="58">
        <v>0.191</v>
      </c>
      <c r="AS67" s="58">
        <v>0.183</v>
      </c>
      <c r="AT67" s="57">
        <v>0</v>
      </c>
      <c r="AU67" s="57">
        <v>0</v>
      </c>
      <c r="AV67" s="57">
        <v>0</v>
      </c>
      <c r="AW67" s="57">
        <v>2.6880000000000002</v>
      </c>
      <c r="AX67" s="57">
        <v>0.38400000000000001</v>
      </c>
      <c r="AY67" s="57">
        <v>0.192</v>
      </c>
      <c r="AZ67" s="47">
        <v>4</v>
      </c>
      <c r="BA67" s="47">
        <v>0.67200000000000004</v>
      </c>
    </row>
    <row r="68" spans="1:53" ht="15.5" x14ac:dyDescent="0.35">
      <c r="A68" s="59">
        <v>65</v>
      </c>
      <c r="B68" s="27" t="s">
        <v>180</v>
      </c>
      <c r="C68" s="26" t="s">
        <v>130</v>
      </c>
      <c r="D68" s="26" t="s">
        <v>131</v>
      </c>
      <c r="E68" s="26" t="s">
        <v>144</v>
      </c>
      <c r="F68" s="47">
        <f>IF(All_data!F67="low-income",1,IF(All_data!F67="Middle-Income",2,IF(All_data!F67="High-Income",3,"check")))</f>
        <v>2</v>
      </c>
      <c r="G68" s="56">
        <v>1</v>
      </c>
      <c r="H68" s="47">
        <f>IF(All_data!H67="18-35 years",2,IF(All_data!H67="36-60 years",3,IF(All_data!H67="&gt;60 years",4,1)))</f>
        <v>2</v>
      </c>
      <c r="I68" s="47">
        <f>IF(All_data!I67="Male",0,1)</f>
        <v>1</v>
      </c>
      <c r="J68" s="73">
        <f>IF(All_data!J67="Illiterate",1,IF(All_data!J67="Primary",2,IF(All_data!J67="secondary",3,IF(All_data!J67="Tertiary",4,"check"))))</f>
        <v>3</v>
      </c>
      <c r="K68" s="47">
        <f>IF(All_data!K67="Government Employee",1,0)</f>
        <v>0</v>
      </c>
      <c r="L68" s="47">
        <f>IF(All_data!K67="Private Employee",1,0)</f>
        <v>0</v>
      </c>
      <c r="M68" s="47">
        <f>IF(All_data!K67="Business",1,0)</f>
        <v>0</v>
      </c>
      <c r="N68" s="47">
        <f>IF(All_data!K67="Student",1,0)</f>
        <v>0</v>
      </c>
      <c r="O68" s="47">
        <f>IF(All_data!K67="Housewife",1,0)</f>
        <v>0</v>
      </c>
      <c r="P68" s="47">
        <f>IF(All_data!K67="Retired",1,0)</f>
        <v>0</v>
      </c>
      <c r="Q68" s="47">
        <f>IF(All_data!L67="&lt;500,000",1,IF(All_data!L67="500,000 - 1,000,000",2,IF(All_data!L67="1,000,000 - 3,000,000",3,IF(All_data!L67="&gt;3,000,000",4,"check"))))</f>
        <v>2</v>
      </c>
      <c r="R68" s="63">
        <f>IF(All_data!M67="Spouse",1,0)</f>
        <v>0</v>
      </c>
      <c r="S68" s="47">
        <f>IF(All_data!M67="Son/Daughter",1,0)</f>
        <v>0</v>
      </c>
      <c r="T68" s="47">
        <f>IF(All_data!M67="Niece/nephew",1,0)</f>
        <v>0</v>
      </c>
      <c r="U68" s="47">
        <f>IF(All_data!M67="Household head",1,0)</f>
        <v>1</v>
      </c>
      <c r="V68" s="47">
        <f>IF(All_data!N67="&lt; 1 year",1,IF(All_data!N67="1-3 years",2,IF(All_data!N67="3-5 years",3,IF(All_data!N67="&gt; 5 years",4,"check"))))</f>
        <v>1</v>
      </c>
      <c r="W68" s="47">
        <f>IF(All_data!O67="Rented",1,0)</f>
        <v>0</v>
      </c>
      <c r="X68" s="73">
        <f>IF(All_data!P67="Bungalow",1,0)</f>
        <v>1</v>
      </c>
      <c r="Y68" s="73">
        <f>IF(All_data!P67="Temporary",1,0)</f>
        <v>0</v>
      </c>
      <c r="Z68" s="73">
        <f>IF(All_data!P67="Story Building",1,0)</f>
        <v>0</v>
      </c>
      <c r="AA68" s="73">
        <f>IF(All_data!Q67="Iron Sheets/titles",1,0)</f>
        <v>1</v>
      </c>
      <c r="AB68" s="74">
        <f>IF(All_data!R67="Concrete Blocks",1,0)</f>
        <v>0</v>
      </c>
      <c r="AC68" s="73">
        <f>IF(All_data!R67="Bricks",1,0)</f>
        <v>1</v>
      </c>
      <c r="AD68" s="73">
        <f>IF(All_data!R67="Mud/poles",1,0)</f>
        <v>0</v>
      </c>
      <c r="AE68" s="73">
        <f>IF(All_data!S67="tiles",1,0)</f>
        <v>0</v>
      </c>
      <c r="AF68" s="73">
        <f>IF(All_data!S67="Cemented",1,0)</f>
        <v>1</v>
      </c>
      <c r="AG68" s="73">
        <f>IF(All_data!S67="Mud",1,0)</f>
        <v>0</v>
      </c>
      <c r="AH68" s="73">
        <f>IF(All_data!T67="House connection",1,0)</f>
        <v>0</v>
      </c>
      <c r="AI68" s="73">
        <f>IF(All_data!T67="Yard tap",1,0)</f>
        <v>1</v>
      </c>
      <c r="AJ68" s="73">
        <f>IF(All_data!T67="Stand pipe",1,0)</f>
        <v>0</v>
      </c>
      <c r="AK68" s="73">
        <f>IF(All_data!U67="Shared Facilities ",1,0)</f>
        <v>1</v>
      </c>
      <c r="AL68" s="73">
        <f>IF(All_data!V67="paved",0,1)</f>
        <v>1</v>
      </c>
      <c r="AM68" s="57">
        <v>3.89</v>
      </c>
      <c r="AN68" s="57">
        <v>0</v>
      </c>
      <c r="AO68" s="57">
        <v>0</v>
      </c>
      <c r="AP68" s="57">
        <v>0</v>
      </c>
      <c r="AQ68" s="58">
        <v>0.38100000000000001</v>
      </c>
      <c r="AR68" s="58">
        <v>0.28899999999999998</v>
      </c>
      <c r="AS68" s="58">
        <v>0.27400000000000002</v>
      </c>
      <c r="AT68" s="57">
        <v>0</v>
      </c>
      <c r="AU68" s="57">
        <v>0</v>
      </c>
      <c r="AV68" s="57">
        <v>0.53</v>
      </c>
      <c r="AW68" s="57">
        <v>4.8339999999999996</v>
      </c>
      <c r="AX68" s="57">
        <v>0.6905714285714285</v>
      </c>
      <c r="AY68" s="57">
        <v>0.6905714285714285</v>
      </c>
      <c r="AZ68" s="47">
        <v>6</v>
      </c>
      <c r="BA68" s="47">
        <v>0.80600000000000005</v>
      </c>
    </row>
    <row r="69" spans="1:53" ht="15.5" x14ac:dyDescent="0.35">
      <c r="A69" s="59">
        <v>66</v>
      </c>
      <c r="B69" s="27" t="s">
        <v>181</v>
      </c>
      <c r="C69" s="26" t="s">
        <v>130</v>
      </c>
      <c r="D69" s="26" t="s">
        <v>131</v>
      </c>
      <c r="E69" s="26" t="s">
        <v>144</v>
      </c>
      <c r="F69" s="47">
        <f>IF(All_data!F68="low-income",1,IF(All_data!F68="Middle-Income",2,IF(All_data!F68="High-Income",3,"check")))</f>
        <v>2</v>
      </c>
      <c r="G69" s="56">
        <v>2</v>
      </c>
      <c r="H69" s="47">
        <f>IF(All_data!H68="18-35 years",2,IF(All_data!H68="36-60 years",3,IF(All_data!H68="&gt;60 years",4,1)))</f>
        <v>3</v>
      </c>
      <c r="I69" s="47">
        <f>IF(All_data!I68="Male",0,1)</f>
        <v>0</v>
      </c>
      <c r="J69" s="73">
        <f>IF(All_data!J68="Illiterate",1,IF(All_data!J68="Primary",2,IF(All_data!J68="secondary",3,IF(All_data!J68="Tertiary",4,"check"))))</f>
        <v>3</v>
      </c>
      <c r="K69" s="47">
        <f>IF(All_data!K68="Government Employee",1,0)</f>
        <v>0</v>
      </c>
      <c r="L69" s="47">
        <f>IF(All_data!K68="Private Employee",1,0)</f>
        <v>1</v>
      </c>
      <c r="M69" s="47">
        <f>IF(All_data!K68="Business",1,0)</f>
        <v>0</v>
      </c>
      <c r="N69" s="47">
        <f>IF(All_data!K68="Student",1,0)</f>
        <v>0</v>
      </c>
      <c r="O69" s="47">
        <f>IF(All_data!K68="Housewife",1,0)</f>
        <v>0</v>
      </c>
      <c r="P69" s="47">
        <f>IF(All_data!K68="Retired",1,0)</f>
        <v>0</v>
      </c>
      <c r="Q69" s="47">
        <f>IF(All_data!L68="&lt;500,000",1,IF(All_data!L68="500,000 - 1,000,000",2,IF(All_data!L68="1,000,000 - 3,000,000",3,IF(All_data!L68="&gt;3,000,000",4,"check"))))</f>
        <v>2</v>
      </c>
      <c r="R69" s="63">
        <f>IF(All_data!M68="Spouse",1,0)</f>
        <v>0</v>
      </c>
      <c r="S69" s="47">
        <f>IF(All_data!M68="Son/Daughter",1,0)</f>
        <v>0</v>
      </c>
      <c r="T69" s="47">
        <f>IF(All_data!M68="Niece/nephew",1,0)</f>
        <v>0</v>
      </c>
      <c r="U69" s="47">
        <f>IF(All_data!M68="Household head",1,0)</f>
        <v>1</v>
      </c>
      <c r="V69" s="47">
        <f>IF(All_data!N68="&lt; 1 year",1,IF(All_data!N68="1-3 years",2,IF(All_data!N68="3-5 years",3,IF(All_data!N68="&gt; 5 years",4,"check"))))</f>
        <v>4</v>
      </c>
      <c r="W69" s="47">
        <f>IF(All_data!O68="Rented",1,0)</f>
        <v>1</v>
      </c>
      <c r="X69" s="73">
        <f>IF(All_data!P68="Bungalow",1,0)</f>
        <v>1</v>
      </c>
      <c r="Y69" s="73">
        <f>IF(All_data!P68="Temporary",1,0)</f>
        <v>0</v>
      </c>
      <c r="Z69" s="73">
        <f>IF(All_data!P68="Story Building",1,0)</f>
        <v>0</v>
      </c>
      <c r="AA69" s="73">
        <f>IF(All_data!Q68="Iron Sheets/titles",1,0)</f>
        <v>1</v>
      </c>
      <c r="AB69" s="74">
        <f>IF(All_data!R68="Concrete Blocks",1,0)</f>
        <v>0</v>
      </c>
      <c r="AC69" s="73">
        <f>IF(All_data!R68="Bricks",1,0)</f>
        <v>1</v>
      </c>
      <c r="AD69" s="73">
        <f>IF(All_data!R68="Mud/poles",1,0)</f>
        <v>0</v>
      </c>
      <c r="AE69" s="73">
        <f>IF(All_data!S68="tiles",1,0)</f>
        <v>0</v>
      </c>
      <c r="AF69" s="73">
        <f>IF(All_data!S68="Cemented",1,0)</f>
        <v>1</v>
      </c>
      <c r="AG69" s="73">
        <f>IF(All_data!S68="Mud",1,0)</f>
        <v>0</v>
      </c>
      <c r="AH69" s="73">
        <f>IF(All_data!T68="House connection",1,0)</f>
        <v>0</v>
      </c>
      <c r="AI69" s="73">
        <f>IF(All_data!T68="Yard tap",1,0)</f>
        <v>1</v>
      </c>
      <c r="AJ69" s="73">
        <f>IF(All_data!T68="Stand pipe",1,0)</f>
        <v>0</v>
      </c>
      <c r="AK69" s="73">
        <f>IF(All_data!U68="Shared Facilities ",1,0)</f>
        <v>0</v>
      </c>
      <c r="AL69" s="73">
        <f>IF(All_data!V68="paved",0,1)</f>
        <v>1</v>
      </c>
      <c r="AM69" s="57">
        <v>0.77500000000000002</v>
      </c>
      <c r="AN69" s="57">
        <v>0</v>
      </c>
      <c r="AO69" s="57">
        <v>0</v>
      </c>
      <c r="AP69" s="57">
        <v>0.23799999999999999</v>
      </c>
      <c r="AQ69" s="58">
        <v>0.33200000000000002</v>
      </c>
      <c r="AR69" s="58">
        <v>0.48899999999999999</v>
      </c>
      <c r="AS69" s="58">
        <v>0.33300000000000002</v>
      </c>
      <c r="AT69" s="57">
        <v>0</v>
      </c>
      <c r="AU69" s="57">
        <v>0.16500000000000001</v>
      </c>
      <c r="AV69" s="57">
        <v>0.189</v>
      </c>
      <c r="AW69" s="57">
        <v>2.5209999999999999</v>
      </c>
      <c r="AX69" s="57">
        <v>0.36014285714285715</v>
      </c>
      <c r="AY69" s="57">
        <v>0.18007142857142858</v>
      </c>
      <c r="AZ69" s="47">
        <v>4</v>
      </c>
      <c r="BA69" s="47">
        <v>0.63</v>
      </c>
    </row>
    <row r="70" spans="1:53" ht="15.5" x14ac:dyDescent="0.35">
      <c r="A70" s="59">
        <v>67</v>
      </c>
      <c r="B70" s="27" t="s">
        <v>182</v>
      </c>
      <c r="C70" s="26" t="s">
        <v>130</v>
      </c>
      <c r="D70" s="26" t="s">
        <v>131</v>
      </c>
      <c r="E70" s="26" t="s">
        <v>144</v>
      </c>
      <c r="F70" s="47">
        <f>IF(All_data!F69="low-income",1,IF(All_data!F69="Middle-Income",2,IF(All_data!F69="High-Income",3,"check")))</f>
        <v>2</v>
      </c>
      <c r="G70" s="56">
        <v>6</v>
      </c>
      <c r="H70" s="47">
        <f>IF(All_data!H69="18-35 years",2,IF(All_data!H69="36-60 years",3,IF(All_data!H69="&gt;60 years",4,1)))</f>
        <v>3</v>
      </c>
      <c r="I70" s="47">
        <f>IF(All_data!I69="Male",0,1)</f>
        <v>0</v>
      </c>
      <c r="J70" s="73">
        <f>IF(All_data!J69="Illiterate",1,IF(All_data!J69="Primary",2,IF(All_data!J69="secondary",3,IF(All_data!J69="Tertiary",4,"check"))))</f>
        <v>4</v>
      </c>
      <c r="K70" s="47">
        <f>IF(All_data!K69="Government Employee",1,0)</f>
        <v>0</v>
      </c>
      <c r="L70" s="47">
        <f>IF(All_data!K69="Private Employee",1,0)</f>
        <v>1</v>
      </c>
      <c r="M70" s="47">
        <f>IF(All_data!K69="Business",1,0)</f>
        <v>0</v>
      </c>
      <c r="N70" s="47">
        <f>IF(All_data!K69="Student",1,0)</f>
        <v>0</v>
      </c>
      <c r="O70" s="47">
        <f>IF(All_data!K69="Housewife",1,0)</f>
        <v>0</v>
      </c>
      <c r="P70" s="47">
        <f>IF(All_data!K69="Retired",1,0)</f>
        <v>0</v>
      </c>
      <c r="Q70" s="47">
        <f>IF(All_data!L69="&lt;500,000",1,IF(All_data!L69="500,000 - 1,000,000",2,IF(All_data!L69="1,000,000 - 3,000,000",3,IF(All_data!L69="&gt;3,000,000",4,"check"))))</f>
        <v>2</v>
      </c>
      <c r="R70" s="63">
        <f>IF(All_data!M69="Spouse",1,0)</f>
        <v>0</v>
      </c>
      <c r="S70" s="47">
        <f>IF(All_data!M69="Son/Daughter",1,0)</f>
        <v>1</v>
      </c>
      <c r="T70" s="47">
        <f>IF(All_data!M69="Niece/nephew",1,0)</f>
        <v>0</v>
      </c>
      <c r="U70" s="47">
        <f>IF(All_data!M69="Household head",1,0)</f>
        <v>0</v>
      </c>
      <c r="V70" s="47">
        <f>IF(All_data!N69="&lt; 1 year",1,IF(All_data!N69="1-3 years",2,IF(All_data!N69="3-5 years",3,IF(All_data!N69="&gt; 5 years",4,"check"))))</f>
        <v>4</v>
      </c>
      <c r="W70" s="47">
        <f>IF(All_data!O69="Rented",1,0)</f>
        <v>0</v>
      </c>
      <c r="X70" s="73">
        <f>IF(All_data!P69="Bungalow",1,0)</f>
        <v>1</v>
      </c>
      <c r="Y70" s="73">
        <f>IF(All_data!P69="Temporary",1,0)</f>
        <v>0</v>
      </c>
      <c r="Z70" s="73">
        <f>IF(All_data!P69="Story Building",1,0)</f>
        <v>0</v>
      </c>
      <c r="AA70" s="73">
        <f>IF(All_data!Q69="Iron Sheets/titles",1,0)</f>
        <v>1</v>
      </c>
      <c r="AB70" s="74">
        <f>IF(All_data!R69="Concrete Blocks",1,0)</f>
        <v>0</v>
      </c>
      <c r="AC70" s="73">
        <f>IF(All_data!R69="Bricks",1,0)</f>
        <v>1</v>
      </c>
      <c r="AD70" s="73">
        <f>IF(All_data!R69="Mud/poles",1,0)</f>
        <v>0</v>
      </c>
      <c r="AE70" s="73">
        <f>IF(All_data!S69="tiles",1,0)</f>
        <v>1</v>
      </c>
      <c r="AF70" s="73">
        <f>IF(All_data!S69="Cemented",1,0)</f>
        <v>0</v>
      </c>
      <c r="AG70" s="73">
        <f>IF(All_data!S69="Mud",1,0)</f>
        <v>0</v>
      </c>
      <c r="AH70" s="73">
        <f>IF(All_data!T69="House connection",1,0)</f>
        <v>0</v>
      </c>
      <c r="AI70" s="73">
        <f>IF(All_data!T69="Yard tap",1,0)</f>
        <v>0</v>
      </c>
      <c r="AJ70" s="73">
        <f>IF(All_data!T69="Stand pipe",1,0)</f>
        <v>0</v>
      </c>
      <c r="AK70" s="73">
        <f>IF(All_data!U69="Shared Facilities ",1,0)</f>
        <v>1</v>
      </c>
      <c r="AL70" s="73">
        <f>IF(All_data!V69="paved",0,1)</f>
        <v>1</v>
      </c>
      <c r="AM70" s="57">
        <v>16.12</v>
      </c>
      <c r="AN70" s="57">
        <v>0</v>
      </c>
      <c r="AO70" s="57">
        <v>0</v>
      </c>
      <c r="AP70" s="57">
        <v>0</v>
      </c>
      <c r="AQ70" s="58">
        <v>0.31900000000000001</v>
      </c>
      <c r="AR70" s="58">
        <v>0.56100000000000005</v>
      </c>
      <c r="AS70" s="58">
        <v>0.59899999999999998</v>
      </c>
      <c r="AT70" s="57">
        <v>0</v>
      </c>
      <c r="AU70" s="57">
        <v>0.14199999999999999</v>
      </c>
      <c r="AV70" s="57">
        <v>0.75700000000000001</v>
      </c>
      <c r="AW70" s="57">
        <v>18.498000000000001</v>
      </c>
      <c r="AX70" s="57">
        <v>2.6425714285714288</v>
      </c>
      <c r="AY70" s="57">
        <v>0.44042857142857145</v>
      </c>
      <c r="AZ70" s="47">
        <v>54</v>
      </c>
      <c r="BA70" s="47">
        <v>0.34300000000000003</v>
      </c>
    </row>
    <row r="71" spans="1:53" ht="15.5" x14ac:dyDescent="0.35">
      <c r="A71" s="59">
        <v>68</v>
      </c>
      <c r="B71" s="27" t="s">
        <v>183</v>
      </c>
      <c r="C71" s="26" t="s">
        <v>130</v>
      </c>
      <c r="D71" s="26" t="s">
        <v>131</v>
      </c>
      <c r="E71" s="26" t="s">
        <v>144</v>
      </c>
      <c r="F71" s="47">
        <f>IF(All_data!F70="low-income",1,IF(All_data!F70="Middle-Income",2,IF(All_data!F70="High-Income",3,"check")))</f>
        <v>2</v>
      </c>
      <c r="G71" s="56">
        <v>3</v>
      </c>
      <c r="H71" s="47">
        <f>IF(All_data!H70="18-35 years",2,IF(All_data!H70="36-60 years",3,IF(All_data!H70="&gt;60 years",4,1)))</f>
        <v>2</v>
      </c>
      <c r="I71" s="47">
        <f>IF(All_data!I70="Male",0,1)</f>
        <v>0</v>
      </c>
      <c r="J71" s="73">
        <f>IF(All_data!J70="Illiterate",1,IF(All_data!J70="Primary",2,IF(All_data!J70="secondary",3,IF(All_data!J70="Tertiary",4,"check"))))</f>
        <v>4</v>
      </c>
      <c r="K71" s="47">
        <f>IF(All_data!K70="Government Employee",1,0)</f>
        <v>0</v>
      </c>
      <c r="L71" s="47">
        <f>IF(All_data!K70="Private Employee",1,0)</f>
        <v>1</v>
      </c>
      <c r="M71" s="47">
        <f>IF(All_data!K70="Business",1,0)</f>
        <v>0</v>
      </c>
      <c r="N71" s="47">
        <f>IF(All_data!K70="Student",1,0)</f>
        <v>0</v>
      </c>
      <c r="O71" s="47">
        <f>IF(All_data!K70="Housewife",1,0)</f>
        <v>0</v>
      </c>
      <c r="P71" s="47">
        <f>IF(All_data!K70="Retired",1,0)</f>
        <v>0</v>
      </c>
      <c r="Q71" s="47">
        <f>IF(All_data!L70="&lt;500,000",1,IF(All_data!L70="500,000 - 1,000,000",2,IF(All_data!L70="1,000,000 - 3,000,000",3,IF(All_data!L70="&gt;3,000,000",4,"check"))))</f>
        <v>2</v>
      </c>
      <c r="R71" s="63">
        <f>IF(All_data!M70="Spouse",1,0)</f>
        <v>0</v>
      </c>
      <c r="S71" s="47">
        <f>IF(All_data!M70="Son/Daughter",1,0)</f>
        <v>0</v>
      </c>
      <c r="T71" s="47">
        <f>IF(All_data!M70="Niece/nephew",1,0)</f>
        <v>0</v>
      </c>
      <c r="U71" s="47">
        <f>IF(All_data!M70="Household head",1,0)</f>
        <v>1</v>
      </c>
      <c r="V71" s="47">
        <f>IF(All_data!N70="&lt; 1 year",1,IF(All_data!N70="1-3 years",2,IF(All_data!N70="3-5 years",3,IF(All_data!N70="&gt; 5 years",4,"check"))))</f>
        <v>2</v>
      </c>
      <c r="W71" s="47">
        <f>IF(All_data!O70="Rented",1,0)</f>
        <v>1</v>
      </c>
      <c r="X71" s="73">
        <f>IF(All_data!P70="Bungalow",1,0)</f>
        <v>1</v>
      </c>
      <c r="Y71" s="73">
        <f>IF(All_data!P70="Temporary",1,0)</f>
        <v>0</v>
      </c>
      <c r="Z71" s="73">
        <f>IF(All_data!P70="Story Building",1,0)</f>
        <v>0</v>
      </c>
      <c r="AA71" s="73">
        <f>IF(All_data!Q70="Iron Sheets/titles",1,0)</f>
        <v>1</v>
      </c>
      <c r="AB71" s="74">
        <f>IF(All_data!R70="Concrete Blocks",1,0)</f>
        <v>0</v>
      </c>
      <c r="AC71" s="73">
        <f>IF(All_data!R70="Bricks",1,0)</f>
        <v>1</v>
      </c>
      <c r="AD71" s="73">
        <f>IF(All_data!R70="Mud/poles",1,0)</f>
        <v>0</v>
      </c>
      <c r="AE71" s="73">
        <f>IF(All_data!S70="tiles",1,0)</f>
        <v>1</v>
      </c>
      <c r="AF71" s="73">
        <f>IF(All_data!S70="Cemented",1,0)</f>
        <v>0</v>
      </c>
      <c r="AG71" s="73">
        <f>IF(All_data!S70="Mud",1,0)</f>
        <v>0</v>
      </c>
      <c r="AH71" s="73">
        <f>IF(All_data!T70="House connection",1,0)</f>
        <v>0</v>
      </c>
      <c r="AI71" s="73">
        <f>IF(All_data!T70="Yard tap",1,0)</f>
        <v>0</v>
      </c>
      <c r="AJ71" s="73">
        <f>IF(All_data!T70="Stand pipe",1,0)</f>
        <v>0</v>
      </c>
      <c r="AK71" s="73">
        <f>IF(All_data!U70="Shared Facilities ",1,0)</f>
        <v>0</v>
      </c>
      <c r="AL71" s="73">
        <f>IF(All_data!V70="paved",0,1)</f>
        <v>1</v>
      </c>
      <c r="AM71" s="57">
        <v>10.34</v>
      </c>
      <c r="AN71" s="57">
        <v>0</v>
      </c>
      <c r="AO71" s="57">
        <v>0</v>
      </c>
      <c r="AP71" s="57">
        <v>0</v>
      </c>
      <c r="AQ71" s="58">
        <v>0.38400000000000001</v>
      </c>
      <c r="AR71" s="58">
        <v>0.34799999999999998</v>
      </c>
      <c r="AS71" s="58">
        <v>0.38800000000000001</v>
      </c>
      <c r="AT71" s="57">
        <v>0</v>
      </c>
      <c r="AU71" s="57">
        <v>0</v>
      </c>
      <c r="AV71" s="57">
        <v>1.129</v>
      </c>
      <c r="AW71" s="57">
        <v>12.589</v>
      </c>
      <c r="AX71" s="57">
        <v>1.7984285714285715</v>
      </c>
      <c r="AY71" s="57">
        <v>0.5994761904761905</v>
      </c>
      <c r="AZ71" s="47">
        <v>32</v>
      </c>
      <c r="BA71" s="57">
        <v>0.39340625000000001</v>
      </c>
    </row>
    <row r="72" spans="1:53" ht="15.5" x14ac:dyDescent="0.35">
      <c r="A72" s="59">
        <v>69</v>
      </c>
      <c r="B72" s="27" t="s">
        <v>184</v>
      </c>
      <c r="C72" s="26" t="s">
        <v>130</v>
      </c>
      <c r="D72" s="26" t="s">
        <v>131</v>
      </c>
      <c r="E72" s="26" t="s">
        <v>144</v>
      </c>
      <c r="F72" s="47">
        <f>IF(All_data!F71="low-income",1,IF(All_data!F71="Middle-Income",2,IF(All_data!F71="High-Income",3,"check")))</f>
        <v>2</v>
      </c>
      <c r="G72" s="56">
        <v>6</v>
      </c>
      <c r="H72" s="47">
        <f>IF(All_data!H71="18-35 years",2,IF(All_data!H71="36-60 years",3,IF(All_data!H71="&gt;60 years",4,1)))</f>
        <v>2</v>
      </c>
      <c r="I72" s="47">
        <f>IF(All_data!I71="Male",0,1)</f>
        <v>0</v>
      </c>
      <c r="J72" s="73">
        <f>IF(All_data!J71="Illiterate",1,IF(All_data!J71="Primary",2,IF(All_data!J71="secondary",3,IF(All_data!J71="Tertiary",4,"check"))))</f>
        <v>4</v>
      </c>
      <c r="K72" s="47">
        <f>IF(All_data!K71="Government Employee",1,0)</f>
        <v>0</v>
      </c>
      <c r="L72" s="47">
        <f>IF(All_data!K71="Private Employee",1,0)</f>
        <v>1</v>
      </c>
      <c r="M72" s="47">
        <f>IF(All_data!K71="Business",1,0)</f>
        <v>0</v>
      </c>
      <c r="N72" s="47">
        <f>IF(All_data!K71="Student",1,0)</f>
        <v>0</v>
      </c>
      <c r="O72" s="47">
        <f>IF(All_data!K71="Housewife",1,0)</f>
        <v>0</v>
      </c>
      <c r="P72" s="47">
        <f>IF(All_data!K71="Retired",1,0)</f>
        <v>0</v>
      </c>
      <c r="Q72" s="47">
        <f>IF(All_data!L71="&lt;500,000",1,IF(All_data!L71="500,000 - 1,000,000",2,IF(All_data!L71="1,000,000 - 3,000,000",3,IF(All_data!L71="&gt;3,000,000",4,"check"))))</f>
        <v>2</v>
      </c>
      <c r="R72" s="63">
        <f>IF(All_data!M71="Spouse",1,0)</f>
        <v>1</v>
      </c>
      <c r="S72" s="47">
        <f>IF(All_data!M71="Son/Daughter",1,0)</f>
        <v>0</v>
      </c>
      <c r="T72" s="47">
        <f>IF(All_data!M71="Niece/nephew",1,0)</f>
        <v>0</v>
      </c>
      <c r="U72" s="47">
        <f>IF(All_data!M71="Household head",1,0)</f>
        <v>0</v>
      </c>
      <c r="V72" s="47">
        <f>IF(All_data!N71="&lt; 1 year",1,IF(All_data!N71="1-3 years",2,IF(All_data!N71="3-5 years",3,IF(All_data!N71="&gt; 5 years",4,"check"))))</f>
        <v>2</v>
      </c>
      <c r="W72" s="47">
        <f>IF(All_data!O71="Rented",1,0)</f>
        <v>1</v>
      </c>
      <c r="X72" s="73">
        <f>IF(All_data!P71="Bungalow",1,0)</f>
        <v>1</v>
      </c>
      <c r="Y72" s="73">
        <f>IF(All_data!P71="Temporary",1,0)</f>
        <v>0</v>
      </c>
      <c r="Z72" s="73">
        <f>IF(All_data!P71="Story Building",1,0)</f>
        <v>0</v>
      </c>
      <c r="AA72" s="73">
        <f>IF(All_data!Q71="Iron Sheets/titles",1,0)</f>
        <v>1</v>
      </c>
      <c r="AB72" s="74">
        <f>IF(All_data!R71="Concrete Blocks",1,0)</f>
        <v>0</v>
      </c>
      <c r="AC72" s="73">
        <f>IF(All_data!R71="Bricks",1,0)</f>
        <v>1</v>
      </c>
      <c r="AD72" s="73">
        <f>IF(All_data!R71="Mud/poles",1,0)</f>
        <v>0</v>
      </c>
      <c r="AE72" s="73">
        <f>IF(All_data!S71="tiles",1,0)</f>
        <v>1</v>
      </c>
      <c r="AF72" s="73">
        <f>IF(All_data!S71="Cemented",1,0)</f>
        <v>0</v>
      </c>
      <c r="AG72" s="73">
        <f>IF(All_data!S71="Mud",1,0)</f>
        <v>0</v>
      </c>
      <c r="AH72" s="73">
        <f>IF(All_data!T71="House connection",1,0)</f>
        <v>0</v>
      </c>
      <c r="AI72" s="73">
        <f>IF(All_data!T71="Yard tap",1,0)</f>
        <v>0</v>
      </c>
      <c r="AJ72" s="73">
        <f>IF(All_data!T71="Stand pipe",1,0)</f>
        <v>0</v>
      </c>
      <c r="AK72" s="73">
        <f>IF(All_data!U71="Shared Facilities ",1,0)</f>
        <v>0</v>
      </c>
      <c r="AL72" s="73">
        <f>IF(All_data!V71="paved",0,1)</f>
        <v>1</v>
      </c>
      <c r="AM72" s="57">
        <v>11.34</v>
      </c>
      <c r="AN72" s="57">
        <v>0</v>
      </c>
      <c r="AO72" s="57">
        <v>0</v>
      </c>
      <c r="AP72" s="57">
        <v>1.2999999999999999E-2</v>
      </c>
      <c r="AQ72" s="58">
        <v>0.29399999999999998</v>
      </c>
      <c r="AR72" s="58">
        <v>0.63400000000000001</v>
      </c>
      <c r="AS72" s="58">
        <v>0.627</v>
      </c>
      <c r="AT72" s="57">
        <v>0</v>
      </c>
      <c r="AU72" s="57">
        <v>0</v>
      </c>
      <c r="AV72" s="57">
        <v>0</v>
      </c>
      <c r="AW72" s="57">
        <v>12.908000000000001</v>
      </c>
      <c r="AX72" s="57">
        <v>1.8440000000000001</v>
      </c>
      <c r="AY72" s="57">
        <v>0.30733333333333335</v>
      </c>
      <c r="AZ72" s="47">
        <v>36</v>
      </c>
      <c r="BA72" s="57">
        <v>0.35855555555555557</v>
      </c>
    </row>
    <row r="73" spans="1:53" ht="15.5" x14ac:dyDescent="0.35">
      <c r="A73" s="59">
        <v>70</v>
      </c>
      <c r="B73" s="27" t="s">
        <v>185</v>
      </c>
      <c r="C73" s="26" t="s">
        <v>130</v>
      </c>
      <c r="D73" s="26" t="s">
        <v>131</v>
      </c>
      <c r="E73" s="26" t="s">
        <v>144</v>
      </c>
      <c r="F73" s="47">
        <f>IF(All_data!F72="low-income",1,IF(All_data!F72="Middle-Income",2,IF(All_data!F72="High-Income",3,"check")))</f>
        <v>2</v>
      </c>
      <c r="G73" s="56">
        <v>7</v>
      </c>
      <c r="H73" s="47">
        <f>IF(All_data!H72="18-35 years",2,IF(All_data!H72="36-60 years",3,IF(All_data!H72="&gt;60 years",4,1)))</f>
        <v>1</v>
      </c>
      <c r="I73" s="47">
        <f>IF(All_data!I72="Male",0,1)</f>
        <v>1</v>
      </c>
      <c r="J73" s="73">
        <f>IF(All_data!J72="Illiterate",1,IF(All_data!J72="Primary",2,IF(All_data!J72="secondary",3,IF(All_data!J72="Tertiary",4,"check"))))</f>
        <v>1</v>
      </c>
      <c r="K73" s="47">
        <f>IF(All_data!K72="Government Employee",1,0)</f>
        <v>0</v>
      </c>
      <c r="L73" s="47">
        <f>IF(All_data!K72="Private Employee",1,0)</f>
        <v>0</v>
      </c>
      <c r="M73" s="47">
        <f>IF(All_data!K72="Business",1,0)</f>
        <v>1</v>
      </c>
      <c r="N73" s="47">
        <f>IF(All_data!K72="Student",1,0)</f>
        <v>0</v>
      </c>
      <c r="O73" s="47">
        <f>IF(All_data!K72="Housewife",1,0)</f>
        <v>0</v>
      </c>
      <c r="P73" s="47">
        <f>IF(All_data!K72="Retired",1,0)</f>
        <v>0</v>
      </c>
      <c r="Q73" s="47">
        <f>IF(All_data!L72="&lt;500,000",1,IF(All_data!L72="500,000 - 1,000,000",2,IF(All_data!L72="1,000,000 - 3,000,000",3,IF(All_data!L72="&gt;3,000,000",4,"check"))))</f>
        <v>2</v>
      </c>
      <c r="R73" s="63">
        <f>IF(All_data!M72="Spouse",1,0)</f>
        <v>0</v>
      </c>
      <c r="S73" s="47">
        <f>IF(All_data!M72="Son/Daughter",1,0)</f>
        <v>0</v>
      </c>
      <c r="T73" s="47">
        <f>IF(All_data!M72="Niece/nephew",1,0)</f>
        <v>0</v>
      </c>
      <c r="U73" s="47">
        <f>IF(All_data!M72="Household head",1,0)</f>
        <v>1</v>
      </c>
      <c r="V73" s="47">
        <f>IF(All_data!N72="&lt; 1 year",1,IF(All_data!N72="1-3 years",2,IF(All_data!N72="3-5 years",3,IF(All_data!N72="&gt; 5 years",4,"check"))))</f>
        <v>4</v>
      </c>
      <c r="W73" s="47">
        <f>IF(All_data!O72="Rented",1,0)</f>
        <v>0</v>
      </c>
      <c r="X73" s="73">
        <f>IF(All_data!P72="Bungalow",1,0)</f>
        <v>1</v>
      </c>
      <c r="Y73" s="73">
        <f>IF(All_data!P72="Temporary",1,0)</f>
        <v>0</v>
      </c>
      <c r="Z73" s="73">
        <f>IF(All_data!P72="Story Building",1,0)</f>
        <v>0</v>
      </c>
      <c r="AA73" s="73">
        <f>IF(All_data!Q72="Iron Sheets/titles",1,0)</f>
        <v>1</v>
      </c>
      <c r="AB73" s="74">
        <f>IF(All_data!R72="Concrete Blocks",1,0)</f>
        <v>0</v>
      </c>
      <c r="AC73" s="73">
        <f>IF(All_data!R72="Bricks",1,0)</f>
        <v>1</v>
      </c>
      <c r="AD73" s="73">
        <f>IF(All_data!R72="Mud/poles",1,0)</f>
        <v>0</v>
      </c>
      <c r="AE73" s="73">
        <f>IF(All_data!S72="tiles",1,0)</f>
        <v>0</v>
      </c>
      <c r="AF73" s="73">
        <f>IF(All_data!S72="Cemented",1,0)</f>
        <v>1</v>
      </c>
      <c r="AG73" s="73">
        <f>IF(All_data!S72="Mud",1,0)</f>
        <v>0</v>
      </c>
      <c r="AH73" s="73">
        <f>IF(All_data!T72="House connection",1,0)</f>
        <v>0</v>
      </c>
      <c r="AI73" s="73">
        <f>IF(All_data!T72="Yard tap",1,0)</f>
        <v>0</v>
      </c>
      <c r="AJ73" s="73">
        <f>IF(All_data!T72="Stand pipe",1,0)</f>
        <v>0</v>
      </c>
      <c r="AK73" s="73">
        <f>IF(All_data!U72="Shared Facilities ",1,0)</f>
        <v>1</v>
      </c>
      <c r="AL73" s="73">
        <f>IF(All_data!V72="paved",0,1)</f>
        <v>1</v>
      </c>
      <c r="AM73" s="57">
        <v>22.38</v>
      </c>
      <c r="AN73" s="57">
        <v>0</v>
      </c>
      <c r="AO73" s="57">
        <v>0.23</v>
      </c>
      <c r="AP73" s="57">
        <v>0</v>
      </c>
      <c r="AQ73" s="58">
        <v>0.69099999999999995</v>
      </c>
      <c r="AR73" s="58">
        <v>0.57899999999999996</v>
      </c>
      <c r="AS73" s="58">
        <v>0.34499999999999997</v>
      </c>
      <c r="AT73" s="57">
        <v>0.37</v>
      </c>
      <c r="AU73" s="57">
        <v>0</v>
      </c>
      <c r="AV73" s="57">
        <v>2.78</v>
      </c>
      <c r="AW73" s="57">
        <v>27.375</v>
      </c>
      <c r="AX73" s="57">
        <v>3.9107142857142856</v>
      </c>
      <c r="AY73" s="57">
        <v>0.55867346938775508</v>
      </c>
      <c r="AZ73" s="47">
        <v>64</v>
      </c>
      <c r="BA73" s="47">
        <v>0.42799999999999999</v>
      </c>
    </row>
    <row r="74" spans="1:53" ht="15.5" x14ac:dyDescent="0.35">
      <c r="A74" s="59">
        <v>71</v>
      </c>
      <c r="B74" s="27" t="s">
        <v>186</v>
      </c>
      <c r="C74" s="26" t="s">
        <v>130</v>
      </c>
      <c r="D74" s="26" t="s">
        <v>131</v>
      </c>
      <c r="E74" s="26" t="s">
        <v>144</v>
      </c>
      <c r="F74" s="47">
        <f>IF(All_data!F73="low-income",1,IF(All_data!F73="Middle-Income",2,IF(All_data!F73="High-Income",3,"check")))</f>
        <v>2</v>
      </c>
      <c r="G74" s="56">
        <v>8</v>
      </c>
      <c r="H74" s="47">
        <f>IF(All_data!H73="18-35 years",2,IF(All_data!H73="36-60 years",3,IF(All_data!H73="&gt;60 years",4,1)))</f>
        <v>3</v>
      </c>
      <c r="I74" s="47">
        <f>IF(All_data!I73="Male",0,1)</f>
        <v>0</v>
      </c>
      <c r="J74" s="73">
        <f>IF(All_data!J73="Illiterate",1,IF(All_data!J73="Primary",2,IF(All_data!J73="secondary",3,IF(All_data!J73="Tertiary",4,"check"))))</f>
        <v>4</v>
      </c>
      <c r="K74" s="47">
        <f>IF(All_data!K73="Government Employee",1,0)</f>
        <v>0</v>
      </c>
      <c r="L74" s="47">
        <f>IF(All_data!K73="Private Employee",1,0)</f>
        <v>0</v>
      </c>
      <c r="M74" s="47">
        <f>IF(All_data!K73="Business",1,0)</f>
        <v>1</v>
      </c>
      <c r="N74" s="47">
        <f>IF(All_data!K73="Student",1,0)</f>
        <v>0</v>
      </c>
      <c r="O74" s="47">
        <f>IF(All_data!K73="Housewife",1,0)</f>
        <v>0</v>
      </c>
      <c r="P74" s="47">
        <f>IF(All_data!K73="Retired",1,0)</f>
        <v>0</v>
      </c>
      <c r="Q74" s="47">
        <f>IF(All_data!L73="&lt;500,000",1,IF(All_data!L73="500,000 - 1,000,000",2,IF(All_data!L73="1,000,000 - 3,000,000",3,IF(All_data!L73="&gt;3,000,000",4,"check"))))</f>
        <v>2</v>
      </c>
      <c r="R74" s="63">
        <f>IF(All_data!M73="Spouse",1,0)</f>
        <v>0</v>
      </c>
      <c r="S74" s="47">
        <f>IF(All_data!M73="Son/Daughter",1,0)</f>
        <v>1</v>
      </c>
      <c r="T74" s="47">
        <f>IF(All_data!M73="Niece/nephew",1,0)</f>
        <v>0</v>
      </c>
      <c r="U74" s="47">
        <f>IF(All_data!M73="Household head",1,0)</f>
        <v>0</v>
      </c>
      <c r="V74" s="47">
        <f>IF(All_data!N73="&lt; 1 year",1,IF(All_data!N73="1-3 years",2,IF(All_data!N73="3-5 years",3,IF(All_data!N73="&gt; 5 years",4,"check"))))</f>
        <v>4</v>
      </c>
      <c r="W74" s="47">
        <f>IF(All_data!O73="Rented",1,0)</f>
        <v>1</v>
      </c>
      <c r="X74" s="73">
        <f>IF(All_data!P73="Bungalow",1,0)</f>
        <v>1</v>
      </c>
      <c r="Y74" s="73">
        <f>IF(All_data!P73="Temporary",1,0)</f>
        <v>0</v>
      </c>
      <c r="Z74" s="73">
        <f>IF(All_data!P73="Story Building",1,0)</f>
        <v>0</v>
      </c>
      <c r="AA74" s="73">
        <f>IF(All_data!Q73="Iron Sheets/titles",1,0)</f>
        <v>1</v>
      </c>
      <c r="AB74" s="74">
        <f>IF(All_data!R73="Concrete Blocks",1,0)</f>
        <v>0</v>
      </c>
      <c r="AC74" s="73">
        <f>IF(All_data!R73="Bricks",1,0)</f>
        <v>1</v>
      </c>
      <c r="AD74" s="73">
        <f>IF(All_data!R73="Mud/poles",1,0)</f>
        <v>0</v>
      </c>
      <c r="AE74" s="73">
        <f>IF(All_data!S73="tiles",1,0)</f>
        <v>1</v>
      </c>
      <c r="AF74" s="73">
        <f>IF(All_data!S73="Cemented",1,0)</f>
        <v>0</v>
      </c>
      <c r="AG74" s="73">
        <f>IF(All_data!S73="Mud",1,0)</f>
        <v>0</v>
      </c>
      <c r="AH74" s="73">
        <f>IF(All_data!T73="House connection",1,0)</f>
        <v>0</v>
      </c>
      <c r="AI74" s="73">
        <f>IF(All_data!T73="Yard tap",1,0)</f>
        <v>0</v>
      </c>
      <c r="AJ74" s="73">
        <f>IF(All_data!T73="Stand pipe",1,0)</f>
        <v>0</v>
      </c>
      <c r="AK74" s="73">
        <f>IF(All_data!U73="Shared Facilities ",1,0)</f>
        <v>0</v>
      </c>
      <c r="AL74" s="73">
        <f>IF(All_data!V73="paved",0,1)</f>
        <v>1</v>
      </c>
      <c r="AM74" s="57">
        <v>23.54</v>
      </c>
      <c r="AN74" s="57">
        <v>0</v>
      </c>
      <c r="AO74" s="57">
        <v>0</v>
      </c>
      <c r="AP74" s="57">
        <v>0</v>
      </c>
      <c r="AQ74" s="58">
        <v>0.67800000000000005</v>
      </c>
      <c r="AR74" s="58">
        <v>0.41199999999999998</v>
      </c>
      <c r="AS74" s="58">
        <v>0.23400000000000001</v>
      </c>
      <c r="AT74" s="57">
        <v>0</v>
      </c>
      <c r="AU74" s="57">
        <v>0</v>
      </c>
      <c r="AV74" s="57">
        <v>1.68</v>
      </c>
      <c r="AW74" s="57">
        <v>26.544</v>
      </c>
      <c r="AX74" s="57">
        <v>3.7920000000000003</v>
      </c>
      <c r="AY74" s="57">
        <v>0.47400000000000003</v>
      </c>
      <c r="AZ74" s="47">
        <v>60</v>
      </c>
      <c r="BA74" s="47">
        <v>0.442</v>
      </c>
    </row>
    <row r="75" spans="1:53" ht="15.5" x14ac:dyDescent="0.35">
      <c r="A75" s="59">
        <v>72</v>
      </c>
      <c r="B75" s="27" t="s">
        <v>187</v>
      </c>
      <c r="C75" s="26" t="s">
        <v>153</v>
      </c>
      <c r="D75" s="26" t="s">
        <v>154</v>
      </c>
      <c r="E75" s="26" t="s">
        <v>155</v>
      </c>
      <c r="F75" s="47">
        <f>IF(All_data!F74="low-income",1,IF(All_data!F74="Middle-Income",2,IF(All_data!F74="High-Income",3,"check")))</f>
        <v>3</v>
      </c>
      <c r="G75" s="47">
        <v>6</v>
      </c>
      <c r="H75" s="47">
        <f>IF(All_data!H74="18-35 years",2,IF(All_data!H74="36-60 years",3,IF(All_data!H74="&gt;60 years",4,1)))</f>
        <v>4</v>
      </c>
      <c r="I75" s="47">
        <f>IF(All_data!I74="Male",0,1)</f>
        <v>0</v>
      </c>
      <c r="J75" s="73">
        <f>IF(All_data!J74="Illiterate",1,IF(All_data!J74="Primary",2,IF(All_data!J74="secondary",3,IF(All_data!J74="Tertiary",4,"check"))))</f>
        <v>4</v>
      </c>
      <c r="K75" s="47">
        <f>IF(All_data!K74="Government Employee",1,0)</f>
        <v>0</v>
      </c>
      <c r="L75" s="47">
        <f>IF(All_data!K74="Private Employee",1,0)</f>
        <v>0</v>
      </c>
      <c r="M75" s="47">
        <f>IF(All_data!K74="Business",1,0)</f>
        <v>1</v>
      </c>
      <c r="N75" s="47">
        <f>IF(All_data!K74="Student",1,0)</f>
        <v>0</v>
      </c>
      <c r="O75" s="47">
        <f>IF(All_data!K74="Housewife",1,0)</f>
        <v>0</v>
      </c>
      <c r="P75" s="47">
        <f>IF(All_data!K74="Retired",1,0)</f>
        <v>0</v>
      </c>
      <c r="Q75" s="47">
        <f>IF(All_data!L74="&lt;500,000",1,IF(All_data!L74="500,000 - 1,000,000",2,IF(All_data!L74="1,000,000 - 3,000,000",3,IF(All_data!L74="&gt;3,000,000",4,"check"))))</f>
        <v>4</v>
      </c>
      <c r="R75" s="63">
        <f>IF(All_data!M74="Spouse",1,0)</f>
        <v>1</v>
      </c>
      <c r="S75" s="47">
        <f>IF(All_data!M74="Son/Daughter",1,0)</f>
        <v>0</v>
      </c>
      <c r="T75" s="47">
        <f>IF(All_data!M74="Niece/nephew",1,0)</f>
        <v>0</v>
      </c>
      <c r="U75" s="47">
        <f>IF(All_data!M74="Household head",1,0)</f>
        <v>0</v>
      </c>
      <c r="V75" s="47">
        <f>IF(All_data!N74="&lt; 1 year",1,IF(All_data!N74="1-3 years",2,IF(All_data!N74="3-5 years",3,IF(All_data!N74="&gt; 5 years",4,"check"))))</f>
        <v>4</v>
      </c>
      <c r="W75" s="47">
        <f>IF(All_data!O74="Rented",1,0)</f>
        <v>0</v>
      </c>
      <c r="X75" s="73">
        <f>IF(All_data!P74="Bungalow",1,0)</f>
        <v>0</v>
      </c>
      <c r="Y75" s="73">
        <f>IF(All_data!P74="Temporary",1,0)</f>
        <v>0</v>
      </c>
      <c r="Z75" s="73">
        <f>IF(All_data!P74="Story Building",1,0)</f>
        <v>1</v>
      </c>
      <c r="AA75" s="73">
        <f>IF(All_data!Q74="Iron Sheets/titles",1,0)</f>
        <v>1</v>
      </c>
      <c r="AB75" s="74">
        <f>IF(All_data!R74="Concrete Blocks",1,0)</f>
        <v>0</v>
      </c>
      <c r="AC75" s="73">
        <f>IF(All_data!R74="Bricks",1,0)</f>
        <v>1</v>
      </c>
      <c r="AD75" s="73">
        <f>IF(All_data!R74="Mud/poles",1,0)</f>
        <v>0</v>
      </c>
      <c r="AE75" s="73">
        <f>IF(All_data!S74="tiles",1,0)</f>
        <v>1</v>
      </c>
      <c r="AF75" s="73">
        <f>IF(All_data!S74="Cemented",1,0)</f>
        <v>0</v>
      </c>
      <c r="AG75" s="73">
        <f>IF(All_data!S74="Mud",1,0)</f>
        <v>0</v>
      </c>
      <c r="AH75" s="73">
        <f>IF(All_data!T74="House connection",1,0)</f>
        <v>1</v>
      </c>
      <c r="AI75" s="73">
        <f>IF(All_data!T74="Yard tap",1,0)</f>
        <v>0</v>
      </c>
      <c r="AJ75" s="73">
        <f>IF(All_data!T74="Stand pipe",1,0)</f>
        <v>0</v>
      </c>
      <c r="AK75" s="73">
        <f>IF(All_data!U74="Shared Facilities ",1,0)</f>
        <v>0</v>
      </c>
      <c r="AL75" s="73">
        <f>IF(All_data!V74="paved",0,1)</f>
        <v>0</v>
      </c>
      <c r="AM75" s="55">
        <v>42.2</v>
      </c>
      <c r="AN75" s="55">
        <v>0</v>
      </c>
      <c r="AO75" s="55">
        <v>0</v>
      </c>
      <c r="AP75" s="55">
        <v>0.153</v>
      </c>
      <c r="AQ75" s="55">
        <v>0.58599999999999997</v>
      </c>
      <c r="AR75" s="55">
        <v>0.66800000000000004</v>
      </c>
      <c r="AS75" s="55">
        <v>1.03</v>
      </c>
      <c r="AT75" s="55">
        <v>0</v>
      </c>
      <c r="AU75" s="55">
        <v>0.96299999999999997</v>
      </c>
      <c r="AV75" s="55">
        <v>4.38</v>
      </c>
      <c r="AW75" s="55">
        <v>49.980000000000004</v>
      </c>
      <c r="AX75" s="55">
        <v>7.1400000000000006</v>
      </c>
      <c r="AY75" s="55">
        <v>1.1900000000000002</v>
      </c>
      <c r="AZ75" s="55">
        <v>160</v>
      </c>
      <c r="BA75" s="55">
        <v>0.31237500000000001</v>
      </c>
    </row>
    <row r="76" spans="1:53" ht="15.5" x14ac:dyDescent="0.35">
      <c r="A76" s="59">
        <v>73</v>
      </c>
      <c r="B76" s="27" t="s">
        <v>188</v>
      </c>
      <c r="C76" s="26" t="s">
        <v>153</v>
      </c>
      <c r="D76" s="26" t="s">
        <v>154</v>
      </c>
      <c r="E76" s="26" t="s">
        <v>155</v>
      </c>
      <c r="F76" s="47">
        <f>IF(All_data!F75="low-income",1,IF(All_data!F75="Middle-Income",2,IF(All_data!F75="High-Income",3,"check")))</f>
        <v>3</v>
      </c>
      <c r="G76" s="47">
        <v>9</v>
      </c>
      <c r="H76" s="47">
        <f>IF(All_data!H75="18-35 years",2,IF(All_data!H75="36-60 years",3,IF(All_data!H75="&gt;60 years",4,1)))</f>
        <v>2</v>
      </c>
      <c r="I76" s="47">
        <f>IF(All_data!I75="Male",0,1)</f>
        <v>1</v>
      </c>
      <c r="J76" s="73">
        <f>IF(All_data!J75="Illiterate",1,IF(All_data!J75="Primary",2,IF(All_data!J75="secondary",3,IF(All_data!J75="Tertiary",4,"check"))))</f>
        <v>4</v>
      </c>
      <c r="K76" s="47">
        <f>IF(All_data!K75="Government Employee",1,0)</f>
        <v>1</v>
      </c>
      <c r="L76" s="47">
        <f>IF(All_data!K75="Private Employee",1,0)</f>
        <v>0</v>
      </c>
      <c r="M76" s="47">
        <f>IF(All_data!K75="Business",1,0)</f>
        <v>0</v>
      </c>
      <c r="N76" s="47">
        <f>IF(All_data!K75="Student",1,0)</f>
        <v>0</v>
      </c>
      <c r="O76" s="47">
        <f>IF(All_data!K75="Housewife",1,0)</f>
        <v>0</v>
      </c>
      <c r="P76" s="47">
        <f>IF(All_data!K75="Retired",1,0)</f>
        <v>0</v>
      </c>
      <c r="Q76" s="47">
        <f>IF(All_data!L75="&lt;500,000",1,IF(All_data!L75="500,000 - 1,000,000",2,IF(All_data!L75="1,000,000 - 3,000,000",3,IF(All_data!L75="&gt;3,000,000",4,"check"))))</f>
        <v>3</v>
      </c>
      <c r="R76" s="63">
        <f>IF(All_data!M75="Spouse",1,0)</f>
        <v>0</v>
      </c>
      <c r="S76" s="47">
        <f>IF(All_data!M75="Son/Daughter",1,0)</f>
        <v>0</v>
      </c>
      <c r="T76" s="47">
        <f>IF(All_data!M75="Niece/nephew",1,0)</f>
        <v>0</v>
      </c>
      <c r="U76" s="47">
        <f>IF(All_data!M75="Household head",1,0)</f>
        <v>1</v>
      </c>
      <c r="V76" s="47">
        <f>IF(All_data!N75="&lt; 1 year",1,IF(All_data!N75="1-3 years",2,IF(All_data!N75="3-5 years",3,IF(All_data!N75="&gt; 5 years",4,"check"))))</f>
        <v>4</v>
      </c>
      <c r="W76" s="47">
        <f>IF(All_data!O75="Rented",1,0)</f>
        <v>0</v>
      </c>
      <c r="X76" s="73">
        <f>IF(All_data!P75="Bungalow",1,0)</f>
        <v>0</v>
      </c>
      <c r="Y76" s="73">
        <f>IF(All_data!P75="Temporary",1,0)</f>
        <v>0</v>
      </c>
      <c r="Z76" s="73">
        <f>IF(All_data!P75="Story Building",1,0)</f>
        <v>1</v>
      </c>
      <c r="AA76" s="73">
        <f>IF(All_data!Q75="Iron Sheets/titles",1,0)</f>
        <v>1</v>
      </c>
      <c r="AB76" s="74">
        <f>IF(All_data!R75="Concrete Blocks",1,0)</f>
        <v>0</v>
      </c>
      <c r="AC76" s="73">
        <f>IF(All_data!R75="Bricks",1,0)</f>
        <v>1</v>
      </c>
      <c r="AD76" s="73">
        <f>IF(All_data!R75="Mud/poles",1,0)</f>
        <v>0</v>
      </c>
      <c r="AE76" s="73">
        <f>IF(All_data!S75="tiles",1,0)</f>
        <v>1</v>
      </c>
      <c r="AF76" s="73">
        <f>IF(All_data!S75="Cemented",1,0)</f>
        <v>0</v>
      </c>
      <c r="AG76" s="73">
        <f>IF(All_data!S75="Mud",1,0)</f>
        <v>0</v>
      </c>
      <c r="AH76" s="73">
        <f>IF(All_data!T75="House connection",1,0)</f>
        <v>1</v>
      </c>
      <c r="AI76" s="73">
        <f>IF(All_data!T75="Yard tap",1,0)</f>
        <v>0</v>
      </c>
      <c r="AJ76" s="73">
        <f>IF(All_data!T75="Stand pipe",1,0)</f>
        <v>0</v>
      </c>
      <c r="AK76" s="73">
        <f>IF(All_data!U75="Shared Facilities ",1,0)</f>
        <v>0</v>
      </c>
      <c r="AL76" s="73">
        <f>IF(All_data!V75="paved",0,1)</f>
        <v>0</v>
      </c>
      <c r="AM76" s="55">
        <v>36.980000000000004</v>
      </c>
      <c r="AN76" s="55">
        <v>2.4</v>
      </c>
      <c r="AO76" s="55">
        <v>0</v>
      </c>
      <c r="AP76" s="55">
        <v>0.16700000000000001</v>
      </c>
      <c r="AQ76" s="55">
        <v>0.34499999999999997</v>
      </c>
      <c r="AR76" s="55">
        <v>0.54300000000000004</v>
      </c>
      <c r="AS76" s="55">
        <v>0.879</v>
      </c>
      <c r="AT76" s="55">
        <v>0</v>
      </c>
      <c r="AU76" s="55">
        <v>0</v>
      </c>
      <c r="AV76" s="55">
        <v>5.67</v>
      </c>
      <c r="AW76" s="55">
        <v>46.984000000000002</v>
      </c>
      <c r="AX76" s="55">
        <v>6.7120000000000006</v>
      </c>
      <c r="AY76" s="55">
        <v>0.74577777777777787</v>
      </c>
      <c r="AZ76" s="55">
        <v>150</v>
      </c>
      <c r="BA76" s="55">
        <v>0.31322666666666665</v>
      </c>
    </row>
    <row r="77" spans="1:53" ht="15.5" x14ac:dyDescent="0.35">
      <c r="A77" s="59">
        <v>74</v>
      </c>
      <c r="B77" s="27" t="s">
        <v>189</v>
      </c>
      <c r="C77" s="26" t="s">
        <v>153</v>
      </c>
      <c r="D77" s="26" t="s">
        <v>154</v>
      </c>
      <c r="E77" s="26" t="s">
        <v>155</v>
      </c>
      <c r="F77" s="47">
        <f>IF(All_data!F76="low-income",1,IF(All_data!F76="Middle-Income",2,IF(All_data!F76="High-Income",3,"check")))</f>
        <v>3</v>
      </c>
      <c r="G77" s="47">
        <v>8</v>
      </c>
      <c r="H77" s="47">
        <f>IF(All_data!H76="18-35 years",2,IF(All_data!H76="36-60 years",3,IF(All_data!H76="&gt;60 years",4,1)))</f>
        <v>4</v>
      </c>
      <c r="I77" s="47">
        <f>IF(All_data!I76="Male",0,1)</f>
        <v>0</v>
      </c>
      <c r="J77" s="73">
        <f>IF(All_data!J76="Illiterate",1,IF(All_data!J76="Primary",2,IF(All_data!J76="secondary",3,IF(All_data!J76="Tertiary",4,"check"))))</f>
        <v>4</v>
      </c>
      <c r="K77" s="47">
        <f>IF(All_data!K76="Government Employee",1,0)</f>
        <v>0</v>
      </c>
      <c r="L77" s="47">
        <f>IF(All_data!K76="Private Employee",1,0)</f>
        <v>1</v>
      </c>
      <c r="M77" s="47">
        <f>IF(All_data!K76="Business",1,0)</f>
        <v>0</v>
      </c>
      <c r="N77" s="47">
        <f>IF(All_data!K76="Student",1,0)</f>
        <v>0</v>
      </c>
      <c r="O77" s="47">
        <f>IF(All_data!K76="Housewife",1,0)</f>
        <v>0</v>
      </c>
      <c r="P77" s="47">
        <f>IF(All_data!K76="Retired",1,0)</f>
        <v>0</v>
      </c>
      <c r="Q77" s="47">
        <f>IF(All_data!L76="&lt;500,000",1,IF(All_data!L76="500,000 - 1,000,000",2,IF(All_data!L76="1,000,000 - 3,000,000",3,IF(All_data!L76="&gt;3,000,000",4,"check"))))</f>
        <v>4</v>
      </c>
      <c r="R77" s="63">
        <f>IF(All_data!M76="Spouse",1,0)</f>
        <v>0</v>
      </c>
      <c r="S77" s="47">
        <f>IF(All_data!M76="Son/Daughter",1,0)</f>
        <v>0</v>
      </c>
      <c r="T77" s="47">
        <f>IF(All_data!M76="Niece/nephew",1,0)</f>
        <v>0</v>
      </c>
      <c r="U77" s="47">
        <f>IF(All_data!M76="Household head",1,0)</f>
        <v>1</v>
      </c>
      <c r="V77" s="47">
        <f>IF(All_data!N76="&lt; 1 year",1,IF(All_data!N76="1-3 years",2,IF(All_data!N76="3-5 years",3,IF(All_data!N76="&gt; 5 years",4,"check"))))</f>
        <v>4</v>
      </c>
      <c r="W77" s="47">
        <f>IF(All_data!O76="Rented",1,0)</f>
        <v>0</v>
      </c>
      <c r="X77" s="73">
        <f>IF(All_data!P76="Bungalow",1,0)</f>
        <v>0</v>
      </c>
      <c r="Y77" s="73">
        <f>IF(All_data!P76="Temporary",1,0)</f>
        <v>0</v>
      </c>
      <c r="Z77" s="73">
        <f>IF(All_data!P76="Story Building",1,0)</f>
        <v>1</v>
      </c>
      <c r="AA77" s="73">
        <f>IF(All_data!Q76="Iron Sheets/titles",1,0)</f>
        <v>1</v>
      </c>
      <c r="AB77" s="74">
        <f>IF(All_data!R76="Concrete Blocks",1,0)</f>
        <v>1</v>
      </c>
      <c r="AC77" s="73">
        <f>IF(All_data!R76="Bricks",1,0)</f>
        <v>0</v>
      </c>
      <c r="AD77" s="73">
        <f>IF(All_data!R76="Mud/poles",1,0)</f>
        <v>0</v>
      </c>
      <c r="AE77" s="73">
        <f>IF(All_data!S76="tiles",1,0)</f>
        <v>1</v>
      </c>
      <c r="AF77" s="73">
        <f>IF(All_data!S76="Cemented",1,0)</f>
        <v>0</v>
      </c>
      <c r="AG77" s="73">
        <f>IF(All_data!S76="Mud",1,0)</f>
        <v>0</v>
      </c>
      <c r="AH77" s="73">
        <f>IF(All_data!T76="House connection",1,0)</f>
        <v>1</v>
      </c>
      <c r="AI77" s="73">
        <f>IF(All_data!T76="Yard tap",1,0)</f>
        <v>0</v>
      </c>
      <c r="AJ77" s="73">
        <f>IF(All_data!T76="Stand pipe",1,0)</f>
        <v>0</v>
      </c>
      <c r="AK77" s="73">
        <f>IF(All_data!U76="Shared Facilities ",1,0)</f>
        <v>0</v>
      </c>
      <c r="AL77" s="73">
        <f>IF(All_data!V76="paved",0,1)</f>
        <v>0</v>
      </c>
      <c r="AM77" s="55">
        <v>18.62</v>
      </c>
      <c r="AN77" s="55">
        <v>0.53400000000000003</v>
      </c>
      <c r="AO77" s="55">
        <v>0</v>
      </c>
      <c r="AP77" s="55">
        <v>0</v>
      </c>
      <c r="AQ77" s="55">
        <v>0.52300000000000002</v>
      </c>
      <c r="AR77" s="55">
        <v>0.78200000000000003</v>
      </c>
      <c r="AS77" s="55">
        <v>0.94599999999999995</v>
      </c>
      <c r="AT77" s="55">
        <v>0</v>
      </c>
      <c r="AU77" s="55">
        <v>0.83399999999999996</v>
      </c>
      <c r="AV77" s="55">
        <v>0.26100000000000001</v>
      </c>
      <c r="AW77" s="55">
        <v>22.5</v>
      </c>
      <c r="AX77" s="55">
        <v>3.2142857142857144</v>
      </c>
      <c r="AY77" s="55">
        <v>0.4017857142857143</v>
      </c>
      <c r="AZ77" s="55">
        <v>80</v>
      </c>
      <c r="BA77" s="55">
        <v>0.28125</v>
      </c>
    </row>
    <row r="78" spans="1:53" ht="15.5" x14ac:dyDescent="0.35">
      <c r="A78" s="59">
        <v>75</v>
      </c>
      <c r="B78" s="27" t="s">
        <v>190</v>
      </c>
      <c r="C78" s="26" t="s">
        <v>153</v>
      </c>
      <c r="D78" s="26" t="s">
        <v>154</v>
      </c>
      <c r="E78" s="26" t="s">
        <v>155</v>
      </c>
      <c r="F78" s="47">
        <f>IF(All_data!F77="low-income",1,IF(All_data!F77="Middle-Income",2,IF(All_data!F77="High-Income",3,"check")))</f>
        <v>3</v>
      </c>
      <c r="G78" s="47">
        <v>2</v>
      </c>
      <c r="H78" s="47">
        <f>IF(All_data!H77="18-35 years",2,IF(All_data!H77="36-60 years",3,IF(All_data!H77="&gt;60 years",4,1)))</f>
        <v>4</v>
      </c>
      <c r="I78" s="47">
        <f>IF(All_data!I77="Male",0,1)</f>
        <v>0</v>
      </c>
      <c r="J78" s="73">
        <f>IF(All_data!J77="Illiterate",1,IF(All_data!J77="Primary",2,IF(All_data!J77="secondary",3,IF(All_data!J77="Tertiary",4,"check"))))</f>
        <v>4</v>
      </c>
      <c r="K78" s="47">
        <f>IF(All_data!K77="Government Employee",1,0)</f>
        <v>0</v>
      </c>
      <c r="L78" s="47">
        <f>IF(All_data!K77="Private Employee",1,0)</f>
        <v>0</v>
      </c>
      <c r="M78" s="47">
        <f>IF(All_data!K77="Business",1,0)</f>
        <v>0</v>
      </c>
      <c r="N78" s="47">
        <f>IF(All_data!K77="Student",1,0)</f>
        <v>0</v>
      </c>
      <c r="O78" s="47">
        <f>IF(All_data!K77="Housewife",1,0)</f>
        <v>0</v>
      </c>
      <c r="P78" s="47">
        <f>IF(All_data!K77="Retired",1,0)</f>
        <v>1</v>
      </c>
      <c r="Q78" s="47">
        <f>IF(All_data!L77="&lt;500,000",1,IF(All_data!L77="500,000 - 1,000,000",2,IF(All_data!L77="1,000,000 - 3,000,000",3,IF(All_data!L77="&gt;3,000,000",4,"check"))))</f>
        <v>3</v>
      </c>
      <c r="R78" s="63">
        <f>IF(All_data!M77="Spouse",1,0)</f>
        <v>0</v>
      </c>
      <c r="S78" s="47">
        <f>IF(All_data!M77="Son/Daughter",1,0)</f>
        <v>0</v>
      </c>
      <c r="T78" s="47">
        <f>IF(All_data!M77="Niece/nephew",1,0)</f>
        <v>0</v>
      </c>
      <c r="U78" s="47">
        <f>IF(All_data!M77="Household head",1,0)</f>
        <v>1</v>
      </c>
      <c r="V78" s="47">
        <f>IF(All_data!N77="&lt; 1 year",1,IF(All_data!N77="1-3 years",2,IF(All_data!N77="3-5 years",3,IF(All_data!N77="&gt; 5 years",4,"check"))))</f>
        <v>4</v>
      </c>
      <c r="W78" s="47">
        <f>IF(All_data!O77="Rented",1,0)</f>
        <v>0</v>
      </c>
      <c r="X78" s="73">
        <f>IF(All_data!P77="Bungalow",1,0)</f>
        <v>0</v>
      </c>
      <c r="Y78" s="73">
        <f>IF(All_data!P77="Temporary",1,0)</f>
        <v>0</v>
      </c>
      <c r="Z78" s="73">
        <f>IF(All_data!P77="Story Building",1,0)</f>
        <v>1</v>
      </c>
      <c r="AA78" s="73">
        <f>IF(All_data!Q77="Iron Sheets/titles",1,0)</f>
        <v>1</v>
      </c>
      <c r="AB78" s="74">
        <f>IF(All_data!R77="Concrete Blocks",1,0)</f>
        <v>0</v>
      </c>
      <c r="AC78" s="73">
        <f>IF(All_data!R77="Bricks",1,0)</f>
        <v>1</v>
      </c>
      <c r="AD78" s="73">
        <f>IF(All_data!R77="Mud/poles",1,0)</f>
        <v>0</v>
      </c>
      <c r="AE78" s="73">
        <f>IF(All_data!S77="tiles",1,0)</f>
        <v>1</v>
      </c>
      <c r="AF78" s="73">
        <f>IF(All_data!S77="Cemented",1,0)</f>
        <v>0</v>
      </c>
      <c r="AG78" s="73">
        <f>IF(All_data!S77="Mud",1,0)</f>
        <v>0</v>
      </c>
      <c r="AH78" s="73">
        <f>IF(All_data!T77="House connection",1,0)</f>
        <v>1</v>
      </c>
      <c r="AI78" s="73">
        <f>IF(All_data!T77="Yard tap",1,0)</f>
        <v>0</v>
      </c>
      <c r="AJ78" s="73">
        <f>IF(All_data!T77="Stand pipe",1,0)</f>
        <v>0</v>
      </c>
      <c r="AK78" s="73">
        <f>IF(All_data!U77="Shared Facilities ",1,0)</f>
        <v>0</v>
      </c>
      <c r="AL78" s="73">
        <f>IF(All_data!V77="paved",0,1)</f>
        <v>0</v>
      </c>
      <c r="AM78" s="55">
        <v>4.32</v>
      </c>
      <c r="AN78" s="55">
        <v>6.12</v>
      </c>
      <c r="AO78" s="55">
        <v>0</v>
      </c>
      <c r="AP78" s="55">
        <v>0</v>
      </c>
      <c r="AQ78" s="55">
        <v>0.128</v>
      </c>
      <c r="AR78" s="55">
        <v>0.45</v>
      </c>
      <c r="AS78" s="55">
        <v>0.54</v>
      </c>
      <c r="AT78" s="55">
        <v>0</v>
      </c>
      <c r="AU78" s="55">
        <v>0</v>
      </c>
      <c r="AV78" s="55">
        <v>0</v>
      </c>
      <c r="AW78" s="55">
        <v>11.558</v>
      </c>
      <c r="AX78" s="55">
        <v>1.651142857142857</v>
      </c>
      <c r="AY78" s="55">
        <v>0.82557142857142851</v>
      </c>
      <c r="AZ78" s="55">
        <v>36</v>
      </c>
      <c r="BA78" s="55">
        <v>0.32105555555555554</v>
      </c>
    </row>
    <row r="79" spans="1:53" ht="15.5" x14ac:dyDescent="0.35">
      <c r="A79" s="59">
        <v>76</v>
      </c>
      <c r="B79" s="27" t="s">
        <v>191</v>
      </c>
      <c r="C79" s="26" t="s">
        <v>153</v>
      </c>
      <c r="D79" s="26" t="s">
        <v>154</v>
      </c>
      <c r="E79" s="26" t="s">
        <v>155</v>
      </c>
      <c r="F79" s="47">
        <f>IF(All_data!F78="low-income",1,IF(All_data!F78="Middle-Income",2,IF(All_data!F78="High-Income",3,"check")))</f>
        <v>3</v>
      </c>
      <c r="G79" s="47">
        <v>4</v>
      </c>
      <c r="H79" s="47">
        <f>IF(All_data!H78="18-35 years",2,IF(All_data!H78="36-60 years",3,IF(All_data!H78="&gt;60 years",4,1)))</f>
        <v>3</v>
      </c>
      <c r="I79" s="47">
        <f>IF(All_data!I78="Male",0,1)</f>
        <v>0</v>
      </c>
      <c r="J79" s="73">
        <f>IF(All_data!J78="Illiterate",1,IF(All_data!J78="Primary",2,IF(All_data!J78="secondary",3,IF(All_data!J78="Tertiary",4,"check"))))</f>
        <v>4</v>
      </c>
      <c r="K79" s="47">
        <f>IF(All_data!K78="Government Employee",1,0)</f>
        <v>0</v>
      </c>
      <c r="L79" s="47">
        <f>IF(All_data!K78="Private Employee",1,0)</f>
        <v>1</v>
      </c>
      <c r="M79" s="47">
        <f>IF(All_data!K78="Business",1,0)</f>
        <v>0</v>
      </c>
      <c r="N79" s="47">
        <f>IF(All_data!K78="Student",1,0)</f>
        <v>0</v>
      </c>
      <c r="O79" s="47">
        <f>IF(All_data!K78="Housewife",1,0)</f>
        <v>0</v>
      </c>
      <c r="P79" s="47">
        <f>IF(All_data!K78="Retired",1,0)</f>
        <v>0</v>
      </c>
      <c r="Q79" s="47">
        <f>IF(All_data!L78="&lt;500,000",1,IF(All_data!L78="500,000 - 1,000,000",2,IF(All_data!L78="1,000,000 - 3,000,000",3,IF(All_data!L78="&gt;3,000,000",4,"check"))))</f>
        <v>3</v>
      </c>
      <c r="R79" s="63">
        <f>IF(All_data!M78="Spouse",1,0)</f>
        <v>0</v>
      </c>
      <c r="S79" s="47">
        <f>IF(All_data!M78="Son/Daughter",1,0)</f>
        <v>0</v>
      </c>
      <c r="T79" s="47">
        <f>IF(All_data!M78="Niece/nephew",1,0)</f>
        <v>0</v>
      </c>
      <c r="U79" s="47">
        <f>IF(All_data!M78="Household head",1,0)</f>
        <v>1</v>
      </c>
      <c r="V79" s="47">
        <f>IF(All_data!N78="&lt; 1 year",1,IF(All_data!N78="1-3 years",2,IF(All_data!N78="3-5 years",3,IF(All_data!N78="&gt; 5 years",4,"check"))))</f>
        <v>4</v>
      </c>
      <c r="W79" s="47">
        <f>IF(All_data!O78="Rented",1,0)</f>
        <v>0</v>
      </c>
      <c r="X79" s="73">
        <f>IF(All_data!P78="Bungalow",1,0)</f>
        <v>1</v>
      </c>
      <c r="Y79" s="73">
        <f>IF(All_data!P78="Temporary",1,0)</f>
        <v>0</v>
      </c>
      <c r="Z79" s="73">
        <f>IF(All_data!P78="Story Building",1,0)</f>
        <v>0</v>
      </c>
      <c r="AA79" s="73">
        <f>IF(All_data!Q78="Iron Sheets/titles",1,0)</f>
        <v>0</v>
      </c>
      <c r="AB79" s="74">
        <f>IF(All_data!R78="Concrete Blocks",1,0)</f>
        <v>0</v>
      </c>
      <c r="AC79" s="73">
        <f>IF(All_data!R78="Bricks",1,0)</f>
        <v>1</v>
      </c>
      <c r="AD79" s="73">
        <f>IF(All_data!R78="Mud/poles",1,0)</f>
        <v>0</v>
      </c>
      <c r="AE79" s="73">
        <f>IF(All_data!S78="tiles",1,0)</f>
        <v>1</v>
      </c>
      <c r="AF79" s="73">
        <f>IF(All_data!S78="Cemented",1,0)</f>
        <v>0</v>
      </c>
      <c r="AG79" s="73">
        <f>IF(All_data!S78="Mud",1,0)</f>
        <v>0</v>
      </c>
      <c r="AH79" s="73">
        <f>IF(All_data!T78="House connection",1,0)</f>
        <v>1</v>
      </c>
      <c r="AI79" s="73">
        <f>IF(All_data!T78="Yard tap",1,0)</f>
        <v>0</v>
      </c>
      <c r="AJ79" s="73">
        <f>IF(All_data!T78="Stand pipe",1,0)</f>
        <v>0</v>
      </c>
      <c r="AK79" s="73">
        <f>IF(All_data!U78="Shared Facilities ",1,0)</f>
        <v>0</v>
      </c>
      <c r="AL79" s="73">
        <f>IF(All_data!V78="paved",0,1)</f>
        <v>0</v>
      </c>
      <c r="AM79" s="55">
        <v>16.28</v>
      </c>
      <c r="AN79" s="55">
        <v>0</v>
      </c>
      <c r="AO79" s="55">
        <v>0</v>
      </c>
      <c r="AP79" s="55">
        <v>0</v>
      </c>
      <c r="AQ79" s="55">
        <v>0</v>
      </c>
      <c r="AR79" s="55">
        <v>0.34499999999999997</v>
      </c>
      <c r="AS79" s="55">
        <v>0.56299999999999994</v>
      </c>
      <c r="AT79" s="55">
        <v>0</v>
      </c>
      <c r="AU79" s="55">
        <v>0.69599999999999995</v>
      </c>
      <c r="AV79" s="55">
        <v>3.2160000000000002</v>
      </c>
      <c r="AW79" s="55">
        <v>21.1</v>
      </c>
      <c r="AX79" s="55">
        <v>3.0142857142857147</v>
      </c>
      <c r="AY79" s="55">
        <v>0.75357142857142867</v>
      </c>
      <c r="AZ79" s="55">
        <v>68</v>
      </c>
      <c r="BA79" s="55">
        <v>0.31029411764705883</v>
      </c>
    </row>
    <row r="80" spans="1:53" ht="15.5" x14ac:dyDescent="0.35">
      <c r="A80" s="59">
        <v>77</v>
      </c>
      <c r="B80" s="27" t="s">
        <v>192</v>
      </c>
      <c r="C80" s="26" t="s">
        <v>153</v>
      </c>
      <c r="D80" s="26" t="s">
        <v>154</v>
      </c>
      <c r="E80" s="26" t="s">
        <v>155</v>
      </c>
      <c r="F80" s="47">
        <f>IF(All_data!F79="low-income",1,IF(All_data!F79="Middle-Income",2,IF(All_data!F79="High-Income",3,"check")))</f>
        <v>3</v>
      </c>
      <c r="G80" s="47">
        <v>6</v>
      </c>
      <c r="H80" s="47">
        <f>IF(All_data!H79="18-35 years",2,IF(All_data!H79="36-60 years",3,IF(All_data!H79="&gt;60 years",4,1)))</f>
        <v>3</v>
      </c>
      <c r="I80" s="47">
        <f>IF(All_data!I79="Male",0,1)</f>
        <v>0</v>
      </c>
      <c r="J80" s="73">
        <f>IF(All_data!J79="Illiterate",1,IF(All_data!J79="Primary",2,IF(All_data!J79="secondary",3,IF(All_data!J79="Tertiary",4,"check"))))</f>
        <v>4</v>
      </c>
      <c r="K80" s="47">
        <f>IF(All_data!K79="Government Employee",1,0)</f>
        <v>1</v>
      </c>
      <c r="L80" s="47">
        <f>IF(All_data!K79="Private Employee",1,0)</f>
        <v>0</v>
      </c>
      <c r="M80" s="47">
        <f>IF(All_data!K79="Business",1,0)</f>
        <v>0</v>
      </c>
      <c r="N80" s="47">
        <f>IF(All_data!K79="Student",1,0)</f>
        <v>0</v>
      </c>
      <c r="O80" s="47">
        <f>IF(All_data!K79="Housewife",1,0)</f>
        <v>0</v>
      </c>
      <c r="P80" s="47">
        <f>IF(All_data!K79="Retired",1,0)</f>
        <v>0</v>
      </c>
      <c r="Q80" s="47">
        <f>IF(All_data!L79="&lt;500,000",1,IF(All_data!L79="500,000 - 1,000,000",2,IF(All_data!L79="1,000,000 - 3,000,000",3,IF(All_data!L79="&gt;3,000,000",4,"check"))))</f>
        <v>4</v>
      </c>
      <c r="R80" s="63">
        <f>IF(All_data!M79="Spouse",1,0)</f>
        <v>0</v>
      </c>
      <c r="S80" s="47">
        <f>IF(All_data!M79="Son/Daughter",1,0)</f>
        <v>0</v>
      </c>
      <c r="T80" s="47">
        <f>IF(All_data!M79="Niece/nephew",1,0)</f>
        <v>0</v>
      </c>
      <c r="U80" s="47">
        <f>IF(All_data!M79="Household head",1,0)</f>
        <v>1</v>
      </c>
      <c r="V80" s="47">
        <f>IF(All_data!N79="&lt; 1 year",1,IF(All_data!N79="1-3 years",2,IF(All_data!N79="3-5 years",3,IF(All_data!N79="&gt; 5 years",4,"check"))))</f>
        <v>4</v>
      </c>
      <c r="W80" s="47">
        <f>IF(All_data!O79="Rented",1,0)</f>
        <v>0</v>
      </c>
      <c r="X80" s="73">
        <f>IF(All_data!P79="Bungalow",1,0)</f>
        <v>1</v>
      </c>
      <c r="Y80" s="73">
        <f>IF(All_data!P79="Temporary",1,0)</f>
        <v>0</v>
      </c>
      <c r="Z80" s="73">
        <f>IF(All_data!P79="Story Building",1,0)</f>
        <v>0</v>
      </c>
      <c r="AA80" s="73">
        <f>IF(All_data!Q79="Iron Sheets/titles",1,0)</f>
        <v>1</v>
      </c>
      <c r="AB80" s="74">
        <f>IF(All_data!R79="Concrete Blocks",1,0)</f>
        <v>0</v>
      </c>
      <c r="AC80" s="73">
        <f>IF(All_data!R79="Bricks",1,0)</f>
        <v>1</v>
      </c>
      <c r="AD80" s="73">
        <f>IF(All_data!R79="Mud/poles",1,0)</f>
        <v>0</v>
      </c>
      <c r="AE80" s="73">
        <f>IF(All_data!S79="tiles",1,0)</f>
        <v>1</v>
      </c>
      <c r="AF80" s="73">
        <f>IF(All_data!S79="Cemented",1,0)</f>
        <v>0</v>
      </c>
      <c r="AG80" s="73">
        <f>IF(All_data!S79="Mud",1,0)</f>
        <v>0</v>
      </c>
      <c r="AH80" s="73">
        <f>IF(All_data!T79="House connection",1,0)</f>
        <v>1</v>
      </c>
      <c r="AI80" s="73">
        <f>IF(All_data!T79="Yard tap",1,0)</f>
        <v>0</v>
      </c>
      <c r="AJ80" s="73">
        <f>IF(All_data!T79="Stand pipe",1,0)</f>
        <v>0</v>
      </c>
      <c r="AK80" s="73">
        <f>IF(All_data!U79="Shared Facilities ",1,0)</f>
        <v>0</v>
      </c>
      <c r="AL80" s="73">
        <f>IF(All_data!V79="paved",0,1)</f>
        <v>0</v>
      </c>
      <c r="AM80" s="55">
        <v>42</v>
      </c>
      <c r="AN80" s="55">
        <v>5.7839999999999998</v>
      </c>
      <c r="AO80" s="55">
        <v>0</v>
      </c>
      <c r="AP80" s="55">
        <v>0.216</v>
      </c>
      <c r="AQ80" s="55">
        <v>0.83499999999999996</v>
      </c>
      <c r="AR80" s="55">
        <v>2.452</v>
      </c>
      <c r="AS80" s="55">
        <v>2.6749999999999998</v>
      </c>
      <c r="AT80" s="55">
        <v>0</v>
      </c>
      <c r="AU80" s="55" t="s">
        <v>163</v>
      </c>
      <c r="AV80" s="55">
        <v>6.12</v>
      </c>
      <c r="AW80" s="55">
        <v>60.081999999999994</v>
      </c>
      <c r="AX80" s="55">
        <v>8.5831428571428567</v>
      </c>
      <c r="AY80" s="55">
        <v>1.4305238095238095</v>
      </c>
      <c r="AZ80" s="55">
        <v>200</v>
      </c>
      <c r="BA80" s="55">
        <v>0.30040999999999995</v>
      </c>
    </row>
    <row r="81" spans="1:53" ht="15.5" x14ac:dyDescent="0.35">
      <c r="A81" s="59">
        <v>78</v>
      </c>
      <c r="B81" s="27" t="s">
        <v>193</v>
      </c>
      <c r="C81" s="26" t="s">
        <v>153</v>
      </c>
      <c r="D81" s="26" t="s">
        <v>154</v>
      </c>
      <c r="E81" s="26" t="s">
        <v>155</v>
      </c>
      <c r="F81" s="47">
        <f>IF(All_data!F80="low-income",1,IF(All_data!F80="Middle-Income",2,IF(All_data!F80="High-Income",3,"check")))</f>
        <v>3</v>
      </c>
      <c r="G81" s="47">
        <v>7</v>
      </c>
      <c r="H81" s="47">
        <f>IF(All_data!H80="18-35 years",2,IF(All_data!H80="36-60 years",3,IF(All_data!H80="&gt;60 years",4,1)))</f>
        <v>3</v>
      </c>
      <c r="I81" s="47">
        <f>IF(All_data!I80="Male",0,1)</f>
        <v>0</v>
      </c>
      <c r="J81" s="73">
        <f>IF(All_data!J80="Illiterate",1,IF(All_data!J80="Primary",2,IF(All_data!J80="secondary",3,IF(All_data!J80="Tertiary",4,"check"))))</f>
        <v>4</v>
      </c>
      <c r="K81" s="47">
        <f>IF(All_data!K80="Government Employee",1,0)</f>
        <v>1</v>
      </c>
      <c r="L81" s="47">
        <f>IF(All_data!K80="Private Employee",1,0)</f>
        <v>0</v>
      </c>
      <c r="M81" s="47">
        <f>IF(All_data!K80="Business",1,0)</f>
        <v>0</v>
      </c>
      <c r="N81" s="47">
        <f>IF(All_data!K80="Student",1,0)</f>
        <v>0</v>
      </c>
      <c r="O81" s="47">
        <f>IF(All_data!K80="Housewife",1,0)</f>
        <v>0</v>
      </c>
      <c r="P81" s="47">
        <f>IF(All_data!K80="Retired",1,0)</f>
        <v>0</v>
      </c>
      <c r="Q81" s="47">
        <f>IF(All_data!L80="&lt;500,000",1,IF(All_data!L80="500,000 - 1,000,000",2,IF(All_data!L80="1,000,000 - 3,000,000",3,IF(All_data!L80="&gt;3,000,000",4,"check"))))</f>
        <v>4</v>
      </c>
      <c r="R81" s="63">
        <f>IF(All_data!M80="Spouse",1,0)</f>
        <v>1</v>
      </c>
      <c r="S81" s="47">
        <f>IF(All_data!M80="Son/Daughter",1,0)</f>
        <v>0</v>
      </c>
      <c r="T81" s="47">
        <f>IF(All_data!M80="Niece/nephew",1,0)</f>
        <v>0</v>
      </c>
      <c r="U81" s="47">
        <f>IF(All_data!M80="Household head",1,0)</f>
        <v>0</v>
      </c>
      <c r="V81" s="47">
        <f>IF(All_data!N80="&lt; 1 year",1,IF(All_data!N80="1-3 years",2,IF(All_data!N80="3-5 years",3,IF(All_data!N80="&gt; 5 years",4,"check"))))</f>
        <v>4</v>
      </c>
      <c r="W81" s="47">
        <f>IF(All_data!O80="Rented",1,0)</f>
        <v>0</v>
      </c>
      <c r="X81" s="73">
        <f>IF(All_data!P80="Bungalow",1,0)</f>
        <v>0</v>
      </c>
      <c r="Y81" s="73">
        <f>IF(All_data!P80="Temporary",1,0)</f>
        <v>0</v>
      </c>
      <c r="Z81" s="73">
        <f>IF(All_data!P80="Story Building",1,0)</f>
        <v>1</v>
      </c>
      <c r="AA81" s="73">
        <f>IF(All_data!Q80="Iron Sheets/titles",1,0)</f>
        <v>1</v>
      </c>
      <c r="AB81" s="74">
        <f>IF(All_data!R80="Concrete Blocks",1,0)</f>
        <v>0</v>
      </c>
      <c r="AC81" s="73">
        <f>IF(All_data!R80="Bricks",1,0)</f>
        <v>1</v>
      </c>
      <c r="AD81" s="73">
        <f>IF(All_data!R80="Mud/poles",1,0)</f>
        <v>0</v>
      </c>
      <c r="AE81" s="73">
        <f>IF(All_data!S80="tiles",1,0)</f>
        <v>1</v>
      </c>
      <c r="AF81" s="73">
        <f>IF(All_data!S80="Cemented",1,0)</f>
        <v>0</v>
      </c>
      <c r="AG81" s="73">
        <f>IF(All_data!S80="Mud",1,0)</f>
        <v>0</v>
      </c>
      <c r="AH81" s="73">
        <f>IF(All_data!T80="House connection",1,0)</f>
        <v>1</v>
      </c>
      <c r="AI81" s="73">
        <f>IF(All_data!T80="Yard tap",1,0)</f>
        <v>0</v>
      </c>
      <c r="AJ81" s="73">
        <f>IF(All_data!T80="Stand pipe",1,0)</f>
        <v>0</v>
      </c>
      <c r="AK81" s="73">
        <f>IF(All_data!U80="Shared Facilities ",1,0)</f>
        <v>0</v>
      </c>
      <c r="AL81" s="73">
        <f>IF(All_data!V80="paved",0,1)</f>
        <v>0</v>
      </c>
      <c r="AM81" s="55">
        <v>46.34</v>
      </c>
      <c r="AN81" s="55">
        <v>4.2839999999999998</v>
      </c>
      <c r="AO81" s="55">
        <v>0</v>
      </c>
      <c r="AP81" s="55">
        <v>0.34599999999999997</v>
      </c>
      <c r="AQ81" s="55">
        <v>0.78500000000000003</v>
      </c>
      <c r="AR81" s="55">
        <v>1.552</v>
      </c>
      <c r="AS81" s="55">
        <v>0.80600000000000005</v>
      </c>
      <c r="AT81" s="55">
        <v>0</v>
      </c>
      <c r="AU81" s="55">
        <v>0</v>
      </c>
      <c r="AV81" s="55">
        <v>0</v>
      </c>
      <c r="AW81" s="55">
        <v>54.112999999999992</v>
      </c>
      <c r="AX81" s="55">
        <v>7.7304285714285701</v>
      </c>
      <c r="AY81" s="55">
        <v>1.10434693877551</v>
      </c>
      <c r="AZ81" s="55">
        <v>186</v>
      </c>
      <c r="BA81" s="55">
        <v>0.2909301075268817</v>
      </c>
    </row>
    <row r="82" spans="1:53" ht="15.5" x14ac:dyDescent="0.35">
      <c r="A82" s="59">
        <v>79</v>
      </c>
      <c r="B82" s="27" t="s">
        <v>194</v>
      </c>
      <c r="C82" s="26" t="s">
        <v>153</v>
      </c>
      <c r="D82" s="26" t="s">
        <v>154</v>
      </c>
      <c r="E82" s="26" t="s">
        <v>155</v>
      </c>
      <c r="F82" s="47">
        <f>IF(All_data!F81="low-income",1,IF(All_data!F81="Middle-Income",2,IF(All_data!F81="High-Income",3,"check")))</f>
        <v>3</v>
      </c>
      <c r="G82" s="47">
        <v>3</v>
      </c>
      <c r="H82" s="47">
        <f>IF(All_data!H81="18-35 years",2,IF(All_data!H81="36-60 years",3,IF(All_data!H81="&gt;60 years",4,1)))</f>
        <v>2</v>
      </c>
      <c r="I82" s="47">
        <f>IF(All_data!I81="Male",0,1)</f>
        <v>0</v>
      </c>
      <c r="J82" s="73">
        <f>IF(All_data!J81="Illiterate",1,IF(All_data!J81="Primary",2,IF(All_data!J81="secondary",3,IF(All_data!J81="Tertiary",4,"check"))))</f>
        <v>4</v>
      </c>
      <c r="K82" s="47">
        <f>IF(All_data!K81="Government Employee",1,0)</f>
        <v>0</v>
      </c>
      <c r="L82" s="47">
        <f>IF(All_data!K81="Private Employee",1,0)</f>
        <v>1</v>
      </c>
      <c r="M82" s="47">
        <f>IF(All_data!K81="Business",1,0)</f>
        <v>0</v>
      </c>
      <c r="N82" s="47">
        <f>IF(All_data!K81="Student",1,0)</f>
        <v>0</v>
      </c>
      <c r="O82" s="47">
        <f>IF(All_data!K81="Housewife",1,0)</f>
        <v>0</v>
      </c>
      <c r="P82" s="47">
        <f>IF(All_data!K81="Retired",1,0)</f>
        <v>0</v>
      </c>
      <c r="Q82" s="47">
        <f>IF(All_data!L81="&lt;500,000",1,IF(All_data!L81="500,000 - 1,000,000",2,IF(All_data!L81="1,000,000 - 3,000,000",3,IF(All_data!L81="&gt;3,000,000",4,"check"))))</f>
        <v>3</v>
      </c>
      <c r="R82" s="63">
        <f>IF(All_data!M81="Spouse",1,0)</f>
        <v>0</v>
      </c>
      <c r="S82" s="47">
        <f>IF(All_data!M81="Son/Daughter",1,0)</f>
        <v>0</v>
      </c>
      <c r="T82" s="47">
        <f>IF(All_data!M81="Niece/nephew",1,0)</f>
        <v>0</v>
      </c>
      <c r="U82" s="47">
        <f>IF(All_data!M81="Household head",1,0)</f>
        <v>1</v>
      </c>
      <c r="V82" s="47">
        <f>IF(All_data!N81="&lt; 1 year",1,IF(All_data!N81="1-3 years",2,IF(All_data!N81="3-5 years",3,IF(All_data!N81="&gt; 5 years",4,"check"))))</f>
        <v>4</v>
      </c>
      <c r="W82" s="47">
        <f>IF(All_data!O81="Rented",1,0)</f>
        <v>0</v>
      </c>
      <c r="X82" s="73">
        <f>IF(All_data!P81="Bungalow",1,0)</f>
        <v>0</v>
      </c>
      <c r="Y82" s="73">
        <f>IF(All_data!P81="Temporary",1,0)</f>
        <v>0</v>
      </c>
      <c r="Z82" s="73">
        <f>IF(All_data!P81="Story Building",1,0)</f>
        <v>1</v>
      </c>
      <c r="AA82" s="73">
        <f>IF(All_data!Q81="Iron Sheets/titles",1,0)</f>
        <v>1</v>
      </c>
      <c r="AB82" s="74">
        <f>IF(All_data!R81="Concrete Blocks",1,0)</f>
        <v>0</v>
      </c>
      <c r="AC82" s="73">
        <f>IF(All_data!R81="Bricks",1,0)</f>
        <v>1</v>
      </c>
      <c r="AD82" s="73">
        <f>IF(All_data!R81="Mud/poles",1,0)</f>
        <v>0</v>
      </c>
      <c r="AE82" s="73">
        <f>IF(All_data!S81="tiles",1,0)</f>
        <v>1</v>
      </c>
      <c r="AF82" s="73">
        <f>IF(All_data!S81="Cemented",1,0)</f>
        <v>0</v>
      </c>
      <c r="AG82" s="73">
        <f>IF(All_data!S81="Mud",1,0)</f>
        <v>0</v>
      </c>
      <c r="AH82" s="73">
        <f>IF(All_data!T81="House connection",1,0)</f>
        <v>1</v>
      </c>
      <c r="AI82" s="73">
        <f>IF(All_data!T81="Yard tap",1,0)</f>
        <v>0</v>
      </c>
      <c r="AJ82" s="73">
        <f>IF(All_data!T81="Stand pipe",1,0)</f>
        <v>0</v>
      </c>
      <c r="AK82" s="73">
        <f>IF(All_data!U81="Shared Facilities ",1,0)</f>
        <v>0</v>
      </c>
      <c r="AL82" s="73">
        <f>IF(All_data!V81="paved",0,1)</f>
        <v>0</v>
      </c>
      <c r="AM82" s="55">
        <v>8.3659999999999997</v>
      </c>
      <c r="AN82" s="55">
        <v>2.56</v>
      </c>
      <c r="AO82" s="55">
        <v>0</v>
      </c>
      <c r="AP82" s="55">
        <v>0.17</v>
      </c>
      <c r="AQ82" s="55">
        <v>0.38</v>
      </c>
      <c r="AR82" s="55">
        <v>0.51</v>
      </c>
      <c r="AS82" s="55">
        <v>0.42</v>
      </c>
      <c r="AT82" s="55">
        <v>0</v>
      </c>
      <c r="AU82" s="55">
        <v>0</v>
      </c>
      <c r="AV82" s="55">
        <v>0</v>
      </c>
      <c r="AW82" s="55">
        <v>12.406000000000001</v>
      </c>
      <c r="AX82" s="55">
        <v>1.7722857142857145</v>
      </c>
      <c r="AY82" s="55">
        <v>0.59076190476190482</v>
      </c>
      <c r="AZ82" s="55">
        <v>24</v>
      </c>
      <c r="BA82" s="55">
        <v>0.51691666666666669</v>
      </c>
    </row>
    <row r="83" spans="1:53" ht="15.5" x14ac:dyDescent="0.35">
      <c r="A83" s="59">
        <v>80</v>
      </c>
      <c r="B83" s="27" t="s">
        <v>195</v>
      </c>
      <c r="C83" s="26" t="s">
        <v>153</v>
      </c>
      <c r="D83" s="26" t="s">
        <v>154</v>
      </c>
      <c r="E83" s="26" t="s">
        <v>155</v>
      </c>
      <c r="F83" s="47">
        <f>IF(All_data!F82="low-income",1,IF(All_data!F82="Middle-Income",2,IF(All_data!F82="High-Income",3,"check")))</f>
        <v>3</v>
      </c>
      <c r="G83" s="47">
        <v>3</v>
      </c>
      <c r="H83" s="47">
        <f>IF(All_data!H82="18-35 years",2,IF(All_data!H82="36-60 years",3,IF(All_data!H82="&gt;60 years",4,1)))</f>
        <v>4</v>
      </c>
      <c r="I83" s="47">
        <f>IF(All_data!I82="Male",0,1)</f>
        <v>0</v>
      </c>
      <c r="J83" s="73">
        <f>IF(All_data!J82="Illiterate",1,IF(All_data!J82="Primary",2,IF(All_data!J82="secondary",3,IF(All_data!J82="Tertiary",4,"check"))))</f>
        <v>4</v>
      </c>
      <c r="K83" s="47">
        <f>IF(All_data!K82="Government Employee",1,0)</f>
        <v>0</v>
      </c>
      <c r="L83" s="47">
        <f>IF(All_data!K82="Private Employee",1,0)</f>
        <v>1</v>
      </c>
      <c r="M83" s="47">
        <f>IF(All_data!K82="Business",1,0)</f>
        <v>0</v>
      </c>
      <c r="N83" s="47">
        <f>IF(All_data!K82="Student",1,0)</f>
        <v>0</v>
      </c>
      <c r="O83" s="47">
        <f>IF(All_data!K82="Housewife",1,0)</f>
        <v>0</v>
      </c>
      <c r="P83" s="47">
        <f>IF(All_data!K82="Retired",1,0)</f>
        <v>0</v>
      </c>
      <c r="Q83" s="47">
        <f>IF(All_data!L82="&lt;500,000",1,IF(All_data!L82="500,000 - 1,000,000",2,IF(All_data!L82="1,000,000 - 3,000,000",3,IF(All_data!L82="&gt;3,000,000",4,"check"))))</f>
        <v>4</v>
      </c>
      <c r="R83" s="63">
        <f>IF(All_data!M82="Spouse",1,0)</f>
        <v>0</v>
      </c>
      <c r="S83" s="47">
        <f>IF(All_data!M82="Son/Daughter",1,0)</f>
        <v>0</v>
      </c>
      <c r="T83" s="47">
        <f>IF(All_data!M82="Niece/nephew",1,0)</f>
        <v>0</v>
      </c>
      <c r="U83" s="47">
        <f>IF(All_data!M82="Household head",1,0)</f>
        <v>1</v>
      </c>
      <c r="V83" s="47">
        <f>IF(All_data!N82="&lt; 1 year",1,IF(All_data!N82="1-3 years",2,IF(All_data!N82="3-5 years",3,IF(All_data!N82="&gt; 5 years",4,"check"))))</f>
        <v>4</v>
      </c>
      <c r="W83" s="47">
        <f>IF(All_data!O82="Rented",1,0)</f>
        <v>0</v>
      </c>
      <c r="X83" s="73">
        <f>IF(All_data!P82="Bungalow",1,0)</f>
        <v>0</v>
      </c>
      <c r="Y83" s="73">
        <f>IF(All_data!P82="Temporary",1,0)</f>
        <v>0</v>
      </c>
      <c r="Z83" s="73">
        <f>IF(All_data!P82="Story Building",1,0)</f>
        <v>1</v>
      </c>
      <c r="AA83" s="73">
        <f>IF(All_data!Q82="Iron Sheets/titles",1,0)</f>
        <v>1</v>
      </c>
      <c r="AB83" s="74">
        <f>IF(All_data!R82="Concrete Blocks",1,0)</f>
        <v>0</v>
      </c>
      <c r="AC83" s="73">
        <f>IF(All_data!R82="Bricks",1,0)</f>
        <v>1</v>
      </c>
      <c r="AD83" s="73">
        <f>IF(All_data!R82="Mud/poles",1,0)</f>
        <v>0</v>
      </c>
      <c r="AE83" s="73">
        <f>IF(All_data!S82="tiles",1,0)</f>
        <v>1</v>
      </c>
      <c r="AF83" s="73">
        <f>IF(All_data!S82="Cemented",1,0)</f>
        <v>0</v>
      </c>
      <c r="AG83" s="73">
        <f>IF(All_data!S82="Mud",1,0)</f>
        <v>0</v>
      </c>
      <c r="AH83" s="73">
        <f>IF(All_data!T82="House connection",1,0)</f>
        <v>1</v>
      </c>
      <c r="AI83" s="73">
        <f>IF(All_data!T82="Yard tap",1,0)</f>
        <v>0</v>
      </c>
      <c r="AJ83" s="73">
        <f>IF(All_data!T82="Stand pipe",1,0)</f>
        <v>0</v>
      </c>
      <c r="AK83" s="73">
        <f>IF(All_data!U82="Shared Facilities ",1,0)</f>
        <v>0</v>
      </c>
      <c r="AL83" s="73">
        <f>IF(All_data!V82="paved",0,1)</f>
        <v>1</v>
      </c>
      <c r="AM83" s="55">
        <v>20.46</v>
      </c>
      <c r="AN83" s="55">
        <v>0.56499999999999995</v>
      </c>
      <c r="AO83" s="55">
        <v>0</v>
      </c>
      <c r="AP83" s="55">
        <v>0</v>
      </c>
      <c r="AQ83" s="55">
        <v>0.32700000000000001</v>
      </c>
      <c r="AR83" s="55">
        <v>0.50900000000000001</v>
      </c>
      <c r="AS83" s="55">
        <v>0.873</v>
      </c>
      <c r="AT83" s="55">
        <v>0</v>
      </c>
      <c r="AU83" s="55">
        <v>0</v>
      </c>
      <c r="AV83" s="55">
        <v>2.0299999999999998</v>
      </c>
      <c r="AW83" s="55">
        <v>24.764000000000006</v>
      </c>
      <c r="AX83" s="55">
        <v>3.5377142857142867</v>
      </c>
      <c r="AY83" s="55">
        <v>1.1792380952380956</v>
      </c>
      <c r="AZ83" s="55">
        <v>74</v>
      </c>
      <c r="BA83" s="55">
        <v>0.33464864864864874</v>
      </c>
    </row>
    <row r="84" spans="1:53" ht="15.5" x14ac:dyDescent="0.35">
      <c r="A84" s="59">
        <v>81</v>
      </c>
      <c r="B84" s="27" t="s">
        <v>196</v>
      </c>
      <c r="C84" s="26" t="s">
        <v>153</v>
      </c>
      <c r="D84" s="26" t="s">
        <v>154</v>
      </c>
      <c r="E84" s="26" t="s">
        <v>155</v>
      </c>
      <c r="F84" s="47">
        <f>IF(All_data!F83="low-income",1,IF(All_data!F83="Middle-Income",2,IF(All_data!F83="High-Income",3,"check")))</f>
        <v>3</v>
      </c>
      <c r="G84" s="47">
        <v>5</v>
      </c>
      <c r="H84" s="47">
        <f>IF(All_data!H83="18-35 years",2,IF(All_data!H83="36-60 years",3,IF(All_data!H83="&gt;60 years",4,1)))</f>
        <v>3</v>
      </c>
      <c r="I84" s="47">
        <f>IF(All_data!I83="Male",0,1)</f>
        <v>0</v>
      </c>
      <c r="J84" s="73">
        <f>IF(All_data!J83="Illiterate",1,IF(All_data!J83="Primary",2,IF(All_data!J83="secondary",3,IF(All_data!J83="Tertiary",4,"check"))))</f>
        <v>4</v>
      </c>
      <c r="K84" s="47">
        <f>IF(All_data!K83="Government Employee",1,0)</f>
        <v>1</v>
      </c>
      <c r="L84" s="47">
        <f>IF(All_data!K83="Private Employee",1,0)</f>
        <v>0</v>
      </c>
      <c r="M84" s="47">
        <f>IF(All_data!K83="Business",1,0)</f>
        <v>0</v>
      </c>
      <c r="N84" s="47">
        <f>IF(All_data!K83="Student",1,0)</f>
        <v>0</v>
      </c>
      <c r="O84" s="47">
        <f>IF(All_data!K83="Housewife",1,0)</f>
        <v>0</v>
      </c>
      <c r="P84" s="47">
        <f>IF(All_data!K83="Retired",1,0)</f>
        <v>0</v>
      </c>
      <c r="Q84" s="47">
        <f>IF(All_data!L83="&lt;500,000",1,IF(All_data!L83="500,000 - 1,000,000",2,IF(All_data!L83="1,000,000 - 3,000,000",3,IF(All_data!L83="&gt;3,000,000",4,"check"))))</f>
        <v>4</v>
      </c>
      <c r="R84" s="63">
        <f>IF(All_data!M83="Spouse",1,0)</f>
        <v>0</v>
      </c>
      <c r="S84" s="47">
        <f>IF(All_data!M83="Son/Daughter",1,0)</f>
        <v>0</v>
      </c>
      <c r="T84" s="47">
        <f>IF(All_data!M83="Niece/nephew",1,0)</f>
        <v>0</v>
      </c>
      <c r="U84" s="47">
        <f>IF(All_data!M83="Household head",1,0)</f>
        <v>1</v>
      </c>
      <c r="V84" s="47">
        <f>IF(All_data!N83="&lt; 1 year",1,IF(All_data!N83="1-3 years",2,IF(All_data!N83="3-5 years",3,IF(All_data!N83="&gt; 5 years",4,"check"))))</f>
        <v>4</v>
      </c>
      <c r="W84" s="47">
        <f>IF(All_data!O83="Rented",1,0)</f>
        <v>1</v>
      </c>
      <c r="X84" s="73">
        <f>IF(All_data!P83="Bungalow",1,0)</f>
        <v>0</v>
      </c>
      <c r="Y84" s="73">
        <f>IF(All_data!P83="Temporary",1,0)</f>
        <v>0</v>
      </c>
      <c r="Z84" s="73">
        <f>IF(All_data!P83="Story Building",1,0)</f>
        <v>1</v>
      </c>
      <c r="AA84" s="73">
        <f>IF(All_data!Q83="Iron Sheets/titles",1,0)</f>
        <v>1</v>
      </c>
      <c r="AB84" s="74">
        <f>IF(All_data!R83="Concrete Blocks",1,0)</f>
        <v>0</v>
      </c>
      <c r="AC84" s="73">
        <f>IF(All_data!R83="Bricks",1,0)</f>
        <v>1</v>
      </c>
      <c r="AD84" s="73">
        <f>IF(All_data!R83="Mud/poles",1,0)</f>
        <v>0</v>
      </c>
      <c r="AE84" s="73">
        <f>IF(All_data!S83="tiles",1,0)</f>
        <v>1</v>
      </c>
      <c r="AF84" s="73">
        <f>IF(All_data!S83="Cemented",1,0)</f>
        <v>0</v>
      </c>
      <c r="AG84" s="73">
        <f>IF(All_data!S83="Mud",1,0)</f>
        <v>0</v>
      </c>
      <c r="AH84" s="73">
        <f>IF(All_data!T83="House connection",1,0)</f>
        <v>1</v>
      </c>
      <c r="AI84" s="73">
        <f>IF(All_data!T83="Yard tap",1,0)</f>
        <v>0</v>
      </c>
      <c r="AJ84" s="73">
        <f>IF(All_data!T83="Stand pipe",1,0)</f>
        <v>0</v>
      </c>
      <c r="AK84" s="73">
        <f>IF(All_data!U83="Shared Facilities ",1,0)</f>
        <v>0</v>
      </c>
      <c r="AL84" s="73">
        <f>IF(All_data!V83="paved",0,1)</f>
        <v>0</v>
      </c>
      <c r="AM84" s="55">
        <v>53.52</v>
      </c>
      <c r="AN84" s="55">
        <v>6.3419999999999996</v>
      </c>
      <c r="AO84" s="55">
        <v>0</v>
      </c>
      <c r="AP84" s="55">
        <v>0.23400000000000001</v>
      </c>
      <c r="AQ84" s="55">
        <v>0.47599999999999998</v>
      </c>
      <c r="AR84" s="55">
        <v>1.673</v>
      </c>
      <c r="AS84" s="55">
        <v>2.3460000000000001</v>
      </c>
      <c r="AT84" s="55">
        <v>0</v>
      </c>
      <c r="AU84" s="55">
        <v>1.095</v>
      </c>
      <c r="AV84" s="55">
        <v>2.3450000000000002</v>
      </c>
      <c r="AW84" s="55">
        <v>68.031000000000006</v>
      </c>
      <c r="AX84" s="55">
        <v>9.7187142857142863</v>
      </c>
      <c r="AY84" s="55">
        <v>1.9437428571428572</v>
      </c>
      <c r="AZ84" s="55">
        <v>224</v>
      </c>
      <c r="BA84" s="55">
        <v>0.30370982142857145</v>
      </c>
    </row>
    <row r="85" spans="1:53" ht="15.5" x14ac:dyDescent="0.35">
      <c r="A85" s="59">
        <v>82</v>
      </c>
      <c r="B85" s="27" t="s">
        <v>197</v>
      </c>
      <c r="C85" s="26" t="s">
        <v>153</v>
      </c>
      <c r="D85" s="26" t="s">
        <v>154</v>
      </c>
      <c r="E85" s="26" t="s">
        <v>155</v>
      </c>
      <c r="F85" s="47">
        <f>IF(All_data!F84="low-income",1,IF(All_data!F84="Middle-Income",2,IF(All_data!F84="High-Income",3,"check")))</f>
        <v>3</v>
      </c>
      <c r="G85" s="47">
        <v>4</v>
      </c>
      <c r="H85" s="47">
        <f>IF(All_data!H84="18-35 years",2,IF(All_data!H84="36-60 years",3,IF(All_data!H84="&gt;60 years",4,1)))</f>
        <v>3</v>
      </c>
      <c r="I85" s="47">
        <f>IF(All_data!I84="Male",0,1)</f>
        <v>0</v>
      </c>
      <c r="J85" s="73">
        <f>IF(All_data!J84="Illiterate",1,IF(All_data!J84="Primary",2,IF(All_data!J84="secondary",3,IF(All_data!J84="Tertiary",4,"check"))))</f>
        <v>4</v>
      </c>
      <c r="K85" s="47">
        <f>IF(All_data!K84="Government Employee",1,0)</f>
        <v>1</v>
      </c>
      <c r="L85" s="47">
        <f>IF(All_data!K84="Private Employee",1,0)</f>
        <v>0</v>
      </c>
      <c r="M85" s="47">
        <f>IF(All_data!K84="Business",1,0)</f>
        <v>0</v>
      </c>
      <c r="N85" s="47">
        <f>IF(All_data!K84="Student",1,0)</f>
        <v>0</v>
      </c>
      <c r="O85" s="47">
        <f>IF(All_data!K84="Housewife",1,0)</f>
        <v>0</v>
      </c>
      <c r="P85" s="47">
        <f>IF(All_data!K84="Retired",1,0)</f>
        <v>0</v>
      </c>
      <c r="Q85" s="47">
        <f>IF(All_data!L84="&lt;500,000",1,IF(All_data!L84="500,000 - 1,000,000",2,IF(All_data!L84="1,000,000 - 3,000,000",3,IF(All_data!L84="&gt;3,000,000",4,"check"))))</f>
        <v>4</v>
      </c>
      <c r="R85" s="63">
        <f>IF(All_data!M84="Spouse",1,0)</f>
        <v>0</v>
      </c>
      <c r="S85" s="47">
        <f>IF(All_data!M84="Son/Daughter",1,0)</f>
        <v>0</v>
      </c>
      <c r="T85" s="47">
        <f>IF(All_data!M84="Niece/nephew",1,0)</f>
        <v>0</v>
      </c>
      <c r="U85" s="47">
        <f>IF(All_data!M84="Household head",1,0)</f>
        <v>1</v>
      </c>
      <c r="V85" s="47">
        <f>IF(All_data!N84="&lt; 1 year",1,IF(All_data!N84="1-3 years",2,IF(All_data!N84="3-5 years",3,IF(All_data!N84="&gt; 5 years",4,"check"))))</f>
        <v>4</v>
      </c>
      <c r="W85" s="47">
        <f>IF(All_data!O84="Rented",1,0)</f>
        <v>1</v>
      </c>
      <c r="X85" s="73">
        <f>IF(All_data!P84="Bungalow",1,0)</f>
        <v>0</v>
      </c>
      <c r="Y85" s="73">
        <f>IF(All_data!P84="Temporary",1,0)</f>
        <v>0</v>
      </c>
      <c r="Z85" s="73">
        <f>IF(All_data!P84="Story Building",1,0)</f>
        <v>1</v>
      </c>
      <c r="AA85" s="73">
        <f>IF(All_data!Q84="Iron Sheets/titles",1,0)</f>
        <v>1</v>
      </c>
      <c r="AB85" s="74">
        <f>IF(All_data!R84="Concrete Blocks",1,0)</f>
        <v>0</v>
      </c>
      <c r="AC85" s="73">
        <f>IF(All_data!R84="Bricks",1,0)</f>
        <v>1</v>
      </c>
      <c r="AD85" s="73">
        <f>IF(All_data!R84="Mud/poles",1,0)</f>
        <v>0</v>
      </c>
      <c r="AE85" s="73">
        <f>IF(All_data!S84="tiles",1,0)</f>
        <v>1</v>
      </c>
      <c r="AF85" s="73">
        <f>IF(All_data!S84="Cemented",1,0)</f>
        <v>0</v>
      </c>
      <c r="AG85" s="73">
        <f>IF(All_data!S84="Mud",1,0)</f>
        <v>0</v>
      </c>
      <c r="AH85" s="73">
        <f>IF(All_data!T84="House connection",1,0)</f>
        <v>1</v>
      </c>
      <c r="AI85" s="73">
        <f>IF(All_data!T84="Yard tap",1,0)</f>
        <v>0</v>
      </c>
      <c r="AJ85" s="73">
        <f>IF(All_data!T84="Stand pipe",1,0)</f>
        <v>0</v>
      </c>
      <c r="AK85" s="73">
        <f>IF(All_data!U84="Shared Facilities ",1,0)</f>
        <v>0</v>
      </c>
      <c r="AL85" s="73">
        <f>IF(All_data!V84="paved",0,1)</f>
        <v>0</v>
      </c>
      <c r="AM85" s="55">
        <v>42.62</v>
      </c>
      <c r="AN85" s="55">
        <v>3.3919999999999999</v>
      </c>
      <c r="AO85" s="55">
        <v>0</v>
      </c>
      <c r="AP85" s="55">
        <v>0.434</v>
      </c>
      <c r="AQ85" s="55">
        <v>0.69599999999999995</v>
      </c>
      <c r="AR85" s="55">
        <v>1.873</v>
      </c>
      <c r="AS85" s="55">
        <v>1.38</v>
      </c>
      <c r="AT85" s="55">
        <v>0</v>
      </c>
      <c r="AU85" s="55">
        <v>0</v>
      </c>
      <c r="AV85" s="55">
        <v>1.3480000000000001</v>
      </c>
      <c r="AW85" s="55">
        <v>51.742999999999995</v>
      </c>
      <c r="AX85" s="55">
        <v>7.391857142857142</v>
      </c>
      <c r="AY85" s="55">
        <v>1.8479642857142855</v>
      </c>
      <c r="AZ85" s="55">
        <v>174</v>
      </c>
      <c r="BA85" s="55">
        <v>0.29737356321839076</v>
      </c>
    </row>
    <row r="86" spans="1:53" ht="15.5" x14ac:dyDescent="0.35">
      <c r="A86" s="59">
        <v>83</v>
      </c>
      <c r="B86" s="27" t="s">
        <v>198</v>
      </c>
      <c r="C86" s="26" t="s">
        <v>153</v>
      </c>
      <c r="D86" s="26" t="s">
        <v>154</v>
      </c>
      <c r="E86" s="26" t="s">
        <v>155</v>
      </c>
      <c r="F86" s="47">
        <f>IF(All_data!F85="low-income",1,IF(All_data!F85="Middle-Income",2,IF(All_data!F85="High-Income",3,"check")))</f>
        <v>3</v>
      </c>
      <c r="G86" s="47">
        <v>7</v>
      </c>
      <c r="H86" s="47">
        <f>IF(All_data!H85="18-35 years",2,IF(All_data!H85="36-60 years",3,IF(All_data!H85="&gt;60 years",4,1)))</f>
        <v>3</v>
      </c>
      <c r="I86" s="47">
        <f>IF(All_data!I85="Male",0,1)</f>
        <v>0</v>
      </c>
      <c r="J86" s="73">
        <f>IF(All_data!J85="Illiterate",1,IF(All_data!J85="Primary",2,IF(All_data!J85="secondary",3,IF(All_data!J85="Tertiary",4,"check"))))</f>
        <v>4</v>
      </c>
      <c r="K86" s="47">
        <f>IF(All_data!K85="Government Employee",1,0)</f>
        <v>0</v>
      </c>
      <c r="L86" s="47">
        <f>IF(All_data!K85="Private Employee",1,0)</f>
        <v>1</v>
      </c>
      <c r="M86" s="47">
        <f>IF(All_data!K85="Business",1,0)</f>
        <v>0</v>
      </c>
      <c r="N86" s="47">
        <f>IF(All_data!K85="Student",1,0)</f>
        <v>0</v>
      </c>
      <c r="O86" s="47">
        <f>IF(All_data!K85="Housewife",1,0)</f>
        <v>0</v>
      </c>
      <c r="P86" s="47">
        <f>IF(All_data!K85="Retired",1,0)</f>
        <v>0</v>
      </c>
      <c r="Q86" s="47">
        <f>IF(All_data!L85="&lt;500,000",1,IF(All_data!L85="500,000 - 1,000,000",2,IF(All_data!L85="1,000,000 - 3,000,000",3,IF(All_data!L85="&gt;3,000,000",4,"check"))))</f>
        <v>4</v>
      </c>
      <c r="R86" s="63">
        <f>IF(All_data!M85="Spouse",1,0)</f>
        <v>0</v>
      </c>
      <c r="S86" s="47">
        <f>IF(All_data!M85="Son/Daughter",1,0)</f>
        <v>0</v>
      </c>
      <c r="T86" s="47">
        <f>IF(All_data!M85="Niece/nephew",1,0)</f>
        <v>0</v>
      </c>
      <c r="U86" s="47">
        <f>IF(All_data!M85="Household head",1,0)</f>
        <v>1</v>
      </c>
      <c r="V86" s="47">
        <f>IF(All_data!N85="&lt; 1 year",1,IF(All_data!N85="1-3 years",2,IF(All_data!N85="3-5 years",3,IF(All_data!N85="&gt; 5 years",4,"check"))))</f>
        <v>3</v>
      </c>
      <c r="W86" s="47">
        <f>IF(All_data!O85="Rented",1,0)</f>
        <v>1</v>
      </c>
      <c r="X86" s="73">
        <f>IF(All_data!P85="Bungalow",1,0)</f>
        <v>0</v>
      </c>
      <c r="Y86" s="73">
        <f>IF(All_data!P85="Temporary",1,0)</f>
        <v>0</v>
      </c>
      <c r="Z86" s="73">
        <f>IF(All_data!P85="Story Building",1,0)</f>
        <v>1</v>
      </c>
      <c r="AA86" s="73">
        <f>IF(All_data!Q85="Iron Sheets/titles",1,0)</f>
        <v>1</v>
      </c>
      <c r="AB86" s="74">
        <f>IF(All_data!R85="Concrete Blocks",1,0)</f>
        <v>0</v>
      </c>
      <c r="AC86" s="73">
        <f>IF(All_data!R85="Bricks",1,0)</f>
        <v>1</v>
      </c>
      <c r="AD86" s="73">
        <f>IF(All_data!R85="Mud/poles",1,0)</f>
        <v>0</v>
      </c>
      <c r="AE86" s="73">
        <f>IF(All_data!S85="tiles",1,0)</f>
        <v>1</v>
      </c>
      <c r="AF86" s="73">
        <f>IF(All_data!S85="Cemented",1,0)</f>
        <v>0</v>
      </c>
      <c r="AG86" s="73">
        <f>IF(All_data!S85="Mud",1,0)</f>
        <v>0</v>
      </c>
      <c r="AH86" s="73">
        <f>IF(All_data!T85="House connection",1,0)</f>
        <v>1</v>
      </c>
      <c r="AI86" s="73">
        <f>IF(All_data!T85="Yard tap",1,0)</f>
        <v>0</v>
      </c>
      <c r="AJ86" s="73">
        <f>IF(All_data!T85="Stand pipe",1,0)</f>
        <v>0</v>
      </c>
      <c r="AK86" s="73">
        <f>IF(All_data!U85="Shared Facilities ",1,0)</f>
        <v>0</v>
      </c>
      <c r="AL86" s="73">
        <f>IF(All_data!V85="paved",0,1)</f>
        <v>0</v>
      </c>
      <c r="AM86" s="55">
        <v>33.5</v>
      </c>
      <c r="AN86" s="55">
        <v>0</v>
      </c>
      <c r="AO86" s="55">
        <v>0</v>
      </c>
      <c r="AP86" s="55">
        <v>0.28899999999999998</v>
      </c>
      <c r="AQ86" s="55">
        <v>0.128</v>
      </c>
      <c r="AR86" s="55">
        <v>0.54300000000000004</v>
      </c>
      <c r="AS86" s="55">
        <v>0.32600000000000001</v>
      </c>
      <c r="AT86" s="55">
        <v>0</v>
      </c>
      <c r="AU86" s="55">
        <v>0</v>
      </c>
      <c r="AV86" s="55">
        <v>6.08</v>
      </c>
      <c r="AW86" s="55">
        <v>40.866</v>
      </c>
      <c r="AX86" s="55">
        <v>5.8380000000000001</v>
      </c>
      <c r="AY86" s="55">
        <v>0.83399999999999996</v>
      </c>
      <c r="AZ86" s="55">
        <v>110</v>
      </c>
      <c r="BA86" s="55">
        <v>0.3715090909090909</v>
      </c>
    </row>
    <row r="87" spans="1:53" ht="15.5" x14ac:dyDescent="0.35">
      <c r="A87" s="59">
        <v>84</v>
      </c>
      <c r="B87" s="27" t="s">
        <v>199</v>
      </c>
      <c r="C87" s="26" t="s">
        <v>153</v>
      </c>
      <c r="D87" s="26" t="s">
        <v>154</v>
      </c>
      <c r="E87" s="26" t="s">
        <v>155</v>
      </c>
      <c r="F87" s="47">
        <f>IF(All_data!F86="low-income",1,IF(All_data!F86="Middle-Income",2,IF(All_data!F86="High-Income",3,"check")))</f>
        <v>3</v>
      </c>
      <c r="G87" s="47">
        <v>3</v>
      </c>
      <c r="H87" s="47">
        <f>IF(All_data!H86="18-35 years",2,IF(All_data!H86="36-60 years",3,IF(All_data!H86="&gt;60 years",4,1)))</f>
        <v>4</v>
      </c>
      <c r="I87" s="47">
        <f>IF(All_data!I86="Male",0,1)</f>
        <v>0</v>
      </c>
      <c r="J87" s="73">
        <f>IF(All_data!J86="Illiterate",1,IF(All_data!J86="Primary",2,IF(All_data!J86="secondary",3,IF(All_data!J86="Tertiary",4,"check"))))</f>
        <v>4</v>
      </c>
      <c r="K87" s="47">
        <f>IF(All_data!K86="Government Employee",1,0)</f>
        <v>0</v>
      </c>
      <c r="L87" s="47">
        <f>IF(All_data!K86="Private Employee",1,0)</f>
        <v>1</v>
      </c>
      <c r="M87" s="47">
        <f>IF(All_data!K86="Business",1,0)</f>
        <v>0</v>
      </c>
      <c r="N87" s="47">
        <f>IF(All_data!K86="Student",1,0)</f>
        <v>0</v>
      </c>
      <c r="O87" s="47">
        <f>IF(All_data!K86="Housewife",1,0)</f>
        <v>0</v>
      </c>
      <c r="P87" s="47">
        <f>IF(All_data!K86="Retired",1,0)</f>
        <v>0</v>
      </c>
      <c r="Q87" s="47">
        <f>IF(All_data!L86="&lt;500,000",1,IF(All_data!L86="500,000 - 1,000,000",2,IF(All_data!L86="1,000,000 - 3,000,000",3,IF(All_data!L86="&gt;3,000,000",4,"check"))))</f>
        <v>4</v>
      </c>
      <c r="R87" s="63">
        <f>IF(All_data!M86="Spouse",1,0)</f>
        <v>0</v>
      </c>
      <c r="S87" s="47">
        <f>IF(All_data!M86="Son/Daughter",1,0)</f>
        <v>0</v>
      </c>
      <c r="T87" s="47">
        <f>IF(All_data!M86="Niece/nephew",1,0)</f>
        <v>0</v>
      </c>
      <c r="U87" s="47">
        <f>IF(All_data!M86="Household head",1,0)</f>
        <v>1</v>
      </c>
      <c r="V87" s="47">
        <f>IF(All_data!N86="&lt; 1 year",1,IF(All_data!N86="1-3 years",2,IF(All_data!N86="3-5 years",3,IF(All_data!N86="&gt; 5 years",4,"check"))))</f>
        <v>4</v>
      </c>
      <c r="W87" s="47">
        <f>IF(All_data!O86="Rented",1,0)</f>
        <v>0</v>
      </c>
      <c r="X87" s="73">
        <f>IF(All_data!P86="Bungalow",1,0)</f>
        <v>0</v>
      </c>
      <c r="Y87" s="73">
        <f>IF(All_data!P86="Temporary",1,0)</f>
        <v>0</v>
      </c>
      <c r="Z87" s="73">
        <f>IF(All_data!P86="Story Building",1,0)</f>
        <v>1</v>
      </c>
      <c r="AA87" s="73">
        <f>IF(All_data!Q86="Iron Sheets/titles",1,0)</f>
        <v>1</v>
      </c>
      <c r="AB87" s="74">
        <f>IF(All_data!R86="Concrete Blocks",1,0)</f>
        <v>0</v>
      </c>
      <c r="AC87" s="73">
        <f>IF(All_data!R86="Bricks",1,0)</f>
        <v>1</v>
      </c>
      <c r="AD87" s="73">
        <f>IF(All_data!R86="Mud/poles",1,0)</f>
        <v>0</v>
      </c>
      <c r="AE87" s="73">
        <f>IF(All_data!S86="tiles",1,0)</f>
        <v>1</v>
      </c>
      <c r="AF87" s="73">
        <f>IF(All_data!S86="Cemented",1,0)</f>
        <v>0</v>
      </c>
      <c r="AG87" s="73">
        <f>IF(All_data!S86="Mud",1,0)</f>
        <v>0</v>
      </c>
      <c r="AH87" s="73">
        <f>IF(All_data!T86="House connection",1,0)</f>
        <v>1</v>
      </c>
      <c r="AI87" s="73">
        <f>IF(All_data!T86="Yard tap",1,0)</f>
        <v>0</v>
      </c>
      <c r="AJ87" s="73">
        <f>IF(All_data!T86="Stand pipe",1,0)</f>
        <v>0</v>
      </c>
      <c r="AK87" s="73">
        <f>IF(All_data!U86="Shared Facilities ",1,0)</f>
        <v>0</v>
      </c>
      <c r="AL87" s="73">
        <f>IF(All_data!V86="paved",0,1)</f>
        <v>0</v>
      </c>
      <c r="AM87" s="55">
        <v>9.68</v>
      </c>
      <c r="AN87" s="55">
        <v>0</v>
      </c>
      <c r="AO87" s="55">
        <v>0</v>
      </c>
      <c r="AP87" s="55">
        <v>0</v>
      </c>
      <c r="AQ87" s="55">
        <v>0.32</v>
      </c>
      <c r="AR87" s="55">
        <v>0.372</v>
      </c>
      <c r="AS87" s="55">
        <v>0.42899999999999999</v>
      </c>
      <c r="AT87" s="55">
        <v>0</v>
      </c>
      <c r="AU87" s="55">
        <v>0</v>
      </c>
      <c r="AV87" s="55">
        <v>3.94</v>
      </c>
      <c r="AW87" s="55">
        <v>14.741</v>
      </c>
      <c r="AX87" s="55">
        <v>2.1058571428571429</v>
      </c>
      <c r="AY87" s="55">
        <v>0.70195238095238099</v>
      </c>
      <c r="AZ87" s="55">
        <v>54</v>
      </c>
      <c r="BA87" s="55">
        <v>0.27298148148148149</v>
      </c>
    </row>
    <row r="88" spans="1:53" ht="15.5" x14ac:dyDescent="0.35">
      <c r="A88" s="59">
        <v>85</v>
      </c>
      <c r="B88" s="27" t="s">
        <v>200</v>
      </c>
      <c r="C88" s="26" t="s">
        <v>153</v>
      </c>
      <c r="D88" s="26" t="s">
        <v>154</v>
      </c>
      <c r="E88" s="26" t="s">
        <v>155</v>
      </c>
      <c r="F88" s="47">
        <f>IF(All_data!F87="low-income",1,IF(All_data!F87="Middle-Income",2,IF(All_data!F87="High-Income",3,"check")))</f>
        <v>3</v>
      </c>
      <c r="G88" s="47">
        <v>8</v>
      </c>
      <c r="H88" s="47">
        <f>IF(All_data!H87="18-35 years",2,IF(All_data!H87="36-60 years",3,IF(All_data!H87="&gt;60 years",4,1)))</f>
        <v>4</v>
      </c>
      <c r="I88" s="47">
        <f>IF(All_data!I87="Male",0,1)</f>
        <v>0</v>
      </c>
      <c r="J88" s="73">
        <f>IF(All_data!J87="Illiterate",1,IF(All_data!J87="Primary",2,IF(All_data!J87="secondary",3,IF(All_data!J87="Tertiary",4,"check"))))</f>
        <v>4</v>
      </c>
      <c r="K88" s="47">
        <f>IF(All_data!K87="Government Employee",1,0)</f>
        <v>0</v>
      </c>
      <c r="L88" s="47">
        <f>IF(All_data!K87="Private Employee",1,0)</f>
        <v>1</v>
      </c>
      <c r="M88" s="47">
        <f>IF(All_data!K87="Business",1,0)</f>
        <v>0</v>
      </c>
      <c r="N88" s="47">
        <f>IF(All_data!K87="Student",1,0)</f>
        <v>0</v>
      </c>
      <c r="O88" s="47">
        <f>IF(All_data!K87="Housewife",1,0)</f>
        <v>0</v>
      </c>
      <c r="P88" s="47">
        <f>IF(All_data!K87="Retired",1,0)</f>
        <v>0</v>
      </c>
      <c r="Q88" s="47">
        <f>IF(All_data!L87="&lt;500,000",1,IF(All_data!L87="500,000 - 1,000,000",2,IF(All_data!L87="1,000,000 - 3,000,000",3,IF(All_data!L87="&gt;3,000,000",4,"check"))))</f>
        <v>4</v>
      </c>
      <c r="R88" s="63">
        <f>IF(All_data!M87="Spouse",1,0)</f>
        <v>1</v>
      </c>
      <c r="S88" s="47">
        <f>IF(All_data!M87="Son/Daughter",1,0)</f>
        <v>0</v>
      </c>
      <c r="T88" s="47">
        <f>IF(All_data!M87="Niece/nephew",1,0)</f>
        <v>0</v>
      </c>
      <c r="U88" s="47">
        <f>IF(All_data!M87="Household head",1,0)</f>
        <v>0</v>
      </c>
      <c r="V88" s="47">
        <f>IF(All_data!N87="&lt; 1 year",1,IF(All_data!N87="1-3 years",2,IF(All_data!N87="3-5 years",3,IF(All_data!N87="&gt; 5 years",4,"check"))))</f>
        <v>4</v>
      </c>
      <c r="W88" s="47">
        <f>IF(All_data!O87="Rented",1,0)</f>
        <v>0</v>
      </c>
      <c r="X88" s="73">
        <f>IF(All_data!P87="Bungalow",1,0)</f>
        <v>1</v>
      </c>
      <c r="Y88" s="73">
        <f>IF(All_data!P87="Temporary",1,0)</f>
        <v>0</v>
      </c>
      <c r="Z88" s="73">
        <f>IF(All_data!P87="Story Building",1,0)</f>
        <v>0</v>
      </c>
      <c r="AA88" s="73">
        <f>IF(All_data!Q87="Iron Sheets/titles",1,0)</f>
        <v>1</v>
      </c>
      <c r="AB88" s="74">
        <f>IF(All_data!R87="Concrete Blocks",1,0)</f>
        <v>0</v>
      </c>
      <c r="AC88" s="73">
        <f>IF(All_data!R87="Bricks",1,0)</f>
        <v>1</v>
      </c>
      <c r="AD88" s="73">
        <f>IF(All_data!R87="Mud/poles",1,0)</f>
        <v>0</v>
      </c>
      <c r="AE88" s="73">
        <f>IF(All_data!S87="tiles",1,0)</f>
        <v>1</v>
      </c>
      <c r="AF88" s="73">
        <f>IF(All_data!S87="Cemented",1,0)</f>
        <v>0</v>
      </c>
      <c r="AG88" s="73">
        <f>IF(All_data!S87="Mud",1,0)</f>
        <v>0</v>
      </c>
      <c r="AH88" s="73">
        <f>IF(All_data!T87="House connection",1,0)</f>
        <v>1</v>
      </c>
      <c r="AI88" s="73">
        <f>IF(All_data!T87="Yard tap",1,0)</f>
        <v>0</v>
      </c>
      <c r="AJ88" s="73">
        <f>IF(All_data!T87="Stand pipe",1,0)</f>
        <v>0</v>
      </c>
      <c r="AK88" s="73">
        <f>IF(All_data!U87="Shared Facilities ",1,0)</f>
        <v>0</v>
      </c>
      <c r="AL88" s="73">
        <f>IF(All_data!V87="paved",0,1)</f>
        <v>1</v>
      </c>
      <c r="AM88" s="55">
        <v>21.341999999999999</v>
      </c>
      <c r="AN88" s="55">
        <v>0</v>
      </c>
      <c r="AO88" s="55">
        <v>0</v>
      </c>
      <c r="AP88" s="55">
        <v>0</v>
      </c>
      <c r="AQ88" s="55">
        <v>1.5510000000000002</v>
      </c>
      <c r="AR88" s="47">
        <v>1.8129999999999999</v>
      </c>
      <c r="AS88" s="55">
        <v>1.2889999999999999</v>
      </c>
      <c r="AT88" s="55">
        <v>0.20499999999999999</v>
      </c>
      <c r="AU88" s="55">
        <v>0.123</v>
      </c>
      <c r="AV88" s="55">
        <v>0</v>
      </c>
      <c r="AW88" s="55">
        <v>26.323</v>
      </c>
      <c r="AX88" s="55">
        <v>3.7604285714285717</v>
      </c>
      <c r="AY88" s="55">
        <v>0.47005357142857146</v>
      </c>
      <c r="AZ88" s="55">
        <v>80</v>
      </c>
      <c r="BA88" s="55">
        <v>0.32903749999999998</v>
      </c>
    </row>
    <row r="89" spans="1:53" ht="15.5" x14ac:dyDescent="0.35">
      <c r="A89" s="59">
        <v>86</v>
      </c>
      <c r="B89" s="27" t="s">
        <v>201</v>
      </c>
      <c r="C89" s="26" t="s">
        <v>153</v>
      </c>
      <c r="D89" s="26" t="s">
        <v>154</v>
      </c>
      <c r="E89" s="26" t="s">
        <v>155</v>
      </c>
      <c r="F89" s="47">
        <f>IF(All_data!F88="low-income",1,IF(All_data!F88="Middle-Income",2,IF(All_data!F88="High-Income",3,"check")))</f>
        <v>3</v>
      </c>
      <c r="G89" s="47">
        <v>12</v>
      </c>
      <c r="H89" s="47">
        <f>IF(All_data!H88="18-35 years",2,IF(All_data!H88="36-60 years",3,IF(All_data!H88="&gt;60 years",4,1)))</f>
        <v>3</v>
      </c>
      <c r="I89" s="47">
        <f>IF(All_data!I88="Male",0,1)</f>
        <v>0</v>
      </c>
      <c r="J89" s="73">
        <f>IF(All_data!J88="Illiterate",1,IF(All_data!J88="Primary",2,IF(All_data!J88="secondary",3,IF(All_data!J88="Tertiary",4,"check"))))</f>
        <v>3</v>
      </c>
      <c r="K89" s="47">
        <f>IF(All_data!K88="Government Employee",1,0)</f>
        <v>0</v>
      </c>
      <c r="L89" s="47">
        <f>IF(All_data!K88="Private Employee",1,0)</f>
        <v>0</v>
      </c>
      <c r="M89" s="47">
        <f>IF(All_data!K88="Business",1,0)</f>
        <v>1</v>
      </c>
      <c r="N89" s="47">
        <f>IF(All_data!K88="Student",1,0)</f>
        <v>0</v>
      </c>
      <c r="O89" s="47">
        <f>IF(All_data!K88="Housewife",1,0)</f>
        <v>0</v>
      </c>
      <c r="P89" s="47">
        <f>IF(All_data!K88="Retired",1,0)</f>
        <v>0</v>
      </c>
      <c r="Q89" s="47">
        <f>IF(All_data!L88="&lt;500,000",1,IF(All_data!L88="500,000 - 1,000,000",2,IF(All_data!L88="1,000,000 - 3,000,000",3,IF(All_data!L88="&gt;3,000,000",4,"check"))))</f>
        <v>4</v>
      </c>
      <c r="R89" s="63">
        <f>IF(All_data!M88="Spouse",1,0)</f>
        <v>0</v>
      </c>
      <c r="S89" s="47">
        <f>IF(All_data!M88="Son/Daughter",1,0)</f>
        <v>0</v>
      </c>
      <c r="T89" s="47">
        <f>IF(All_data!M88="Niece/nephew",1,0)</f>
        <v>0</v>
      </c>
      <c r="U89" s="47">
        <f>IF(All_data!M88="Household head",1,0)</f>
        <v>1</v>
      </c>
      <c r="V89" s="47">
        <f>IF(All_data!N88="&lt; 1 year",1,IF(All_data!N88="1-3 years",2,IF(All_data!N88="3-5 years",3,IF(All_data!N88="&gt; 5 years",4,"check"))))</f>
        <v>4</v>
      </c>
      <c r="W89" s="47">
        <f>IF(All_data!O88="Rented",1,0)</f>
        <v>0</v>
      </c>
      <c r="X89" s="73">
        <f>IF(All_data!P88="Bungalow",1,0)</f>
        <v>0</v>
      </c>
      <c r="Y89" s="73">
        <f>IF(All_data!P88="Temporary",1,0)</f>
        <v>0</v>
      </c>
      <c r="Z89" s="73">
        <f>IF(All_data!P88="Story Building",1,0)</f>
        <v>1</v>
      </c>
      <c r="AA89" s="73">
        <f>IF(All_data!Q88="Iron Sheets/titles",1,0)</f>
        <v>1</v>
      </c>
      <c r="AB89" s="74">
        <f>IF(All_data!R88="Concrete Blocks",1,0)</f>
        <v>0</v>
      </c>
      <c r="AC89" s="73">
        <f>IF(All_data!R88="Bricks",1,0)</f>
        <v>1</v>
      </c>
      <c r="AD89" s="73">
        <f>IF(All_data!R88="Mud/poles",1,0)</f>
        <v>0</v>
      </c>
      <c r="AE89" s="73">
        <f>IF(All_data!S88="tiles",1,0)</f>
        <v>1</v>
      </c>
      <c r="AF89" s="73">
        <f>IF(All_data!S88="Cemented",1,0)</f>
        <v>0</v>
      </c>
      <c r="AG89" s="73">
        <f>IF(All_data!S88="Mud",1,0)</f>
        <v>0</v>
      </c>
      <c r="AH89" s="73">
        <f>IF(All_data!T88="House connection",1,0)</f>
        <v>1</v>
      </c>
      <c r="AI89" s="73">
        <f>IF(All_data!T88="Yard tap",1,0)</f>
        <v>0</v>
      </c>
      <c r="AJ89" s="73">
        <f>IF(All_data!T88="Stand pipe",1,0)</f>
        <v>0</v>
      </c>
      <c r="AK89" s="73">
        <f>IF(All_data!U88="Shared Facilities ",1,0)</f>
        <v>0</v>
      </c>
      <c r="AL89" s="73">
        <f>IF(All_data!V88="paved",0,1)</f>
        <v>0</v>
      </c>
      <c r="AM89" s="55">
        <v>19.12</v>
      </c>
      <c r="AN89" s="55">
        <v>7.26</v>
      </c>
      <c r="AO89" s="55">
        <v>0</v>
      </c>
      <c r="AP89" s="55">
        <v>0.55000000000000004</v>
      </c>
      <c r="AQ89" s="55">
        <v>0.56699999999999995</v>
      </c>
      <c r="AR89" s="55">
        <v>0.92300000000000004</v>
      </c>
      <c r="AS89" s="55">
        <v>2.125</v>
      </c>
      <c r="AT89" s="55">
        <v>0</v>
      </c>
      <c r="AU89" s="55">
        <v>0</v>
      </c>
      <c r="AV89" s="55">
        <v>3.12</v>
      </c>
      <c r="AW89" s="55">
        <v>33.664999999999999</v>
      </c>
      <c r="AX89" s="55">
        <v>4.8092857142857142</v>
      </c>
      <c r="AY89" s="55">
        <v>0.40077380952380953</v>
      </c>
      <c r="AZ89" s="55">
        <v>100</v>
      </c>
      <c r="BA89" s="55">
        <v>0.33665</v>
      </c>
    </row>
    <row r="90" spans="1:53" ht="15.5" x14ac:dyDescent="0.35">
      <c r="A90" s="59">
        <v>87</v>
      </c>
      <c r="B90" s="27" t="s">
        <v>202</v>
      </c>
      <c r="C90" s="26" t="s">
        <v>153</v>
      </c>
      <c r="D90" s="26" t="s">
        <v>154</v>
      </c>
      <c r="E90" s="26" t="s">
        <v>155</v>
      </c>
      <c r="F90" s="47">
        <f>IF(All_data!F89="low-income",1,IF(All_data!F89="Middle-Income",2,IF(All_data!F89="High-Income",3,"check")))</f>
        <v>3</v>
      </c>
      <c r="G90" s="47">
        <v>4</v>
      </c>
      <c r="H90" s="47">
        <f>IF(All_data!H89="18-35 years",2,IF(All_data!H89="36-60 years",3,IF(All_data!H89="&gt;60 years",4,1)))</f>
        <v>3</v>
      </c>
      <c r="I90" s="47">
        <f>IF(All_data!I89="Male",0,1)</f>
        <v>0</v>
      </c>
      <c r="J90" s="73">
        <f>IF(All_data!J89="Illiterate",1,IF(All_data!J89="Primary",2,IF(All_data!J89="secondary",3,IF(All_data!J89="Tertiary",4,"check"))))</f>
        <v>4</v>
      </c>
      <c r="K90" s="47">
        <f>IF(All_data!K89="Government Employee",1,0)</f>
        <v>0</v>
      </c>
      <c r="L90" s="47">
        <f>IF(All_data!K89="Private Employee",1,0)</f>
        <v>1</v>
      </c>
      <c r="M90" s="47">
        <f>IF(All_data!K89="Business",1,0)</f>
        <v>0</v>
      </c>
      <c r="N90" s="47">
        <f>IF(All_data!K89="Student",1,0)</f>
        <v>0</v>
      </c>
      <c r="O90" s="47">
        <f>IF(All_data!K89="Housewife",1,0)</f>
        <v>0</v>
      </c>
      <c r="P90" s="47">
        <f>IF(All_data!K89="Retired",1,0)</f>
        <v>0</v>
      </c>
      <c r="Q90" s="47">
        <f>IF(All_data!L89="&lt;500,000",1,IF(All_data!L89="500,000 - 1,000,000",2,IF(All_data!L89="1,000,000 - 3,000,000",3,IF(All_data!L89="&gt;3,000,000",4,"check"))))</f>
        <v>3</v>
      </c>
      <c r="R90" s="63">
        <f>IF(All_data!M89="Spouse",1,0)</f>
        <v>0</v>
      </c>
      <c r="S90" s="47">
        <f>IF(All_data!M89="Son/Daughter",1,0)</f>
        <v>0</v>
      </c>
      <c r="T90" s="47">
        <f>IF(All_data!M89="Niece/nephew",1,0)</f>
        <v>0</v>
      </c>
      <c r="U90" s="47">
        <f>IF(All_data!M89="Household head",1,0)</f>
        <v>1</v>
      </c>
      <c r="V90" s="47">
        <f>IF(All_data!N89="&lt; 1 year",1,IF(All_data!N89="1-3 years",2,IF(All_data!N89="3-5 years",3,IF(All_data!N89="&gt; 5 years",4,"check"))))</f>
        <v>4</v>
      </c>
      <c r="W90" s="47">
        <f>IF(All_data!O89="Rented",1,0)</f>
        <v>0</v>
      </c>
      <c r="X90" s="73">
        <f>IF(All_data!P89="Bungalow",1,0)</f>
        <v>0</v>
      </c>
      <c r="Y90" s="73">
        <f>IF(All_data!P89="Temporary",1,0)</f>
        <v>0</v>
      </c>
      <c r="Z90" s="73">
        <f>IF(All_data!P89="Story Building",1,0)</f>
        <v>1</v>
      </c>
      <c r="AA90" s="73">
        <f>IF(All_data!Q89="Iron Sheets/titles",1,0)</f>
        <v>1</v>
      </c>
      <c r="AB90" s="74">
        <f>IF(All_data!R89="Concrete Blocks",1,0)</f>
        <v>0</v>
      </c>
      <c r="AC90" s="73">
        <f>IF(All_data!R89="Bricks",1,0)</f>
        <v>1</v>
      </c>
      <c r="AD90" s="73">
        <f>IF(All_data!R89="Mud/poles",1,0)</f>
        <v>0</v>
      </c>
      <c r="AE90" s="73">
        <f>IF(All_data!S89="tiles",1,0)</f>
        <v>1</v>
      </c>
      <c r="AF90" s="73">
        <f>IF(All_data!S89="Cemented",1,0)</f>
        <v>0</v>
      </c>
      <c r="AG90" s="73">
        <f>IF(All_data!S89="Mud",1,0)</f>
        <v>0</v>
      </c>
      <c r="AH90" s="73">
        <f>IF(All_data!T89="House connection",1,0)</f>
        <v>1</v>
      </c>
      <c r="AI90" s="73">
        <f>IF(All_data!T89="Yard tap",1,0)</f>
        <v>0</v>
      </c>
      <c r="AJ90" s="73">
        <f>IF(All_data!T89="Stand pipe",1,0)</f>
        <v>0</v>
      </c>
      <c r="AK90" s="73">
        <f>IF(All_data!U89="Shared Facilities ",1,0)</f>
        <v>0</v>
      </c>
      <c r="AL90" s="73">
        <f>IF(All_data!V89="paved",0,1)</f>
        <v>0</v>
      </c>
      <c r="AM90" s="55">
        <v>32.19</v>
      </c>
      <c r="AN90" s="55">
        <v>0</v>
      </c>
      <c r="AO90" s="55">
        <v>0</v>
      </c>
      <c r="AP90" s="55">
        <v>0</v>
      </c>
      <c r="AQ90" s="55">
        <v>0.58699999999999997</v>
      </c>
      <c r="AR90" s="55">
        <v>0.82</v>
      </c>
      <c r="AS90" s="55">
        <v>0.96299999999999997</v>
      </c>
      <c r="AT90" s="55">
        <v>0</v>
      </c>
      <c r="AU90" s="55">
        <v>0</v>
      </c>
      <c r="AV90" s="55">
        <v>0</v>
      </c>
      <c r="AW90" s="55">
        <v>34.56</v>
      </c>
      <c r="AX90" s="55">
        <v>4.9371428571428577</v>
      </c>
      <c r="AY90" s="55">
        <v>1.2342857142857144</v>
      </c>
      <c r="AZ90" s="55">
        <v>112</v>
      </c>
      <c r="BA90" s="55">
        <v>0.30857142857142861</v>
      </c>
    </row>
    <row r="91" spans="1:53" ht="15.5" x14ac:dyDescent="0.35">
      <c r="A91" s="59">
        <v>88</v>
      </c>
      <c r="B91" s="27" t="s">
        <v>203</v>
      </c>
      <c r="C91" s="26" t="s">
        <v>153</v>
      </c>
      <c r="D91" s="26" t="s">
        <v>154</v>
      </c>
      <c r="E91" s="26" t="s">
        <v>155</v>
      </c>
      <c r="F91" s="47">
        <f>IF(All_data!F90="low-income",1,IF(All_data!F90="Middle-Income",2,IF(All_data!F90="High-Income",3,"check")))</f>
        <v>3</v>
      </c>
      <c r="G91" s="47">
        <v>7</v>
      </c>
      <c r="H91" s="47">
        <f>IF(All_data!H90="18-35 years",2,IF(All_data!H90="36-60 years",3,IF(All_data!H90="&gt;60 years",4,1)))</f>
        <v>4</v>
      </c>
      <c r="I91" s="47">
        <f>IF(All_data!I90="Male",0,1)</f>
        <v>0</v>
      </c>
      <c r="J91" s="73">
        <f>IF(All_data!J90="Illiterate",1,IF(All_data!J90="Primary",2,IF(All_data!J90="secondary",3,IF(All_data!J90="Tertiary",4,"check"))))</f>
        <v>4</v>
      </c>
      <c r="K91" s="47">
        <f>IF(All_data!K90="Government Employee",1,0)</f>
        <v>0</v>
      </c>
      <c r="L91" s="47">
        <f>IF(All_data!K90="Private Employee",1,0)</f>
        <v>0</v>
      </c>
      <c r="M91" s="47">
        <f>IF(All_data!K90="Business",1,0)</f>
        <v>0</v>
      </c>
      <c r="N91" s="47">
        <f>IF(All_data!K90="Student",1,0)</f>
        <v>0</v>
      </c>
      <c r="O91" s="47">
        <f>IF(All_data!K90="Housewife",1,0)</f>
        <v>0</v>
      </c>
      <c r="P91" s="47">
        <f>IF(All_data!K90="Retired",1,0)</f>
        <v>1</v>
      </c>
      <c r="Q91" s="47">
        <f>IF(All_data!L90="&lt;500,000",1,IF(All_data!L90="500,000 - 1,000,000",2,IF(All_data!L90="1,000,000 - 3,000,000",3,IF(All_data!L90="&gt;3,000,000",4,"check"))))</f>
        <v>3</v>
      </c>
      <c r="R91" s="63">
        <f>IF(All_data!M90="Spouse",1,0)</f>
        <v>0</v>
      </c>
      <c r="S91" s="47">
        <f>IF(All_data!M90="Son/Daughter",1,0)</f>
        <v>0</v>
      </c>
      <c r="T91" s="47">
        <f>IF(All_data!M90="Niece/nephew",1,0)</f>
        <v>0</v>
      </c>
      <c r="U91" s="47">
        <f>IF(All_data!M90="Household head",1,0)</f>
        <v>1</v>
      </c>
      <c r="V91" s="47">
        <f>IF(All_data!N90="&lt; 1 year",1,IF(All_data!N90="1-3 years",2,IF(All_data!N90="3-5 years",3,IF(All_data!N90="&gt; 5 years",4,"check"))))</f>
        <v>4</v>
      </c>
      <c r="W91" s="47">
        <f>IF(All_data!O90="Rented",1,0)</f>
        <v>0</v>
      </c>
      <c r="X91" s="73">
        <f>IF(All_data!P90="Bungalow",1,0)</f>
        <v>1</v>
      </c>
      <c r="Y91" s="73">
        <f>IF(All_data!P90="Temporary",1,0)</f>
        <v>0</v>
      </c>
      <c r="Z91" s="73">
        <f>IF(All_data!P90="Story Building",1,0)</f>
        <v>0</v>
      </c>
      <c r="AA91" s="73">
        <f>IF(All_data!Q90="Iron Sheets/titles",1,0)</f>
        <v>1</v>
      </c>
      <c r="AB91" s="74">
        <f>IF(All_data!R90="Concrete Blocks",1,0)</f>
        <v>0</v>
      </c>
      <c r="AC91" s="73">
        <f>IF(All_data!R90="Bricks",1,0)</f>
        <v>1</v>
      </c>
      <c r="AD91" s="73">
        <f>IF(All_data!R90="Mud/poles",1,0)</f>
        <v>0</v>
      </c>
      <c r="AE91" s="73">
        <f>IF(All_data!S90="tiles",1,0)</f>
        <v>1</v>
      </c>
      <c r="AF91" s="73">
        <f>IF(All_data!S90="Cemented",1,0)</f>
        <v>0</v>
      </c>
      <c r="AG91" s="73">
        <f>IF(All_data!S90="Mud",1,0)</f>
        <v>0</v>
      </c>
      <c r="AH91" s="73">
        <f>IF(All_data!T90="House connection",1,0)</f>
        <v>1</v>
      </c>
      <c r="AI91" s="73">
        <f>IF(All_data!T90="Yard tap",1,0)</f>
        <v>0</v>
      </c>
      <c r="AJ91" s="73">
        <f>IF(All_data!T90="Stand pipe",1,0)</f>
        <v>0</v>
      </c>
      <c r="AK91" s="73">
        <f>IF(All_data!U90="Shared Facilities ",1,0)</f>
        <v>0</v>
      </c>
      <c r="AL91" s="73">
        <f>IF(All_data!V90="paved",0,1)</f>
        <v>0</v>
      </c>
      <c r="AM91" s="55">
        <v>53.879999999999995</v>
      </c>
      <c r="AN91" s="55">
        <v>8.0299999999999994</v>
      </c>
      <c r="AO91" s="55">
        <v>0</v>
      </c>
      <c r="AP91" s="55">
        <v>0</v>
      </c>
      <c r="AQ91" s="55">
        <v>0.92500000000000004</v>
      </c>
      <c r="AR91" s="55">
        <v>0.75860000000000005</v>
      </c>
      <c r="AS91" s="55">
        <v>1.0429999999999999</v>
      </c>
      <c r="AT91" s="55">
        <v>0</v>
      </c>
      <c r="AU91" s="55">
        <v>0</v>
      </c>
      <c r="AV91" s="55">
        <v>4.07</v>
      </c>
      <c r="AW91" s="55">
        <v>68.706600000000009</v>
      </c>
      <c r="AX91" s="55">
        <v>9.8152285714285732</v>
      </c>
      <c r="AY91" s="55">
        <v>1.4021755102040818</v>
      </c>
      <c r="AZ91" s="55">
        <v>244</v>
      </c>
      <c r="BA91" s="55">
        <v>0.28158442622950824</v>
      </c>
    </row>
    <row r="92" spans="1:53" ht="15.5" x14ac:dyDescent="0.35">
      <c r="A92" s="59">
        <v>89</v>
      </c>
      <c r="B92" s="27" t="s">
        <v>204</v>
      </c>
      <c r="C92" s="26" t="s">
        <v>153</v>
      </c>
      <c r="D92" s="26" t="s">
        <v>154</v>
      </c>
      <c r="E92" s="26" t="s">
        <v>155</v>
      </c>
      <c r="F92" s="47">
        <f>IF(All_data!F91="low-income",1,IF(All_data!F91="Middle-Income",2,IF(All_data!F91="High-Income",3,"check")))</f>
        <v>3</v>
      </c>
      <c r="G92" s="47">
        <v>5</v>
      </c>
      <c r="H92" s="47">
        <f>IF(All_data!H91="18-35 years",2,IF(All_data!H91="36-60 years",3,IF(All_data!H91="&gt;60 years",4,1)))</f>
        <v>4</v>
      </c>
      <c r="I92" s="47">
        <f>IF(All_data!I91="Male",0,1)</f>
        <v>0</v>
      </c>
      <c r="J92" s="73">
        <f>IF(All_data!J91="Illiterate",1,IF(All_data!J91="Primary",2,IF(All_data!J91="secondary",3,IF(All_data!J91="Tertiary",4,"check"))))</f>
        <v>4</v>
      </c>
      <c r="K92" s="47">
        <f>IF(All_data!K91="Government Employee",1,0)</f>
        <v>0</v>
      </c>
      <c r="L92" s="47">
        <f>IF(All_data!K91="Private Employee",1,0)</f>
        <v>0</v>
      </c>
      <c r="M92" s="47">
        <f>IF(All_data!K91="Business",1,0)</f>
        <v>0</v>
      </c>
      <c r="N92" s="47">
        <f>IF(All_data!K91="Student",1,0)</f>
        <v>0</v>
      </c>
      <c r="O92" s="47">
        <f>IF(All_data!K91="Housewife",1,0)</f>
        <v>0</v>
      </c>
      <c r="P92" s="47">
        <f>IF(All_data!K91="Retired",1,0)</f>
        <v>1</v>
      </c>
      <c r="Q92" s="47">
        <f>IF(All_data!L91="&lt;500,000",1,IF(All_data!L91="500,000 - 1,000,000",2,IF(All_data!L91="1,000,000 - 3,000,000",3,IF(All_data!L91="&gt;3,000,000",4,"check"))))</f>
        <v>3</v>
      </c>
      <c r="R92" s="63">
        <f>IF(All_data!M91="Spouse",1,0)</f>
        <v>1</v>
      </c>
      <c r="S92" s="47">
        <f>IF(All_data!M91="Son/Daughter",1,0)</f>
        <v>0</v>
      </c>
      <c r="T92" s="47">
        <f>IF(All_data!M91="Niece/nephew",1,0)</f>
        <v>0</v>
      </c>
      <c r="U92" s="47">
        <f>IF(All_data!M91="Household head",1,0)</f>
        <v>0</v>
      </c>
      <c r="V92" s="47">
        <f>IF(All_data!N91="&lt; 1 year",1,IF(All_data!N91="1-3 years",2,IF(All_data!N91="3-5 years",3,IF(All_data!N91="&gt; 5 years",4,"check"))))</f>
        <v>4</v>
      </c>
      <c r="W92" s="47">
        <f>IF(All_data!O91="Rented",1,0)</f>
        <v>0</v>
      </c>
      <c r="X92" s="73">
        <f>IF(All_data!P91="Bungalow",1,0)</f>
        <v>1</v>
      </c>
      <c r="Y92" s="73">
        <f>IF(All_data!P91="Temporary",1,0)</f>
        <v>0</v>
      </c>
      <c r="Z92" s="73">
        <f>IF(All_data!P91="Story Building",1,0)</f>
        <v>0</v>
      </c>
      <c r="AA92" s="73">
        <f>IF(All_data!Q91="Iron Sheets/titles",1,0)</f>
        <v>1</v>
      </c>
      <c r="AB92" s="74">
        <f>IF(All_data!R91="Concrete Blocks",1,0)</f>
        <v>0</v>
      </c>
      <c r="AC92" s="73">
        <f>IF(All_data!R91="Bricks",1,0)</f>
        <v>1</v>
      </c>
      <c r="AD92" s="73">
        <f>IF(All_data!R91="Mud/poles",1,0)</f>
        <v>0</v>
      </c>
      <c r="AE92" s="73">
        <f>IF(All_data!S91="tiles",1,0)</f>
        <v>1</v>
      </c>
      <c r="AF92" s="73">
        <f>IF(All_data!S91="Cemented",1,0)</f>
        <v>0</v>
      </c>
      <c r="AG92" s="73">
        <f>IF(All_data!S91="Mud",1,0)</f>
        <v>0</v>
      </c>
      <c r="AH92" s="73">
        <f>IF(All_data!T91="House connection",1,0)</f>
        <v>1</v>
      </c>
      <c r="AI92" s="73">
        <f>IF(All_data!T91="Yard tap",1,0)</f>
        <v>0</v>
      </c>
      <c r="AJ92" s="73">
        <f>IF(All_data!T91="Stand pipe",1,0)</f>
        <v>0</v>
      </c>
      <c r="AK92" s="73">
        <f>IF(All_data!U91="Shared Facilities ",1,0)</f>
        <v>0</v>
      </c>
      <c r="AL92" s="73">
        <f>IF(All_data!V91="paved",0,1)</f>
        <v>0</v>
      </c>
      <c r="AM92" s="55">
        <v>5.89</v>
      </c>
      <c r="AN92" s="55">
        <v>4.76</v>
      </c>
      <c r="AO92" s="55">
        <v>0.8</v>
      </c>
      <c r="AP92" s="55">
        <v>0</v>
      </c>
      <c r="AQ92" s="55">
        <v>0.28999999999999998</v>
      </c>
      <c r="AR92" s="55">
        <v>0.45</v>
      </c>
      <c r="AS92" s="55">
        <v>0.54</v>
      </c>
      <c r="AT92" s="55">
        <v>0</v>
      </c>
      <c r="AU92" s="55">
        <v>0</v>
      </c>
      <c r="AV92" s="55">
        <v>0</v>
      </c>
      <c r="AW92" s="55">
        <v>12.729999999999997</v>
      </c>
      <c r="AX92" s="55">
        <v>1.8185714285714281</v>
      </c>
      <c r="AY92" s="55">
        <v>0.3637142857142856</v>
      </c>
      <c r="AZ92" s="55">
        <v>34</v>
      </c>
      <c r="BA92" s="55">
        <v>0.37441176470588228</v>
      </c>
    </row>
    <row r="93" spans="1:53" ht="15.5" x14ac:dyDescent="0.35">
      <c r="A93" s="59">
        <v>90</v>
      </c>
      <c r="B93" s="27" t="s">
        <v>205</v>
      </c>
      <c r="C93" s="26" t="s">
        <v>153</v>
      </c>
      <c r="D93" s="26" t="s">
        <v>154</v>
      </c>
      <c r="E93" s="26" t="s">
        <v>155</v>
      </c>
      <c r="F93" s="47">
        <f>IF(All_data!F92="low-income",1,IF(All_data!F92="Middle-Income",2,IF(All_data!F92="High-Income",3,"check")))</f>
        <v>3</v>
      </c>
      <c r="G93" s="47">
        <v>3</v>
      </c>
      <c r="H93" s="47">
        <f>IF(All_data!H92="18-35 years",2,IF(All_data!H92="36-60 years",3,IF(All_data!H92="&gt;60 years",4,1)))</f>
        <v>4</v>
      </c>
      <c r="I93" s="47">
        <f>IF(All_data!I92="Male",0,1)</f>
        <v>1</v>
      </c>
      <c r="J93" s="73">
        <f>IF(All_data!J92="Illiterate",1,IF(All_data!J92="Primary",2,IF(All_data!J92="secondary",3,IF(All_data!J92="Tertiary",4,"check"))))</f>
        <v>4</v>
      </c>
      <c r="K93" s="47">
        <f>IF(All_data!K92="Government Employee",1,0)</f>
        <v>0</v>
      </c>
      <c r="L93" s="47">
        <f>IF(All_data!K92="Private Employee",1,0)</f>
        <v>0</v>
      </c>
      <c r="M93" s="47">
        <f>IF(All_data!K92="Business",1,0)</f>
        <v>0</v>
      </c>
      <c r="N93" s="47">
        <f>IF(All_data!K92="Student",1,0)</f>
        <v>0</v>
      </c>
      <c r="O93" s="47">
        <f>IF(All_data!K92="Housewife",1,0)</f>
        <v>0</v>
      </c>
      <c r="P93" s="47">
        <f>IF(All_data!K92="Retired",1,0)</f>
        <v>1</v>
      </c>
      <c r="Q93" s="47">
        <f>IF(All_data!L92="&lt;500,000",1,IF(All_data!L92="500,000 - 1,000,000",2,IF(All_data!L92="1,000,000 - 3,000,000",3,IF(All_data!L92="&gt;3,000,000",4,"check"))))</f>
        <v>3</v>
      </c>
      <c r="R93" s="63">
        <f>IF(All_data!M92="Spouse",1,0)</f>
        <v>0</v>
      </c>
      <c r="S93" s="47">
        <f>IF(All_data!M92="Son/Daughter",1,0)</f>
        <v>0</v>
      </c>
      <c r="T93" s="47">
        <f>IF(All_data!M92="Niece/nephew",1,0)</f>
        <v>0</v>
      </c>
      <c r="U93" s="47">
        <f>IF(All_data!M92="Household head",1,0)</f>
        <v>1</v>
      </c>
      <c r="V93" s="47">
        <f>IF(All_data!N92="&lt; 1 year",1,IF(All_data!N92="1-3 years",2,IF(All_data!N92="3-5 years",3,IF(All_data!N92="&gt; 5 years",4,"check"))))</f>
        <v>4</v>
      </c>
      <c r="W93" s="47">
        <f>IF(All_data!O92="Rented",1,0)</f>
        <v>0</v>
      </c>
      <c r="X93" s="73">
        <f>IF(All_data!P92="Bungalow",1,0)</f>
        <v>0</v>
      </c>
      <c r="Y93" s="73">
        <f>IF(All_data!P92="Temporary",1,0)</f>
        <v>0</v>
      </c>
      <c r="Z93" s="73">
        <f>IF(All_data!P92="Story Building",1,0)</f>
        <v>1</v>
      </c>
      <c r="AA93" s="73">
        <f>IF(All_data!Q92="Iron Sheets/titles",1,0)</f>
        <v>1</v>
      </c>
      <c r="AB93" s="74">
        <f>IF(All_data!R92="Concrete Blocks",1,0)</f>
        <v>0</v>
      </c>
      <c r="AC93" s="73">
        <f>IF(All_data!R92="Bricks",1,0)</f>
        <v>1</v>
      </c>
      <c r="AD93" s="73">
        <f>IF(All_data!R92="Mud/poles",1,0)</f>
        <v>0</v>
      </c>
      <c r="AE93" s="73">
        <f>IF(All_data!S92="tiles",1,0)</f>
        <v>1</v>
      </c>
      <c r="AF93" s="73">
        <f>IF(All_data!S92="Cemented",1,0)</f>
        <v>0</v>
      </c>
      <c r="AG93" s="73">
        <f>IF(All_data!S92="Mud",1,0)</f>
        <v>0</v>
      </c>
      <c r="AH93" s="73">
        <f>IF(All_data!T92="House connection",1,0)</f>
        <v>1</v>
      </c>
      <c r="AI93" s="73">
        <f>IF(All_data!T92="Yard tap",1,0)</f>
        <v>0</v>
      </c>
      <c r="AJ93" s="73">
        <f>IF(All_data!T92="Stand pipe",1,0)</f>
        <v>0</v>
      </c>
      <c r="AK93" s="73">
        <f>IF(All_data!U92="Shared Facilities ",1,0)</f>
        <v>0</v>
      </c>
      <c r="AL93" s="73">
        <f>IF(All_data!V92="paved",0,1)</f>
        <v>0</v>
      </c>
      <c r="AM93" s="55">
        <v>26.18</v>
      </c>
      <c r="AN93" s="55">
        <v>0</v>
      </c>
      <c r="AO93" s="55">
        <v>0</v>
      </c>
      <c r="AP93" s="55">
        <v>0</v>
      </c>
      <c r="AQ93" s="55">
        <v>0.23699999999999999</v>
      </c>
      <c r="AR93" s="55">
        <v>0.72</v>
      </c>
      <c r="AS93" s="55">
        <v>0.76300000000000001</v>
      </c>
      <c r="AT93" s="55">
        <v>0</v>
      </c>
      <c r="AU93" s="55">
        <v>0</v>
      </c>
      <c r="AV93" s="55">
        <v>0</v>
      </c>
      <c r="AW93" s="55">
        <v>27.9</v>
      </c>
      <c r="AX93" s="55">
        <v>3.9857142857142853</v>
      </c>
      <c r="AY93" s="55">
        <v>1.3285714285714285</v>
      </c>
      <c r="AZ93" s="55">
        <v>84</v>
      </c>
      <c r="BA93" s="55">
        <v>0.33214285714285713</v>
      </c>
    </row>
    <row r="94" spans="1:53" ht="15.5" x14ac:dyDescent="0.35">
      <c r="A94" s="59">
        <v>91</v>
      </c>
      <c r="B94" s="27" t="s">
        <v>206</v>
      </c>
      <c r="C94" s="26" t="s">
        <v>153</v>
      </c>
      <c r="D94" s="26" t="s">
        <v>154</v>
      </c>
      <c r="E94" s="26" t="s">
        <v>155</v>
      </c>
      <c r="F94" s="47">
        <f>IF(All_data!F93="low-income",1,IF(All_data!F93="Middle-Income",2,IF(All_data!F93="High-Income",3,"check")))</f>
        <v>3</v>
      </c>
      <c r="G94" s="47">
        <v>3</v>
      </c>
      <c r="H94" s="47">
        <f>IF(All_data!H93="18-35 years",2,IF(All_data!H93="36-60 years",3,IF(All_data!H93="&gt;60 years",4,1)))</f>
        <v>4</v>
      </c>
      <c r="I94" s="47">
        <f>IF(All_data!I93="Male",0,1)</f>
        <v>0</v>
      </c>
      <c r="J94" s="73">
        <f>IF(All_data!J93="Illiterate",1,IF(All_data!J93="Primary",2,IF(All_data!J93="secondary",3,IF(All_data!J93="Tertiary",4,"check"))))</f>
        <v>4</v>
      </c>
      <c r="K94" s="47">
        <f>IF(All_data!K93="Government Employee",1,0)</f>
        <v>0</v>
      </c>
      <c r="L94" s="47">
        <f>IF(All_data!K93="Private Employee",1,0)</f>
        <v>0</v>
      </c>
      <c r="M94" s="47">
        <f>IF(All_data!K93="Business",1,0)</f>
        <v>1</v>
      </c>
      <c r="N94" s="47">
        <f>IF(All_data!K93="Student",1,0)</f>
        <v>0</v>
      </c>
      <c r="O94" s="47">
        <f>IF(All_data!K93="Housewife",1,0)</f>
        <v>0</v>
      </c>
      <c r="P94" s="47">
        <f>IF(All_data!K93="Retired",1,0)</f>
        <v>0</v>
      </c>
      <c r="Q94" s="47">
        <f>IF(All_data!L93="&lt;500,000",1,IF(All_data!L93="500,000 - 1,000,000",2,IF(All_data!L93="1,000,000 - 3,000,000",3,IF(All_data!L93="&gt;3,000,000",4,"check"))))</f>
        <v>4</v>
      </c>
      <c r="R94" s="63">
        <f>IF(All_data!M93="Spouse",1,0)</f>
        <v>1</v>
      </c>
      <c r="S94" s="47">
        <f>IF(All_data!M93="Son/Daughter",1,0)</f>
        <v>0</v>
      </c>
      <c r="T94" s="47">
        <f>IF(All_data!M93="Niece/nephew",1,0)</f>
        <v>0</v>
      </c>
      <c r="U94" s="47">
        <f>IF(All_data!M93="Household head",1,0)</f>
        <v>0</v>
      </c>
      <c r="V94" s="47">
        <f>IF(All_data!N93="&lt; 1 year",1,IF(All_data!N93="1-3 years",2,IF(All_data!N93="3-5 years",3,IF(All_data!N93="&gt; 5 years",4,"check"))))</f>
        <v>4</v>
      </c>
      <c r="W94" s="47">
        <f>IF(All_data!O93="Rented",1,0)</f>
        <v>0</v>
      </c>
      <c r="X94" s="73">
        <f>IF(All_data!P93="Bungalow",1,0)</f>
        <v>0</v>
      </c>
      <c r="Y94" s="73">
        <f>IF(All_data!P93="Temporary",1,0)</f>
        <v>0</v>
      </c>
      <c r="Z94" s="73">
        <f>IF(All_data!P93="Story Building",1,0)</f>
        <v>1</v>
      </c>
      <c r="AA94" s="73">
        <f>IF(All_data!Q93="Iron Sheets/titles",1,0)</f>
        <v>1</v>
      </c>
      <c r="AB94" s="74">
        <f>IF(All_data!R93="Concrete Blocks",1,0)</f>
        <v>0</v>
      </c>
      <c r="AC94" s="73">
        <f>IF(All_data!R93="Bricks",1,0)</f>
        <v>1</v>
      </c>
      <c r="AD94" s="73">
        <f>IF(All_data!R93="Mud/poles",1,0)</f>
        <v>0</v>
      </c>
      <c r="AE94" s="73">
        <f>IF(All_data!S93="tiles",1,0)</f>
        <v>1</v>
      </c>
      <c r="AF94" s="73">
        <f>IF(All_data!S93="Cemented",1,0)</f>
        <v>0</v>
      </c>
      <c r="AG94" s="73">
        <f>IF(All_data!S93="Mud",1,0)</f>
        <v>0</v>
      </c>
      <c r="AH94" s="73">
        <f>IF(All_data!T93="House connection",1,0)</f>
        <v>1</v>
      </c>
      <c r="AI94" s="73">
        <f>IF(All_data!T93="Yard tap",1,0)</f>
        <v>0</v>
      </c>
      <c r="AJ94" s="73">
        <f>IF(All_data!T93="Stand pipe",1,0)</f>
        <v>0</v>
      </c>
      <c r="AK94" s="73">
        <f>IF(All_data!U93="Shared Facilities ",1,0)</f>
        <v>0</v>
      </c>
      <c r="AL94" s="73">
        <f>IF(All_data!V93="paved",0,1)</f>
        <v>0</v>
      </c>
      <c r="AM94" s="55">
        <v>12.66</v>
      </c>
      <c r="AN94" s="55">
        <v>0</v>
      </c>
      <c r="AO94" s="55">
        <v>0</v>
      </c>
      <c r="AP94" s="55">
        <v>0.16</v>
      </c>
      <c r="AQ94" s="55">
        <v>0.69</v>
      </c>
      <c r="AR94" s="55">
        <v>0.48</v>
      </c>
      <c r="AS94" s="55">
        <v>0.47</v>
      </c>
      <c r="AT94" s="55">
        <v>0</v>
      </c>
      <c r="AU94" s="55">
        <v>0</v>
      </c>
      <c r="AV94" s="55">
        <v>1.26</v>
      </c>
      <c r="AW94" s="55">
        <v>15.72</v>
      </c>
      <c r="AX94" s="55">
        <v>2.245714285714286</v>
      </c>
      <c r="AY94" s="55">
        <v>0.74857142857142867</v>
      </c>
      <c r="AZ94" s="55">
        <v>44</v>
      </c>
      <c r="BA94" s="55">
        <v>0.3572727272727273</v>
      </c>
    </row>
    <row r="95" spans="1:53" ht="15.5" x14ac:dyDescent="0.35">
      <c r="A95" s="59">
        <v>92</v>
      </c>
      <c r="B95" s="27" t="s">
        <v>207</v>
      </c>
      <c r="C95" s="26" t="s">
        <v>153</v>
      </c>
      <c r="D95" s="26" t="s">
        <v>154</v>
      </c>
      <c r="E95" s="26" t="s">
        <v>155</v>
      </c>
      <c r="F95" s="47">
        <f>IF(All_data!F94="low-income",1,IF(All_data!F94="Middle-Income",2,IF(All_data!F94="High-Income",3,"check")))</f>
        <v>3</v>
      </c>
      <c r="G95" s="47">
        <v>6</v>
      </c>
      <c r="H95" s="47">
        <f>IF(All_data!H94="18-35 years",2,IF(All_data!H94="36-60 years",3,IF(All_data!H94="&gt;60 years",4,1)))</f>
        <v>3</v>
      </c>
      <c r="I95" s="47">
        <f>IF(All_data!I94="Male",0,1)</f>
        <v>0</v>
      </c>
      <c r="J95" s="73">
        <f>IF(All_data!J94="Illiterate",1,IF(All_data!J94="Primary",2,IF(All_data!J94="secondary",3,IF(All_data!J94="Tertiary",4,"check"))))</f>
        <v>4</v>
      </c>
      <c r="K95" s="47">
        <f>IF(All_data!K94="Government Employee",1,0)</f>
        <v>1</v>
      </c>
      <c r="L95" s="47">
        <f>IF(All_data!K94="Private Employee",1,0)</f>
        <v>0</v>
      </c>
      <c r="M95" s="47">
        <f>IF(All_data!K94="Business",1,0)</f>
        <v>0</v>
      </c>
      <c r="N95" s="47">
        <f>IF(All_data!K94="Student",1,0)</f>
        <v>0</v>
      </c>
      <c r="O95" s="47">
        <f>IF(All_data!K94="Housewife",1,0)</f>
        <v>0</v>
      </c>
      <c r="P95" s="47">
        <f>IF(All_data!K94="Retired",1,0)</f>
        <v>0</v>
      </c>
      <c r="Q95" s="47">
        <f>IF(All_data!L94="&lt;500,000",1,IF(All_data!L94="500,000 - 1,000,000",2,IF(All_data!L94="1,000,000 - 3,000,000",3,IF(All_data!L94="&gt;3,000,000",4,"check"))))</f>
        <v>3</v>
      </c>
      <c r="R95" s="63">
        <f>IF(All_data!M94="Spouse",1,0)</f>
        <v>0</v>
      </c>
      <c r="S95" s="47">
        <f>IF(All_data!M94="Son/Daughter",1,0)</f>
        <v>0</v>
      </c>
      <c r="T95" s="47">
        <f>IF(All_data!M94="Niece/nephew",1,0)</f>
        <v>0</v>
      </c>
      <c r="U95" s="47">
        <f>IF(All_data!M94="Household head",1,0)</f>
        <v>1</v>
      </c>
      <c r="V95" s="47">
        <f>IF(All_data!N94="&lt; 1 year",1,IF(All_data!N94="1-3 years",2,IF(All_data!N94="3-5 years",3,IF(All_data!N94="&gt; 5 years",4,"check"))))</f>
        <v>4</v>
      </c>
      <c r="W95" s="47">
        <f>IF(All_data!O94="Rented",1,0)</f>
        <v>0</v>
      </c>
      <c r="X95" s="73">
        <f>IF(All_data!P94="Bungalow",1,0)</f>
        <v>0</v>
      </c>
      <c r="Y95" s="73">
        <f>IF(All_data!P94="Temporary",1,0)</f>
        <v>0</v>
      </c>
      <c r="Z95" s="73">
        <f>IF(All_data!P94="Story Building",1,0)</f>
        <v>1</v>
      </c>
      <c r="AA95" s="73">
        <f>IF(All_data!Q94="Iron Sheets/titles",1,0)</f>
        <v>1</v>
      </c>
      <c r="AB95" s="74">
        <f>IF(All_data!R94="Concrete Blocks",1,0)</f>
        <v>0</v>
      </c>
      <c r="AC95" s="73">
        <f>IF(All_data!R94="Bricks",1,0)</f>
        <v>1</v>
      </c>
      <c r="AD95" s="73">
        <f>IF(All_data!R94="Mud/poles",1,0)</f>
        <v>0</v>
      </c>
      <c r="AE95" s="73">
        <f>IF(All_data!S94="tiles",1,0)</f>
        <v>1</v>
      </c>
      <c r="AF95" s="73">
        <f>IF(All_data!S94="Cemented",1,0)</f>
        <v>0</v>
      </c>
      <c r="AG95" s="73">
        <f>IF(All_data!S94="Mud",1,0)</f>
        <v>0</v>
      </c>
      <c r="AH95" s="73">
        <f>IF(All_data!T94="House connection",1,0)</f>
        <v>1</v>
      </c>
      <c r="AI95" s="73">
        <f>IF(All_data!T94="Yard tap",1,0)</f>
        <v>0</v>
      </c>
      <c r="AJ95" s="73">
        <f>IF(All_data!T94="Stand pipe",1,0)</f>
        <v>0</v>
      </c>
      <c r="AK95" s="73">
        <f>IF(All_data!U94="Shared Facilities ",1,0)</f>
        <v>0</v>
      </c>
      <c r="AL95" s="73">
        <f>IF(All_data!V94="paved",0,1)</f>
        <v>0</v>
      </c>
      <c r="AM95" s="55">
        <v>34.42</v>
      </c>
      <c r="AN95" s="55">
        <v>6.42</v>
      </c>
      <c r="AO95" s="55">
        <v>0</v>
      </c>
      <c r="AP95" s="55">
        <v>0</v>
      </c>
      <c r="AQ95" s="55">
        <v>0.63100000000000001</v>
      </c>
      <c r="AR95" s="55">
        <v>0.31900000000000001</v>
      </c>
      <c r="AS95" s="55">
        <v>1.173</v>
      </c>
      <c r="AT95" s="55">
        <v>0</v>
      </c>
      <c r="AU95" s="55">
        <v>0.40799999999999997</v>
      </c>
      <c r="AV95" s="55">
        <v>1.9079999999999999</v>
      </c>
      <c r="AW95" s="55">
        <v>45.279000000000011</v>
      </c>
      <c r="AX95" s="55">
        <v>6.4684285714285732</v>
      </c>
      <c r="AY95" s="55">
        <v>1.0780714285714288</v>
      </c>
      <c r="AZ95" s="55">
        <v>148</v>
      </c>
      <c r="BA95" s="55">
        <v>0.30593918918918928</v>
      </c>
    </row>
    <row r="96" spans="1:53" ht="15.5" x14ac:dyDescent="0.35">
      <c r="A96" s="59">
        <v>93</v>
      </c>
      <c r="B96" s="27" t="s">
        <v>208</v>
      </c>
      <c r="C96" s="26" t="s">
        <v>153</v>
      </c>
      <c r="D96" s="26" t="s">
        <v>154</v>
      </c>
      <c r="E96" s="26" t="s">
        <v>155</v>
      </c>
      <c r="F96" s="47">
        <f>IF(All_data!F95="low-income",1,IF(All_data!F95="Middle-Income",2,IF(All_data!F95="High-Income",3,"check")))</f>
        <v>3</v>
      </c>
      <c r="G96" s="47">
        <v>3</v>
      </c>
      <c r="H96" s="47">
        <f>IF(All_data!H95="18-35 years",2,IF(All_data!H95="36-60 years",3,IF(All_data!H95="&gt;60 years",4,1)))</f>
        <v>4</v>
      </c>
      <c r="I96" s="47">
        <f>IF(All_data!I95="Male",0,1)</f>
        <v>0</v>
      </c>
      <c r="J96" s="73">
        <f>IF(All_data!J95="Illiterate",1,IF(All_data!J95="Primary",2,IF(All_data!J95="secondary",3,IF(All_data!J95="Tertiary",4,"check"))))</f>
        <v>4</v>
      </c>
      <c r="K96" s="47">
        <f>IF(All_data!K95="Government Employee",1,0)</f>
        <v>0</v>
      </c>
      <c r="L96" s="47">
        <f>IF(All_data!K95="Private Employee",1,0)</f>
        <v>0</v>
      </c>
      <c r="M96" s="47">
        <f>IF(All_data!K95="Business",1,0)</f>
        <v>1</v>
      </c>
      <c r="N96" s="47">
        <f>IF(All_data!K95="Student",1,0)</f>
        <v>0</v>
      </c>
      <c r="O96" s="47">
        <f>IF(All_data!K95="Housewife",1,0)</f>
        <v>0</v>
      </c>
      <c r="P96" s="47">
        <f>IF(All_data!K95="Retired",1,0)</f>
        <v>0</v>
      </c>
      <c r="Q96" s="47">
        <f>IF(All_data!L95="&lt;500,000",1,IF(All_data!L95="500,000 - 1,000,000",2,IF(All_data!L95="1,000,000 - 3,000,000",3,IF(All_data!L95="&gt;3,000,000",4,"check"))))</f>
        <v>3</v>
      </c>
      <c r="R96" s="63">
        <f>IF(All_data!M95="Spouse",1,0)</f>
        <v>0</v>
      </c>
      <c r="S96" s="47">
        <f>IF(All_data!M95="Son/Daughter",1,0)</f>
        <v>1</v>
      </c>
      <c r="T96" s="47">
        <f>IF(All_data!M95="Niece/nephew",1,0)</f>
        <v>0</v>
      </c>
      <c r="U96" s="47">
        <f>IF(All_data!M95="Household head",1,0)</f>
        <v>0</v>
      </c>
      <c r="V96" s="47">
        <f>IF(All_data!N95="&lt; 1 year",1,IF(All_data!N95="1-3 years",2,IF(All_data!N95="3-5 years",3,IF(All_data!N95="&gt; 5 years",4,"check"))))</f>
        <v>4</v>
      </c>
      <c r="W96" s="47">
        <f>IF(All_data!O95="Rented",1,0)</f>
        <v>0</v>
      </c>
      <c r="X96" s="73">
        <f>IF(All_data!P95="Bungalow",1,0)</f>
        <v>1</v>
      </c>
      <c r="Y96" s="73">
        <f>IF(All_data!P95="Temporary",1,0)</f>
        <v>0</v>
      </c>
      <c r="Z96" s="73">
        <f>IF(All_data!P95="Story Building",1,0)</f>
        <v>0</v>
      </c>
      <c r="AA96" s="73">
        <f>IF(All_data!Q95="Iron Sheets/titles",1,0)</f>
        <v>1</v>
      </c>
      <c r="AB96" s="74">
        <f>IF(All_data!R95="Concrete Blocks",1,0)</f>
        <v>0</v>
      </c>
      <c r="AC96" s="73">
        <f>IF(All_data!R95="Bricks",1,0)</f>
        <v>1</v>
      </c>
      <c r="AD96" s="73">
        <f>IF(All_data!R95="Mud/poles",1,0)</f>
        <v>0</v>
      </c>
      <c r="AE96" s="73">
        <f>IF(All_data!S95="tiles",1,0)</f>
        <v>1</v>
      </c>
      <c r="AF96" s="73">
        <f>IF(All_data!S95="Cemented",1,0)</f>
        <v>0</v>
      </c>
      <c r="AG96" s="73">
        <f>IF(All_data!S95="Mud",1,0)</f>
        <v>0</v>
      </c>
      <c r="AH96" s="73">
        <f>IF(All_data!T95="House connection",1,0)</f>
        <v>1</v>
      </c>
      <c r="AI96" s="73">
        <f>IF(All_data!T95="Yard tap",1,0)</f>
        <v>0</v>
      </c>
      <c r="AJ96" s="73">
        <f>IF(All_data!T95="Stand pipe",1,0)</f>
        <v>0</v>
      </c>
      <c r="AK96" s="73">
        <f>IF(All_data!U95="Shared Facilities ",1,0)</f>
        <v>0</v>
      </c>
      <c r="AL96" s="73">
        <f>IF(All_data!V95="paved",0,1)</f>
        <v>0</v>
      </c>
      <c r="AM96" s="55">
        <v>15.62</v>
      </c>
      <c r="AN96" s="55">
        <v>3.7</v>
      </c>
      <c r="AO96" s="55">
        <v>0</v>
      </c>
      <c r="AP96" s="55">
        <v>0</v>
      </c>
      <c r="AQ96" s="55">
        <v>0.313</v>
      </c>
      <c r="AR96" s="55">
        <v>0.497</v>
      </c>
      <c r="AS96" s="55">
        <v>0.68100000000000005</v>
      </c>
      <c r="AT96" s="55">
        <v>0</v>
      </c>
      <c r="AU96" s="55">
        <v>0</v>
      </c>
      <c r="AV96" s="55">
        <v>0</v>
      </c>
      <c r="AW96" s="55">
        <v>20.811</v>
      </c>
      <c r="AX96" s="55">
        <v>2.9729999999999999</v>
      </c>
      <c r="AY96" s="55">
        <v>0.74324999999999997</v>
      </c>
      <c r="AZ96" s="55">
        <v>64</v>
      </c>
      <c r="BA96" s="55">
        <v>0.325171875</v>
      </c>
    </row>
    <row r="97" spans="1:53" ht="15.5" x14ac:dyDescent="0.35">
      <c r="A97" s="59">
        <v>94</v>
      </c>
      <c r="B97" s="27" t="s">
        <v>209</v>
      </c>
      <c r="C97" s="26" t="s">
        <v>153</v>
      </c>
      <c r="D97" s="26" t="s">
        <v>154</v>
      </c>
      <c r="E97" s="26" t="s">
        <v>155</v>
      </c>
      <c r="F97" s="47">
        <f>IF(All_data!F96="low-income",1,IF(All_data!F96="Middle-Income",2,IF(All_data!F96="High-Income",3,"check")))</f>
        <v>3</v>
      </c>
      <c r="G97" s="47">
        <v>7</v>
      </c>
      <c r="H97" s="47">
        <f>IF(All_data!H96="18-35 years",2,IF(All_data!H96="36-60 years",3,IF(All_data!H96="&gt;60 years",4,1)))</f>
        <v>3</v>
      </c>
      <c r="I97" s="47">
        <f>IF(All_data!I96="Male",0,1)</f>
        <v>0</v>
      </c>
      <c r="J97" s="73">
        <f>IF(All_data!J96="Illiterate",1,IF(All_data!J96="Primary",2,IF(All_data!J96="secondary",3,IF(All_data!J96="Tertiary",4,"check"))))</f>
        <v>4</v>
      </c>
      <c r="K97" s="47">
        <f>IF(All_data!K96="Government Employee",1,0)</f>
        <v>1</v>
      </c>
      <c r="L97" s="47">
        <f>IF(All_data!K96="Private Employee",1,0)</f>
        <v>0</v>
      </c>
      <c r="M97" s="47">
        <f>IF(All_data!K96="Business",1,0)</f>
        <v>0</v>
      </c>
      <c r="N97" s="47">
        <f>IF(All_data!K96="Student",1,0)</f>
        <v>0</v>
      </c>
      <c r="O97" s="47">
        <f>IF(All_data!K96="Housewife",1,0)</f>
        <v>0</v>
      </c>
      <c r="P97" s="47">
        <f>IF(All_data!K96="Retired",1,0)</f>
        <v>0</v>
      </c>
      <c r="Q97" s="47">
        <f>IF(All_data!L96="&lt;500,000",1,IF(All_data!L96="500,000 - 1,000,000",2,IF(All_data!L96="1,000,000 - 3,000,000",3,IF(All_data!L96="&gt;3,000,000",4,"check"))))</f>
        <v>4</v>
      </c>
      <c r="R97" s="63">
        <f>IF(All_data!M96="Spouse",1,0)</f>
        <v>0</v>
      </c>
      <c r="S97" s="47">
        <f>IF(All_data!M96="Son/Daughter",1,0)</f>
        <v>0</v>
      </c>
      <c r="T97" s="47">
        <f>IF(All_data!M96="Niece/nephew",1,0)</f>
        <v>0</v>
      </c>
      <c r="U97" s="47">
        <f>IF(All_data!M96="Household head",1,0)</f>
        <v>1</v>
      </c>
      <c r="V97" s="47">
        <f>IF(All_data!N96="&lt; 1 year",1,IF(All_data!N96="1-3 years",2,IF(All_data!N96="3-5 years",3,IF(All_data!N96="&gt; 5 years",4,"check"))))</f>
        <v>4</v>
      </c>
      <c r="W97" s="47">
        <f>IF(All_data!O96="Rented",1,0)</f>
        <v>0</v>
      </c>
      <c r="X97" s="73">
        <f>IF(All_data!P96="Bungalow",1,0)</f>
        <v>1</v>
      </c>
      <c r="Y97" s="73">
        <f>IF(All_data!P96="Temporary",1,0)</f>
        <v>0</v>
      </c>
      <c r="Z97" s="73">
        <f>IF(All_data!P96="Story Building",1,0)</f>
        <v>0</v>
      </c>
      <c r="AA97" s="73">
        <f>IF(All_data!Q96="Iron Sheets/titles",1,0)</f>
        <v>1</v>
      </c>
      <c r="AB97" s="74">
        <f>IF(All_data!R96="Concrete Blocks",1,0)</f>
        <v>0</v>
      </c>
      <c r="AC97" s="73">
        <f>IF(All_data!R96="Bricks",1,0)</f>
        <v>1</v>
      </c>
      <c r="AD97" s="73">
        <f>IF(All_data!R96="Mud/poles",1,0)</f>
        <v>0</v>
      </c>
      <c r="AE97" s="73">
        <f>IF(All_data!S96="tiles",1,0)</f>
        <v>1</v>
      </c>
      <c r="AF97" s="73">
        <f>IF(All_data!S96="Cemented",1,0)</f>
        <v>0</v>
      </c>
      <c r="AG97" s="73">
        <f>IF(All_data!S96="Mud",1,0)</f>
        <v>0</v>
      </c>
      <c r="AH97" s="73">
        <f>IF(All_data!T96="House connection",1,0)</f>
        <v>1</v>
      </c>
      <c r="AI97" s="73">
        <f>IF(All_data!T96="Yard tap",1,0)</f>
        <v>0</v>
      </c>
      <c r="AJ97" s="73">
        <f>IF(All_data!T96="Stand pipe",1,0)</f>
        <v>0</v>
      </c>
      <c r="AK97" s="73">
        <f>IF(All_data!U96="Shared Facilities ",1,0)</f>
        <v>0</v>
      </c>
      <c r="AL97" s="73">
        <f>IF(All_data!V96="paved",0,1)</f>
        <v>0</v>
      </c>
      <c r="AM97" s="55">
        <v>37.58</v>
      </c>
      <c r="AN97" s="55">
        <v>8</v>
      </c>
      <c r="AO97" s="55">
        <v>0</v>
      </c>
      <c r="AP97" s="55">
        <v>0</v>
      </c>
      <c r="AQ97" s="55">
        <v>2.5059999999999998</v>
      </c>
      <c r="AR97" s="55">
        <v>3.14</v>
      </c>
      <c r="AS97" s="55">
        <v>5.13</v>
      </c>
      <c r="AT97" s="55">
        <v>0</v>
      </c>
      <c r="AU97" s="55">
        <v>0.95399999999999996</v>
      </c>
      <c r="AV97" s="55">
        <v>7.3120000000000003</v>
      </c>
      <c r="AW97" s="55">
        <v>64.622</v>
      </c>
      <c r="AX97" s="55">
        <v>9.2317142857142862</v>
      </c>
      <c r="AY97" s="55">
        <v>1.3188163265306123</v>
      </c>
      <c r="AZ97" s="55">
        <v>220</v>
      </c>
      <c r="BA97" s="55">
        <v>0.29373636363636363</v>
      </c>
    </row>
    <row r="98" spans="1:53" ht="15.5" x14ac:dyDescent="0.35">
      <c r="A98" s="59">
        <v>95</v>
      </c>
      <c r="B98" s="27" t="s">
        <v>210</v>
      </c>
      <c r="C98" s="26" t="s">
        <v>153</v>
      </c>
      <c r="D98" s="26" t="s">
        <v>154</v>
      </c>
      <c r="E98" s="26" t="s">
        <v>155</v>
      </c>
      <c r="F98" s="47">
        <f>IF(All_data!F97="low-income",1,IF(All_data!F97="Middle-Income",2,IF(All_data!F97="High-Income",3,"check")))</f>
        <v>3</v>
      </c>
      <c r="G98" s="47">
        <v>6</v>
      </c>
      <c r="H98" s="47">
        <f>IF(All_data!H97="18-35 years",2,IF(All_data!H97="36-60 years",3,IF(All_data!H97="&gt;60 years",4,1)))</f>
        <v>3</v>
      </c>
      <c r="I98" s="47">
        <f>IF(All_data!I97="Male",0,1)</f>
        <v>1</v>
      </c>
      <c r="J98" s="73">
        <f>IF(All_data!J97="Illiterate",1,IF(All_data!J97="Primary",2,IF(All_data!J97="secondary",3,IF(All_data!J97="Tertiary",4,"check"))))</f>
        <v>4</v>
      </c>
      <c r="K98" s="47">
        <f>IF(All_data!K97="Government Employee",1,0)</f>
        <v>0</v>
      </c>
      <c r="L98" s="47">
        <f>IF(All_data!K97="Private Employee",1,0)</f>
        <v>1</v>
      </c>
      <c r="M98" s="47">
        <f>IF(All_data!K97="Business",1,0)</f>
        <v>0</v>
      </c>
      <c r="N98" s="47">
        <f>IF(All_data!K97="Student",1,0)</f>
        <v>0</v>
      </c>
      <c r="O98" s="47">
        <f>IF(All_data!K97="Housewife",1,0)</f>
        <v>0</v>
      </c>
      <c r="P98" s="47">
        <f>IF(All_data!K97="Retired",1,0)</f>
        <v>0</v>
      </c>
      <c r="Q98" s="47">
        <f>IF(All_data!L97="&lt;500,000",1,IF(All_data!L97="500,000 - 1,000,000",2,IF(All_data!L97="1,000,000 - 3,000,000",3,IF(All_data!L97="&gt;3,000,000",4,"check"))))</f>
        <v>4</v>
      </c>
      <c r="R98" s="63">
        <f>IF(All_data!M97="Spouse",1,0)</f>
        <v>0</v>
      </c>
      <c r="S98" s="47">
        <f>IF(All_data!M97="Son/Daughter",1,0)</f>
        <v>0</v>
      </c>
      <c r="T98" s="47">
        <f>IF(All_data!M97="Niece/nephew",1,0)</f>
        <v>0</v>
      </c>
      <c r="U98" s="47">
        <f>IF(All_data!M97="Household head",1,0)</f>
        <v>1</v>
      </c>
      <c r="V98" s="47">
        <f>IF(All_data!N97="&lt; 1 year",1,IF(All_data!N97="1-3 years",2,IF(All_data!N97="3-5 years",3,IF(All_data!N97="&gt; 5 years",4,"check"))))</f>
        <v>4</v>
      </c>
      <c r="W98" s="47">
        <f>IF(All_data!O97="Rented",1,0)</f>
        <v>0</v>
      </c>
      <c r="X98" s="73">
        <f>IF(All_data!P97="Bungalow",1,0)</f>
        <v>1</v>
      </c>
      <c r="Y98" s="73">
        <f>IF(All_data!P97="Temporary",1,0)</f>
        <v>0</v>
      </c>
      <c r="Z98" s="73">
        <f>IF(All_data!P97="Story Building",1,0)</f>
        <v>0</v>
      </c>
      <c r="AA98" s="73">
        <f>IF(All_data!Q97="Iron Sheets/titles",1,0)</f>
        <v>1</v>
      </c>
      <c r="AB98" s="74">
        <f>IF(All_data!R97="Concrete Blocks",1,0)</f>
        <v>0</v>
      </c>
      <c r="AC98" s="73">
        <f>IF(All_data!R97="Bricks",1,0)</f>
        <v>1</v>
      </c>
      <c r="AD98" s="73">
        <f>IF(All_data!R97="Mud/poles",1,0)</f>
        <v>0</v>
      </c>
      <c r="AE98" s="73">
        <f>IF(All_data!S97="tiles",1,0)</f>
        <v>1</v>
      </c>
      <c r="AF98" s="73">
        <f>IF(All_data!S97="Cemented",1,0)</f>
        <v>0</v>
      </c>
      <c r="AG98" s="73">
        <f>IF(All_data!S97="Mud",1,0)</f>
        <v>0</v>
      </c>
      <c r="AH98" s="73">
        <f>IF(All_data!T97="House connection",1,0)</f>
        <v>1</v>
      </c>
      <c r="AI98" s="73">
        <f>IF(All_data!T97="Yard tap",1,0)</f>
        <v>0</v>
      </c>
      <c r="AJ98" s="73">
        <f>IF(All_data!T97="Stand pipe",1,0)</f>
        <v>0</v>
      </c>
      <c r="AK98" s="73">
        <f>IF(All_data!U97="Shared Facilities ",1,0)</f>
        <v>0</v>
      </c>
      <c r="AL98" s="73">
        <f>IF(All_data!V97="paved",0,1)</f>
        <v>0</v>
      </c>
      <c r="AM98" s="55">
        <v>33.380000000000003</v>
      </c>
      <c r="AN98" s="55">
        <v>2.38</v>
      </c>
      <c r="AO98" s="55">
        <v>0</v>
      </c>
      <c r="AP98" s="55">
        <v>0.67300000000000004</v>
      </c>
      <c r="AQ98" s="55">
        <v>0.56699999999999995</v>
      </c>
      <c r="AR98" s="55">
        <v>0.88100000000000001</v>
      </c>
      <c r="AS98" s="55">
        <v>2.1800000000000002</v>
      </c>
      <c r="AT98" s="55">
        <v>0.219</v>
      </c>
      <c r="AU98" s="55">
        <v>0.71399999999999997</v>
      </c>
      <c r="AV98" s="55">
        <v>3.07</v>
      </c>
      <c r="AW98" s="55">
        <v>44.064000000000007</v>
      </c>
      <c r="AX98" s="55">
        <v>6.2948571428571443</v>
      </c>
      <c r="AY98" s="55">
        <v>1.0491428571428574</v>
      </c>
      <c r="AZ98" s="55">
        <v>144</v>
      </c>
      <c r="BA98" s="55">
        <v>0.30600000000000005</v>
      </c>
    </row>
    <row r="99" spans="1:53" ht="15.5" x14ac:dyDescent="0.35">
      <c r="A99" s="59">
        <v>96</v>
      </c>
      <c r="B99" s="27" t="s">
        <v>211</v>
      </c>
      <c r="C99" s="26" t="s">
        <v>153</v>
      </c>
      <c r="D99" s="26" t="s">
        <v>154</v>
      </c>
      <c r="E99" s="26" t="s">
        <v>155</v>
      </c>
      <c r="F99" s="47">
        <f>IF(All_data!F98="low-income",1,IF(All_data!F98="Middle-Income",2,IF(All_data!F98="High-Income",3,"check")))</f>
        <v>3</v>
      </c>
      <c r="G99" s="47">
        <v>4</v>
      </c>
      <c r="H99" s="47">
        <f>IF(All_data!H98="18-35 years",2,IF(All_data!H98="36-60 years",3,IF(All_data!H98="&gt;60 years",4,1)))</f>
        <v>3</v>
      </c>
      <c r="I99" s="47">
        <f>IF(All_data!I98="Male",0,1)</f>
        <v>1</v>
      </c>
      <c r="J99" s="73">
        <f>IF(All_data!J98="Illiterate",1,IF(All_data!J98="Primary",2,IF(All_data!J98="secondary",3,IF(All_data!J98="Tertiary",4,"check"))))</f>
        <v>4</v>
      </c>
      <c r="K99" s="47">
        <f>IF(All_data!K98="Government Employee",1,0)</f>
        <v>0</v>
      </c>
      <c r="L99" s="47">
        <f>IF(All_data!K98="Private Employee",1,0)</f>
        <v>0</v>
      </c>
      <c r="M99" s="47">
        <f>IF(All_data!K98="Business",1,0)</f>
        <v>1</v>
      </c>
      <c r="N99" s="47">
        <f>IF(All_data!K98="Student",1,0)</f>
        <v>0</v>
      </c>
      <c r="O99" s="47">
        <f>IF(All_data!K98="Housewife",1,0)</f>
        <v>0</v>
      </c>
      <c r="P99" s="47">
        <f>IF(All_data!K98="Retired",1,0)</f>
        <v>0</v>
      </c>
      <c r="Q99" s="47">
        <f>IF(All_data!L98="&lt;500,000",1,IF(All_data!L98="500,000 - 1,000,000",2,IF(All_data!L98="1,000,000 - 3,000,000",3,IF(All_data!L98="&gt;3,000,000",4,"check"))))</f>
        <v>3</v>
      </c>
      <c r="R99" s="63">
        <f>IF(All_data!M98="Spouse",1,0)</f>
        <v>0</v>
      </c>
      <c r="S99" s="47">
        <f>IF(All_data!M98="Son/Daughter",1,0)</f>
        <v>1</v>
      </c>
      <c r="T99" s="47">
        <f>IF(All_data!M98="Niece/nephew",1,0)</f>
        <v>0</v>
      </c>
      <c r="U99" s="47">
        <f>IF(All_data!M98="Household head",1,0)</f>
        <v>0</v>
      </c>
      <c r="V99" s="47">
        <f>IF(All_data!N98="&lt; 1 year",1,IF(All_data!N98="1-3 years",2,IF(All_data!N98="3-5 years",3,IF(All_data!N98="&gt; 5 years",4,"check"))))</f>
        <v>4</v>
      </c>
      <c r="W99" s="47">
        <f>IF(All_data!O98="Rented",1,0)</f>
        <v>0</v>
      </c>
      <c r="X99" s="73">
        <f>IF(All_data!P98="Bungalow",1,0)</f>
        <v>1</v>
      </c>
      <c r="Y99" s="73">
        <f>IF(All_data!P98="Temporary",1,0)</f>
        <v>0</v>
      </c>
      <c r="Z99" s="73">
        <f>IF(All_data!P98="Story Building",1,0)</f>
        <v>0</v>
      </c>
      <c r="AA99" s="73">
        <f>IF(All_data!Q98="Iron Sheets/titles",1,0)</f>
        <v>1</v>
      </c>
      <c r="AB99" s="74">
        <f>IF(All_data!R98="Concrete Blocks",1,0)</f>
        <v>0</v>
      </c>
      <c r="AC99" s="73">
        <f>IF(All_data!R98="Bricks",1,0)</f>
        <v>1</v>
      </c>
      <c r="AD99" s="73">
        <f>IF(All_data!R98="Mud/poles",1,0)</f>
        <v>0</v>
      </c>
      <c r="AE99" s="73">
        <f>IF(All_data!S98="tiles",1,0)</f>
        <v>1</v>
      </c>
      <c r="AF99" s="73">
        <f>IF(All_data!S98="Cemented",1,0)</f>
        <v>0</v>
      </c>
      <c r="AG99" s="73">
        <f>IF(All_data!S98="Mud",1,0)</f>
        <v>0</v>
      </c>
      <c r="AH99" s="73">
        <f>IF(All_data!T98="House connection",1,0)</f>
        <v>1</v>
      </c>
      <c r="AI99" s="73">
        <f>IF(All_data!T98="Yard tap",1,0)</f>
        <v>0</v>
      </c>
      <c r="AJ99" s="73">
        <f>IF(All_data!T98="Stand pipe",1,0)</f>
        <v>0</v>
      </c>
      <c r="AK99" s="73">
        <f>IF(All_data!U98="Shared Facilities ",1,0)</f>
        <v>0</v>
      </c>
      <c r="AL99" s="73">
        <f>IF(All_data!V98="paved",0,1)</f>
        <v>0</v>
      </c>
      <c r="AM99" s="55">
        <v>18.82</v>
      </c>
      <c r="AN99" s="55">
        <v>4.76</v>
      </c>
      <c r="AO99" s="55">
        <v>0</v>
      </c>
      <c r="AP99" s="55">
        <v>0</v>
      </c>
      <c r="AQ99" s="55">
        <v>0.21299999999999999</v>
      </c>
      <c r="AR99" s="55">
        <v>0.32700000000000001</v>
      </c>
      <c r="AS99" s="55">
        <v>0.46800000000000003</v>
      </c>
      <c r="AT99" s="55">
        <v>0</v>
      </c>
      <c r="AU99" s="55">
        <v>0</v>
      </c>
      <c r="AV99" s="55">
        <v>0</v>
      </c>
      <c r="AW99" s="55">
        <v>24.588000000000001</v>
      </c>
      <c r="AX99" s="55">
        <v>3.5125714285714289</v>
      </c>
      <c r="AY99" s="55">
        <v>0.87814285714285722</v>
      </c>
      <c r="AZ99" s="55">
        <v>70</v>
      </c>
      <c r="BA99" s="55">
        <v>0.35125714285714288</v>
      </c>
    </row>
    <row r="100" spans="1:53" ht="15.5" x14ac:dyDescent="0.35">
      <c r="A100" s="59">
        <v>97</v>
      </c>
      <c r="B100" s="27" t="s">
        <v>212</v>
      </c>
      <c r="C100" s="26" t="s">
        <v>153</v>
      </c>
      <c r="D100" s="26" t="s">
        <v>154</v>
      </c>
      <c r="E100" s="26" t="s">
        <v>155</v>
      </c>
      <c r="F100" s="47">
        <f>IF(All_data!F99="low-income",1,IF(All_data!F99="Middle-Income",2,IF(All_data!F99="High-Income",3,"check")))</f>
        <v>3</v>
      </c>
      <c r="G100" s="47">
        <v>4</v>
      </c>
      <c r="H100" s="47">
        <f>IF(All_data!H99="18-35 years",2,IF(All_data!H99="36-60 years",3,IF(All_data!H99="&gt;60 years",4,1)))</f>
        <v>2</v>
      </c>
      <c r="I100" s="47">
        <f>IF(All_data!I99="Male",0,1)</f>
        <v>1</v>
      </c>
      <c r="J100" s="73">
        <f>IF(All_data!J99="Illiterate",1,IF(All_data!J99="Primary",2,IF(All_data!J99="secondary",3,IF(All_data!J99="Tertiary",4,"check"))))</f>
        <v>4</v>
      </c>
      <c r="K100" s="47">
        <f>IF(All_data!K99="Government Employee",1,0)</f>
        <v>0</v>
      </c>
      <c r="L100" s="47">
        <f>IF(All_data!K99="Private Employee",1,0)</f>
        <v>1</v>
      </c>
      <c r="M100" s="47">
        <f>IF(All_data!K99="Business",1,0)</f>
        <v>0</v>
      </c>
      <c r="N100" s="47">
        <f>IF(All_data!K99="Student",1,0)</f>
        <v>0</v>
      </c>
      <c r="O100" s="47">
        <f>IF(All_data!K99="Housewife",1,0)</f>
        <v>0</v>
      </c>
      <c r="P100" s="47">
        <f>IF(All_data!K99="Retired",1,0)</f>
        <v>0</v>
      </c>
      <c r="Q100" s="47">
        <f>IF(All_data!L99="&lt;500,000",1,IF(All_data!L99="500,000 - 1,000,000",2,IF(All_data!L99="1,000,000 - 3,000,000",3,IF(All_data!L99="&gt;3,000,000",4,"check"))))</f>
        <v>3</v>
      </c>
      <c r="R100" s="63">
        <f>IF(All_data!M99="Spouse",1,0)</f>
        <v>0</v>
      </c>
      <c r="S100" s="47">
        <f>IF(All_data!M99="Son/Daughter",1,0)</f>
        <v>0</v>
      </c>
      <c r="T100" s="47">
        <f>IF(All_data!M99="Niece/nephew",1,0)</f>
        <v>0</v>
      </c>
      <c r="U100" s="47">
        <f>IF(All_data!M99="Household head",1,0)</f>
        <v>1</v>
      </c>
      <c r="V100" s="47">
        <f>IF(All_data!N99="&lt; 1 year",1,IF(All_data!N99="1-3 years",2,IF(All_data!N99="3-5 years",3,IF(All_data!N99="&gt; 5 years",4,"check"))))</f>
        <v>4</v>
      </c>
      <c r="W100" s="47">
        <f>IF(All_data!O99="Rented",1,0)</f>
        <v>0</v>
      </c>
      <c r="X100" s="73">
        <f>IF(All_data!P99="Bungalow",1,0)</f>
        <v>0</v>
      </c>
      <c r="Y100" s="73">
        <f>IF(All_data!P99="Temporary",1,0)</f>
        <v>0</v>
      </c>
      <c r="Z100" s="73">
        <f>IF(All_data!P99="Story Building",1,0)</f>
        <v>1</v>
      </c>
      <c r="AA100" s="73">
        <f>IF(All_data!Q99="Iron Sheets/titles",1,0)</f>
        <v>1</v>
      </c>
      <c r="AB100" s="74">
        <f>IF(All_data!R99="Concrete Blocks",1,0)</f>
        <v>0</v>
      </c>
      <c r="AC100" s="73">
        <f>IF(All_data!R99="Bricks",1,0)</f>
        <v>1</v>
      </c>
      <c r="AD100" s="73">
        <f>IF(All_data!R99="Mud/poles",1,0)</f>
        <v>0</v>
      </c>
      <c r="AE100" s="73">
        <f>IF(All_data!S99="tiles",1,0)</f>
        <v>1</v>
      </c>
      <c r="AF100" s="73">
        <f>IF(All_data!S99="Cemented",1,0)</f>
        <v>0</v>
      </c>
      <c r="AG100" s="73">
        <f>IF(All_data!S99="Mud",1,0)</f>
        <v>0</v>
      </c>
      <c r="AH100" s="73">
        <f>IF(All_data!T99="House connection",1,0)</f>
        <v>1</v>
      </c>
      <c r="AI100" s="73">
        <f>IF(All_data!T99="Yard tap",1,0)</f>
        <v>0</v>
      </c>
      <c r="AJ100" s="73">
        <f>IF(All_data!T99="Stand pipe",1,0)</f>
        <v>0</v>
      </c>
      <c r="AK100" s="73">
        <f>IF(All_data!U99="Shared Facilities ",1,0)</f>
        <v>0</v>
      </c>
      <c r="AL100" s="73">
        <f>IF(All_data!V99="paved",0,1)</f>
        <v>0</v>
      </c>
      <c r="AM100" s="47">
        <v>20.5</v>
      </c>
      <c r="AN100" s="47">
        <v>2.5</v>
      </c>
      <c r="AO100" s="55">
        <v>0</v>
      </c>
      <c r="AP100" s="55">
        <v>0</v>
      </c>
      <c r="AQ100" s="55">
        <v>0</v>
      </c>
      <c r="AR100" s="47">
        <v>0.5</v>
      </c>
      <c r="AS100" s="47">
        <v>1.5</v>
      </c>
      <c r="AT100" s="55">
        <v>0</v>
      </c>
      <c r="AU100" s="55">
        <v>0</v>
      </c>
      <c r="AV100" s="47">
        <v>1.05</v>
      </c>
      <c r="AW100" s="55">
        <v>26.05</v>
      </c>
      <c r="AX100" s="55">
        <v>3.7214285714285715</v>
      </c>
      <c r="AY100" s="55">
        <v>0.93035714285714288</v>
      </c>
      <c r="AZ100" s="55">
        <v>74</v>
      </c>
      <c r="BA100" s="55">
        <v>0.35202702702702704</v>
      </c>
    </row>
    <row r="101" spans="1:53" ht="15.5" x14ac:dyDescent="0.35">
      <c r="A101" s="59">
        <v>98</v>
      </c>
      <c r="B101" s="27" t="s">
        <v>213</v>
      </c>
      <c r="C101" s="26" t="s">
        <v>153</v>
      </c>
      <c r="D101" s="26" t="s">
        <v>154</v>
      </c>
      <c r="E101" s="26" t="s">
        <v>155</v>
      </c>
      <c r="F101" s="47">
        <f>IF(All_data!F100="low-income",1,IF(All_data!F100="Middle-Income",2,IF(All_data!F100="High-Income",3,"check")))</f>
        <v>3</v>
      </c>
      <c r="G101" s="47">
        <v>5</v>
      </c>
      <c r="H101" s="47">
        <f>IF(All_data!H100="18-35 years",2,IF(All_data!H100="36-60 years",3,IF(All_data!H100="&gt;60 years",4,1)))</f>
        <v>2</v>
      </c>
      <c r="I101" s="47">
        <f>IF(All_data!I100="Male",0,1)</f>
        <v>1</v>
      </c>
      <c r="J101" s="73">
        <f>IF(All_data!J100="Illiterate",1,IF(All_data!J100="Primary",2,IF(All_data!J100="secondary",3,IF(All_data!J100="Tertiary",4,"check"))))</f>
        <v>4</v>
      </c>
      <c r="K101" s="47">
        <f>IF(All_data!K100="Government Employee",1,0)</f>
        <v>0</v>
      </c>
      <c r="L101" s="47">
        <f>IF(All_data!K100="Private Employee",1,0)</f>
        <v>1</v>
      </c>
      <c r="M101" s="47">
        <f>IF(All_data!K100="Business",1,0)</f>
        <v>0</v>
      </c>
      <c r="N101" s="47">
        <f>IF(All_data!K100="Student",1,0)</f>
        <v>0</v>
      </c>
      <c r="O101" s="47">
        <f>IF(All_data!K100="Housewife",1,0)</f>
        <v>0</v>
      </c>
      <c r="P101" s="47">
        <f>IF(All_data!K100="Retired",1,0)</f>
        <v>0</v>
      </c>
      <c r="Q101" s="47">
        <f>IF(All_data!L100="&lt;500,000",1,IF(All_data!L100="500,000 - 1,000,000",2,IF(All_data!L100="1,000,000 - 3,000,000",3,IF(All_data!L100="&gt;3,000,000",4,"check"))))</f>
        <v>3</v>
      </c>
      <c r="R101" s="63">
        <f>IF(All_data!M100="Spouse",1,0)</f>
        <v>0</v>
      </c>
      <c r="S101" s="47">
        <f>IF(All_data!M100="Son/Daughter",1,0)</f>
        <v>0</v>
      </c>
      <c r="T101" s="47">
        <f>IF(All_data!M100="Niece/nephew",1,0)</f>
        <v>0</v>
      </c>
      <c r="U101" s="47">
        <f>IF(All_data!M100="Household head",1,0)</f>
        <v>1</v>
      </c>
      <c r="V101" s="47">
        <f>IF(All_data!N100="&lt; 1 year",1,IF(All_data!N100="1-3 years",2,IF(All_data!N100="3-5 years",3,IF(All_data!N100="&gt; 5 years",4,"check"))))</f>
        <v>4</v>
      </c>
      <c r="W101" s="47">
        <f>IF(All_data!O100="Rented",1,0)</f>
        <v>0</v>
      </c>
      <c r="X101" s="73">
        <f>IF(All_data!P100="Bungalow",1,0)</f>
        <v>1</v>
      </c>
      <c r="Y101" s="73">
        <f>IF(All_data!P100="Temporary",1,0)</f>
        <v>0</v>
      </c>
      <c r="Z101" s="73">
        <f>IF(All_data!P100="Story Building",1,0)</f>
        <v>0</v>
      </c>
      <c r="AA101" s="73">
        <f>IF(All_data!Q100="Iron Sheets/titles",1,0)</f>
        <v>1</v>
      </c>
      <c r="AB101" s="74">
        <f>IF(All_data!R100="Concrete Blocks",1,0)</f>
        <v>0</v>
      </c>
      <c r="AC101" s="73">
        <f>IF(All_data!R100="Bricks",1,0)</f>
        <v>1</v>
      </c>
      <c r="AD101" s="73">
        <f>IF(All_data!R100="Mud/poles",1,0)</f>
        <v>0</v>
      </c>
      <c r="AE101" s="73">
        <f>IF(All_data!S100="tiles",1,0)</f>
        <v>1</v>
      </c>
      <c r="AF101" s="73">
        <f>IF(All_data!S100="Cemented",1,0)</f>
        <v>0</v>
      </c>
      <c r="AG101" s="73">
        <f>IF(All_data!S100="Mud",1,0)</f>
        <v>0</v>
      </c>
      <c r="AH101" s="73">
        <f>IF(All_data!T100="House connection",1,0)</f>
        <v>1</v>
      </c>
      <c r="AI101" s="73">
        <f>IF(All_data!T100="Yard tap",1,0)</f>
        <v>0</v>
      </c>
      <c r="AJ101" s="73">
        <f>IF(All_data!T100="Stand pipe",1,0)</f>
        <v>0</v>
      </c>
      <c r="AK101" s="73">
        <f>IF(All_data!U100="Shared Facilities ",1,0)</f>
        <v>0</v>
      </c>
      <c r="AL101" s="73">
        <f>IF(All_data!V100="paved",0,1)</f>
        <v>0</v>
      </c>
      <c r="AM101" s="47">
        <v>28.31</v>
      </c>
      <c r="AN101" s="47">
        <v>3.25</v>
      </c>
      <c r="AO101" s="55">
        <v>0</v>
      </c>
      <c r="AP101" s="55">
        <v>0</v>
      </c>
      <c r="AQ101" s="55">
        <v>0</v>
      </c>
      <c r="AR101" s="47">
        <v>0.70299999999999996</v>
      </c>
      <c r="AS101" s="47">
        <v>1.8120000000000001</v>
      </c>
      <c r="AT101" s="55">
        <v>0</v>
      </c>
      <c r="AU101" s="55">
        <v>0</v>
      </c>
      <c r="AV101" s="47">
        <v>0.34599999999999997</v>
      </c>
      <c r="AW101" s="55">
        <v>34.420999999999992</v>
      </c>
      <c r="AX101" s="55">
        <v>4.9172857142857129</v>
      </c>
      <c r="AY101" s="55">
        <v>0.98345714285714259</v>
      </c>
      <c r="AZ101" s="55">
        <v>110</v>
      </c>
      <c r="BA101" s="55">
        <v>0.31291818181818176</v>
      </c>
    </row>
    <row r="102" spans="1:53" ht="15.5" x14ac:dyDescent="0.35">
      <c r="A102" s="59">
        <v>99</v>
      </c>
      <c r="B102" s="27" t="s">
        <v>214</v>
      </c>
      <c r="C102" s="26" t="s">
        <v>153</v>
      </c>
      <c r="D102" s="26" t="s">
        <v>154</v>
      </c>
      <c r="E102" s="26" t="s">
        <v>155</v>
      </c>
      <c r="F102" s="47">
        <f>IF(All_data!F101="low-income",1,IF(All_data!F101="Middle-Income",2,IF(All_data!F101="High-Income",3,"check")))</f>
        <v>3</v>
      </c>
      <c r="G102" s="47">
        <v>5</v>
      </c>
      <c r="H102" s="47">
        <f>IF(All_data!H101="18-35 years",2,IF(All_data!H101="36-60 years",3,IF(All_data!H101="&gt;60 years",4,1)))</f>
        <v>3</v>
      </c>
      <c r="I102" s="47">
        <f>IF(All_data!I101="Male",0,1)</f>
        <v>0</v>
      </c>
      <c r="J102" s="73">
        <f>IF(All_data!J101="Illiterate",1,IF(All_data!J101="Primary",2,IF(All_data!J101="secondary",3,IF(All_data!J101="Tertiary",4,"check"))))</f>
        <v>4</v>
      </c>
      <c r="K102" s="47">
        <f>IF(All_data!K101="Government Employee",1,0)</f>
        <v>1</v>
      </c>
      <c r="L102" s="47">
        <f>IF(All_data!K101="Private Employee",1,0)</f>
        <v>0</v>
      </c>
      <c r="M102" s="47">
        <f>IF(All_data!K101="Business",1,0)</f>
        <v>0</v>
      </c>
      <c r="N102" s="47">
        <f>IF(All_data!K101="Student",1,0)</f>
        <v>0</v>
      </c>
      <c r="O102" s="47">
        <f>IF(All_data!K101="Housewife",1,0)</f>
        <v>0</v>
      </c>
      <c r="P102" s="47">
        <f>IF(All_data!K101="Retired",1,0)</f>
        <v>0</v>
      </c>
      <c r="Q102" s="47">
        <f>IF(All_data!L101="&lt;500,000",1,IF(All_data!L101="500,000 - 1,000,000",2,IF(All_data!L101="1,000,000 - 3,000,000",3,IF(All_data!L101="&gt;3,000,000",4,"check"))))</f>
        <v>4</v>
      </c>
      <c r="R102" s="63">
        <f>IF(All_data!M101="Spouse",1,0)</f>
        <v>0</v>
      </c>
      <c r="S102" s="47">
        <f>IF(All_data!M101="Son/Daughter",1,0)</f>
        <v>0</v>
      </c>
      <c r="T102" s="47">
        <f>IF(All_data!M101="Niece/nephew",1,0)</f>
        <v>0</v>
      </c>
      <c r="U102" s="47">
        <f>IF(All_data!M101="Household head",1,0)</f>
        <v>1</v>
      </c>
      <c r="V102" s="47">
        <f>IF(All_data!N101="&lt; 1 year",1,IF(All_data!N101="1-3 years",2,IF(All_data!N101="3-5 years",3,IF(All_data!N101="&gt; 5 years",4,"check"))))</f>
        <v>4</v>
      </c>
      <c r="W102" s="47">
        <f>IF(All_data!O101="Rented",1,0)</f>
        <v>1</v>
      </c>
      <c r="X102" s="73">
        <f>IF(All_data!P101="Bungalow",1,0)</f>
        <v>0</v>
      </c>
      <c r="Y102" s="73">
        <f>IF(All_data!P101="Temporary",1,0)</f>
        <v>0</v>
      </c>
      <c r="Z102" s="73">
        <f>IF(All_data!P101="Story Building",1,0)</f>
        <v>1</v>
      </c>
      <c r="AA102" s="73">
        <f>IF(All_data!Q101="Iron Sheets/titles",1,0)</f>
        <v>1</v>
      </c>
      <c r="AB102" s="74">
        <f>IF(All_data!R101="Concrete Blocks",1,0)</f>
        <v>0</v>
      </c>
      <c r="AC102" s="73">
        <f>IF(All_data!R101="Bricks",1,0)</f>
        <v>1</v>
      </c>
      <c r="AD102" s="73">
        <f>IF(All_data!R101="Mud/poles",1,0)</f>
        <v>0</v>
      </c>
      <c r="AE102" s="73">
        <f>IF(All_data!S101="tiles",1,0)</f>
        <v>1</v>
      </c>
      <c r="AF102" s="73">
        <f>IF(All_data!S101="Cemented",1,0)</f>
        <v>0</v>
      </c>
      <c r="AG102" s="73">
        <f>IF(All_data!S101="Mud",1,0)</f>
        <v>0</v>
      </c>
      <c r="AH102" s="73">
        <f>IF(All_data!T101="House connection",1,0)</f>
        <v>1</v>
      </c>
      <c r="AI102" s="73">
        <f>IF(All_data!T101="Yard tap",1,0)</f>
        <v>0</v>
      </c>
      <c r="AJ102" s="73">
        <f>IF(All_data!T101="Stand pipe",1,0)</f>
        <v>0</v>
      </c>
      <c r="AK102" s="73">
        <f>IF(All_data!U101="Shared Facilities ",1,0)</f>
        <v>0</v>
      </c>
      <c r="AL102" s="73">
        <f>IF(All_data!V101="paved",0,1)</f>
        <v>0</v>
      </c>
      <c r="AM102" s="55">
        <v>53.52</v>
      </c>
      <c r="AN102" s="55">
        <v>6.3419999999999996</v>
      </c>
      <c r="AO102" s="55">
        <v>0</v>
      </c>
      <c r="AP102" s="55">
        <v>0.23400000000000001</v>
      </c>
      <c r="AQ102" s="55">
        <v>0.47599999999999998</v>
      </c>
      <c r="AR102" s="55">
        <v>1.673</v>
      </c>
      <c r="AS102" s="55">
        <v>2.3460000000000001</v>
      </c>
      <c r="AT102" s="55">
        <v>0</v>
      </c>
      <c r="AU102" s="55">
        <v>1.095</v>
      </c>
      <c r="AV102" s="55">
        <v>2.3450000000000002</v>
      </c>
      <c r="AW102" s="55">
        <v>68.031000000000006</v>
      </c>
      <c r="AX102" s="55">
        <v>9.7187142857142863</v>
      </c>
      <c r="AY102" s="55">
        <v>1.9437428571428572</v>
      </c>
      <c r="AZ102" s="55">
        <v>224</v>
      </c>
      <c r="BA102" s="55">
        <v>0.30370982142857145</v>
      </c>
    </row>
    <row r="103" spans="1:53" ht="15.5" x14ac:dyDescent="0.35">
      <c r="A103" s="59">
        <v>100</v>
      </c>
      <c r="B103" s="27" t="s">
        <v>215</v>
      </c>
      <c r="C103" s="26" t="s">
        <v>153</v>
      </c>
      <c r="D103" s="26" t="s">
        <v>154</v>
      </c>
      <c r="E103" s="26" t="s">
        <v>155</v>
      </c>
      <c r="F103" s="47">
        <f>IF(All_data!F102="low-income",1,IF(All_data!F102="Middle-Income",2,IF(All_data!F102="High-Income",3,"check")))</f>
        <v>3</v>
      </c>
      <c r="G103" s="47">
        <v>9</v>
      </c>
      <c r="H103" s="47">
        <f>IF(All_data!H102="18-35 years",2,IF(All_data!H102="36-60 years",3,IF(All_data!H102="&gt;60 years",4,1)))</f>
        <v>3</v>
      </c>
      <c r="I103" s="47">
        <f>IF(All_data!I102="Male",0,1)</f>
        <v>0</v>
      </c>
      <c r="J103" s="73">
        <f>IF(All_data!J102="Illiterate",1,IF(All_data!J102="Primary",2,IF(All_data!J102="secondary",3,IF(All_data!J102="Tertiary",4,"check"))))</f>
        <v>4</v>
      </c>
      <c r="K103" s="47">
        <f>IF(All_data!K102="Government Employee",1,0)</f>
        <v>1</v>
      </c>
      <c r="L103" s="47">
        <f>IF(All_data!K102="Private Employee",1,0)</f>
        <v>0</v>
      </c>
      <c r="M103" s="47">
        <f>IF(All_data!K102="Business",1,0)</f>
        <v>0</v>
      </c>
      <c r="N103" s="47">
        <f>IF(All_data!K102="Student",1,0)</f>
        <v>0</v>
      </c>
      <c r="O103" s="47">
        <f>IF(All_data!K102="Housewife",1,0)</f>
        <v>0</v>
      </c>
      <c r="P103" s="47">
        <f>IF(All_data!K102="Retired",1,0)</f>
        <v>0</v>
      </c>
      <c r="Q103" s="47">
        <f>IF(All_data!L102="&lt;500,000",1,IF(All_data!L102="500,000 - 1,000,000",2,IF(All_data!L102="1,000,000 - 3,000,000",3,IF(All_data!L102="&gt;3,000,000",4,"check"))))</f>
        <v>4</v>
      </c>
      <c r="R103" s="63">
        <f>IF(All_data!M102="Spouse",1,0)</f>
        <v>0</v>
      </c>
      <c r="S103" s="47">
        <f>IF(All_data!M102="Son/Daughter",1,0)</f>
        <v>0</v>
      </c>
      <c r="T103" s="47">
        <f>IF(All_data!M102="Niece/nephew",1,0)</f>
        <v>0</v>
      </c>
      <c r="U103" s="47">
        <f>IF(All_data!M102="Household head",1,0)</f>
        <v>1</v>
      </c>
      <c r="V103" s="47">
        <f>IF(All_data!N102="&lt; 1 year",1,IF(All_data!N102="1-3 years",2,IF(All_data!N102="3-5 years",3,IF(All_data!N102="&gt; 5 years",4,"check"))))</f>
        <v>4</v>
      </c>
      <c r="W103" s="47">
        <f>IF(All_data!O102="Rented",1,0)</f>
        <v>0</v>
      </c>
      <c r="X103" s="73">
        <f>IF(All_data!P102="Bungalow",1,0)</f>
        <v>0</v>
      </c>
      <c r="Y103" s="73">
        <f>IF(All_data!P102="Temporary",1,0)</f>
        <v>0</v>
      </c>
      <c r="Z103" s="73">
        <f>IF(All_data!P102="Story Building",1,0)</f>
        <v>1</v>
      </c>
      <c r="AA103" s="73">
        <f>IF(All_data!Q102="Iron Sheets/titles",1,0)</f>
        <v>1</v>
      </c>
      <c r="AB103" s="74">
        <f>IF(All_data!R102="Concrete Blocks",1,0)</f>
        <v>0</v>
      </c>
      <c r="AC103" s="73">
        <f>IF(All_data!R102="Bricks",1,0)</f>
        <v>0</v>
      </c>
      <c r="AD103" s="73">
        <f>IF(All_data!R102="Mud/poles",1,0)</f>
        <v>0</v>
      </c>
      <c r="AE103" s="73">
        <f>IF(All_data!S102="tiles",1,0)</f>
        <v>1</v>
      </c>
      <c r="AF103" s="73">
        <f>IF(All_data!S102="Cemented",1,0)</f>
        <v>0</v>
      </c>
      <c r="AG103" s="73">
        <f>IF(All_data!S102="Mud",1,0)</f>
        <v>0</v>
      </c>
      <c r="AH103" s="73">
        <f>IF(All_data!T102="House connection",1,0)</f>
        <v>1</v>
      </c>
      <c r="AI103" s="73">
        <f>IF(All_data!T102="Yard tap",1,0)</f>
        <v>0</v>
      </c>
      <c r="AJ103" s="73">
        <f>IF(All_data!T102="Stand pipe",1,0)</f>
        <v>0</v>
      </c>
      <c r="AK103" s="73">
        <f>IF(All_data!U102="Shared Facilities ",1,0)</f>
        <v>0</v>
      </c>
      <c r="AL103" s="73">
        <f>IF(All_data!V102="paved",0,1)</f>
        <v>0</v>
      </c>
      <c r="AM103" s="55">
        <v>40.49</v>
      </c>
      <c r="AN103" s="55">
        <v>7.09</v>
      </c>
      <c r="AO103" s="55">
        <v>0</v>
      </c>
      <c r="AP103" s="55">
        <v>0</v>
      </c>
      <c r="AQ103" s="55">
        <v>2.5979999999999999</v>
      </c>
      <c r="AR103" s="55">
        <v>2.54</v>
      </c>
      <c r="AS103" s="55">
        <v>4.83</v>
      </c>
      <c r="AT103" s="55">
        <v>0</v>
      </c>
      <c r="AU103" s="55">
        <v>1.2030000000000001</v>
      </c>
      <c r="AV103" s="55">
        <v>6.3920000000000003</v>
      </c>
      <c r="AW103" s="55">
        <v>65.143000000000001</v>
      </c>
      <c r="AX103" s="55">
        <v>9.3061428571428575</v>
      </c>
      <c r="AY103" s="55">
        <v>1.0340158730158731</v>
      </c>
      <c r="AZ103" s="55">
        <v>220</v>
      </c>
      <c r="BA103" s="55">
        <v>0.29610454545454545</v>
      </c>
    </row>
    <row r="104" spans="1:53" ht="15.5" x14ac:dyDescent="0.35">
      <c r="A104" s="59">
        <v>101</v>
      </c>
      <c r="B104" s="27" t="s">
        <v>216</v>
      </c>
      <c r="C104" s="26" t="s">
        <v>153</v>
      </c>
      <c r="D104" s="26" t="s">
        <v>154</v>
      </c>
      <c r="E104" s="26" t="s">
        <v>155</v>
      </c>
      <c r="F104" s="47">
        <f>IF(All_data!F103="low-income",1,IF(All_data!F103="Middle-Income",2,IF(All_data!F103="High-Income",3,"check")))</f>
        <v>3</v>
      </c>
      <c r="G104" s="47">
        <v>14</v>
      </c>
      <c r="H104" s="47">
        <f>IF(All_data!H103="18-35 years",2,IF(All_data!H103="36-60 years",3,IF(All_data!H103="&gt;60 years",4,1)))</f>
        <v>3</v>
      </c>
      <c r="I104" s="47">
        <f>IF(All_data!I103="Male",0,1)</f>
        <v>0</v>
      </c>
      <c r="J104" s="73">
        <f>IF(All_data!J103="Illiterate",1,IF(All_data!J103="Primary",2,IF(All_data!J103="secondary",3,IF(All_data!J103="Tertiary",4,"check"))))</f>
        <v>4</v>
      </c>
      <c r="K104" s="47">
        <f>IF(All_data!K103="Government Employee",1,0)</f>
        <v>0</v>
      </c>
      <c r="L104" s="47">
        <f>IF(All_data!K103="Private Employee",1,0)</f>
        <v>0</v>
      </c>
      <c r="M104" s="47">
        <f>IF(All_data!K103="Business",1,0)</f>
        <v>1</v>
      </c>
      <c r="N104" s="47">
        <f>IF(All_data!K103="Student",1,0)</f>
        <v>0</v>
      </c>
      <c r="O104" s="47">
        <f>IF(All_data!K103="Housewife",1,0)</f>
        <v>0</v>
      </c>
      <c r="P104" s="47">
        <f>IF(All_data!K103="Retired",1,0)</f>
        <v>0</v>
      </c>
      <c r="Q104" s="47">
        <f>IF(All_data!L103="&lt;500,000",1,IF(All_data!L103="500,000 - 1,000,000",2,IF(All_data!L103="1,000,000 - 3,000,000",3,IF(All_data!L103="&gt;3,000,000",4,"check"))))</f>
        <v>4</v>
      </c>
      <c r="R104" s="63">
        <f>IF(All_data!M103="Spouse",1,0)</f>
        <v>0</v>
      </c>
      <c r="S104" s="47">
        <f>IF(All_data!M103="Son/Daughter",1,0)</f>
        <v>0</v>
      </c>
      <c r="T104" s="47">
        <f>IF(All_data!M103="Niece/nephew",1,0)</f>
        <v>0</v>
      </c>
      <c r="U104" s="47">
        <f>IF(All_data!M103="Household head",1,0)</f>
        <v>1</v>
      </c>
      <c r="V104" s="47">
        <f>IF(All_data!N103="&lt; 1 year",1,IF(All_data!N103="1-3 years",2,IF(All_data!N103="3-5 years",3,IF(All_data!N103="&gt; 5 years",4,"check"))))</f>
        <v>4</v>
      </c>
      <c r="W104" s="47">
        <f>IF(All_data!O103="Rented",1,0)</f>
        <v>0</v>
      </c>
      <c r="X104" s="73">
        <f>IF(All_data!P103="Bungalow",1,0)</f>
        <v>0</v>
      </c>
      <c r="Y104" s="73">
        <f>IF(All_data!P103="Temporary",1,0)</f>
        <v>0</v>
      </c>
      <c r="Z104" s="73">
        <f>IF(All_data!P103="Story Building",1,0)</f>
        <v>1</v>
      </c>
      <c r="AA104" s="73">
        <f>IF(All_data!Q103="Iron Sheets/titles",1,0)</f>
        <v>1</v>
      </c>
      <c r="AB104" s="74">
        <f>IF(All_data!R103="Concrete Blocks",1,0)</f>
        <v>0</v>
      </c>
      <c r="AC104" s="73">
        <f>IF(All_data!R103="Bricks",1,0)</f>
        <v>1</v>
      </c>
      <c r="AD104" s="73">
        <f>IF(All_data!R103="Mud/poles",1,0)</f>
        <v>0</v>
      </c>
      <c r="AE104" s="73">
        <f>IF(All_data!S103="tiles",1,0)</f>
        <v>1</v>
      </c>
      <c r="AF104" s="73">
        <f>IF(All_data!S103="Cemented",1,0)</f>
        <v>0</v>
      </c>
      <c r="AG104" s="73">
        <f>IF(All_data!S103="Mud",1,0)</f>
        <v>0</v>
      </c>
      <c r="AH104" s="73">
        <f>IF(All_data!T103="House connection",1,0)</f>
        <v>1</v>
      </c>
      <c r="AI104" s="73">
        <f>IF(All_data!T103="Yard tap",1,0)</f>
        <v>0</v>
      </c>
      <c r="AJ104" s="73">
        <f>IF(All_data!T103="Stand pipe",1,0)</f>
        <v>0</v>
      </c>
      <c r="AK104" s="73">
        <f>IF(All_data!U103="Shared Facilities ",1,0)</f>
        <v>0</v>
      </c>
      <c r="AL104" s="73">
        <f>IF(All_data!V103="paved",0,1)</f>
        <v>0</v>
      </c>
      <c r="AM104" s="55">
        <v>22.82</v>
      </c>
      <c r="AN104" s="55">
        <v>9.4600000000000009</v>
      </c>
      <c r="AO104" s="55">
        <v>0</v>
      </c>
      <c r="AP104" s="55">
        <v>0</v>
      </c>
      <c r="AQ104" s="55">
        <v>0.96699999999999997</v>
      </c>
      <c r="AR104" s="55">
        <v>2.923</v>
      </c>
      <c r="AS104" s="55">
        <v>1.165</v>
      </c>
      <c r="AT104" s="55">
        <v>0</v>
      </c>
      <c r="AU104" s="55">
        <v>0</v>
      </c>
      <c r="AV104" s="55">
        <v>5.12</v>
      </c>
      <c r="AW104" s="55">
        <v>42.454999999999998</v>
      </c>
      <c r="AX104" s="55">
        <v>6.0649999999999995</v>
      </c>
      <c r="AY104" s="55">
        <v>0.50541666666666663</v>
      </c>
      <c r="AZ104" s="55">
        <v>134</v>
      </c>
      <c r="BA104" s="55">
        <v>0.31682835820895522</v>
      </c>
    </row>
    <row r="105" spans="1:53" ht="15.5" x14ac:dyDescent="0.35">
      <c r="A105" s="59">
        <v>102</v>
      </c>
      <c r="B105" s="27" t="s">
        <v>217</v>
      </c>
      <c r="C105" s="26" t="s">
        <v>153</v>
      </c>
      <c r="D105" s="26" t="s">
        <v>154</v>
      </c>
      <c r="E105" s="26" t="s">
        <v>155</v>
      </c>
      <c r="F105" s="47">
        <f>IF(All_data!F104="low-income",1,IF(All_data!F104="Middle-Income",2,IF(All_data!F104="High-Income",3,"check")))</f>
        <v>3</v>
      </c>
      <c r="G105" s="47">
        <v>8</v>
      </c>
      <c r="H105" s="47">
        <f>IF(All_data!H104="18-35 years",2,IF(All_data!H104="36-60 years",3,IF(All_data!H104="&gt;60 years",4,1)))</f>
        <v>4</v>
      </c>
      <c r="I105" s="47">
        <f>IF(All_data!I104="Male",0,1)</f>
        <v>1</v>
      </c>
      <c r="J105" s="73">
        <f>IF(All_data!J104="Illiterate",1,IF(All_data!J104="Primary",2,IF(All_data!J104="secondary",3,IF(All_data!J104="Tertiary",4,"check"))))</f>
        <v>4</v>
      </c>
      <c r="K105" s="47">
        <f>IF(All_data!K104="Government Employee",1,0)</f>
        <v>0</v>
      </c>
      <c r="L105" s="47">
        <f>IF(All_data!K104="Private Employee",1,0)</f>
        <v>1</v>
      </c>
      <c r="M105" s="47">
        <f>IF(All_data!K104="Business",1,0)</f>
        <v>0</v>
      </c>
      <c r="N105" s="47">
        <f>IF(All_data!K104="Student",1,0)</f>
        <v>0</v>
      </c>
      <c r="O105" s="47">
        <f>IF(All_data!K104="Housewife",1,0)</f>
        <v>0</v>
      </c>
      <c r="P105" s="47">
        <f>IF(All_data!K104="Retired",1,0)</f>
        <v>0</v>
      </c>
      <c r="Q105" s="47">
        <f>IF(All_data!L104="&lt;500,000",1,IF(All_data!L104="500,000 - 1,000,000",2,IF(All_data!L104="1,000,000 - 3,000,000",3,IF(All_data!L104="&gt;3,000,000",4,"check"))))</f>
        <v>3</v>
      </c>
      <c r="R105" s="63">
        <f>IF(All_data!M104="Spouse",1,0)</f>
        <v>1</v>
      </c>
      <c r="S105" s="47">
        <f>IF(All_data!M104="Son/Daughter",1,0)</f>
        <v>0</v>
      </c>
      <c r="T105" s="47">
        <f>IF(All_data!M104="Niece/nephew",1,0)</f>
        <v>0</v>
      </c>
      <c r="U105" s="47">
        <f>IF(All_data!M104="Household head",1,0)</f>
        <v>0</v>
      </c>
      <c r="V105" s="47">
        <f>IF(All_data!N104="&lt; 1 year",1,IF(All_data!N104="1-3 years",2,IF(All_data!N104="3-5 years",3,IF(All_data!N104="&gt; 5 years",4,"check"))))</f>
        <v>4</v>
      </c>
      <c r="W105" s="47">
        <f>IF(All_data!O104="Rented",1,0)</f>
        <v>0</v>
      </c>
      <c r="X105" s="73">
        <f>IF(All_data!P104="Bungalow",1,0)</f>
        <v>1</v>
      </c>
      <c r="Y105" s="73">
        <f>IF(All_data!P104="Temporary",1,0)</f>
        <v>0</v>
      </c>
      <c r="Z105" s="73">
        <f>IF(All_data!P104="Story Building",1,0)</f>
        <v>0</v>
      </c>
      <c r="AA105" s="73">
        <f>IF(All_data!Q104="Iron Sheets/titles",1,0)</f>
        <v>1</v>
      </c>
      <c r="AB105" s="74">
        <f>IF(All_data!R104="Concrete Blocks",1,0)</f>
        <v>0</v>
      </c>
      <c r="AC105" s="73">
        <f>IF(All_data!R104="Bricks",1,0)</f>
        <v>1</v>
      </c>
      <c r="AD105" s="73">
        <f>IF(All_data!R104="Mud/poles",1,0)</f>
        <v>0</v>
      </c>
      <c r="AE105" s="73">
        <f>IF(All_data!S104="tiles",1,0)</f>
        <v>1</v>
      </c>
      <c r="AF105" s="73">
        <f>IF(All_data!S104="Cemented",1,0)</f>
        <v>0</v>
      </c>
      <c r="AG105" s="73">
        <f>IF(All_data!S104="Mud",1,0)</f>
        <v>0</v>
      </c>
      <c r="AH105" s="73">
        <f>IF(All_data!T104="House connection",1,0)</f>
        <v>1</v>
      </c>
      <c r="AI105" s="73">
        <f>IF(All_data!T104="Yard tap",1,0)</f>
        <v>0</v>
      </c>
      <c r="AJ105" s="73">
        <f>IF(All_data!T104="Stand pipe",1,0)</f>
        <v>0</v>
      </c>
      <c r="AK105" s="73">
        <f>IF(All_data!U104="Shared Facilities ",1,0)</f>
        <v>0</v>
      </c>
      <c r="AL105" s="73">
        <f>IF(All_data!V104="paved",0,1)</f>
        <v>1</v>
      </c>
      <c r="AM105" s="55">
        <v>19.442</v>
      </c>
      <c r="AN105" s="55">
        <v>0</v>
      </c>
      <c r="AO105" s="55">
        <v>0</v>
      </c>
      <c r="AP105" s="55">
        <v>0</v>
      </c>
      <c r="AQ105" s="55">
        <v>1.651</v>
      </c>
      <c r="AR105" s="47">
        <v>0.83299999999999996</v>
      </c>
      <c r="AS105" s="55">
        <v>1.6559999999999999</v>
      </c>
      <c r="AT105" s="55">
        <v>0.30599999999999999</v>
      </c>
      <c r="AU105" s="55">
        <v>0.123</v>
      </c>
      <c r="AV105" s="55">
        <v>1.0980000000000001</v>
      </c>
      <c r="AW105" s="55">
        <v>25.108999999999998</v>
      </c>
      <c r="AX105" s="55">
        <v>3.5869999999999997</v>
      </c>
      <c r="AY105" s="55">
        <v>0.44837499999999997</v>
      </c>
      <c r="AZ105" s="55">
        <v>80</v>
      </c>
      <c r="BA105" s="55">
        <v>0.31386249999999999</v>
      </c>
    </row>
    <row r="106" spans="1:53" ht="15.5" x14ac:dyDescent="0.35">
      <c r="A106" s="59">
        <v>103</v>
      </c>
      <c r="B106" s="27" t="s">
        <v>218</v>
      </c>
      <c r="C106" s="26" t="s">
        <v>153</v>
      </c>
      <c r="D106" s="26" t="s">
        <v>154</v>
      </c>
      <c r="E106" s="26" t="s">
        <v>155</v>
      </c>
      <c r="F106" s="47">
        <f>IF(All_data!F105="low-income",1,IF(All_data!F105="Middle-Income",2,IF(All_data!F105="High-Income",3,"check")))</f>
        <v>3</v>
      </c>
      <c r="G106" s="47">
        <v>6</v>
      </c>
      <c r="H106" s="47">
        <f>IF(All_data!H105="18-35 years",2,IF(All_data!H105="36-60 years",3,IF(All_data!H105="&gt;60 years",4,1)))</f>
        <v>2</v>
      </c>
      <c r="I106" s="47">
        <f>IF(All_data!I105="Male",0,1)</f>
        <v>0</v>
      </c>
      <c r="J106" s="73">
        <f>IF(All_data!J105="Illiterate",1,IF(All_data!J105="Primary",2,IF(All_data!J105="secondary",3,IF(All_data!J105="Tertiary",4,"check"))))</f>
        <v>4</v>
      </c>
      <c r="K106" s="47">
        <f>IF(All_data!K105="Government Employee",1,0)</f>
        <v>1</v>
      </c>
      <c r="L106" s="47">
        <f>IF(All_data!K105="Private Employee",1,0)</f>
        <v>0</v>
      </c>
      <c r="M106" s="47">
        <f>IF(All_data!K105="Business",1,0)</f>
        <v>0</v>
      </c>
      <c r="N106" s="47">
        <f>IF(All_data!K105="Student",1,0)</f>
        <v>0</v>
      </c>
      <c r="O106" s="47">
        <f>IF(All_data!K105="Housewife",1,0)</f>
        <v>0</v>
      </c>
      <c r="P106" s="47">
        <f>IF(All_data!K105="Retired",1,0)</f>
        <v>0</v>
      </c>
      <c r="Q106" s="47">
        <f>IF(All_data!L105="&lt;500,000",1,IF(All_data!L105="500,000 - 1,000,000",2,IF(All_data!L105="1,000,000 - 3,000,000",3,IF(All_data!L105="&gt;3,000,000",4,"check"))))</f>
        <v>4</v>
      </c>
      <c r="R106" s="63">
        <f>IF(All_data!M105="Spouse",1,0)</f>
        <v>0</v>
      </c>
      <c r="S106" s="47">
        <f>IF(All_data!M105="Son/Daughter",1,0)</f>
        <v>0</v>
      </c>
      <c r="T106" s="47">
        <f>IF(All_data!M105="Niece/nephew",1,0)</f>
        <v>0</v>
      </c>
      <c r="U106" s="47">
        <f>IF(All_data!M105="Household head",1,0)</f>
        <v>1</v>
      </c>
      <c r="V106" s="47">
        <f>IF(All_data!N105="&lt; 1 year",1,IF(All_data!N105="1-3 years",2,IF(All_data!N105="3-5 years",3,IF(All_data!N105="&gt; 5 years",4,"check"))))</f>
        <v>4</v>
      </c>
      <c r="W106" s="47">
        <f>IF(All_data!O105="Rented",1,0)</f>
        <v>1</v>
      </c>
      <c r="X106" s="73">
        <f>IF(All_data!P105="Bungalow",1,0)</f>
        <v>0</v>
      </c>
      <c r="Y106" s="73">
        <f>IF(All_data!P105="Temporary",1,0)</f>
        <v>0</v>
      </c>
      <c r="Z106" s="73">
        <f>IF(All_data!P105="Story Building",1,0)</f>
        <v>1</v>
      </c>
      <c r="AA106" s="73">
        <f>IF(All_data!Q105="Iron Sheets/titles",1,0)</f>
        <v>1</v>
      </c>
      <c r="AB106" s="74">
        <f>IF(All_data!R105="Concrete Blocks",1,0)</f>
        <v>0</v>
      </c>
      <c r="AC106" s="73">
        <f>IF(All_data!R105="Bricks",1,0)</f>
        <v>1</v>
      </c>
      <c r="AD106" s="73">
        <f>IF(All_data!R105="Mud/poles",1,0)</f>
        <v>0</v>
      </c>
      <c r="AE106" s="73">
        <f>IF(All_data!S105="tiles",1,0)</f>
        <v>1</v>
      </c>
      <c r="AF106" s="73">
        <f>IF(All_data!S105="Cemented",1,0)</f>
        <v>0</v>
      </c>
      <c r="AG106" s="73">
        <f>IF(All_data!S105="Mud",1,0)</f>
        <v>0</v>
      </c>
      <c r="AH106" s="73">
        <f>IF(All_data!T105="House connection",1,0)</f>
        <v>1</v>
      </c>
      <c r="AI106" s="73">
        <f>IF(All_data!T105="Yard tap",1,0)</f>
        <v>0</v>
      </c>
      <c r="AJ106" s="73">
        <f>IF(All_data!T105="Stand pipe",1,0)</f>
        <v>0</v>
      </c>
      <c r="AK106" s="73">
        <f>IF(All_data!U105="Shared Facilities ",1,0)</f>
        <v>0</v>
      </c>
      <c r="AL106" s="73">
        <f>IF(All_data!V105="paved",0,1)</f>
        <v>0</v>
      </c>
      <c r="AM106" s="55">
        <v>31.98</v>
      </c>
      <c r="AN106" s="55">
        <v>1.45</v>
      </c>
      <c r="AO106" s="55">
        <v>0</v>
      </c>
      <c r="AP106" s="55">
        <v>0.36699999999999999</v>
      </c>
      <c r="AQ106" s="55">
        <v>0.64500000000000002</v>
      </c>
      <c r="AR106" s="55">
        <v>0.24299999999999999</v>
      </c>
      <c r="AS106" s="55">
        <v>0.61899999999999999</v>
      </c>
      <c r="AT106" s="55">
        <v>0</v>
      </c>
      <c r="AU106" s="55">
        <v>0</v>
      </c>
      <c r="AV106" s="55">
        <v>3.79</v>
      </c>
      <c r="AW106" s="55">
        <v>39.094000000000001</v>
      </c>
      <c r="AX106" s="55">
        <v>5.5848571428571434</v>
      </c>
      <c r="AY106" s="55">
        <v>0.93080952380952386</v>
      </c>
      <c r="AZ106" s="55">
        <v>104</v>
      </c>
      <c r="BA106" s="55">
        <v>0.37590384615384614</v>
      </c>
    </row>
  </sheetData>
  <mergeCells count="25">
    <mergeCell ref="AZ1:AZ3"/>
    <mergeCell ref="BA1:BA3"/>
    <mergeCell ref="F2:F3"/>
    <mergeCell ref="G2:G3"/>
    <mergeCell ref="H2:H3"/>
    <mergeCell ref="I2:I3"/>
    <mergeCell ref="K2:P2"/>
    <mergeCell ref="R2:U2"/>
    <mergeCell ref="AB2:AD2"/>
    <mergeCell ref="AE2:AG2"/>
    <mergeCell ref="AH2:AJ2"/>
    <mergeCell ref="J2:J3"/>
    <mergeCell ref="P1:V1"/>
    <mergeCell ref="W1:AL1"/>
    <mergeCell ref="AM1:AV1"/>
    <mergeCell ref="AW1:AW3"/>
    <mergeCell ref="AX1:AX3"/>
    <mergeCell ref="AY1:AY3"/>
    <mergeCell ref="X2:Z2"/>
    <mergeCell ref="A1:A3"/>
    <mergeCell ref="B1:B3"/>
    <mergeCell ref="C1:C3"/>
    <mergeCell ref="D1:D3"/>
    <mergeCell ref="E1:E3"/>
    <mergeCell ref="F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topLeftCell="A46" zoomScale="40" zoomScaleNormal="40" workbookViewId="0">
      <selection activeCell="O60" sqref="O60"/>
    </sheetView>
  </sheetViews>
  <sheetFormatPr defaultRowHeight="14.5" x14ac:dyDescent="0.35"/>
  <cols>
    <col min="2" max="2" width="17.26953125" customWidth="1"/>
    <col min="3" max="3" width="15.7265625" customWidth="1"/>
    <col min="4" max="4" width="15.453125" customWidth="1"/>
    <col min="5" max="5" width="15.26953125" customWidth="1"/>
    <col min="6" max="6" width="23.453125" customWidth="1"/>
    <col min="7" max="7" width="9.7265625" customWidth="1"/>
    <col min="8" max="8" width="11" customWidth="1"/>
    <col min="11" max="11" width="12.81640625" customWidth="1"/>
    <col min="12" max="12" width="12.1796875" customWidth="1"/>
    <col min="13" max="13" width="12.81640625" customWidth="1"/>
  </cols>
  <sheetData>
    <row r="1" spans="1:16" ht="87" customHeight="1" x14ac:dyDescent="0.35">
      <c r="A1" s="66" t="s">
        <v>259</v>
      </c>
      <c r="B1" s="66" t="s">
        <v>261</v>
      </c>
      <c r="C1" s="66" t="s">
        <v>262</v>
      </c>
      <c r="D1" s="65" t="s">
        <v>263</v>
      </c>
      <c r="E1" s="65" t="s">
        <v>12</v>
      </c>
      <c r="F1" s="67" t="s">
        <v>13</v>
      </c>
      <c r="G1" s="65" t="s">
        <v>31</v>
      </c>
      <c r="H1" s="65" t="s">
        <v>32</v>
      </c>
      <c r="I1" s="65" t="s">
        <v>33</v>
      </c>
      <c r="J1" s="65" t="s">
        <v>34</v>
      </c>
      <c r="K1" s="65" t="s">
        <v>35</v>
      </c>
      <c r="L1" s="65" t="s">
        <v>36</v>
      </c>
      <c r="M1" s="65" t="s">
        <v>37</v>
      </c>
      <c r="N1" s="65" t="s">
        <v>38</v>
      </c>
      <c r="O1" s="65" t="s">
        <v>39</v>
      </c>
      <c r="P1" s="65" t="s">
        <v>40</v>
      </c>
    </row>
    <row r="2" spans="1:16" ht="15" customHeight="1" x14ac:dyDescent="0.35">
      <c r="A2" s="72" t="s">
        <v>43</v>
      </c>
      <c r="B2" s="54">
        <v>12.983179487179488</v>
      </c>
      <c r="C2" s="54">
        <v>1.854739926739926</v>
      </c>
      <c r="D2" s="54">
        <v>0.42662958271886847</v>
      </c>
      <c r="E2" s="54">
        <v>39.435897435897438</v>
      </c>
      <c r="F2" s="54">
        <v>0.36811795614608123</v>
      </c>
      <c r="G2" s="75">
        <v>0.75384049353129368</v>
      </c>
      <c r="H2" s="75">
        <v>4.1556958010677589E-2</v>
      </c>
      <c r="I2" s="75">
        <v>5.7615837742743122E-4</v>
      </c>
      <c r="J2" s="75">
        <v>1.563624869301506E-2</v>
      </c>
      <c r="K2" s="75">
        <v>1.1516909522797766E-2</v>
      </c>
      <c r="L2" s="75">
        <v>8.2199527494812949E-2</v>
      </c>
      <c r="M2" s="75">
        <v>5.5780245713890529E-2</v>
      </c>
      <c r="N2" s="75">
        <v>8.3240763863175155E-5</v>
      </c>
      <c r="O2" s="75">
        <v>1.3333951054751213E-3</v>
      </c>
      <c r="P2" s="75">
        <v>3.5275876379791703E-2</v>
      </c>
    </row>
    <row r="3" spans="1:16" ht="15" customHeight="1" x14ac:dyDescent="0.35">
      <c r="A3" s="72" t="s">
        <v>260</v>
      </c>
      <c r="B3" s="76">
        <v>13.277200000000001</v>
      </c>
      <c r="C3" s="76">
        <v>1.8967428571428573</v>
      </c>
      <c r="D3" s="76">
        <v>0.5275594316893425</v>
      </c>
      <c r="E3" s="76">
        <v>31.4375</v>
      </c>
      <c r="F3" s="76">
        <v>0.57128682725694457</v>
      </c>
      <c r="G3" s="75">
        <v>0.81011138567583652</v>
      </c>
      <c r="H3" s="75">
        <v>2.1119092812743444E-2</v>
      </c>
      <c r="I3" s="75">
        <v>6.4505401765005063E-4</v>
      </c>
      <c r="J3" s="75">
        <v>1.7432925164858247E-2</v>
      </c>
      <c r="K3" s="75">
        <v>3.1535980402284371E-2</v>
      </c>
      <c r="L3" s="75">
        <v>4.2402560365808258E-2</v>
      </c>
      <c r="M3" s="75">
        <v>2.7603715672564616E-2</v>
      </c>
      <c r="N3" s="75">
        <v>2.8928352309953182E-3</v>
      </c>
      <c r="O3" s="75">
        <v>5.7806243704109405E-3</v>
      </c>
      <c r="P3" s="75">
        <v>7.6865174557293442E-2</v>
      </c>
    </row>
    <row r="4" spans="1:16" ht="15" customHeight="1" x14ac:dyDescent="0.35">
      <c r="A4" s="72" t="s">
        <v>154</v>
      </c>
      <c r="B4" s="76">
        <v>37.441862499999992</v>
      </c>
      <c r="C4" s="76">
        <v>5.3488375000000001</v>
      </c>
      <c r="D4" s="76">
        <v>0.97940562641723372</v>
      </c>
      <c r="E4" s="54">
        <v>119.6875</v>
      </c>
      <c r="F4" s="76">
        <v>0.3249940710764137</v>
      </c>
      <c r="G4" s="75">
        <v>0.7440790289457766</v>
      </c>
      <c r="H4" s="75">
        <v>0.1005464409936459</v>
      </c>
      <c r="I4" s="75">
        <v>1.9638648860958374E-3</v>
      </c>
      <c r="J4" s="75">
        <v>3.2444666713861482E-3</v>
      </c>
      <c r="K4" s="75">
        <v>1.8546505740801571E-2</v>
      </c>
      <c r="L4" s="75">
        <v>2.7888498086958261E-2</v>
      </c>
      <c r="M4" s="75">
        <v>3.6591409340807471E-2</v>
      </c>
      <c r="N4" s="75">
        <v>7.7952421765939287E-4</v>
      </c>
      <c r="O4" s="75">
        <v>7.3135283989537257E-3</v>
      </c>
      <c r="P4" s="75">
        <v>6.0437540280912132E-2</v>
      </c>
    </row>
    <row r="5" spans="1:16" ht="15" customHeight="1"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1"/>
  <sheetViews>
    <sheetView zoomScale="69" zoomScaleNormal="55" workbookViewId="0">
      <selection activeCell="W78" sqref="W78"/>
    </sheetView>
  </sheetViews>
  <sheetFormatPr defaultRowHeight="14.5" x14ac:dyDescent="0.35"/>
  <cols>
    <col min="2" max="2" width="14.453125" bestFit="1" customWidth="1"/>
    <col min="3" max="3" width="14.26953125" customWidth="1"/>
  </cols>
  <sheetData>
    <row r="1" spans="1:3" s="64" customFormat="1" x14ac:dyDescent="0.35">
      <c r="A1" s="247" t="s">
        <v>268</v>
      </c>
      <c r="B1" s="247"/>
      <c r="C1" s="247"/>
    </row>
    <row r="2" spans="1:3" ht="45" x14ac:dyDescent="0.35">
      <c r="A2" s="66" t="s">
        <v>259</v>
      </c>
      <c r="B2" s="68" t="s">
        <v>14</v>
      </c>
      <c r="C2" s="68" t="s">
        <v>264</v>
      </c>
    </row>
    <row r="3" spans="1:3" x14ac:dyDescent="0.35">
      <c r="A3" s="72" t="s">
        <v>43</v>
      </c>
      <c r="B3" s="72" t="s">
        <v>223</v>
      </c>
      <c r="C3" s="72">
        <v>4.8499999999999996</v>
      </c>
    </row>
    <row r="4" spans="1:3" x14ac:dyDescent="0.35">
      <c r="A4" s="72" t="s">
        <v>260</v>
      </c>
      <c r="B4" s="72" t="s">
        <v>222</v>
      </c>
      <c r="C4" s="72">
        <v>4</v>
      </c>
    </row>
    <row r="5" spans="1:3" x14ac:dyDescent="0.35">
      <c r="A5" s="72" t="s">
        <v>154</v>
      </c>
      <c r="B5" s="72" t="s">
        <v>221</v>
      </c>
      <c r="C5" s="72">
        <v>5.81</v>
      </c>
    </row>
    <row r="7" spans="1:3" s="64" customFormat="1" x14ac:dyDescent="0.35"/>
    <row r="9" spans="1:3" ht="17.5" x14ac:dyDescent="0.35">
      <c r="A9" s="66" t="s">
        <v>259</v>
      </c>
      <c r="B9" s="77"/>
      <c r="C9" s="77"/>
    </row>
    <row r="10" spans="1:3" x14ac:dyDescent="0.35">
      <c r="A10" s="246" t="s">
        <v>43</v>
      </c>
      <c r="B10" s="77" t="s">
        <v>265</v>
      </c>
      <c r="C10" s="77">
        <v>0</v>
      </c>
    </row>
    <row r="11" spans="1:3" s="64" customFormat="1" ht="15.5" x14ac:dyDescent="0.35">
      <c r="A11" s="246"/>
      <c r="B11" s="69" t="s">
        <v>46</v>
      </c>
      <c r="C11" s="77">
        <v>5</v>
      </c>
    </row>
    <row r="12" spans="1:3" s="64" customFormat="1" ht="15.5" x14ac:dyDescent="0.35">
      <c r="A12" s="246"/>
      <c r="B12" s="69" t="s">
        <v>62</v>
      </c>
      <c r="C12" s="77">
        <v>15</v>
      </c>
    </row>
    <row r="13" spans="1:3" s="64" customFormat="1" ht="15.5" x14ac:dyDescent="0.35">
      <c r="A13" s="246"/>
      <c r="B13" s="69" t="s">
        <v>75</v>
      </c>
      <c r="C13" s="77">
        <v>12</v>
      </c>
    </row>
    <row r="14" spans="1:3" x14ac:dyDescent="0.35">
      <c r="A14" s="246" t="s">
        <v>260</v>
      </c>
      <c r="B14" s="77" t="s">
        <v>265</v>
      </c>
      <c r="C14" s="77">
        <v>0</v>
      </c>
    </row>
    <row r="15" spans="1:3" s="64" customFormat="1" ht="15.5" x14ac:dyDescent="0.35">
      <c r="A15" s="246"/>
      <c r="B15" s="69" t="s">
        <v>46</v>
      </c>
      <c r="C15" s="77">
        <v>13</v>
      </c>
    </row>
    <row r="16" spans="1:3" s="64" customFormat="1" ht="15.5" x14ac:dyDescent="0.35">
      <c r="A16" s="246"/>
      <c r="B16" s="69" t="s">
        <v>62</v>
      </c>
      <c r="C16" s="77">
        <v>17</v>
      </c>
    </row>
    <row r="17" spans="1:3" s="64" customFormat="1" ht="15.5" x14ac:dyDescent="0.35">
      <c r="A17" s="246"/>
      <c r="B17" s="69" t="s">
        <v>75</v>
      </c>
      <c r="C17" s="77">
        <v>2</v>
      </c>
    </row>
    <row r="18" spans="1:3" x14ac:dyDescent="0.35">
      <c r="A18" s="246" t="s">
        <v>154</v>
      </c>
      <c r="B18" s="77" t="s">
        <v>265</v>
      </c>
      <c r="C18" s="77">
        <v>0</v>
      </c>
    </row>
    <row r="19" spans="1:3" ht="15.5" x14ac:dyDescent="0.35">
      <c r="A19" s="246"/>
      <c r="B19" s="69" t="s">
        <v>46</v>
      </c>
      <c r="C19" s="77">
        <v>5</v>
      </c>
    </row>
    <row r="20" spans="1:3" ht="15.5" x14ac:dyDescent="0.35">
      <c r="A20" s="246"/>
      <c r="B20" s="69" t="s">
        <v>62</v>
      </c>
      <c r="C20" s="77">
        <v>15</v>
      </c>
    </row>
    <row r="21" spans="1:3" ht="15.5" x14ac:dyDescent="0.35">
      <c r="A21" s="246"/>
      <c r="B21" s="69" t="s">
        <v>75</v>
      </c>
      <c r="C21" s="77">
        <v>12</v>
      </c>
    </row>
    <row r="25" spans="1:3" x14ac:dyDescent="0.35">
      <c r="A25" s="245" t="s">
        <v>43</v>
      </c>
      <c r="B25" t="s">
        <v>47</v>
      </c>
      <c r="C25">
        <v>23</v>
      </c>
    </row>
    <row r="26" spans="1:3" x14ac:dyDescent="0.35">
      <c r="A26" s="245"/>
      <c r="B26" t="s">
        <v>71</v>
      </c>
      <c r="C26">
        <v>16</v>
      </c>
    </row>
    <row r="27" spans="1:3" x14ac:dyDescent="0.35">
      <c r="A27" s="245" t="s">
        <v>260</v>
      </c>
      <c r="B27" t="s">
        <v>47</v>
      </c>
      <c r="C27">
        <v>19</v>
      </c>
    </row>
    <row r="28" spans="1:3" x14ac:dyDescent="0.35">
      <c r="A28" s="245"/>
      <c r="B28" t="s">
        <v>71</v>
      </c>
      <c r="C28">
        <v>13</v>
      </c>
    </row>
    <row r="29" spans="1:3" x14ac:dyDescent="0.35">
      <c r="A29" s="245" t="s">
        <v>154</v>
      </c>
      <c r="B29" t="s">
        <v>47</v>
      </c>
      <c r="C29">
        <v>25</v>
      </c>
    </row>
    <row r="30" spans="1:3" x14ac:dyDescent="0.35">
      <c r="A30" s="245"/>
      <c r="B30" t="s">
        <v>71</v>
      </c>
      <c r="C30">
        <v>7</v>
      </c>
    </row>
    <row r="33" spans="1:3" x14ac:dyDescent="0.35">
      <c r="A33" s="245" t="s">
        <v>43</v>
      </c>
      <c r="B33" t="s">
        <v>258</v>
      </c>
      <c r="C33">
        <v>5</v>
      </c>
    </row>
    <row r="34" spans="1:3" x14ac:dyDescent="0.35">
      <c r="A34" s="245"/>
      <c r="B34" t="s">
        <v>83</v>
      </c>
      <c r="C34">
        <v>9</v>
      </c>
    </row>
    <row r="35" spans="1:3" x14ac:dyDescent="0.35">
      <c r="A35" s="245"/>
      <c r="B35" t="s">
        <v>48</v>
      </c>
      <c r="C35">
        <v>20</v>
      </c>
    </row>
    <row r="36" spans="1:3" x14ac:dyDescent="0.35">
      <c r="A36" s="245"/>
      <c r="B36" t="s">
        <v>266</v>
      </c>
      <c r="C36">
        <v>5</v>
      </c>
    </row>
    <row r="37" spans="1:3" x14ac:dyDescent="0.35">
      <c r="A37" s="245" t="s">
        <v>260</v>
      </c>
      <c r="B37" s="64" t="s">
        <v>258</v>
      </c>
      <c r="C37" s="64">
        <v>2</v>
      </c>
    </row>
    <row r="38" spans="1:3" x14ac:dyDescent="0.35">
      <c r="A38" s="245"/>
      <c r="B38" s="64" t="s">
        <v>83</v>
      </c>
      <c r="C38" s="64">
        <v>1</v>
      </c>
    </row>
    <row r="39" spans="1:3" x14ac:dyDescent="0.35">
      <c r="A39" s="245"/>
      <c r="B39" s="64" t="s">
        <v>48</v>
      </c>
      <c r="C39" s="64">
        <v>12</v>
      </c>
    </row>
    <row r="40" spans="1:3" x14ac:dyDescent="0.35">
      <c r="A40" s="245"/>
      <c r="B40" s="64" t="s">
        <v>266</v>
      </c>
      <c r="C40" s="64">
        <v>17</v>
      </c>
    </row>
    <row r="41" spans="1:3" x14ac:dyDescent="0.35">
      <c r="A41" s="245" t="s">
        <v>154</v>
      </c>
      <c r="B41" s="64" t="s">
        <v>258</v>
      </c>
      <c r="C41" s="64">
        <v>0</v>
      </c>
    </row>
    <row r="42" spans="1:3" x14ac:dyDescent="0.35">
      <c r="A42" s="245"/>
      <c r="B42" s="64" t="s">
        <v>83</v>
      </c>
      <c r="C42" s="64">
        <v>0</v>
      </c>
    </row>
    <row r="43" spans="1:3" x14ac:dyDescent="0.35">
      <c r="A43" s="245"/>
      <c r="B43" s="64" t="s">
        <v>48</v>
      </c>
      <c r="C43" s="64">
        <v>1</v>
      </c>
    </row>
    <row r="44" spans="1:3" x14ac:dyDescent="0.35">
      <c r="A44" s="245"/>
      <c r="B44" s="64" t="s">
        <v>266</v>
      </c>
      <c r="C44" s="64">
        <v>31</v>
      </c>
    </row>
    <row r="47" spans="1:3" x14ac:dyDescent="0.35">
      <c r="A47" s="245" t="s">
        <v>43</v>
      </c>
      <c r="B47" t="s">
        <v>233</v>
      </c>
      <c r="C47">
        <v>3</v>
      </c>
    </row>
    <row r="48" spans="1:3" x14ac:dyDescent="0.35">
      <c r="A48" s="245"/>
      <c r="B48" t="s">
        <v>267</v>
      </c>
      <c r="C48">
        <v>6</v>
      </c>
    </row>
    <row r="49" spans="1:3" x14ac:dyDescent="0.35">
      <c r="A49" s="245"/>
      <c r="B49" t="s">
        <v>49</v>
      </c>
      <c r="C49">
        <v>23</v>
      </c>
    </row>
    <row r="50" spans="1:3" x14ac:dyDescent="0.35">
      <c r="A50" s="245"/>
      <c r="B50" t="s">
        <v>93</v>
      </c>
      <c r="C50">
        <v>1</v>
      </c>
    </row>
    <row r="51" spans="1:3" x14ac:dyDescent="0.35">
      <c r="A51" s="245"/>
      <c r="B51" t="s">
        <v>76</v>
      </c>
      <c r="C51">
        <v>6</v>
      </c>
    </row>
    <row r="52" spans="1:3" x14ac:dyDescent="0.35">
      <c r="A52" s="245" t="s">
        <v>260</v>
      </c>
      <c r="B52" t="s">
        <v>233</v>
      </c>
      <c r="C52">
        <v>5</v>
      </c>
    </row>
    <row r="53" spans="1:3" x14ac:dyDescent="0.35">
      <c r="A53" s="245"/>
      <c r="B53" t="s">
        <v>267</v>
      </c>
      <c r="C53">
        <v>13</v>
      </c>
    </row>
    <row r="54" spans="1:3" x14ac:dyDescent="0.35">
      <c r="A54" s="245"/>
      <c r="B54" t="s">
        <v>49</v>
      </c>
      <c r="C54">
        <v>12</v>
      </c>
    </row>
    <row r="55" spans="1:3" x14ac:dyDescent="0.35">
      <c r="A55" s="245"/>
      <c r="B55" t="s">
        <v>93</v>
      </c>
      <c r="C55">
        <v>0</v>
      </c>
    </row>
    <row r="56" spans="1:3" x14ac:dyDescent="0.35">
      <c r="A56" s="245"/>
      <c r="B56" t="s">
        <v>76</v>
      </c>
      <c r="C56">
        <v>2</v>
      </c>
    </row>
    <row r="57" spans="1:3" x14ac:dyDescent="0.35">
      <c r="A57" s="245" t="s">
        <v>154</v>
      </c>
      <c r="B57" t="s">
        <v>233</v>
      </c>
      <c r="C57">
        <v>10</v>
      </c>
    </row>
    <row r="58" spans="1:3" x14ac:dyDescent="0.35">
      <c r="A58" s="245"/>
      <c r="B58" t="s">
        <v>267</v>
      </c>
      <c r="C58">
        <v>12</v>
      </c>
    </row>
    <row r="59" spans="1:3" x14ac:dyDescent="0.35">
      <c r="A59" s="245"/>
      <c r="B59" t="s">
        <v>49</v>
      </c>
      <c r="C59">
        <v>6</v>
      </c>
    </row>
    <row r="60" spans="1:3" x14ac:dyDescent="0.35">
      <c r="A60" s="245"/>
      <c r="B60" t="s">
        <v>93</v>
      </c>
      <c r="C60">
        <v>0</v>
      </c>
    </row>
    <row r="61" spans="1:3" x14ac:dyDescent="0.35">
      <c r="A61" s="245"/>
      <c r="B61" t="s">
        <v>76</v>
      </c>
      <c r="C61">
        <v>4</v>
      </c>
    </row>
  </sheetData>
  <mergeCells count="13">
    <mergeCell ref="A1:C1"/>
    <mergeCell ref="A33:A36"/>
    <mergeCell ref="A37:A40"/>
    <mergeCell ref="A41:A44"/>
    <mergeCell ref="A47:A51"/>
    <mergeCell ref="A52:A56"/>
    <mergeCell ref="A57:A61"/>
    <mergeCell ref="A10:A13"/>
    <mergeCell ref="A14:A17"/>
    <mergeCell ref="A18:A21"/>
    <mergeCell ref="A25:A26"/>
    <mergeCell ref="A27:A28"/>
    <mergeCell ref="A29:A3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51" zoomScaleNormal="55" workbookViewId="0">
      <selection activeCell="K76" sqref="K76"/>
    </sheetView>
  </sheetViews>
  <sheetFormatPr defaultRowHeight="14.5" x14ac:dyDescent="0.3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topLeftCell="A20" zoomScale="99" workbookViewId="0">
      <selection activeCell="U5" sqref="U5"/>
    </sheetView>
  </sheetViews>
  <sheetFormatPr defaultRowHeight="14.5" x14ac:dyDescent="0.35"/>
  <sheetData>
    <row r="1" spans="1:17" x14ac:dyDescent="0.35">
      <c r="A1" s="248" t="s">
        <v>381</v>
      </c>
      <c r="B1" s="248"/>
      <c r="C1" s="248"/>
      <c r="D1" s="248"/>
      <c r="E1" s="248"/>
      <c r="F1" s="248"/>
      <c r="G1" s="248"/>
      <c r="H1" s="248"/>
      <c r="I1" s="248"/>
      <c r="J1" s="248"/>
      <c r="K1" s="248"/>
      <c r="L1" s="248"/>
      <c r="M1" s="248"/>
      <c r="N1" s="248"/>
      <c r="O1" s="248"/>
      <c r="P1" s="248"/>
      <c r="Q1" s="248"/>
    </row>
    <row r="2" spans="1:17" x14ac:dyDescent="0.35">
      <c r="A2" s="248"/>
      <c r="B2" s="248"/>
      <c r="C2" s="248"/>
      <c r="D2" s="248"/>
      <c r="E2" s="248"/>
      <c r="F2" s="248"/>
      <c r="G2" s="248"/>
      <c r="H2" s="248"/>
      <c r="I2" s="248"/>
      <c r="J2" s="248"/>
      <c r="K2" s="248"/>
      <c r="L2" s="248"/>
      <c r="M2" s="248"/>
      <c r="N2" s="248"/>
      <c r="O2" s="248"/>
      <c r="P2" s="248"/>
      <c r="Q2" s="248"/>
    </row>
    <row r="3" spans="1:17" x14ac:dyDescent="0.35">
      <c r="A3" s="248"/>
      <c r="B3" s="248"/>
      <c r="C3" s="248"/>
      <c r="D3" s="248"/>
      <c r="E3" s="248"/>
      <c r="F3" s="248"/>
      <c r="G3" s="248"/>
      <c r="H3" s="248"/>
      <c r="I3" s="248"/>
      <c r="J3" s="248"/>
      <c r="K3" s="248"/>
      <c r="L3" s="248"/>
      <c r="M3" s="248"/>
      <c r="N3" s="248"/>
      <c r="O3" s="248"/>
      <c r="P3" s="248"/>
      <c r="Q3" s="248"/>
    </row>
    <row r="4" spans="1:17" x14ac:dyDescent="0.35">
      <c r="A4" s="248"/>
      <c r="B4" s="248"/>
      <c r="C4" s="248"/>
      <c r="D4" s="248"/>
      <c r="E4" s="248"/>
      <c r="F4" s="248"/>
      <c r="G4" s="248"/>
      <c r="H4" s="248"/>
      <c r="I4" s="248"/>
      <c r="J4" s="248"/>
      <c r="K4" s="248"/>
      <c r="L4" s="248"/>
      <c r="M4" s="248"/>
      <c r="N4" s="248"/>
      <c r="O4" s="248"/>
      <c r="P4" s="248"/>
      <c r="Q4" s="248"/>
    </row>
    <row r="5" spans="1:17" x14ac:dyDescent="0.35">
      <c r="A5" s="248"/>
      <c r="B5" s="248"/>
      <c r="C5" s="248"/>
      <c r="D5" s="248"/>
      <c r="E5" s="248"/>
      <c r="F5" s="248"/>
      <c r="G5" s="248"/>
      <c r="H5" s="248"/>
      <c r="I5" s="248"/>
      <c r="J5" s="248"/>
      <c r="K5" s="248"/>
      <c r="L5" s="248"/>
      <c r="M5" s="248"/>
      <c r="N5" s="248"/>
      <c r="O5" s="248"/>
      <c r="P5" s="248"/>
      <c r="Q5" s="248"/>
    </row>
    <row r="6" spans="1:17" x14ac:dyDescent="0.35">
      <c r="A6" s="248"/>
      <c r="B6" s="248"/>
      <c r="C6" s="248"/>
      <c r="D6" s="248"/>
      <c r="E6" s="248"/>
      <c r="F6" s="248"/>
      <c r="G6" s="248"/>
      <c r="H6" s="248"/>
      <c r="I6" s="248"/>
      <c r="J6" s="248"/>
      <c r="K6" s="248"/>
      <c r="L6" s="248"/>
      <c r="M6" s="248"/>
      <c r="N6" s="248"/>
      <c r="O6" s="248"/>
      <c r="P6" s="248"/>
      <c r="Q6" s="248"/>
    </row>
    <row r="7" spans="1:17" x14ac:dyDescent="0.35">
      <c r="A7" s="248"/>
      <c r="B7" s="248"/>
      <c r="C7" s="248"/>
      <c r="D7" s="248"/>
      <c r="E7" s="248"/>
      <c r="F7" s="248"/>
      <c r="G7" s="248"/>
      <c r="H7" s="248"/>
      <c r="I7" s="248"/>
      <c r="J7" s="248"/>
      <c r="K7" s="248"/>
      <c r="L7" s="248"/>
      <c r="M7" s="248"/>
      <c r="N7" s="248"/>
      <c r="O7" s="248"/>
      <c r="P7" s="248"/>
      <c r="Q7" s="248"/>
    </row>
    <row r="8" spans="1:17" x14ac:dyDescent="0.35">
      <c r="A8" s="248"/>
      <c r="B8" s="248"/>
      <c r="C8" s="248"/>
      <c r="D8" s="248"/>
      <c r="E8" s="248"/>
      <c r="F8" s="248"/>
      <c r="G8" s="248"/>
      <c r="H8" s="248"/>
      <c r="I8" s="248"/>
      <c r="J8" s="248"/>
      <c r="K8" s="248"/>
      <c r="L8" s="248"/>
      <c r="M8" s="248"/>
      <c r="N8" s="248"/>
      <c r="O8" s="248"/>
      <c r="P8" s="248"/>
      <c r="Q8" s="248"/>
    </row>
    <row r="9" spans="1:17" x14ac:dyDescent="0.35">
      <c r="A9" s="248"/>
      <c r="B9" s="248"/>
      <c r="C9" s="248"/>
      <c r="D9" s="248"/>
      <c r="E9" s="248"/>
      <c r="F9" s="248"/>
      <c r="G9" s="248"/>
      <c r="H9" s="248"/>
      <c r="I9" s="248"/>
      <c r="J9" s="248"/>
      <c r="K9" s="248"/>
      <c r="L9" s="248"/>
      <c r="M9" s="248"/>
      <c r="N9" s="248"/>
      <c r="O9" s="248"/>
      <c r="P9" s="248"/>
      <c r="Q9" s="248"/>
    </row>
  </sheetData>
  <mergeCells count="1">
    <mergeCell ref="A1:Q9"/>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topLeftCell="A28" zoomScale="72" workbookViewId="0">
      <selection activeCell="A17" sqref="A17:K43"/>
    </sheetView>
  </sheetViews>
  <sheetFormatPr defaultRowHeight="14.5" x14ac:dyDescent="0.35"/>
  <cols>
    <col min="2" max="2" width="28.453125" customWidth="1"/>
    <col min="3" max="3" width="13.453125" customWidth="1"/>
    <col min="9" max="9" width="19.26953125" bestFit="1" customWidth="1"/>
    <col min="10" max="10" width="23" bestFit="1" customWidth="1"/>
    <col min="11" max="11" width="16" bestFit="1" customWidth="1"/>
  </cols>
  <sheetData>
    <row r="1" spans="1:13" s="64" customFormat="1" x14ac:dyDescent="0.35"/>
    <row r="2" spans="1:13" s="64" customFormat="1" x14ac:dyDescent="0.35"/>
    <row r="3" spans="1:13" x14ac:dyDescent="0.35">
      <c r="A3" s="246" t="s">
        <v>317</v>
      </c>
      <c r="B3" s="246"/>
      <c r="C3" s="246"/>
      <c r="D3" s="246"/>
      <c r="E3" s="246"/>
      <c r="F3" s="246"/>
      <c r="G3" s="246"/>
      <c r="H3" s="246"/>
      <c r="I3" s="246"/>
      <c r="J3" s="246"/>
      <c r="K3" s="246"/>
      <c r="L3" s="64"/>
      <c r="M3" s="64"/>
    </row>
    <row r="4" spans="1:13" x14ac:dyDescent="0.35">
      <c r="A4" s="81"/>
      <c r="B4" s="81" t="s">
        <v>295</v>
      </c>
      <c r="C4" s="81" t="s">
        <v>296</v>
      </c>
      <c r="D4" s="81" t="s">
        <v>297</v>
      </c>
      <c r="E4" s="81" t="s">
        <v>298</v>
      </c>
      <c r="F4" s="81" t="s">
        <v>299</v>
      </c>
      <c r="G4" s="81" t="s">
        <v>300</v>
      </c>
      <c r="H4" s="81" t="s">
        <v>301</v>
      </c>
      <c r="I4" s="81" t="s">
        <v>302</v>
      </c>
      <c r="J4" s="81" t="s">
        <v>303</v>
      </c>
      <c r="K4" s="81" t="s">
        <v>304</v>
      </c>
      <c r="L4" s="80"/>
      <c r="M4" s="80"/>
    </row>
    <row r="5" spans="1:13" x14ac:dyDescent="0.35">
      <c r="A5" s="82">
        <v>1</v>
      </c>
      <c r="B5" s="81" t="s">
        <v>305</v>
      </c>
      <c r="C5" s="82">
        <v>3.994475</v>
      </c>
      <c r="D5" s="82">
        <v>1.351084</v>
      </c>
      <c r="E5" s="82">
        <v>0.27764699999999998</v>
      </c>
      <c r="F5" s="82">
        <v>1.998618</v>
      </c>
      <c r="G5" s="82">
        <v>-1.063866</v>
      </c>
      <c r="H5" s="82">
        <v>0.22582099999999999</v>
      </c>
      <c r="I5" s="82">
        <v>0.29222900000000002</v>
      </c>
      <c r="J5" s="82">
        <v>0.68990600000000002</v>
      </c>
      <c r="K5" s="82">
        <v>5.2646220000000001</v>
      </c>
    </row>
    <row r="6" spans="1:13" x14ac:dyDescent="0.35">
      <c r="A6" s="82">
        <v>2</v>
      </c>
      <c r="B6" s="81" t="s">
        <v>306</v>
      </c>
      <c r="C6" s="82">
        <v>4.0826799999999999</v>
      </c>
      <c r="D6" s="82">
        <v>1.3876790000000001</v>
      </c>
      <c r="E6" s="82">
        <v>0.26169599999999998</v>
      </c>
      <c r="F6" s="82">
        <v>2.0205639999999998</v>
      </c>
      <c r="G6" s="82">
        <v>-1.10944</v>
      </c>
      <c r="H6" s="82">
        <v>0.23927300000000001</v>
      </c>
      <c r="I6" s="82">
        <v>0.27221400000000001</v>
      </c>
      <c r="J6" s="82">
        <v>0.67554899999999996</v>
      </c>
      <c r="K6" s="82">
        <v>5.2758599999999998</v>
      </c>
    </row>
    <row r="7" spans="1:13" x14ac:dyDescent="0.35">
      <c r="A7" s="82">
        <v>3</v>
      </c>
      <c r="B7" s="81" t="s">
        <v>307</v>
      </c>
      <c r="C7" s="82">
        <v>3.3226870000000002</v>
      </c>
      <c r="D7" s="82">
        <v>1.433352</v>
      </c>
      <c r="E7" s="82">
        <v>0.39913199999999999</v>
      </c>
      <c r="F7" s="82">
        <v>1.822824</v>
      </c>
      <c r="G7" s="82">
        <v>-0.71676600000000001</v>
      </c>
      <c r="H7" s="82">
        <v>0.22622100000000001</v>
      </c>
      <c r="I7" s="82">
        <v>0.40329300000000001</v>
      </c>
      <c r="J7" s="82">
        <v>1.141181</v>
      </c>
      <c r="K7" s="82">
        <v>4.3346099999999996</v>
      </c>
    </row>
    <row r="8" spans="1:13" x14ac:dyDescent="0.35">
      <c r="A8" s="82">
        <v>4</v>
      </c>
      <c r="B8" s="81" t="s">
        <v>308</v>
      </c>
      <c r="C8" s="82">
        <v>3.2535430000000001</v>
      </c>
      <c r="D8" s="82">
        <v>1.3658239999999999</v>
      </c>
      <c r="E8" s="82">
        <v>0.411636</v>
      </c>
      <c r="F8" s="82">
        <v>1.803758</v>
      </c>
      <c r="G8" s="82">
        <v>-0.68104100000000001</v>
      </c>
      <c r="H8" s="82">
        <v>0.19798199999999999</v>
      </c>
      <c r="I8" s="82">
        <v>0.413132</v>
      </c>
      <c r="J8" s="82">
        <v>1.1604350000000001</v>
      </c>
      <c r="K8" s="82">
        <v>4.1506449999999999</v>
      </c>
    </row>
    <row r="9" spans="1:13" x14ac:dyDescent="0.35">
      <c r="A9" s="82">
        <v>5</v>
      </c>
      <c r="B9" s="81" t="s">
        <v>309</v>
      </c>
      <c r="C9" s="82">
        <v>51.901887000000002</v>
      </c>
      <c r="D9" s="82">
        <v>4.8696130000000002</v>
      </c>
      <c r="E9" s="82">
        <v>-8.3858359999999994</v>
      </c>
      <c r="F9" s="82">
        <v>7.2042960000000003</v>
      </c>
      <c r="G9" s="82">
        <v>-25.816673999999999</v>
      </c>
      <c r="H9" s="82">
        <v>1.2111769999999999</v>
      </c>
      <c r="I9" s="82">
        <v>-8.3854199999999999</v>
      </c>
      <c r="J9" s="82">
        <v>3.3038569999999998</v>
      </c>
      <c r="K9" s="82">
        <v>19.005262999999999</v>
      </c>
    </row>
    <row r="10" spans="1:13" x14ac:dyDescent="0.35">
      <c r="A10" s="82">
        <v>6</v>
      </c>
      <c r="B10" s="81" t="s">
        <v>310</v>
      </c>
      <c r="C10" s="82">
        <v>2.7523569999999999</v>
      </c>
      <c r="D10" s="82">
        <v>1.2266189999999999</v>
      </c>
      <c r="E10" s="82">
        <v>0.50226899999999997</v>
      </c>
      <c r="F10" s="82">
        <v>1.6590229999999999</v>
      </c>
      <c r="G10" s="82">
        <v>-0.42208800000000002</v>
      </c>
      <c r="H10" s="82">
        <v>0.24504500000000001</v>
      </c>
      <c r="I10" s="82">
        <v>0.51482300000000003</v>
      </c>
      <c r="J10" s="82">
        <v>1.1359999999999999</v>
      </c>
      <c r="K10" s="82">
        <v>5.1520000000000001</v>
      </c>
    </row>
    <row r="11" spans="1:13" x14ac:dyDescent="0.35">
      <c r="A11" s="82">
        <v>7</v>
      </c>
      <c r="B11" s="81" t="s">
        <v>311</v>
      </c>
      <c r="C11" s="82">
        <v>2.029636</v>
      </c>
      <c r="D11" s="82">
        <v>1.0494159999999999</v>
      </c>
      <c r="E11" s="82">
        <v>0.632965</v>
      </c>
      <c r="F11" s="82">
        <v>1.4246529999999999</v>
      </c>
      <c r="G11" s="82">
        <v>-4.8673000000000001E-2</v>
      </c>
      <c r="H11" s="82">
        <v>0.145955</v>
      </c>
      <c r="I11" s="82">
        <v>0.63699499999999998</v>
      </c>
      <c r="J11" s="82">
        <v>0.78110000000000002</v>
      </c>
      <c r="K11" s="82">
        <v>4.2339500000000001</v>
      </c>
    </row>
    <row r="12" spans="1:13" x14ac:dyDescent="0.35">
      <c r="A12" s="82">
        <v>8</v>
      </c>
      <c r="B12" s="81" t="s">
        <v>312</v>
      </c>
      <c r="C12" s="82">
        <v>2.7538900000000002</v>
      </c>
      <c r="D12" s="82">
        <v>1.0387219999999999</v>
      </c>
      <c r="E12" s="82">
        <v>0.50199199999999999</v>
      </c>
      <c r="F12" s="82">
        <v>1.6594850000000001</v>
      </c>
      <c r="G12" s="82">
        <v>-0.42287999999999998</v>
      </c>
      <c r="H12" s="82">
        <v>0.14744599999999999</v>
      </c>
      <c r="I12" s="82">
        <v>0.54579100000000003</v>
      </c>
      <c r="J12" s="82">
        <v>0.60022799999999998</v>
      </c>
      <c r="K12" s="82">
        <v>4.5796700000000001</v>
      </c>
    </row>
    <row r="13" spans="1:13" x14ac:dyDescent="0.35">
      <c r="A13" s="82">
        <v>9</v>
      </c>
      <c r="B13" s="81" t="s">
        <v>313</v>
      </c>
      <c r="C13" s="82">
        <v>2.5354369999999999</v>
      </c>
      <c r="D13" s="82">
        <v>1.1328039999999999</v>
      </c>
      <c r="E13" s="82">
        <v>0.54149700000000001</v>
      </c>
      <c r="F13" s="82">
        <v>1.592306</v>
      </c>
      <c r="G13" s="82">
        <v>-0.31001000000000001</v>
      </c>
      <c r="H13" s="82">
        <v>0.18775900000000001</v>
      </c>
      <c r="I13" s="82">
        <v>0.54338500000000001</v>
      </c>
      <c r="J13" s="82">
        <v>1.112247</v>
      </c>
      <c r="K13" s="82">
        <v>4.9273490000000004</v>
      </c>
    </row>
    <row r="14" spans="1:13" x14ac:dyDescent="0.35">
      <c r="A14" s="82">
        <v>10</v>
      </c>
      <c r="B14" s="81" t="s">
        <v>314</v>
      </c>
      <c r="C14" s="82">
        <v>2.1185010000000002</v>
      </c>
      <c r="D14" s="82">
        <v>0.89283800000000002</v>
      </c>
      <c r="E14" s="82">
        <v>0.61689400000000005</v>
      </c>
      <c r="F14" s="82">
        <v>1.4555070000000001</v>
      </c>
      <c r="G14" s="82">
        <v>-9.4587000000000004E-2</v>
      </c>
      <c r="H14" s="82">
        <v>0.15831999999999999</v>
      </c>
      <c r="I14" s="82">
        <v>0.63484799999999997</v>
      </c>
      <c r="J14" s="82">
        <v>0.5998</v>
      </c>
      <c r="K14" s="82">
        <v>5.0839999999999996</v>
      </c>
    </row>
    <row r="15" spans="1:13" x14ac:dyDescent="0.35">
      <c r="A15" s="72"/>
      <c r="B15" s="53"/>
      <c r="C15" s="72"/>
      <c r="D15" s="72"/>
      <c r="E15" s="72"/>
      <c r="F15" s="72"/>
      <c r="G15" s="72"/>
      <c r="H15" s="72"/>
      <c r="I15" s="72"/>
      <c r="J15" s="72"/>
      <c r="K15" s="72"/>
    </row>
    <row r="16" spans="1:13" x14ac:dyDescent="0.35">
      <c r="A16" s="72"/>
      <c r="B16" s="53"/>
      <c r="C16" s="72"/>
      <c r="D16" s="72"/>
      <c r="E16" s="72"/>
      <c r="F16" s="72"/>
      <c r="G16" s="72"/>
      <c r="H16" s="72"/>
      <c r="I16" s="72"/>
      <c r="J16" s="72"/>
      <c r="K16" s="72"/>
    </row>
    <row r="17" spans="1:11" x14ac:dyDescent="0.35">
      <c r="A17" s="249" t="s">
        <v>318</v>
      </c>
      <c r="B17" s="248"/>
      <c r="C17" s="248"/>
      <c r="D17" s="248"/>
      <c r="E17" s="248"/>
      <c r="F17" s="248"/>
      <c r="G17" s="248"/>
      <c r="H17" s="248"/>
      <c r="I17" s="248"/>
      <c r="J17" s="248"/>
      <c r="K17" s="248"/>
    </row>
    <row r="18" spans="1:11" x14ac:dyDescent="0.35">
      <c r="A18" s="248"/>
      <c r="B18" s="248"/>
      <c r="C18" s="248"/>
      <c r="D18" s="248"/>
      <c r="E18" s="248"/>
      <c r="F18" s="248"/>
      <c r="G18" s="248"/>
      <c r="H18" s="248"/>
      <c r="I18" s="248"/>
      <c r="J18" s="248"/>
      <c r="K18" s="248"/>
    </row>
    <row r="19" spans="1:11" x14ac:dyDescent="0.35">
      <c r="A19" s="248"/>
      <c r="B19" s="248"/>
      <c r="C19" s="248"/>
      <c r="D19" s="248"/>
      <c r="E19" s="248"/>
      <c r="F19" s="248"/>
      <c r="G19" s="248"/>
      <c r="H19" s="248"/>
      <c r="I19" s="248"/>
      <c r="J19" s="248"/>
      <c r="K19" s="248"/>
    </row>
    <row r="20" spans="1:11" x14ac:dyDescent="0.35">
      <c r="A20" s="248"/>
      <c r="B20" s="248"/>
      <c r="C20" s="248"/>
      <c r="D20" s="248"/>
      <c r="E20" s="248"/>
      <c r="F20" s="248"/>
      <c r="G20" s="248"/>
      <c r="H20" s="248"/>
      <c r="I20" s="248"/>
      <c r="J20" s="248"/>
      <c r="K20" s="248"/>
    </row>
    <row r="21" spans="1:11" x14ac:dyDescent="0.35">
      <c r="A21" s="248"/>
      <c r="B21" s="248"/>
      <c r="C21" s="248"/>
      <c r="D21" s="248"/>
      <c r="E21" s="248"/>
      <c r="F21" s="248"/>
      <c r="G21" s="248"/>
      <c r="H21" s="248"/>
      <c r="I21" s="248"/>
      <c r="J21" s="248"/>
      <c r="K21" s="248"/>
    </row>
    <row r="22" spans="1:11" x14ac:dyDescent="0.35">
      <c r="A22" s="248"/>
      <c r="B22" s="248"/>
      <c r="C22" s="248"/>
      <c r="D22" s="248"/>
      <c r="E22" s="248"/>
      <c r="F22" s="248"/>
      <c r="G22" s="248"/>
      <c r="H22" s="248"/>
      <c r="I22" s="248"/>
      <c r="J22" s="248"/>
      <c r="K22" s="248"/>
    </row>
    <row r="23" spans="1:11" x14ac:dyDescent="0.35">
      <c r="A23" s="248"/>
      <c r="B23" s="248"/>
      <c r="C23" s="248"/>
      <c r="D23" s="248"/>
      <c r="E23" s="248"/>
      <c r="F23" s="248"/>
      <c r="G23" s="248"/>
      <c r="H23" s="248"/>
      <c r="I23" s="248"/>
      <c r="J23" s="248"/>
      <c r="K23" s="248"/>
    </row>
    <row r="24" spans="1:11" x14ac:dyDescent="0.35">
      <c r="A24" s="248"/>
      <c r="B24" s="248"/>
      <c r="C24" s="248"/>
      <c r="D24" s="248"/>
      <c r="E24" s="248"/>
      <c r="F24" s="248"/>
      <c r="G24" s="248"/>
      <c r="H24" s="248"/>
      <c r="I24" s="248"/>
      <c r="J24" s="248"/>
      <c r="K24" s="248"/>
    </row>
    <row r="25" spans="1:11" x14ac:dyDescent="0.35">
      <c r="A25" s="248"/>
      <c r="B25" s="248"/>
      <c r="C25" s="248"/>
      <c r="D25" s="248"/>
      <c r="E25" s="248"/>
      <c r="F25" s="248"/>
      <c r="G25" s="248"/>
      <c r="H25" s="248"/>
      <c r="I25" s="248"/>
      <c r="J25" s="248"/>
      <c r="K25" s="248"/>
    </row>
    <row r="26" spans="1:11" x14ac:dyDescent="0.35">
      <c r="A26" s="248"/>
      <c r="B26" s="248"/>
      <c r="C26" s="248"/>
      <c r="D26" s="248"/>
      <c r="E26" s="248"/>
      <c r="F26" s="248"/>
      <c r="G26" s="248"/>
      <c r="H26" s="248"/>
      <c r="I26" s="248"/>
      <c r="J26" s="248"/>
      <c r="K26" s="248"/>
    </row>
    <row r="27" spans="1:11" x14ac:dyDescent="0.35">
      <c r="A27" s="248"/>
      <c r="B27" s="248"/>
      <c r="C27" s="248"/>
      <c r="D27" s="248"/>
      <c r="E27" s="248"/>
      <c r="F27" s="248"/>
      <c r="G27" s="248"/>
      <c r="H27" s="248"/>
      <c r="I27" s="248"/>
      <c r="J27" s="248"/>
      <c r="K27" s="248"/>
    </row>
    <row r="28" spans="1:11" x14ac:dyDescent="0.35">
      <c r="A28" s="248"/>
      <c r="B28" s="248"/>
      <c r="C28" s="248"/>
      <c r="D28" s="248"/>
      <c r="E28" s="248"/>
      <c r="F28" s="248"/>
      <c r="G28" s="248"/>
      <c r="H28" s="248"/>
      <c r="I28" s="248"/>
      <c r="J28" s="248"/>
      <c r="K28" s="248"/>
    </row>
    <row r="29" spans="1:11" x14ac:dyDescent="0.35">
      <c r="A29" s="248"/>
      <c r="B29" s="248"/>
      <c r="C29" s="248"/>
      <c r="D29" s="248"/>
      <c r="E29" s="248"/>
      <c r="F29" s="248"/>
      <c r="G29" s="248"/>
      <c r="H29" s="248"/>
      <c r="I29" s="248"/>
      <c r="J29" s="248"/>
      <c r="K29" s="248"/>
    </row>
    <row r="30" spans="1:11" x14ac:dyDescent="0.35">
      <c r="A30" s="248"/>
      <c r="B30" s="248"/>
      <c r="C30" s="248"/>
      <c r="D30" s="248"/>
      <c r="E30" s="248"/>
      <c r="F30" s="248"/>
      <c r="G30" s="248"/>
      <c r="H30" s="248"/>
      <c r="I30" s="248"/>
      <c r="J30" s="248"/>
      <c r="K30" s="248"/>
    </row>
    <row r="31" spans="1:11" x14ac:dyDescent="0.35">
      <c r="A31" s="248"/>
      <c r="B31" s="248"/>
      <c r="C31" s="248"/>
      <c r="D31" s="248"/>
      <c r="E31" s="248"/>
      <c r="F31" s="248"/>
      <c r="G31" s="248"/>
      <c r="H31" s="248"/>
      <c r="I31" s="248"/>
      <c r="J31" s="248"/>
      <c r="K31" s="248"/>
    </row>
    <row r="32" spans="1:11" x14ac:dyDescent="0.35">
      <c r="A32" s="248"/>
      <c r="B32" s="248"/>
      <c r="C32" s="248"/>
      <c r="D32" s="248"/>
      <c r="E32" s="248"/>
      <c r="F32" s="248"/>
      <c r="G32" s="248"/>
      <c r="H32" s="248"/>
      <c r="I32" s="248"/>
      <c r="J32" s="248"/>
      <c r="K32" s="248"/>
    </row>
    <row r="33" spans="1:11" x14ac:dyDescent="0.35">
      <c r="A33" s="248"/>
      <c r="B33" s="248"/>
      <c r="C33" s="248"/>
      <c r="D33" s="248"/>
      <c r="E33" s="248"/>
      <c r="F33" s="248"/>
      <c r="G33" s="248"/>
      <c r="H33" s="248"/>
      <c r="I33" s="248"/>
      <c r="J33" s="248"/>
      <c r="K33" s="248"/>
    </row>
    <row r="34" spans="1:11" x14ac:dyDescent="0.35">
      <c r="A34" s="248"/>
      <c r="B34" s="248"/>
      <c r="C34" s="248"/>
      <c r="D34" s="248"/>
      <c r="E34" s="248"/>
      <c r="F34" s="248"/>
      <c r="G34" s="248"/>
      <c r="H34" s="248"/>
      <c r="I34" s="248"/>
      <c r="J34" s="248"/>
      <c r="K34" s="248"/>
    </row>
    <row r="35" spans="1:11" x14ac:dyDescent="0.35">
      <c r="A35" s="248"/>
      <c r="B35" s="248"/>
      <c r="C35" s="248"/>
      <c r="D35" s="248"/>
      <c r="E35" s="248"/>
      <c r="F35" s="248"/>
      <c r="G35" s="248"/>
      <c r="H35" s="248"/>
      <c r="I35" s="248"/>
      <c r="J35" s="248"/>
      <c r="K35" s="248"/>
    </row>
    <row r="36" spans="1:11" x14ac:dyDescent="0.35">
      <c r="A36" s="248"/>
      <c r="B36" s="248"/>
      <c r="C36" s="248"/>
      <c r="D36" s="248"/>
      <c r="E36" s="248"/>
      <c r="F36" s="248"/>
      <c r="G36" s="248"/>
      <c r="H36" s="248"/>
      <c r="I36" s="248"/>
      <c r="J36" s="248"/>
      <c r="K36" s="248"/>
    </row>
    <row r="37" spans="1:11" x14ac:dyDescent="0.35">
      <c r="A37" s="248"/>
      <c r="B37" s="248"/>
      <c r="C37" s="248"/>
      <c r="D37" s="248"/>
      <c r="E37" s="248"/>
      <c r="F37" s="248"/>
      <c r="G37" s="248"/>
      <c r="H37" s="248"/>
      <c r="I37" s="248"/>
      <c r="J37" s="248"/>
      <c r="K37" s="248"/>
    </row>
    <row r="38" spans="1:11" x14ac:dyDescent="0.35">
      <c r="A38" s="248"/>
      <c r="B38" s="248"/>
      <c r="C38" s="248"/>
      <c r="D38" s="248"/>
      <c r="E38" s="248"/>
      <c r="F38" s="248"/>
      <c r="G38" s="248"/>
      <c r="H38" s="248"/>
      <c r="I38" s="248"/>
      <c r="J38" s="248"/>
      <c r="K38" s="248"/>
    </row>
    <row r="39" spans="1:11" x14ac:dyDescent="0.35">
      <c r="A39" s="248"/>
      <c r="B39" s="248"/>
      <c r="C39" s="248"/>
      <c r="D39" s="248"/>
      <c r="E39" s="248"/>
      <c r="F39" s="248"/>
      <c r="G39" s="248"/>
      <c r="H39" s="248"/>
      <c r="I39" s="248"/>
      <c r="J39" s="248"/>
      <c r="K39" s="248"/>
    </row>
    <row r="40" spans="1:11" x14ac:dyDescent="0.35">
      <c r="A40" s="248"/>
      <c r="B40" s="248"/>
      <c r="C40" s="248"/>
      <c r="D40" s="248"/>
      <c r="E40" s="248"/>
      <c r="F40" s="248"/>
      <c r="G40" s="248"/>
      <c r="H40" s="248"/>
      <c r="I40" s="248"/>
      <c r="J40" s="248"/>
      <c r="K40" s="248"/>
    </row>
    <row r="41" spans="1:11" x14ac:dyDescent="0.35">
      <c r="A41" s="248"/>
      <c r="B41" s="248"/>
      <c r="C41" s="248"/>
      <c r="D41" s="248"/>
      <c r="E41" s="248"/>
      <c r="F41" s="248"/>
      <c r="G41" s="248"/>
      <c r="H41" s="248"/>
      <c r="I41" s="248"/>
      <c r="J41" s="248"/>
      <c r="K41" s="248"/>
    </row>
    <row r="42" spans="1:11" x14ac:dyDescent="0.35">
      <c r="A42" s="248"/>
      <c r="B42" s="248"/>
      <c r="C42" s="248"/>
      <c r="D42" s="248"/>
      <c r="E42" s="248"/>
      <c r="F42" s="248"/>
      <c r="G42" s="248"/>
      <c r="H42" s="248"/>
      <c r="I42" s="248"/>
      <c r="J42" s="248"/>
      <c r="K42" s="248"/>
    </row>
    <row r="43" spans="1:11" ht="125.25" customHeight="1" x14ac:dyDescent="0.35">
      <c r="A43" s="248"/>
      <c r="B43" s="248"/>
      <c r="C43" s="248"/>
      <c r="D43" s="248"/>
      <c r="E43" s="248"/>
      <c r="F43" s="248"/>
      <c r="G43" s="248"/>
      <c r="H43" s="248"/>
      <c r="I43" s="248"/>
      <c r="J43" s="248"/>
      <c r="K43" s="248"/>
    </row>
  </sheetData>
  <mergeCells count="2">
    <mergeCell ref="A3:K3"/>
    <mergeCell ref="A17:K4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zoomScale="39" workbookViewId="0">
      <selection activeCell="CW52" sqref="CW52"/>
    </sheetView>
  </sheetViews>
  <sheetFormatPr defaultRowHeight="14.5" x14ac:dyDescent="0.35"/>
  <cols>
    <col min="1" max="1" width="9.1796875" style="64"/>
    <col min="2" max="2" width="29.26953125" style="80" bestFit="1" customWidth="1"/>
    <col min="7" max="7" width="12.54296875" bestFit="1" customWidth="1"/>
    <col min="9" max="9" width="18.1796875" bestFit="1" customWidth="1"/>
    <col min="10" max="10" width="21.453125" bestFit="1" customWidth="1"/>
    <col min="11" max="11" width="18.81640625" bestFit="1" customWidth="1"/>
  </cols>
  <sheetData>
    <row r="1" spans="1:11" x14ac:dyDescent="0.35">
      <c r="A1" s="72"/>
      <c r="B1" s="53"/>
      <c r="C1" s="72"/>
      <c r="D1" s="72"/>
      <c r="E1" s="72"/>
      <c r="F1" s="72"/>
      <c r="G1" s="72"/>
      <c r="H1" s="72"/>
      <c r="I1" s="72"/>
      <c r="J1" s="72"/>
      <c r="K1" s="72"/>
    </row>
    <row r="2" spans="1:11" x14ac:dyDescent="0.35">
      <c r="A2" s="72"/>
      <c r="B2" s="53"/>
      <c r="C2" s="72"/>
      <c r="D2" s="72"/>
      <c r="E2" s="72"/>
      <c r="F2" s="72"/>
      <c r="G2" s="72"/>
      <c r="H2" s="72"/>
      <c r="I2" s="72"/>
      <c r="J2" s="72"/>
      <c r="K2" s="72"/>
    </row>
    <row r="3" spans="1:11" x14ac:dyDescent="0.35">
      <c r="A3" s="72"/>
      <c r="B3" s="53"/>
      <c r="C3" s="72"/>
      <c r="D3" s="72"/>
      <c r="E3" s="72"/>
      <c r="F3" s="72"/>
      <c r="G3" s="72"/>
      <c r="H3" s="72"/>
      <c r="I3" s="72"/>
      <c r="J3" s="72"/>
      <c r="K3" s="72"/>
    </row>
    <row r="4" spans="1:11" x14ac:dyDescent="0.35">
      <c r="A4" s="246" t="s">
        <v>315</v>
      </c>
      <c r="B4" s="246"/>
      <c r="C4" s="246"/>
      <c r="D4" s="246"/>
      <c r="E4" s="246"/>
      <c r="F4" s="246"/>
      <c r="G4" s="246"/>
      <c r="H4" s="246"/>
      <c r="I4" s="246"/>
      <c r="J4" s="246"/>
      <c r="K4" s="246"/>
    </row>
    <row r="5" spans="1:11" s="80" customFormat="1" x14ac:dyDescent="0.35">
      <c r="A5" s="81"/>
      <c r="B5" s="81" t="s">
        <v>295</v>
      </c>
      <c r="C5" s="81" t="s">
        <v>296</v>
      </c>
      <c r="D5" s="81" t="s">
        <v>297</v>
      </c>
      <c r="E5" s="81" t="s">
        <v>298</v>
      </c>
      <c r="F5" s="81" t="s">
        <v>299</v>
      </c>
      <c r="G5" s="81" t="s">
        <v>300</v>
      </c>
      <c r="H5" s="81" t="s">
        <v>301</v>
      </c>
      <c r="I5" s="81" t="s">
        <v>302</v>
      </c>
      <c r="J5" s="81" t="s">
        <v>303</v>
      </c>
      <c r="K5" s="81" t="s">
        <v>304</v>
      </c>
    </row>
    <row r="6" spans="1:11" x14ac:dyDescent="0.35">
      <c r="A6" s="82">
        <v>1</v>
      </c>
      <c r="B6" s="81" t="s">
        <v>305</v>
      </c>
      <c r="C6" s="82">
        <v>2748.3649460000001</v>
      </c>
      <c r="D6" s="82">
        <v>34.571207999999999</v>
      </c>
      <c r="E6" s="82">
        <v>0.21543399999999999</v>
      </c>
      <c r="F6" s="82">
        <v>52.424849999999999</v>
      </c>
      <c r="G6" s="82">
        <v>-1.241617</v>
      </c>
      <c r="H6" s="82">
        <v>1.2028810000000001</v>
      </c>
      <c r="I6" s="82">
        <v>0.22397600000000001</v>
      </c>
      <c r="J6" s="82">
        <v>18.260574999999999</v>
      </c>
      <c r="K6" s="82">
        <v>140.211005</v>
      </c>
    </row>
    <row r="7" spans="1:11" x14ac:dyDescent="0.35">
      <c r="A7" s="82">
        <v>2</v>
      </c>
      <c r="B7" s="81" t="s">
        <v>306</v>
      </c>
      <c r="C7" s="82">
        <v>2787.0779400000001</v>
      </c>
      <c r="D7" s="82">
        <v>35.744236999999998</v>
      </c>
      <c r="E7" s="82">
        <v>0.20438300000000001</v>
      </c>
      <c r="F7" s="82">
        <v>52.792783</v>
      </c>
      <c r="G7" s="82">
        <v>-1.2731920000000001</v>
      </c>
      <c r="H7" s="82">
        <v>1.0588310000000001</v>
      </c>
      <c r="I7" s="82">
        <v>0.21033099999999999</v>
      </c>
      <c r="J7" s="82">
        <v>21.997004</v>
      </c>
      <c r="K7" s="82">
        <v>140.147031</v>
      </c>
    </row>
    <row r="8" spans="1:11" x14ac:dyDescent="0.35">
      <c r="A8" s="82">
        <v>3</v>
      </c>
      <c r="B8" s="81" t="s">
        <v>307</v>
      </c>
      <c r="C8" s="82">
        <v>2814.0180489999998</v>
      </c>
      <c r="D8" s="82">
        <v>36.309475999999997</v>
      </c>
      <c r="E8" s="82">
        <v>0.19669200000000001</v>
      </c>
      <c r="F8" s="82">
        <v>53.047319000000002</v>
      </c>
      <c r="G8" s="82">
        <v>-1.2951649999999999</v>
      </c>
      <c r="H8" s="82">
        <v>0.79627599999999998</v>
      </c>
      <c r="I8" s="82">
        <v>0.19952</v>
      </c>
      <c r="J8" s="82">
        <v>25.730692999999999</v>
      </c>
      <c r="K8" s="82">
        <v>141.29325800000001</v>
      </c>
    </row>
    <row r="9" spans="1:11" x14ac:dyDescent="0.35">
      <c r="A9" s="82">
        <v>4</v>
      </c>
      <c r="B9" s="81" t="s">
        <v>308</v>
      </c>
      <c r="C9" s="82">
        <v>2463.461151</v>
      </c>
      <c r="D9" s="82">
        <v>35.730763000000003</v>
      </c>
      <c r="E9" s="82">
        <v>0.29676400000000003</v>
      </c>
      <c r="F9" s="82">
        <v>49.633266999999996</v>
      </c>
      <c r="G9" s="82">
        <v>-1.009244</v>
      </c>
      <c r="H9" s="82">
        <v>1.11829</v>
      </c>
      <c r="I9" s="82">
        <v>0.29707800000000001</v>
      </c>
      <c r="J9" s="82">
        <v>22.456783999999999</v>
      </c>
      <c r="K9" s="82">
        <v>132.798824</v>
      </c>
    </row>
    <row r="10" spans="1:11" x14ac:dyDescent="0.35">
      <c r="A10" s="82">
        <v>5</v>
      </c>
      <c r="B10" s="81" t="s">
        <v>309</v>
      </c>
      <c r="C10" s="82">
        <v>34469.278752999999</v>
      </c>
      <c r="D10" s="82">
        <v>115.578232</v>
      </c>
      <c r="E10" s="82">
        <v>-8.8398230000000009</v>
      </c>
      <c r="F10" s="82">
        <v>185.65903900000001</v>
      </c>
      <c r="G10" s="82">
        <v>-27.113779999999998</v>
      </c>
      <c r="H10" s="82">
        <v>3.3133880000000002</v>
      </c>
      <c r="I10" s="82">
        <v>-8.8366749999999996</v>
      </c>
      <c r="J10" s="82">
        <v>66.154088000000002</v>
      </c>
      <c r="K10" s="82">
        <v>501.35902599999997</v>
      </c>
    </row>
    <row r="11" spans="1:11" x14ac:dyDescent="0.35">
      <c r="A11" s="82">
        <v>6</v>
      </c>
      <c r="B11" s="81" t="s">
        <v>310</v>
      </c>
      <c r="C11" s="82">
        <v>1213.142857</v>
      </c>
      <c r="D11" s="82">
        <v>27.714286000000001</v>
      </c>
      <c r="E11" s="82">
        <v>0.65368800000000005</v>
      </c>
      <c r="F11" s="82">
        <v>34.830199999999998</v>
      </c>
      <c r="G11" s="82">
        <v>1.0538E-2</v>
      </c>
      <c r="H11" s="82">
        <v>0.865232</v>
      </c>
      <c r="I11" s="82">
        <v>0.65462299999999995</v>
      </c>
      <c r="J11" s="82">
        <v>20</v>
      </c>
      <c r="K11" s="82">
        <v>76</v>
      </c>
    </row>
    <row r="12" spans="1:11" x14ac:dyDescent="0.35">
      <c r="A12" s="82">
        <v>7</v>
      </c>
      <c r="B12" s="81" t="s">
        <v>311</v>
      </c>
      <c r="C12" s="82">
        <v>1427.574705</v>
      </c>
      <c r="D12" s="82">
        <v>27.469984</v>
      </c>
      <c r="E12" s="82">
        <v>0.59247499999999997</v>
      </c>
      <c r="F12" s="82">
        <v>37.783259999999999</v>
      </c>
      <c r="G12" s="82">
        <v>-0.164356</v>
      </c>
      <c r="H12" s="82">
        <v>0.69878099999999999</v>
      </c>
      <c r="I12" s="82">
        <v>0.60115200000000002</v>
      </c>
      <c r="J12" s="82">
        <v>22.02</v>
      </c>
      <c r="K12" s="82">
        <v>87.46</v>
      </c>
    </row>
    <row r="13" spans="1:11" x14ac:dyDescent="0.35">
      <c r="A13" s="82">
        <v>8</v>
      </c>
      <c r="B13" s="81" t="s">
        <v>312</v>
      </c>
      <c r="C13" s="64">
        <v>3153.1145430000001</v>
      </c>
      <c r="D13" s="82">
        <v>44.960383999999998</v>
      </c>
      <c r="E13" s="82">
        <v>9.9891999999999995E-2</v>
      </c>
      <c r="F13" s="82">
        <v>56.1526</v>
      </c>
      <c r="G13" s="82">
        <v>-1.5717380000000001</v>
      </c>
      <c r="H13" s="82">
        <v>1.406501</v>
      </c>
      <c r="I13" s="82">
        <v>0.11534999999999999</v>
      </c>
      <c r="J13" s="82">
        <v>35.175398000000001</v>
      </c>
      <c r="K13" s="82">
        <v>142.190642</v>
      </c>
    </row>
    <row r="14" spans="1:11" x14ac:dyDescent="0.35">
      <c r="A14" s="82">
        <v>9</v>
      </c>
      <c r="B14" s="81" t="s">
        <v>313</v>
      </c>
      <c r="C14" s="82">
        <v>1797.167346</v>
      </c>
      <c r="D14" s="82">
        <v>30.574166999999999</v>
      </c>
      <c r="E14" s="82">
        <v>0.48696899999999999</v>
      </c>
      <c r="F14" s="82">
        <v>42.393011000000001</v>
      </c>
      <c r="G14" s="82">
        <v>-0.46580300000000002</v>
      </c>
      <c r="H14" s="82">
        <v>0.763158</v>
      </c>
      <c r="I14" s="82">
        <v>0.48796400000000001</v>
      </c>
      <c r="J14" s="82">
        <v>20.249082000000001</v>
      </c>
      <c r="K14" s="82">
        <v>108.510131</v>
      </c>
    </row>
    <row r="15" spans="1:11" x14ac:dyDescent="0.35">
      <c r="A15" s="82">
        <v>10</v>
      </c>
      <c r="B15" s="81" t="s">
        <v>314</v>
      </c>
      <c r="C15" s="82">
        <v>1432.07619</v>
      </c>
      <c r="D15" s="82">
        <v>22.780951999999999</v>
      </c>
      <c r="E15" s="82">
        <v>0.59118999999999999</v>
      </c>
      <c r="F15" s="82">
        <v>37.842782999999997</v>
      </c>
      <c r="G15" s="82">
        <v>-0.16802800000000001</v>
      </c>
      <c r="H15" s="82">
        <v>0.655887</v>
      </c>
      <c r="I15" s="82">
        <v>0.60063599999999995</v>
      </c>
      <c r="J15" s="82">
        <v>15.2</v>
      </c>
      <c r="K15" s="82">
        <v>116</v>
      </c>
    </row>
    <row r="16" spans="1:11" s="64" customFormat="1" x14ac:dyDescent="0.35">
      <c r="A16" s="83"/>
      <c r="B16" s="84"/>
      <c r="C16" s="83"/>
      <c r="D16" s="83"/>
      <c r="E16" s="83"/>
      <c r="F16" s="83"/>
      <c r="G16" s="83"/>
      <c r="H16" s="83"/>
      <c r="I16" s="83"/>
      <c r="J16" s="83"/>
      <c r="K16" s="83"/>
    </row>
    <row r="17" spans="1:11" s="64" customFormat="1" x14ac:dyDescent="0.35">
      <c r="A17" s="250" t="s">
        <v>316</v>
      </c>
      <c r="B17" s="251"/>
      <c r="C17" s="251"/>
      <c r="D17" s="251"/>
      <c r="E17" s="251"/>
      <c r="F17" s="251"/>
      <c r="G17" s="251"/>
      <c r="H17" s="251"/>
      <c r="I17" s="251"/>
      <c r="J17" s="251"/>
      <c r="K17" s="251"/>
    </row>
    <row r="18" spans="1:11" s="64" customFormat="1" x14ac:dyDescent="0.35">
      <c r="A18" s="251"/>
      <c r="B18" s="251"/>
      <c r="C18" s="251"/>
      <c r="D18" s="251"/>
      <c r="E18" s="251"/>
      <c r="F18" s="251"/>
      <c r="G18" s="251"/>
      <c r="H18" s="251"/>
      <c r="I18" s="251"/>
      <c r="J18" s="251"/>
      <c r="K18" s="251"/>
    </row>
    <row r="19" spans="1:11" s="64" customFormat="1" x14ac:dyDescent="0.35">
      <c r="A19" s="251"/>
      <c r="B19" s="251"/>
      <c r="C19" s="251"/>
      <c r="D19" s="251"/>
      <c r="E19" s="251"/>
      <c r="F19" s="251"/>
      <c r="G19" s="251"/>
      <c r="H19" s="251"/>
      <c r="I19" s="251"/>
      <c r="J19" s="251"/>
      <c r="K19" s="251"/>
    </row>
    <row r="20" spans="1:11" s="64" customFormat="1" x14ac:dyDescent="0.35">
      <c r="A20" s="251"/>
      <c r="B20" s="251"/>
      <c r="C20" s="251"/>
      <c r="D20" s="251"/>
      <c r="E20" s="251"/>
      <c r="F20" s="251"/>
      <c r="G20" s="251"/>
      <c r="H20" s="251"/>
      <c r="I20" s="251"/>
      <c r="J20" s="251"/>
      <c r="K20" s="251"/>
    </row>
    <row r="21" spans="1:11" s="64" customFormat="1" ht="409.5" customHeight="1" x14ac:dyDescent="0.35">
      <c r="A21" s="251"/>
      <c r="B21" s="251"/>
      <c r="C21" s="251"/>
      <c r="D21" s="251"/>
      <c r="E21" s="251"/>
      <c r="F21" s="251"/>
      <c r="G21" s="251"/>
      <c r="H21" s="251"/>
      <c r="I21" s="251"/>
      <c r="J21" s="251"/>
      <c r="K21" s="251"/>
    </row>
  </sheetData>
  <mergeCells count="2">
    <mergeCell ref="A4:K4"/>
    <mergeCell ref="A17:K2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zoomScale="154" workbookViewId="0">
      <selection activeCell="E12" sqref="E12"/>
    </sheetView>
  </sheetViews>
  <sheetFormatPr defaultRowHeight="14.5" x14ac:dyDescent="0.35"/>
  <cols>
    <col min="1" max="1" width="18.54296875" style="80" bestFit="1" customWidth="1"/>
    <col min="2" max="2" width="24.81640625" bestFit="1" customWidth="1"/>
    <col min="3" max="3" width="17.26953125" bestFit="1" customWidth="1"/>
    <col min="4" max="4" width="21.81640625" bestFit="1" customWidth="1"/>
  </cols>
  <sheetData>
    <row r="1" spans="1:5" s="80" customFormat="1" x14ac:dyDescent="0.35">
      <c r="A1" s="53" t="s">
        <v>269</v>
      </c>
      <c r="B1" s="53" t="s">
        <v>270</v>
      </c>
      <c r="C1" s="53" t="s">
        <v>271</v>
      </c>
      <c r="D1" s="53" t="s">
        <v>272</v>
      </c>
      <c r="E1" s="53" t="s">
        <v>273</v>
      </c>
    </row>
    <row r="2" spans="1:5" x14ac:dyDescent="0.35">
      <c r="A2" s="252" t="s">
        <v>274</v>
      </c>
      <c r="B2" s="72" t="s">
        <v>275</v>
      </c>
      <c r="C2" s="72"/>
      <c r="D2" s="72"/>
      <c r="E2" s="72"/>
    </row>
    <row r="3" spans="1:5" x14ac:dyDescent="0.35">
      <c r="A3" s="252"/>
      <c r="B3" s="72" t="s">
        <v>276</v>
      </c>
      <c r="C3" s="72"/>
      <c r="D3" s="72"/>
      <c r="E3" s="72"/>
    </row>
    <row r="4" spans="1:5" x14ac:dyDescent="0.35">
      <c r="A4" s="252"/>
      <c r="B4" s="72" t="s">
        <v>277</v>
      </c>
      <c r="C4" s="72"/>
      <c r="D4" s="72"/>
      <c r="E4" s="72"/>
    </row>
    <row r="5" spans="1:5" x14ac:dyDescent="0.35">
      <c r="A5" s="252" t="s">
        <v>278</v>
      </c>
      <c r="B5" s="72" t="s">
        <v>279</v>
      </c>
      <c r="C5" s="72"/>
      <c r="D5" s="72"/>
      <c r="E5" s="72"/>
    </row>
    <row r="6" spans="1:5" x14ac:dyDescent="0.35">
      <c r="A6" s="252"/>
      <c r="B6" s="72" t="s">
        <v>280</v>
      </c>
      <c r="C6" s="72"/>
      <c r="D6" s="72"/>
      <c r="E6" s="72"/>
    </row>
    <row r="7" spans="1:5" x14ac:dyDescent="0.35">
      <c r="A7" s="252"/>
      <c r="B7" s="72" t="s">
        <v>281</v>
      </c>
      <c r="C7" s="72" t="s">
        <v>292</v>
      </c>
      <c r="D7" s="72"/>
      <c r="E7" s="72"/>
    </row>
    <row r="8" spans="1:5" x14ac:dyDescent="0.35">
      <c r="A8" s="252"/>
      <c r="B8" s="72" t="s">
        <v>282</v>
      </c>
      <c r="C8" s="72" t="s">
        <v>291</v>
      </c>
      <c r="D8" s="72"/>
      <c r="E8" s="72"/>
    </row>
    <row r="9" spans="1:5" x14ac:dyDescent="0.35">
      <c r="A9" s="252" t="s">
        <v>283</v>
      </c>
      <c r="B9" s="236" t="s">
        <v>284</v>
      </c>
      <c r="C9" s="72" t="s">
        <v>43</v>
      </c>
      <c r="D9" s="72"/>
      <c r="E9" s="72"/>
    </row>
    <row r="10" spans="1:5" s="64" customFormat="1" x14ac:dyDescent="0.35">
      <c r="A10" s="252"/>
      <c r="B10" s="236"/>
      <c r="C10" s="72" t="s">
        <v>260</v>
      </c>
      <c r="D10" s="72"/>
      <c r="E10" s="72"/>
    </row>
    <row r="11" spans="1:5" s="64" customFormat="1" x14ac:dyDescent="0.35">
      <c r="A11" s="252"/>
      <c r="B11" s="236"/>
      <c r="C11" s="72" t="s">
        <v>154</v>
      </c>
      <c r="D11" s="72"/>
      <c r="E11" s="72"/>
    </row>
    <row r="12" spans="1:5" x14ac:dyDescent="0.35">
      <c r="A12" s="252"/>
      <c r="B12" s="236" t="s">
        <v>285</v>
      </c>
      <c r="C12" s="72" t="s">
        <v>43</v>
      </c>
      <c r="D12" s="72"/>
      <c r="E12" s="72"/>
    </row>
    <row r="13" spans="1:5" s="64" customFormat="1" x14ac:dyDescent="0.35">
      <c r="A13" s="252"/>
      <c r="B13" s="236"/>
      <c r="C13" s="72" t="s">
        <v>260</v>
      </c>
      <c r="D13" s="72"/>
      <c r="E13" s="72"/>
    </row>
    <row r="14" spans="1:5" x14ac:dyDescent="0.35">
      <c r="A14" s="252"/>
      <c r="B14" s="236"/>
      <c r="C14" s="72" t="s">
        <v>154</v>
      </c>
      <c r="D14" s="72"/>
      <c r="E14" s="72"/>
    </row>
    <row r="15" spans="1:5" x14ac:dyDescent="0.35">
      <c r="A15" s="252" t="s">
        <v>286</v>
      </c>
      <c r="B15" s="72" t="s">
        <v>287</v>
      </c>
      <c r="C15" s="72" t="s">
        <v>289</v>
      </c>
      <c r="D15" s="72" t="s">
        <v>293</v>
      </c>
      <c r="E15" s="72"/>
    </row>
    <row r="16" spans="1:5" x14ac:dyDescent="0.35">
      <c r="A16" s="252"/>
      <c r="B16" s="72" t="s">
        <v>288</v>
      </c>
      <c r="C16" s="72" t="s">
        <v>290</v>
      </c>
      <c r="D16" s="72" t="s">
        <v>294</v>
      </c>
      <c r="E16" s="72"/>
    </row>
  </sheetData>
  <mergeCells count="6">
    <mergeCell ref="A9:A14"/>
    <mergeCell ref="A5:A8"/>
    <mergeCell ref="A2:A4"/>
    <mergeCell ref="A15:A16"/>
    <mergeCell ref="B9:B11"/>
    <mergeCell ref="B12:B1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E380E2-C5A3-4A4B-878D-44E71737673F}">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Bwaise I</vt:lpstr>
      <vt:lpstr>Bukoto I</vt:lpstr>
      <vt:lpstr>Ggaba</vt:lpstr>
      <vt:lpstr>All_data</vt:lpstr>
      <vt:lpstr>Codes</vt:lpstr>
      <vt:lpstr>Encoded Data</vt:lpstr>
      <vt:lpstr>Q&amp;Qs</vt:lpstr>
      <vt:lpstr>Factors</vt:lpstr>
      <vt:lpstr>Correlation-Excel</vt:lpstr>
      <vt:lpstr>Correlation-Python</vt:lpstr>
      <vt:lpstr>Generation-Model performance</vt:lpstr>
      <vt:lpstr>Volume-Model performance</vt:lpstr>
      <vt:lpstr>Stakeholders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Feni</dc:creator>
  <cp:lastModifiedBy>Prof. Niwagaba</cp:lastModifiedBy>
  <dcterms:created xsi:type="dcterms:W3CDTF">2025-03-13T06:40:53Z</dcterms:created>
  <dcterms:modified xsi:type="dcterms:W3CDTF">2026-07-22T10:54:34Z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{B5E380E2-C5A3-4A4B-878D-44E71737673F}</vt:lpwstr>
  </property>
</Properties>
</file>