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90" windowHeight="10065"/>
  </bookViews>
  <sheets>
    <sheet name="Лист1" sheetId="1" r:id="rId1"/>
    <sheet name="Лист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/>
  <c r="P31" i="1"/>
  <c r="Q31" i="1"/>
  <c r="R31" i="1"/>
  <c r="S31" i="1"/>
  <c r="M31" i="1"/>
  <c r="M11" i="1"/>
  <c r="M12" i="1"/>
  <c r="M14" i="1"/>
  <c r="B22" i="1"/>
  <c r="M21" i="1"/>
  <c r="M26" i="1"/>
  <c r="B30" i="1"/>
  <c r="B20" i="1"/>
  <c r="M6" i="1"/>
  <c r="N19" i="1"/>
  <c r="M19" i="1"/>
  <c r="S19" i="1"/>
  <c r="M27" i="1"/>
  <c r="M25" i="1"/>
  <c r="M24" i="1"/>
  <c r="M23" i="1"/>
  <c r="M22" i="1"/>
  <c r="M18" i="1"/>
  <c r="M13" i="1"/>
  <c r="C19" i="1"/>
  <c r="M10" i="1"/>
  <c r="M9" i="1"/>
  <c r="M7" i="1"/>
  <c r="M5" i="1"/>
  <c r="M4" i="1"/>
  <c r="F17" i="1"/>
  <c r="M3" i="1"/>
  <c r="M2" i="1"/>
  <c r="B28" i="1"/>
  <c r="B19" i="1"/>
  <c r="N47" i="1" l="1"/>
  <c r="O47" i="1"/>
  <c r="P47" i="1"/>
  <c r="Q47" i="1"/>
  <c r="R47" i="1"/>
  <c r="S47" i="1"/>
  <c r="M47" i="1"/>
  <c r="N46" i="1"/>
  <c r="O46" i="1"/>
  <c r="P46" i="1"/>
  <c r="Q46" i="1"/>
  <c r="R46" i="1"/>
  <c r="S46" i="1"/>
  <c r="M46" i="1"/>
  <c r="D8" i="1"/>
  <c r="O45" i="1"/>
  <c r="M45" i="1"/>
  <c r="N44" i="1"/>
  <c r="O44" i="1"/>
  <c r="P44" i="1"/>
  <c r="Q44" i="1"/>
  <c r="R44" i="1"/>
  <c r="S44" i="1"/>
  <c r="M44" i="1"/>
  <c r="N43" i="1"/>
  <c r="O43" i="1"/>
  <c r="P43" i="1"/>
  <c r="Q43" i="1"/>
  <c r="R43" i="1"/>
  <c r="S43" i="1"/>
  <c r="M43" i="1"/>
  <c r="M39" i="1"/>
  <c r="M41" i="1" l="1"/>
  <c r="O41" i="1"/>
  <c r="O40" i="1"/>
  <c r="M40" i="1"/>
  <c r="B51" i="1"/>
  <c r="O39" i="1"/>
  <c r="B50" i="1"/>
  <c r="B49" i="1"/>
  <c r="B48" i="1"/>
  <c r="B47" i="1"/>
  <c r="N37" i="1"/>
  <c r="O37" i="1"/>
  <c r="P37" i="1"/>
  <c r="Q37" i="1"/>
  <c r="R37" i="1"/>
  <c r="S37" i="1"/>
  <c r="M36" i="1"/>
  <c r="N36" i="1"/>
  <c r="O36" i="1"/>
  <c r="P36" i="1"/>
  <c r="Q36" i="1"/>
  <c r="R36" i="1"/>
  <c r="S36" i="1"/>
  <c r="B45" i="1"/>
  <c r="M37" i="1" l="1"/>
  <c r="N27" i="1"/>
  <c r="O27" i="1"/>
  <c r="P27" i="1"/>
  <c r="Q27" i="1"/>
  <c r="R27" i="1"/>
  <c r="S27" i="1"/>
  <c r="N26" i="1" l="1"/>
  <c r="O26" i="1"/>
  <c r="P26" i="1"/>
  <c r="Q26" i="1"/>
  <c r="R26" i="1"/>
  <c r="S26" i="1"/>
  <c r="N25" i="1"/>
  <c r="O25" i="1"/>
  <c r="P25" i="1"/>
  <c r="Q25" i="1"/>
  <c r="R25" i="1"/>
  <c r="S25" i="1"/>
  <c r="C25" i="1" l="1"/>
  <c r="S12" i="1"/>
  <c r="N22" i="1"/>
  <c r="N23" i="1" s="1"/>
  <c r="N24" i="1" s="1"/>
  <c r="O22" i="1"/>
  <c r="O23" i="1" s="1"/>
  <c r="O24" i="1" s="1"/>
  <c r="P22" i="1"/>
  <c r="P23" i="1" s="1"/>
  <c r="P24" i="1" s="1"/>
  <c r="Q22" i="1"/>
  <c r="Q23" i="1" s="1"/>
  <c r="Q24" i="1" s="1"/>
  <c r="R22" i="1"/>
  <c r="R23" i="1" s="1"/>
  <c r="R24" i="1" s="1"/>
  <c r="S22" i="1"/>
  <c r="S23" i="1" s="1"/>
  <c r="S24" i="1" s="1"/>
  <c r="N21" i="1"/>
  <c r="O21" i="1"/>
  <c r="P21" i="1"/>
  <c r="Q21" i="1"/>
  <c r="R21" i="1"/>
  <c r="S21" i="1"/>
  <c r="N20" i="1"/>
  <c r="O20" i="1"/>
  <c r="P20" i="1"/>
  <c r="Q20" i="1"/>
  <c r="R20" i="1"/>
  <c r="S20" i="1"/>
  <c r="M20" i="1"/>
  <c r="R19" i="1"/>
  <c r="O19" i="1"/>
  <c r="P19" i="1"/>
  <c r="Q19" i="1"/>
  <c r="N18" i="1"/>
  <c r="O18" i="1"/>
  <c r="P18" i="1"/>
  <c r="Q18" i="1"/>
  <c r="R18" i="1"/>
  <c r="S18" i="1"/>
  <c r="P17" i="1"/>
  <c r="Q17" i="1" s="1"/>
  <c r="R17" i="1" s="1"/>
  <c r="S17" i="1" s="1"/>
  <c r="O17" i="1"/>
  <c r="N17" i="1"/>
  <c r="S16" i="1"/>
  <c r="N16" i="1"/>
  <c r="O16" i="1"/>
  <c r="P16" i="1"/>
  <c r="Q16" i="1"/>
  <c r="R16" i="1"/>
  <c r="M16" i="1"/>
  <c r="N15" i="1"/>
  <c r="O15" i="1"/>
  <c r="P15" i="1"/>
  <c r="Q15" i="1"/>
  <c r="R15" i="1"/>
  <c r="S15" i="1"/>
  <c r="M15" i="1"/>
  <c r="B18" i="1"/>
  <c r="N6" i="1" l="1"/>
  <c r="P6" i="1"/>
  <c r="R6" i="1"/>
  <c r="N7" i="1"/>
  <c r="N13" i="1" s="1"/>
  <c r="P7" i="1"/>
  <c r="P13" i="1" s="1"/>
  <c r="R7" i="1"/>
  <c r="R13" i="1" s="1"/>
  <c r="N4" i="1"/>
  <c r="O4" i="1"/>
  <c r="P4" i="1"/>
  <c r="Q4" i="1"/>
  <c r="R4" i="1"/>
  <c r="S4" i="1"/>
  <c r="N5" i="1"/>
  <c r="O5" i="1"/>
  <c r="P5" i="1"/>
  <c r="Q5" i="1"/>
  <c r="R5" i="1"/>
  <c r="S5" i="1"/>
  <c r="N2" i="1"/>
  <c r="O2" i="1"/>
  <c r="P2" i="1"/>
  <c r="Q2" i="1"/>
  <c r="R2" i="1"/>
  <c r="S2" i="1"/>
  <c r="N3" i="1"/>
  <c r="O3" i="1"/>
  <c r="P3" i="1"/>
  <c r="Q3" i="1"/>
  <c r="R3" i="1"/>
  <c r="S3" i="1"/>
  <c r="O6" i="1"/>
  <c r="O7" i="1" s="1"/>
  <c r="O13" i="1" s="1"/>
  <c r="S6" i="1" l="1"/>
  <c r="S7" i="1" s="1"/>
  <c r="S13" i="1" s="1"/>
  <c r="Q6" i="1"/>
  <c r="Q7" i="1" s="1"/>
  <c r="Q13" i="1" s="1"/>
  <c r="S9" i="1"/>
  <c r="S10" i="1" s="1"/>
  <c r="S11" i="1" s="1"/>
  <c r="Q9" i="1"/>
  <c r="Q10" i="1" s="1"/>
  <c r="Q11" i="1" s="1"/>
  <c r="Q12" i="1" s="1"/>
  <c r="Q14" i="1" s="1"/>
  <c r="O9" i="1"/>
  <c r="O10" i="1" s="1"/>
  <c r="O11" i="1" s="1"/>
  <c r="O12" i="1" s="1"/>
  <c r="R9" i="1"/>
  <c r="R10" i="1" s="1"/>
  <c r="R11" i="1" s="1"/>
  <c r="R12" i="1" s="1"/>
  <c r="R14" i="1" s="1"/>
  <c r="P9" i="1"/>
  <c r="P10" i="1" s="1"/>
  <c r="P11" i="1" s="1"/>
  <c r="P12" i="1" s="1"/>
  <c r="P14" i="1" s="1"/>
  <c r="N9" i="1"/>
  <c r="N10" i="1" s="1"/>
  <c r="N11" i="1" s="1"/>
  <c r="N12" i="1" s="1"/>
  <c r="N14" i="1" s="1"/>
  <c r="S14" i="1"/>
  <c r="O14" i="1"/>
</calcChain>
</file>

<file path=xl/sharedStrings.xml><?xml version="1.0" encoding="utf-8"?>
<sst xmlns="http://schemas.openxmlformats.org/spreadsheetml/2006/main" count="148" uniqueCount="113">
  <si>
    <t>Вводные данные</t>
  </si>
  <si>
    <t>Заряд ВВ</t>
  </si>
  <si>
    <t>Куммулятивная облицовка</t>
  </si>
  <si>
    <t>Толщина стенки (δ/dко)</t>
  </si>
  <si>
    <t>Оболочка</t>
  </si>
  <si>
    <t>Преграда</t>
  </si>
  <si>
    <t>Материал</t>
  </si>
  <si>
    <t>сталь</t>
  </si>
  <si>
    <t>железо</t>
  </si>
  <si>
    <t>Плотность кг/м^3</t>
  </si>
  <si>
    <t>Плотность г/cм^3</t>
  </si>
  <si>
    <t>Сталь</t>
  </si>
  <si>
    <t>объём оболочки</t>
  </si>
  <si>
    <t>Номер сечения</t>
  </si>
  <si>
    <t>число элементов</t>
  </si>
  <si>
    <t>z</t>
  </si>
  <si>
    <t>масса оболочки</t>
  </si>
  <si>
    <t>объем ВВ</t>
  </si>
  <si>
    <t>tan(a)</t>
  </si>
  <si>
    <t>масса ВВ</t>
  </si>
  <si>
    <t>объём КО</t>
  </si>
  <si>
    <t>δ</t>
  </si>
  <si>
    <t>масса КО</t>
  </si>
  <si>
    <t xml:space="preserve"> активная масса</t>
  </si>
  <si>
    <t>χ</t>
  </si>
  <si>
    <t>Скорость КС</t>
  </si>
  <si>
    <t>Скорость схлопывания</t>
  </si>
  <si>
    <t>Mасса КС</t>
  </si>
  <si>
    <t>Энергия кин. КС</t>
  </si>
  <si>
    <t>Δti время</t>
  </si>
  <si>
    <t>li</t>
  </si>
  <si>
    <t>Z0i</t>
  </si>
  <si>
    <t>zi=</t>
  </si>
  <si>
    <t>F=</t>
  </si>
  <si>
    <t>Δli</t>
  </si>
  <si>
    <t>grad  Скорости КС</t>
  </si>
  <si>
    <t>l0i</t>
  </si>
  <si>
    <t>A</t>
  </si>
  <si>
    <t>B</t>
  </si>
  <si>
    <t>n bi</t>
  </si>
  <si>
    <t>R КС0i</t>
  </si>
  <si>
    <t>l mi</t>
  </si>
  <si>
    <t>Крит. Скор. Проб. (сталь)</t>
  </si>
  <si>
    <t>β</t>
  </si>
  <si>
    <t>Плотность  ВВ 0 (ρ вв), г/см^3</t>
  </si>
  <si>
    <t>Скорость детонации 0 (D), км/с</t>
  </si>
  <si>
    <t>Li</t>
  </si>
  <si>
    <t>tmi</t>
  </si>
  <si>
    <t>t0i</t>
  </si>
  <si>
    <t>zmi</t>
  </si>
  <si>
    <t>-</t>
  </si>
  <si>
    <t>Итоговая глубина пробития</t>
  </si>
  <si>
    <t>Диаметр пробоины (dотвi)</t>
  </si>
  <si>
    <t>Aw</t>
  </si>
  <si>
    <t>L</t>
  </si>
  <si>
    <t>Расчёт параметров КЗ</t>
  </si>
  <si>
    <t>Расчёт ЭДЗ</t>
  </si>
  <si>
    <t>θ</t>
  </si>
  <si>
    <t>h</t>
  </si>
  <si>
    <t>k</t>
  </si>
  <si>
    <t>D</t>
  </si>
  <si>
    <t>град</t>
  </si>
  <si>
    <t>мм</t>
  </si>
  <si>
    <t>Мпа</t>
  </si>
  <si>
    <t>г/см^3</t>
  </si>
  <si>
    <t>км/c</t>
  </si>
  <si>
    <t xml:space="preserve">Плотность  ВВ (ρ вв), </t>
  </si>
  <si>
    <t>Скорость детонации (D),</t>
  </si>
  <si>
    <t xml:space="preserve"> км/с</t>
  </si>
  <si>
    <t xml:space="preserve">Общая длина заряда (H), </t>
  </si>
  <si>
    <t>Длина КО (h),</t>
  </si>
  <si>
    <t xml:space="preserve">Диаметр КО (dко), </t>
  </si>
  <si>
    <t xml:space="preserve">dh, </t>
  </si>
  <si>
    <t xml:space="preserve">Диаметр оболочки (d об), </t>
  </si>
  <si>
    <t xml:space="preserve">Плотность  оболочки (ρ об), </t>
  </si>
  <si>
    <t>значение</t>
  </si>
  <si>
    <t>ед. изм</t>
  </si>
  <si>
    <t>Cosθ</t>
  </si>
  <si>
    <t xml:space="preserve">Скорость проникания </t>
  </si>
  <si>
    <t>Время формирование (tei)</t>
  </si>
  <si>
    <t>Диаметр отверстия (dотвi)</t>
  </si>
  <si>
    <t>ρВВ</t>
  </si>
  <si>
    <t>км/м^3</t>
  </si>
  <si>
    <t>σтд</t>
  </si>
  <si>
    <t>τд=</t>
  </si>
  <si>
    <t>Q=</t>
  </si>
  <si>
    <t>Взрывное метание пластин ограниченных поперечных размеров</t>
  </si>
  <si>
    <t>U1</t>
  </si>
  <si>
    <t>β1</t>
  </si>
  <si>
    <t>β2</t>
  </si>
  <si>
    <t>ρпл</t>
  </si>
  <si>
    <t>U2</t>
  </si>
  <si>
    <t>Время разгона пластин</t>
  </si>
  <si>
    <t>Лицевой  τp1</t>
  </si>
  <si>
    <t>Тыльной τp2</t>
  </si>
  <si>
    <t>ρн</t>
  </si>
  <si>
    <t>Угол поворота</t>
  </si>
  <si>
    <t>Υ1</t>
  </si>
  <si>
    <t>Υ2</t>
  </si>
  <si>
    <r>
      <rPr>
        <sz val="14"/>
        <color theme="1"/>
        <rFont val="Calibri"/>
        <family val="2"/>
        <charset val="204"/>
      </rPr>
      <t>β</t>
    </r>
    <r>
      <rPr>
        <sz val="14"/>
        <color theme="1"/>
        <rFont val="Times New Roman"/>
        <family val="1"/>
        <charset val="204"/>
      </rPr>
      <t>i=</t>
    </r>
  </si>
  <si>
    <r>
      <rPr>
        <sz val="14"/>
        <color theme="1"/>
        <rFont val="Calibri"/>
        <family val="2"/>
        <charset val="204"/>
      </rPr>
      <t>ζ</t>
    </r>
    <r>
      <rPr>
        <sz val="14"/>
        <color theme="1"/>
        <rFont val="Times New Roman"/>
        <family val="1"/>
        <charset val="204"/>
      </rPr>
      <t>i</t>
    </r>
  </si>
  <si>
    <r>
      <rPr>
        <sz val="14"/>
        <color theme="1"/>
        <rFont val="Calibri"/>
        <family val="2"/>
        <charset val="204"/>
      </rPr>
      <t>δ</t>
    </r>
    <r>
      <rPr>
        <sz val="14"/>
        <color theme="1"/>
        <rFont val="Times New Roman"/>
        <family val="1"/>
        <charset val="204"/>
      </rPr>
      <t>1</t>
    </r>
  </si>
  <si>
    <t>Взаимодействие движущихся пластин с кумулятивной струей</t>
  </si>
  <si>
    <t>Uкс1i</t>
  </si>
  <si>
    <t>Uкс2I</t>
  </si>
  <si>
    <t>Скор. Потоков элементов КС</t>
  </si>
  <si>
    <t>Скор. Потоков пластин</t>
  </si>
  <si>
    <t>Uпл1</t>
  </si>
  <si>
    <t>Uпл2</t>
  </si>
  <si>
    <t>mкс1i</t>
  </si>
  <si>
    <t>mкс2i</t>
  </si>
  <si>
    <t>mпл1i</t>
  </si>
  <si>
    <t>mпл2i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</si>
</sst>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M31" sqref="M31"/>
    </sheetView>
  </sheetViews>
  <sheetFormatPr defaultRowHeight="18.75" x14ac:dyDescent="0.25"/>
  <cols>
    <col min="1" max="1" width="38.85546875" style="2" bestFit="1" customWidth="1"/>
    <col min="2" max="3" width="16.28515625" style="2" bestFit="1" customWidth="1"/>
    <col min="4" max="4" width="5.140625" style="2" customWidth="1"/>
    <col min="5" max="5" width="9.140625" style="2"/>
    <col min="6" max="7" width="12.85546875" style="2" bestFit="1" customWidth="1"/>
    <col min="8" max="10" width="9.140625" style="2"/>
    <col min="11" max="11" width="36.28515625" style="2" bestFit="1" customWidth="1"/>
    <col min="12" max="12" width="32.7109375" style="2" bestFit="1" customWidth="1"/>
    <col min="13" max="13" width="16.7109375" style="2" bestFit="1" customWidth="1"/>
    <col min="14" max="18" width="17" style="2" bestFit="1" customWidth="1"/>
    <col min="19" max="19" width="16.28515625" style="2" bestFit="1" customWidth="1"/>
    <col min="20" max="16384" width="9.140625" style="2"/>
  </cols>
  <sheetData>
    <row r="1" spans="1:19" ht="19.5" thickBot="1" x14ac:dyDescent="0.3">
      <c r="A1" s="1" t="s">
        <v>0</v>
      </c>
      <c r="B1" s="1" t="s">
        <v>75</v>
      </c>
      <c r="C1" s="1" t="s">
        <v>76</v>
      </c>
      <c r="D1" s="41"/>
      <c r="E1" s="41"/>
      <c r="F1" s="41"/>
      <c r="G1" s="41"/>
      <c r="H1" s="41"/>
      <c r="K1" s="44" t="s">
        <v>55</v>
      </c>
      <c r="L1" s="3" t="s">
        <v>13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5">
        <v>7</v>
      </c>
    </row>
    <row r="2" spans="1:19" x14ac:dyDescent="0.25">
      <c r="A2" s="6" t="s">
        <v>1</v>
      </c>
      <c r="B2" s="7"/>
      <c r="C2" s="8"/>
      <c r="D2" s="39"/>
      <c r="E2" s="9"/>
      <c r="F2" s="9"/>
      <c r="G2" s="9"/>
      <c r="H2" s="9"/>
      <c r="K2" s="45"/>
      <c r="L2" s="10" t="s">
        <v>12</v>
      </c>
      <c r="M2" s="11">
        <f>(3.14/4)*$B$18*(($B$13)^2-($B$8)^2)</f>
        <v>13776.750000000002</v>
      </c>
      <c r="N2" s="11">
        <f t="shared" ref="M2:S2" si="0">(3.14/4)*$B$18*(($B$13)^2-($B$8)^2)</f>
        <v>13776.750000000002</v>
      </c>
      <c r="O2" s="11">
        <f t="shared" si="0"/>
        <v>13776.750000000002</v>
      </c>
      <c r="P2" s="11">
        <f t="shared" si="0"/>
        <v>13776.750000000002</v>
      </c>
      <c r="Q2" s="11">
        <f t="shared" si="0"/>
        <v>13776.750000000002</v>
      </c>
      <c r="R2" s="11">
        <f t="shared" si="0"/>
        <v>13776.750000000002</v>
      </c>
      <c r="S2" s="12">
        <f t="shared" si="0"/>
        <v>13776.750000000002</v>
      </c>
    </row>
    <row r="3" spans="1:19" x14ac:dyDescent="0.25">
      <c r="A3" s="13" t="s">
        <v>66</v>
      </c>
      <c r="B3" s="8">
        <v>1.25</v>
      </c>
      <c r="C3" s="8" t="s">
        <v>64</v>
      </c>
      <c r="D3" s="39"/>
      <c r="E3" s="9"/>
      <c r="F3" s="9"/>
      <c r="G3" s="9"/>
      <c r="H3" s="9"/>
      <c r="K3" s="45"/>
      <c r="L3" s="10" t="s">
        <v>16</v>
      </c>
      <c r="M3" s="11">
        <f>(M2*$B$14)/1000</f>
        <v>107.45865000000001</v>
      </c>
      <c r="N3" s="11">
        <f t="shared" ref="N3:S3" si="1">(N2*$B$14)/1000</f>
        <v>107.45865000000001</v>
      </c>
      <c r="O3" s="11">
        <f t="shared" si="1"/>
        <v>107.45865000000001</v>
      </c>
      <c r="P3" s="11">
        <f t="shared" si="1"/>
        <v>107.45865000000001</v>
      </c>
      <c r="Q3" s="11">
        <f t="shared" si="1"/>
        <v>107.45865000000001</v>
      </c>
      <c r="R3" s="11">
        <f t="shared" si="1"/>
        <v>107.45865000000001</v>
      </c>
      <c r="S3" s="12">
        <f t="shared" si="1"/>
        <v>107.45865000000001</v>
      </c>
    </row>
    <row r="4" spans="1:19" x14ac:dyDescent="0.25">
      <c r="A4" s="13" t="s">
        <v>67</v>
      </c>
      <c r="B4" s="8">
        <v>6.66</v>
      </c>
      <c r="C4" s="8" t="s">
        <v>68</v>
      </c>
      <c r="D4" s="39"/>
      <c r="E4" s="9"/>
      <c r="F4" s="9"/>
      <c r="G4" s="9"/>
      <c r="H4" s="9"/>
      <c r="K4" s="45"/>
      <c r="L4" s="10" t="s">
        <v>17</v>
      </c>
      <c r="M4" s="11">
        <f>-3.1416/6*$B$18^2*$B$19*(3*$B$8-6*$B$8*M1+2*$B$18*$B$19-6*M1*$B$18*$B$19+6*M1^2*$B$18*$B$19)</f>
        <v>3540.0702857142851</v>
      </c>
      <c r="N4" s="11">
        <f t="shared" ref="M4:S4" si="2">-3.1416/6*$B$18^2*$B$19*(3*$B$8-6*$B$8*N1+2*$B$18*$B$19-6*N1*$B$18*$B$19+6*N1^2*$B$18*$B$19)</f>
        <v>9997.02</v>
      </c>
      <c r="O4" s="11">
        <f t="shared" si="2"/>
        <v>15519.183428571427</v>
      </c>
      <c r="P4" s="11">
        <f t="shared" si="2"/>
        <v>20106.56057142857</v>
      </c>
      <c r="Q4" s="11">
        <f t="shared" si="2"/>
        <v>23759.151428571429</v>
      </c>
      <c r="R4" s="11">
        <f t="shared" si="2"/>
        <v>26476.955999999987</v>
      </c>
      <c r="S4" s="12">
        <f t="shared" si="2"/>
        <v>28259.974285714281</v>
      </c>
    </row>
    <row r="5" spans="1:19" ht="19.5" thickBot="1" x14ac:dyDescent="0.3">
      <c r="A5" s="14" t="s">
        <v>69</v>
      </c>
      <c r="B5" s="15">
        <v>130</v>
      </c>
      <c r="C5" s="8" t="s">
        <v>62</v>
      </c>
      <c r="D5" s="39"/>
      <c r="E5" s="9"/>
      <c r="F5" s="9"/>
      <c r="G5" s="9"/>
      <c r="H5" s="9"/>
      <c r="K5" s="45"/>
      <c r="L5" s="10" t="s">
        <v>19</v>
      </c>
      <c r="M5" s="11">
        <f>(M4*$B$3)/1000</f>
        <v>4.4250878571428567</v>
      </c>
      <c r="N5" s="11">
        <f t="shared" ref="N5:S5" si="3">(N4*$B$3)/1000</f>
        <v>12.496275000000001</v>
      </c>
      <c r="O5" s="11">
        <f t="shared" si="3"/>
        <v>19.398979285714283</v>
      </c>
      <c r="P5" s="11">
        <f t="shared" si="3"/>
        <v>25.13320071428571</v>
      </c>
      <c r="Q5" s="11">
        <f t="shared" si="3"/>
        <v>29.698939285714289</v>
      </c>
      <c r="R5" s="11">
        <f t="shared" si="3"/>
        <v>33.096194999999987</v>
      </c>
      <c r="S5" s="12">
        <f t="shared" si="3"/>
        <v>35.324967857142852</v>
      </c>
    </row>
    <row r="6" spans="1:19" x14ac:dyDescent="0.25">
      <c r="A6" s="6" t="s">
        <v>2</v>
      </c>
      <c r="B6" s="7"/>
      <c r="C6" s="8"/>
      <c r="D6" s="39"/>
      <c r="E6" s="9"/>
      <c r="F6" s="9"/>
      <c r="G6" s="9"/>
      <c r="H6" s="9"/>
      <c r="K6" s="45"/>
      <c r="L6" s="10" t="s">
        <v>20</v>
      </c>
      <c r="M6" s="11">
        <f>-3.1416*$B$20*$B$18*($B$20-2*$B$8-2*$B$18*$B$19+4*M1*$B$18*$B$19)</f>
        <v>6465.2229575999991</v>
      </c>
      <c r="N6" s="11">
        <f t="shared" ref="M6:S6" si="4">-3.1416*$B$20*$B$18*($B$20-2*$B$8-2*$B$18*$B$19+4*N1*$B$18*$B$19)</f>
        <v>5578.2146375999992</v>
      </c>
      <c r="O6" s="11">
        <f t="shared" si="4"/>
        <v>4691.2063176000001</v>
      </c>
      <c r="P6" s="11">
        <f t="shared" si="4"/>
        <v>3804.1979975999989</v>
      </c>
      <c r="Q6" s="11">
        <f t="shared" si="4"/>
        <v>2917.189677599999</v>
      </c>
      <c r="R6" s="11">
        <f t="shared" si="4"/>
        <v>2030.1813575999997</v>
      </c>
      <c r="S6" s="12">
        <f t="shared" si="4"/>
        <v>1143.1730375999996</v>
      </c>
    </row>
    <row r="7" spans="1:19" x14ac:dyDescent="0.25">
      <c r="A7" s="13" t="s">
        <v>70</v>
      </c>
      <c r="B7" s="8">
        <v>70</v>
      </c>
      <c r="C7" s="8" t="s">
        <v>62</v>
      </c>
      <c r="D7" s="39"/>
      <c r="E7" s="9"/>
      <c r="F7" s="9"/>
      <c r="G7" s="9"/>
      <c r="H7" s="9"/>
      <c r="K7" s="45"/>
      <c r="L7" s="10" t="s">
        <v>22</v>
      </c>
      <c r="M7" s="11">
        <f>(M6*7.9)/1000</f>
        <v>51.075261365039992</v>
      </c>
      <c r="N7" s="11">
        <f t="shared" ref="N7:S7" si="5">(N6*7.9)/1000</f>
        <v>44.067895637039996</v>
      </c>
      <c r="O7" s="11">
        <f t="shared" si="5"/>
        <v>37.06052990904</v>
      </c>
      <c r="P7" s="11">
        <f t="shared" si="5"/>
        <v>30.053164181039993</v>
      </c>
      <c r="Q7" s="11">
        <f t="shared" si="5"/>
        <v>23.045798453039993</v>
      </c>
      <c r="R7" s="11">
        <f t="shared" si="5"/>
        <v>16.03843272504</v>
      </c>
      <c r="S7" s="12">
        <f t="shared" si="5"/>
        <v>9.0310669970399982</v>
      </c>
    </row>
    <row r="8" spans="1:19" x14ac:dyDescent="0.25">
      <c r="A8" s="13" t="s">
        <v>71</v>
      </c>
      <c r="B8" s="8">
        <v>61</v>
      </c>
      <c r="C8" s="8" t="s">
        <v>62</v>
      </c>
      <c r="D8" s="39">
        <f>B8/10</f>
        <v>6.1</v>
      </c>
      <c r="E8" s="9"/>
      <c r="F8" s="9"/>
      <c r="G8" s="9"/>
      <c r="H8" s="9"/>
      <c r="K8" s="45"/>
      <c r="L8" s="10"/>
      <c r="M8" s="11"/>
      <c r="N8" s="11"/>
      <c r="O8" s="11"/>
      <c r="P8" s="11"/>
      <c r="Q8" s="11"/>
      <c r="R8" s="11"/>
      <c r="S8" s="12"/>
    </row>
    <row r="9" spans="1:19" x14ac:dyDescent="0.25">
      <c r="A9" s="13" t="s">
        <v>3</v>
      </c>
      <c r="B9" s="8">
        <v>0.03</v>
      </c>
      <c r="C9" s="8"/>
      <c r="D9" s="39"/>
      <c r="E9" s="9"/>
      <c r="F9" s="9"/>
      <c r="G9" s="9"/>
      <c r="H9" s="9"/>
      <c r="K9" s="45"/>
      <c r="L9" s="10" t="s">
        <v>23</v>
      </c>
      <c r="M9" s="11">
        <f>(M5/2)*(1+((M3-M7)/(M7+M3+M5)))</f>
        <v>2.9780783562005242</v>
      </c>
      <c r="N9" s="11">
        <f t="shared" ref="N9:S9" si="6">(N5/2)*(1+((N3-N7)/(N7+N3+N5)))</f>
        <v>8.6628877643242355</v>
      </c>
      <c r="O9" s="11">
        <f t="shared" si="6"/>
        <v>13.865140599732525</v>
      </c>
      <c r="P9" s="11">
        <f t="shared" si="6"/>
        <v>18.547255874702859</v>
      </c>
      <c r="Q9" s="11">
        <f t="shared" si="6"/>
        <v>22.673811526049185</v>
      </c>
      <c r="R9" s="11">
        <f t="shared" si="6"/>
        <v>26.208989020474974</v>
      </c>
      <c r="S9" s="12">
        <f t="shared" si="6"/>
        <v>29.113784602071537</v>
      </c>
    </row>
    <row r="10" spans="1:19" x14ac:dyDescent="0.25">
      <c r="A10" s="13" t="s">
        <v>72</v>
      </c>
      <c r="B10" s="8">
        <v>7</v>
      </c>
      <c r="C10" s="8" t="s">
        <v>62</v>
      </c>
      <c r="D10" s="39"/>
      <c r="E10" s="9"/>
      <c r="F10" s="9"/>
      <c r="G10" s="9"/>
      <c r="H10" s="9"/>
      <c r="K10" s="45"/>
      <c r="L10" s="10" t="s">
        <v>99</v>
      </c>
      <c r="M10" s="11">
        <f>M9/M7</f>
        <v>5.8307647902492377E-2</v>
      </c>
      <c r="N10" s="11">
        <f t="shared" ref="N10:S10" si="7">N9/N7</f>
        <v>0.19658047290651418</v>
      </c>
      <c r="O10" s="11">
        <f t="shared" si="7"/>
        <v>0.3741214881104673</v>
      </c>
      <c r="P10" s="11">
        <f t="shared" si="7"/>
        <v>0.61714818988690689</v>
      </c>
      <c r="Q10" s="11">
        <f t="shared" si="7"/>
        <v>0.98385879631166617</v>
      </c>
      <c r="R10" s="11">
        <f t="shared" si="7"/>
        <v>1.6341365437506992</v>
      </c>
      <c r="S10" s="12">
        <f t="shared" si="7"/>
        <v>3.223736975001271</v>
      </c>
    </row>
    <row r="11" spans="1:19" ht="19.5" thickBot="1" x14ac:dyDescent="0.3">
      <c r="A11" s="14" t="s">
        <v>6</v>
      </c>
      <c r="B11" s="15" t="s">
        <v>7</v>
      </c>
      <c r="C11" s="8"/>
      <c r="D11" s="40"/>
      <c r="K11" s="45"/>
      <c r="L11" s="10" t="s">
        <v>26</v>
      </c>
      <c r="M11" s="11">
        <f>0.5*$B$21*$B$4*SQRT(M10/(M10+2))</f>
        <v>0.56046932846880382</v>
      </c>
      <c r="N11" s="11">
        <f t="shared" ref="N11:S11" si="8">0.5*$B$21*$B$4*SQRT(N10/(N10+2))</f>
        <v>0.99618698166933861</v>
      </c>
      <c r="O11" s="11">
        <f t="shared" si="8"/>
        <v>1.3219014855979667</v>
      </c>
      <c r="P11" s="11">
        <f t="shared" si="8"/>
        <v>1.6170550542647002</v>
      </c>
      <c r="Q11" s="11">
        <f t="shared" si="8"/>
        <v>1.9121479236488517</v>
      </c>
      <c r="R11" s="11">
        <f t="shared" si="8"/>
        <v>2.2329951723703045</v>
      </c>
      <c r="S11" s="12">
        <f t="shared" si="8"/>
        <v>2.6159737581423848</v>
      </c>
    </row>
    <row r="12" spans="1:19" x14ac:dyDescent="0.25">
      <c r="A12" s="6" t="s">
        <v>4</v>
      </c>
      <c r="B12" s="7"/>
      <c r="C12" s="8"/>
      <c r="D12" s="40"/>
      <c r="K12" s="45"/>
      <c r="L12" s="10" t="s">
        <v>25</v>
      </c>
      <c r="M12" s="11">
        <f>M11*_xlfn.COT($C$19/2)</f>
        <v>0.27032605085086153</v>
      </c>
      <c r="N12" s="11">
        <f t="shared" ref="N12:R12" si="9">N11*_xlfn.COT($C$19/2)</f>
        <v>0.48048176587900665</v>
      </c>
      <c r="O12" s="11">
        <f t="shared" si="9"/>
        <v>0.63758066688831383</v>
      </c>
      <c r="P12" s="11">
        <f t="shared" si="9"/>
        <v>0.77993939119209643</v>
      </c>
      <c r="Q12" s="11">
        <f t="shared" si="9"/>
        <v>0.92226883896544931</v>
      </c>
      <c r="R12" s="11">
        <f t="shared" si="9"/>
        <v>1.0770201612370696</v>
      </c>
      <c r="S12" s="12">
        <f>S11*_xlfn.COT($C$19/2)</f>
        <v>1.2617387236873197</v>
      </c>
    </row>
    <row r="13" spans="1:19" x14ac:dyDescent="0.25">
      <c r="A13" s="13" t="s">
        <v>73</v>
      </c>
      <c r="B13" s="8">
        <v>74</v>
      </c>
      <c r="C13" s="8" t="s">
        <v>62</v>
      </c>
      <c r="D13" s="40"/>
      <c r="K13" s="45"/>
      <c r="L13" s="10" t="s">
        <v>27</v>
      </c>
      <c r="M13" s="11">
        <f>M7*(SIN($C$19/2))^2</f>
        <v>41.435888968515478</v>
      </c>
      <c r="N13" s="11">
        <f t="shared" ref="N13:S13" si="10">N7*(SIN($C$19/2))^2</f>
        <v>35.751014911934895</v>
      </c>
      <c r="O13" s="11">
        <f t="shared" si="10"/>
        <v>30.066140855354309</v>
      </c>
      <c r="P13" s="11">
        <f t="shared" si="10"/>
        <v>24.381266798773716</v>
      </c>
      <c r="Q13" s="11">
        <f t="shared" si="10"/>
        <v>18.69639274219313</v>
      </c>
      <c r="R13" s="11">
        <f t="shared" si="10"/>
        <v>13.011518685612549</v>
      </c>
      <c r="S13" s="12">
        <f t="shared" si="10"/>
        <v>7.3266446290319607</v>
      </c>
    </row>
    <row r="14" spans="1:19" x14ac:dyDescent="0.25">
      <c r="A14" s="13" t="s">
        <v>74</v>
      </c>
      <c r="B14" s="8">
        <v>7.8</v>
      </c>
      <c r="C14" s="8" t="s">
        <v>64</v>
      </c>
      <c r="D14" s="40"/>
      <c r="K14" s="45"/>
      <c r="L14" s="10" t="s">
        <v>28</v>
      </c>
      <c r="M14" s="11">
        <f>(M13*M12^2)/2</f>
        <v>1.5139881112602942</v>
      </c>
      <c r="N14" s="11">
        <f t="shared" ref="N14:S14" si="11">(N13*N12^2)/2</f>
        <v>4.1267884039106288</v>
      </c>
      <c r="O14" s="11">
        <f t="shared" si="11"/>
        <v>6.1110800318624001</v>
      </c>
      <c r="P14" s="11">
        <f t="shared" si="11"/>
        <v>7.4156287837460075</v>
      </c>
      <c r="Q14" s="11">
        <f t="shared" si="11"/>
        <v>7.9513871055720511</v>
      </c>
      <c r="R14" s="11">
        <f t="shared" si="11"/>
        <v>7.5465014589793169</v>
      </c>
      <c r="S14" s="12">
        <f t="shared" si="11"/>
        <v>5.8319527346472713</v>
      </c>
    </row>
    <row r="15" spans="1:19" ht="19.5" thickBot="1" x14ac:dyDescent="0.3">
      <c r="A15" s="14" t="s">
        <v>5</v>
      </c>
      <c r="B15" s="15" t="s">
        <v>8</v>
      </c>
      <c r="C15" s="15"/>
      <c r="D15" s="38"/>
      <c r="K15" s="45"/>
      <c r="L15" s="10" t="s">
        <v>31</v>
      </c>
      <c r="M15" s="11">
        <f t="shared" ref="M15:S15" si="12">$B$7-M1*$B$18</f>
        <v>60</v>
      </c>
      <c r="N15" s="11">
        <f t="shared" si="12"/>
        <v>50</v>
      </c>
      <c r="O15" s="11">
        <f t="shared" si="12"/>
        <v>40</v>
      </c>
      <c r="P15" s="11">
        <f t="shared" si="12"/>
        <v>30</v>
      </c>
      <c r="Q15" s="11">
        <f t="shared" si="12"/>
        <v>20</v>
      </c>
      <c r="R15" s="11">
        <f t="shared" si="12"/>
        <v>10</v>
      </c>
      <c r="S15" s="12">
        <f t="shared" si="12"/>
        <v>0</v>
      </c>
    </row>
    <row r="16" spans="1:19" x14ac:dyDescent="0.25">
      <c r="A16" s="16"/>
      <c r="B16" s="16"/>
      <c r="K16" s="45"/>
      <c r="L16" s="17" t="s">
        <v>29</v>
      </c>
      <c r="M16" s="11">
        <f>(M15*10^(-6))/$B$4</f>
        <v>9.0090090090090078E-6</v>
      </c>
      <c r="N16" s="11">
        <f t="shared" ref="N16:R16" si="13">(N15*10^(-6))/$B$4</f>
        <v>7.5075075075075065E-6</v>
      </c>
      <c r="O16" s="11">
        <f t="shared" si="13"/>
        <v>6.0060060060060052E-6</v>
      </c>
      <c r="P16" s="11">
        <f t="shared" si="13"/>
        <v>4.5045045045045039E-6</v>
      </c>
      <c r="Q16" s="11">
        <f t="shared" si="13"/>
        <v>3.0030030030030026E-6</v>
      </c>
      <c r="R16" s="11">
        <f t="shared" si="13"/>
        <v>1.5015015015015013E-6</v>
      </c>
      <c r="S16" s="12">
        <f>(S15*10^(-6))/$B$4</f>
        <v>0</v>
      </c>
    </row>
    <row r="17" spans="1:19" x14ac:dyDescent="0.25">
      <c r="A17" s="16" t="s">
        <v>14</v>
      </c>
      <c r="B17" s="16">
        <v>7</v>
      </c>
      <c r="F17" s="2">
        <f>24/3*2</f>
        <v>16</v>
      </c>
      <c r="K17" s="45"/>
      <c r="L17" s="10" t="s">
        <v>32</v>
      </c>
      <c r="M17" s="11">
        <v>100</v>
      </c>
      <c r="N17" s="11">
        <f>M17</f>
        <v>100</v>
      </c>
      <c r="O17" s="11">
        <f>N17</f>
        <v>100</v>
      </c>
      <c r="P17" s="11">
        <f t="shared" ref="P17:S17" si="14">O17</f>
        <v>100</v>
      </c>
      <c r="Q17" s="11">
        <f t="shared" si="14"/>
        <v>100</v>
      </c>
      <c r="R17" s="11">
        <f t="shared" si="14"/>
        <v>100</v>
      </c>
      <c r="S17" s="12">
        <f t="shared" si="14"/>
        <v>100</v>
      </c>
    </row>
    <row r="18" spans="1:19" x14ac:dyDescent="0.25">
      <c r="A18" s="16" t="s">
        <v>15</v>
      </c>
      <c r="B18" s="16">
        <f>B7/B17</f>
        <v>10</v>
      </c>
      <c r="K18" s="45"/>
      <c r="L18" s="10" t="s">
        <v>33</v>
      </c>
      <c r="M18" s="11">
        <f>M17-M15-$B$22</f>
        <v>39.066998341635681</v>
      </c>
      <c r="N18" s="11">
        <f t="shared" ref="N18:S18" si="15">N17-N15-$B$22</f>
        <v>49.066998341635681</v>
      </c>
      <c r="O18" s="11">
        <f t="shared" si="15"/>
        <v>59.066998341635681</v>
      </c>
      <c r="P18" s="11">
        <f t="shared" si="15"/>
        <v>69.066998341635681</v>
      </c>
      <c r="Q18" s="11">
        <f t="shared" si="15"/>
        <v>79.066998341635681</v>
      </c>
      <c r="R18" s="11">
        <f t="shared" si="15"/>
        <v>89.066998341635681</v>
      </c>
      <c r="S18" s="12">
        <f t="shared" si="15"/>
        <v>99.066998341635681</v>
      </c>
    </row>
    <row r="19" spans="1:19" x14ac:dyDescent="0.25">
      <c r="A19" s="16" t="s">
        <v>18</v>
      </c>
      <c r="B19" s="16">
        <f>(B8-B10)/2/B7</f>
        <v>0.38571428571428573</v>
      </c>
      <c r="C19" s="16">
        <f>ATAN(B19)*180/PI()</f>
        <v>21.0923395058275</v>
      </c>
      <c r="K19" s="45"/>
      <c r="L19" s="10" t="s">
        <v>35</v>
      </c>
      <c r="M19" s="11">
        <f>3*M12-3*N12+O12</f>
        <v>7.1135218038783643E-3</v>
      </c>
      <c r="N19" s="11">
        <f>0.5*(M12-O12)/$B$22</f>
        <v>-0.19681348513426025</v>
      </c>
      <c r="O19" s="11">
        <f t="shared" ref="O19:Q19" si="16">0.5*(N12-P12)/$B$22</f>
        <v>-0.16048075725721661</v>
      </c>
      <c r="P19" s="11">
        <f t="shared" si="16"/>
        <v>-0.15256573743729088</v>
      </c>
      <c r="Q19" s="11">
        <f t="shared" si="16"/>
        <v>-0.15920698928113197</v>
      </c>
      <c r="R19" s="11">
        <f>0.5*(Q12-S12)/$B$22</f>
        <v>-0.18192351625451977</v>
      </c>
      <c r="S19" s="12">
        <f>3*S12-3*R12+Q12</f>
        <v>1.4764245263161997</v>
      </c>
    </row>
    <row r="20" spans="1:19" x14ac:dyDescent="0.25">
      <c r="A20" s="16" t="s">
        <v>21</v>
      </c>
      <c r="B20" s="16">
        <f>B9*B8</f>
        <v>1.8299999999999998</v>
      </c>
      <c r="K20" s="45"/>
      <c r="L20" s="10" t="s">
        <v>34</v>
      </c>
      <c r="M20" s="11">
        <f>$B$22*(M18/M12)*ABS(M19)</f>
        <v>0.95915595364433726</v>
      </c>
      <c r="N20" s="11">
        <f t="shared" ref="N20:S20" si="17">$B$22*(N18/N12)*ABS(N19)</f>
        <v>18.752097286253189</v>
      </c>
      <c r="O20" s="11">
        <f t="shared" si="17"/>
        <v>13.871235418793592</v>
      </c>
      <c r="P20" s="11">
        <f t="shared" si="17"/>
        <v>12.60518299933641</v>
      </c>
      <c r="Q20" s="11">
        <f t="shared" si="17"/>
        <v>12.734510676315775</v>
      </c>
      <c r="R20" s="11">
        <f t="shared" si="17"/>
        <v>14.036674868198103</v>
      </c>
      <c r="S20" s="12">
        <f t="shared" si="17"/>
        <v>108.15665296628846</v>
      </c>
    </row>
    <row r="21" spans="1:19" x14ac:dyDescent="0.25">
      <c r="A21" s="18" t="s">
        <v>24</v>
      </c>
      <c r="B21" s="16">
        <v>1</v>
      </c>
      <c r="K21" s="45"/>
      <c r="L21" s="10" t="s">
        <v>30</v>
      </c>
      <c r="M21" s="11">
        <f>$B$22+M20</f>
        <v>1.8921576120086567</v>
      </c>
      <c r="N21" s="11">
        <f t="shared" ref="N21:S21" si="18">$B$22+N20</f>
        <v>19.685098944617508</v>
      </c>
      <c r="O21" s="11">
        <f t="shared" si="18"/>
        <v>14.804237077157911</v>
      </c>
      <c r="P21" s="11">
        <f t="shared" si="18"/>
        <v>13.538184657700729</v>
      </c>
      <c r="Q21" s="11">
        <f t="shared" si="18"/>
        <v>13.667512334680094</v>
      </c>
      <c r="R21" s="11">
        <f t="shared" si="18"/>
        <v>14.969676526562424</v>
      </c>
      <c r="S21" s="12">
        <f t="shared" si="18"/>
        <v>109.08965462465278</v>
      </c>
    </row>
    <row r="22" spans="1:19" x14ac:dyDescent="0.25">
      <c r="A22" s="16" t="s">
        <v>36</v>
      </c>
      <c r="B22" s="16">
        <f>COS(RADIANS(C19))</f>
        <v>0.93300165836431947</v>
      </c>
      <c r="K22" s="45"/>
      <c r="L22" s="10" t="s">
        <v>40</v>
      </c>
      <c r="M22" s="11">
        <f>SQRT(M13/(PI()*$B$22*Лист2!$C$2))</f>
        <v>1.3376997333455163</v>
      </c>
      <c r="N22" s="11">
        <f>SQRT(N13/(PI()*$B$22*Лист2!$C$2))</f>
        <v>1.2425517855375663</v>
      </c>
      <c r="O22" s="11">
        <f>SQRT(O13/(PI()*$B$22*Лист2!$C$2))</f>
        <v>1.139486420670524</v>
      </c>
      <c r="P22" s="11">
        <f>SQRT(P13/(PI()*$B$22*Лист2!$C$2))</f>
        <v>1.0261206878542359</v>
      </c>
      <c r="Q22" s="11">
        <f>SQRT(Q13/(PI()*$B$22*Лист2!$C$2))</f>
        <v>0.89856442684560955</v>
      </c>
      <c r="R22" s="11">
        <f>SQRT(R13/(PI()*$B$22*Лист2!$C$2))</f>
        <v>0.74960815920206436</v>
      </c>
      <c r="S22" s="12">
        <f>SQRT(S13/(PI()*$B$22*Лист2!$C$2))</f>
        <v>0.56250044932625232</v>
      </c>
    </row>
    <row r="23" spans="1:19" x14ac:dyDescent="0.25">
      <c r="A23" s="16" t="s">
        <v>37</v>
      </c>
      <c r="B23" s="16">
        <v>1.6</v>
      </c>
      <c r="K23" s="45"/>
      <c r="L23" s="10" t="s">
        <v>39</v>
      </c>
      <c r="M23" s="11">
        <f>$B$23+$B$24*M22*ABS(M19)</f>
        <v>1.6761260497615649</v>
      </c>
      <c r="N23" s="11">
        <f t="shared" ref="N23:S23" si="19">$B$23+$B$24*N22*ABS(N19)</f>
        <v>3.5564075789715708</v>
      </c>
      <c r="O23" s="11">
        <f t="shared" si="19"/>
        <v>3.0629251493881675</v>
      </c>
      <c r="P23" s="11">
        <f t="shared" si="19"/>
        <v>2.8524068755371337</v>
      </c>
      <c r="Q23" s="11">
        <f t="shared" si="19"/>
        <v>2.7444618965857237</v>
      </c>
      <c r="R23" s="11">
        <f t="shared" si="19"/>
        <v>2.690970817080939</v>
      </c>
      <c r="S23" s="12">
        <f t="shared" si="19"/>
        <v>8.2439156755932927</v>
      </c>
    </row>
    <row r="24" spans="1:19" x14ac:dyDescent="0.25">
      <c r="A24" s="16" t="s">
        <v>38</v>
      </c>
      <c r="B24" s="16">
        <v>8</v>
      </c>
      <c r="K24" s="45"/>
      <c r="L24" s="10" t="s">
        <v>41</v>
      </c>
      <c r="M24" s="11">
        <f>M23*$B$22</f>
        <v>1.5638283840551759</v>
      </c>
      <c r="N24" s="11">
        <f t="shared" ref="N24:R24" si="20">N23*$B$22</f>
        <v>3.3181341689999102</v>
      </c>
      <c r="O24" s="11">
        <f t="shared" si="20"/>
        <v>2.8577142438249412</v>
      </c>
      <c r="P24" s="11">
        <f t="shared" si="20"/>
        <v>2.6613003452059329</v>
      </c>
      <c r="Q24" s="11">
        <f t="shared" si="20"/>
        <v>2.5605875008321655</v>
      </c>
      <c r="R24" s="11">
        <f t="shared" si="20"/>
        <v>2.5106802349465038</v>
      </c>
      <c r="S24" s="12">
        <f>S23*$B$22</f>
        <v>7.6915869967441513</v>
      </c>
    </row>
    <row r="25" spans="1:19" x14ac:dyDescent="0.25">
      <c r="A25" s="16" t="s">
        <v>42</v>
      </c>
      <c r="B25" s="16">
        <v>2200</v>
      </c>
      <c r="C25" s="16">
        <f>B25/1000</f>
        <v>2.2000000000000002</v>
      </c>
      <c r="K25" s="45"/>
      <c r="L25" s="10" t="s">
        <v>100</v>
      </c>
      <c r="M25" s="11">
        <f>ABS(M12-$C$25)/$C$25</f>
        <v>0.87712452234051752</v>
      </c>
      <c r="N25" s="11">
        <f t="shared" ref="N25:S25" si="21">ABS(N12-$C$25)/$C$25</f>
        <v>0.78159919732772432</v>
      </c>
      <c r="O25" s="11">
        <f t="shared" si="21"/>
        <v>0.71019060595985739</v>
      </c>
      <c r="P25" s="11">
        <f t="shared" si="21"/>
        <v>0.64548209491268349</v>
      </c>
      <c r="Q25" s="11">
        <f t="shared" si="21"/>
        <v>0.58078689137934125</v>
      </c>
      <c r="R25" s="11">
        <f t="shared" si="21"/>
        <v>0.51044538125587746</v>
      </c>
      <c r="S25" s="12">
        <f t="shared" si="21"/>
        <v>0.42648239832394563</v>
      </c>
    </row>
    <row r="26" spans="1:19" x14ac:dyDescent="0.25">
      <c r="A26" s="13" t="s">
        <v>44</v>
      </c>
      <c r="B26" s="16">
        <v>1.65</v>
      </c>
      <c r="K26" s="45"/>
      <c r="L26" s="10" t="s">
        <v>46</v>
      </c>
      <c r="M26" s="11">
        <f>$B$28*M25*M21*SQRT(Лист2!$C$2/Лист1!$B$14)</f>
        <v>0.85543949203347991</v>
      </c>
      <c r="N26" s="11">
        <f>$B$28*N25*N21*SQRT(Лист2!$C$2/Лист1!$B$14)</f>
        <v>7.9303515602088783</v>
      </c>
      <c r="O26" s="11">
        <f>$B$28*O25*O21*SQRT(Лист2!$C$2/Лист1!$B$14)</f>
        <v>5.4191564399634347</v>
      </c>
      <c r="P26" s="11">
        <f>$B$28*P25*P21*SQRT(Лист2!$C$2/Лист1!$B$14)</f>
        <v>4.5041761537389586</v>
      </c>
      <c r="Q26" s="11">
        <f>$B$28*Q25*Q21*SQRT(Лист2!$C$2/Лист1!$B$14)</f>
        <v>4.0914477913884397</v>
      </c>
      <c r="R26" s="11">
        <f>$B$28*R25*R21*SQRT(Лист2!$C$2/Лист1!$B$14)</f>
        <v>3.9385143132353022</v>
      </c>
      <c r="S26" s="12">
        <f>$B$28*S25*S21*SQRT(Лист2!$C$2/Лист1!$B$14)</f>
        <v>23.980344190409134</v>
      </c>
    </row>
    <row r="27" spans="1:19" x14ac:dyDescent="0.25">
      <c r="A27" s="13" t="s">
        <v>45</v>
      </c>
      <c r="B27" s="16">
        <v>8.1</v>
      </c>
      <c r="K27" s="45"/>
      <c r="L27" s="10" t="s">
        <v>78</v>
      </c>
      <c r="M27" s="11">
        <f>M12*SQRT(Лист2!$C$2/Лист1!$B$14)/(SQRT(Лист2!$C$2/Лист1!$B$14)+1)</f>
        <v>0.13559348528635626</v>
      </c>
      <c r="N27" s="11">
        <f>N12*SQRT(Лист2!$C$2/Лист1!$B$14)/(SQRT(Лист2!$C$2/Лист1!$B$14)+1)</f>
        <v>0.24100598905290424</v>
      </c>
      <c r="O27" s="11">
        <f>O12*SQRT(Лист2!$C$2/Лист1!$B$14)/(SQRT(Лист2!$C$2/Лист1!$B$14)+1)</f>
        <v>0.31980559958048999</v>
      </c>
      <c r="P27" s="11">
        <f>P12*SQRT(Лист2!$C$2/Лист1!$B$14)/(SQRT(Лист2!$C$2/Лист1!$B$14)+1)</f>
        <v>0.39121164989829232</v>
      </c>
      <c r="Q27" s="11">
        <f>Q12*SQRT(Лист2!$C$2/Лист1!$B$14)/(SQRT(Лист2!$C$2/Лист1!$B$14)+1)</f>
        <v>0.46260301533172787</v>
      </c>
      <c r="R27" s="11">
        <f>R12*SQRT(Лист2!$C$2/Лист1!$B$14)/(SQRT(Лист2!$C$2/Лист1!$B$14)+1)</f>
        <v>0.54022509826985199</v>
      </c>
      <c r="S27" s="12">
        <f>S12*SQRT(Лист2!$C$2/Лист1!$B$14)/(SQRT(Лист2!$C$2/Лист1!$B$14)+1)</f>
        <v>0.63287852031659753</v>
      </c>
    </row>
    <row r="28" spans="1:19" ht="19.5" thickBot="1" x14ac:dyDescent="0.3">
      <c r="A28" s="18" t="s">
        <v>43</v>
      </c>
      <c r="B28" s="16">
        <f>(B3*B4^2)/(B26*B27^2)</f>
        <v>0.51215862326973449</v>
      </c>
      <c r="K28" s="45"/>
      <c r="L28" s="10" t="s">
        <v>47</v>
      </c>
      <c r="M28" s="11" t="s">
        <v>50</v>
      </c>
      <c r="N28" s="11" t="s">
        <v>50</v>
      </c>
      <c r="O28" s="11" t="s">
        <v>50</v>
      </c>
      <c r="P28" s="11" t="s">
        <v>50</v>
      </c>
      <c r="Q28" s="11" t="s">
        <v>50</v>
      </c>
      <c r="R28" s="11" t="s">
        <v>50</v>
      </c>
      <c r="S28" s="12" t="s">
        <v>50</v>
      </c>
    </row>
    <row r="29" spans="1:19" x14ac:dyDescent="0.25">
      <c r="A29" s="42" t="s">
        <v>51</v>
      </c>
      <c r="B29" s="43"/>
      <c r="C29" s="19"/>
      <c r="D29" s="19"/>
      <c r="E29" s="19"/>
      <c r="F29" s="19"/>
      <c r="G29" s="19"/>
      <c r="H29" s="19"/>
      <c r="K29" s="45"/>
      <c r="L29" s="10" t="s">
        <v>48</v>
      </c>
      <c r="M29" s="11" t="s">
        <v>50</v>
      </c>
      <c r="N29" s="11" t="s">
        <v>50</v>
      </c>
      <c r="O29" s="11" t="s">
        <v>50</v>
      </c>
      <c r="P29" s="11" t="s">
        <v>50</v>
      </c>
      <c r="Q29" s="11" t="s">
        <v>50</v>
      </c>
      <c r="R29" s="11" t="s">
        <v>50</v>
      </c>
      <c r="S29" s="12" t="s">
        <v>50</v>
      </c>
    </row>
    <row r="30" spans="1:19" ht="19.5" thickBot="1" x14ac:dyDescent="0.3">
      <c r="A30" s="20" t="s">
        <v>54</v>
      </c>
      <c r="B30" s="21">
        <f>SUM(M26:S26)</f>
        <v>50.719429940977626</v>
      </c>
      <c r="K30" s="45"/>
      <c r="L30" s="10" t="s">
        <v>49</v>
      </c>
      <c r="M30" s="11" t="s">
        <v>50</v>
      </c>
      <c r="N30" s="11" t="s">
        <v>50</v>
      </c>
      <c r="O30" s="11" t="s">
        <v>50</v>
      </c>
      <c r="P30" s="11" t="s">
        <v>50</v>
      </c>
      <c r="Q30" s="11" t="s">
        <v>50</v>
      </c>
      <c r="R30" s="11" t="s">
        <v>50</v>
      </c>
      <c r="S30" s="12" t="s">
        <v>50</v>
      </c>
    </row>
    <row r="31" spans="1:19" ht="19.5" thickBot="1" x14ac:dyDescent="0.3">
      <c r="A31" s="16" t="s">
        <v>53</v>
      </c>
      <c r="B31" s="16">
        <v>2.9</v>
      </c>
      <c r="K31" s="46"/>
      <c r="L31" s="22" t="s">
        <v>52</v>
      </c>
      <c r="M31" s="23">
        <f>SQRT(4*M14/($B$31*PI()*(M26*10^-3)))</f>
        <v>27.875498639277296</v>
      </c>
      <c r="N31" s="23">
        <f t="shared" ref="N31:S31" si="22">SQRT(4*N14/($B$31*PI()*(N26*10^-3)))</f>
        <v>15.115271101194653</v>
      </c>
      <c r="O31" s="23">
        <f t="shared" si="22"/>
        <v>22.250982996322968</v>
      </c>
      <c r="P31" s="23">
        <f t="shared" si="22"/>
        <v>26.885763101703368</v>
      </c>
      <c r="Q31" s="23">
        <f t="shared" si="22"/>
        <v>29.210500750647785</v>
      </c>
      <c r="R31" s="23">
        <f t="shared" si="22"/>
        <v>29.004319232132186</v>
      </c>
      <c r="S31" s="23">
        <f t="shared" si="22"/>
        <v>10.333212295011664</v>
      </c>
    </row>
    <row r="35" spans="1:19" ht="19.5" thickBot="1" x14ac:dyDescent="0.3"/>
    <row r="36" spans="1:19" ht="19.5" thickBot="1" x14ac:dyDescent="0.3">
      <c r="A36" s="24" t="s">
        <v>0</v>
      </c>
      <c r="B36" s="25" t="s">
        <v>75</v>
      </c>
      <c r="C36" s="26" t="s">
        <v>76</v>
      </c>
      <c r="K36" s="27" t="s">
        <v>56</v>
      </c>
      <c r="L36" s="2" t="s">
        <v>79</v>
      </c>
      <c r="M36" s="2">
        <f>4.5*$B$38*(M27*$B$45)</f>
        <v>0.91525602568290498</v>
      </c>
      <c r="N36" s="2">
        <f t="shared" ref="N36:S36" si="23">4.5*$B$38*(N27*$B$45)</f>
        <v>1.626790426107104</v>
      </c>
      <c r="O36" s="2">
        <f t="shared" si="23"/>
        <v>2.1586877971683078</v>
      </c>
      <c r="P36" s="2">
        <f t="shared" si="23"/>
        <v>2.6406786368134738</v>
      </c>
      <c r="Q36" s="2">
        <f t="shared" si="23"/>
        <v>3.1225703534891638</v>
      </c>
      <c r="R36" s="2">
        <f t="shared" si="23"/>
        <v>3.6465194133215015</v>
      </c>
      <c r="S36" s="2">
        <f t="shared" si="23"/>
        <v>4.2719300121370338</v>
      </c>
    </row>
    <row r="37" spans="1:19" x14ac:dyDescent="0.25">
      <c r="A37" s="28" t="s">
        <v>57</v>
      </c>
      <c r="B37" s="29">
        <v>60</v>
      </c>
      <c r="C37" s="30" t="s">
        <v>61</v>
      </c>
      <c r="L37" s="2" t="s">
        <v>80</v>
      </c>
      <c r="M37" s="2">
        <f>SQRT(Лист1!$B$14*Лист2!$C$2)*M31*M12/(SQRT(2*$B$41)*(SQRT(Лист2!$C$2)+SQRT(Лист1!$B$14)))</f>
        <v>0.33381724618747372</v>
      </c>
      <c r="N37" s="2">
        <f>SQRT(Лист1!$B$14*Лист2!$C$2)*N31*N12/(SQRT(2*$B$41)*(SQRT(Лист2!$C$2)+SQRT(Лист1!$B$14)))</f>
        <v>0.32172964316089725</v>
      </c>
      <c r="O37" s="2">
        <f>SQRT(Лист1!$B$14*Лист2!$C$2)*O31*O12/(SQRT(2*$B$41)*(SQRT(Лист2!$C$2)+SQRT(Лист1!$B$14)))</f>
        <v>0.6284671280796833</v>
      </c>
      <c r="P37" s="2">
        <f>SQRT(Лист1!$B$14*Лист2!$C$2)*P31*P12/(SQRT(2*$B$41)*(SQRT(Лист2!$C$2)+SQRT(Лист1!$B$14)))</f>
        <v>0.92892670473865813</v>
      </c>
      <c r="Q37" s="2">
        <f>SQRT(Лист1!$B$14*Лист2!$C$2)*Q31*Q12/(SQRT(2*$B$41)*(SQRT(Лист2!$C$2)+SQRT(Лист1!$B$14)))</f>
        <v>1.1934239871612309</v>
      </c>
      <c r="R37" s="2">
        <f>SQRT(Лист1!$B$14*Лист2!$C$2)*R31*R12/(SQRT(2*$B$41)*(SQRT(Лист2!$C$2)+SQRT(Лист1!$B$14)))</f>
        <v>1.3838363523169188</v>
      </c>
      <c r="S37" s="2">
        <f>SQRT(Лист1!$B$14*Лист2!$C$2)*S31*S12/(SQRT(2*$B$41)*(SQRT(Лист2!$C$2)+SQRT(Лист1!$B$14)))</f>
        <v>0.57756784869568556</v>
      </c>
    </row>
    <row r="38" spans="1:19" x14ac:dyDescent="0.25">
      <c r="A38" s="31" t="s">
        <v>101</v>
      </c>
      <c r="B38" s="29">
        <v>3</v>
      </c>
      <c r="C38" s="30" t="s">
        <v>62</v>
      </c>
      <c r="L38" s="47" t="s">
        <v>86</v>
      </c>
      <c r="M38" s="47"/>
      <c r="N38" s="47"/>
      <c r="O38" s="47"/>
      <c r="P38" s="47"/>
      <c r="Q38" s="47"/>
      <c r="R38" s="47"/>
      <c r="S38" s="47"/>
    </row>
    <row r="39" spans="1:19" x14ac:dyDescent="0.25">
      <c r="A39" s="31" t="s">
        <v>101</v>
      </c>
      <c r="B39" s="29">
        <v>3</v>
      </c>
      <c r="C39" s="30" t="s">
        <v>62</v>
      </c>
      <c r="L39" s="2" t="s">
        <v>87</v>
      </c>
      <c r="M39" s="2">
        <f>SQRT(2*B48)*SQRT(3*B49/(3+B49+(B50/B49)*((B49+2)/POWER(B50+2,2))*(B49+2*B50+6)))</f>
        <v>0.83760064281008995</v>
      </c>
      <c r="N39" s="2" t="s">
        <v>91</v>
      </c>
      <c r="O39" s="2">
        <f>M39*(B50/B49)*((B49+2)/(B50+2))</f>
        <v>0.83760064281008995</v>
      </c>
    </row>
    <row r="40" spans="1:19" x14ac:dyDescent="0.25">
      <c r="A40" s="28" t="s">
        <v>58</v>
      </c>
      <c r="B40" s="29">
        <v>4</v>
      </c>
      <c r="C40" s="30" t="s">
        <v>62</v>
      </c>
      <c r="K40" s="2" t="s">
        <v>92</v>
      </c>
      <c r="L40" s="32" t="s">
        <v>93</v>
      </c>
      <c r="M40" s="2">
        <f>D46*B38*M39/B51</f>
        <v>1.0889472348747555</v>
      </c>
      <c r="N40" s="32" t="s">
        <v>94</v>
      </c>
      <c r="O40" s="2">
        <f>D46*B39*O39/B51</f>
        <v>1.0889472348747555</v>
      </c>
    </row>
    <row r="41" spans="1:19" x14ac:dyDescent="0.25">
      <c r="A41" s="28" t="s">
        <v>83</v>
      </c>
      <c r="B41" s="29">
        <v>500</v>
      </c>
      <c r="C41" s="30" t="s">
        <v>63</v>
      </c>
      <c r="K41" s="2" t="s">
        <v>96</v>
      </c>
      <c r="L41" s="32" t="s">
        <v>97</v>
      </c>
      <c r="M41" s="2">
        <f>2*ASIN(M39/(2*B44))</f>
        <v>0.12146605500873414</v>
      </c>
      <c r="N41" s="2" t="s">
        <v>98</v>
      </c>
      <c r="O41" s="2">
        <f>2*ASIN(O39/(2*B44))</f>
        <v>0.12146605500873414</v>
      </c>
    </row>
    <row r="42" spans="1:19" x14ac:dyDescent="0.25">
      <c r="A42" s="31" t="s">
        <v>59</v>
      </c>
      <c r="B42" s="29">
        <v>3.1</v>
      </c>
      <c r="C42" s="30"/>
      <c r="L42" s="47" t="s">
        <v>102</v>
      </c>
      <c r="M42" s="47"/>
      <c r="N42" s="47"/>
      <c r="O42" s="47"/>
      <c r="P42" s="47"/>
      <c r="Q42" s="47"/>
      <c r="R42" s="47"/>
      <c r="S42" s="47"/>
    </row>
    <row r="43" spans="1:19" x14ac:dyDescent="0.25">
      <c r="A43" s="31" t="s">
        <v>81</v>
      </c>
      <c r="B43" s="29">
        <v>1.55</v>
      </c>
      <c r="C43" s="30" t="s">
        <v>64</v>
      </c>
      <c r="K43" s="2" t="s">
        <v>105</v>
      </c>
      <c r="L43" s="2" t="s">
        <v>103</v>
      </c>
      <c r="M43" s="2">
        <f>M12+$M$39/$B$45</f>
        <v>1.945527336471041</v>
      </c>
      <c r="N43" s="37">
        <f t="shared" ref="N43:S43" si="24">N12+$M$39/$B$45</f>
        <v>2.155683051499186</v>
      </c>
      <c r="O43" s="37">
        <f t="shared" si="24"/>
        <v>2.3127819525084932</v>
      </c>
      <c r="P43" s="37">
        <f t="shared" si="24"/>
        <v>2.4551406768122757</v>
      </c>
      <c r="Q43" s="37">
        <f t="shared" si="24"/>
        <v>2.5974701245856289</v>
      </c>
      <c r="R43" s="37">
        <f t="shared" si="24"/>
        <v>2.752221446857249</v>
      </c>
      <c r="S43" s="37">
        <f t="shared" si="24"/>
        <v>2.9369400093074991</v>
      </c>
    </row>
    <row r="44" spans="1:19" ht="19.5" thickBot="1" x14ac:dyDescent="0.3">
      <c r="A44" s="33" t="s">
        <v>60</v>
      </c>
      <c r="B44" s="34">
        <v>6.9</v>
      </c>
      <c r="C44" s="35" t="s">
        <v>65</v>
      </c>
      <c r="L44" s="37" t="s">
        <v>104</v>
      </c>
      <c r="M44" s="37">
        <f>M12-$O$39/$B$45</f>
        <v>-1.4048752347693179</v>
      </c>
      <c r="N44" s="37">
        <f t="shared" ref="N44:S44" si="25">N12-$O$39/$B$45</f>
        <v>-1.1947195197411729</v>
      </c>
      <c r="O44" s="37">
        <f t="shared" si="25"/>
        <v>-1.0376206187318657</v>
      </c>
      <c r="P44" s="37">
        <f t="shared" si="25"/>
        <v>-0.89526189442808302</v>
      </c>
      <c r="Q44" s="37">
        <f t="shared" si="25"/>
        <v>-0.75293244665473014</v>
      </c>
      <c r="R44" s="37">
        <f t="shared" si="25"/>
        <v>-0.59818112438310989</v>
      </c>
      <c r="S44" s="37">
        <f t="shared" si="25"/>
        <v>-0.4134625619328598</v>
      </c>
    </row>
    <row r="45" spans="1:19" x14ac:dyDescent="0.25">
      <c r="A45" s="27" t="s">
        <v>77</v>
      </c>
      <c r="B45" s="27">
        <f>COS(RADIANS(B37))</f>
        <v>0.50000000000000011</v>
      </c>
      <c r="C45" s="27"/>
      <c r="K45" s="2" t="s">
        <v>106</v>
      </c>
      <c r="L45" s="2" t="s">
        <v>107</v>
      </c>
      <c r="M45" s="2">
        <f>M39*TAN(RADIANS(B37))</f>
        <v>1.4507668697994265</v>
      </c>
      <c r="N45" s="2" t="s">
        <v>108</v>
      </c>
      <c r="O45" s="37">
        <f>O39*TAN(RADIANS(B37))</f>
        <v>1.4507668697994265</v>
      </c>
    </row>
    <row r="46" spans="1:19" x14ac:dyDescent="0.25">
      <c r="A46" s="36" t="s">
        <v>90</v>
      </c>
      <c r="B46" s="36">
        <v>7800</v>
      </c>
      <c r="C46" s="36" t="s">
        <v>82</v>
      </c>
      <c r="D46" s="10">
        <v>7.8</v>
      </c>
      <c r="E46" s="10" t="s">
        <v>64</v>
      </c>
      <c r="L46" s="2" t="s">
        <v>109</v>
      </c>
      <c r="M46" s="2">
        <f>((PI()*$D$8^2)/4)*Лист2!$C$2*M43</f>
        <v>449.17334893226905</v>
      </c>
      <c r="N46" s="37">
        <f>((PI()*$D$8^2)/4)*Лист2!$C$2*N43</f>
        <v>497.69301994736333</v>
      </c>
      <c r="O46" s="37">
        <f>((PI()*$D$8^2)/4)*Лист2!$C$2*O43</f>
        <v>533.96320652203542</v>
      </c>
      <c r="P46" s="37">
        <f>((PI()*$D$8^2)/4)*Лист2!$C$2*P43</f>
        <v>566.83025688239786</v>
      </c>
      <c r="Q46" s="37">
        <f>((PI()*$D$8^2)/4)*Лист2!$C$2*Q43</f>
        <v>599.69054802793391</v>
      </c>
      <c r="R46" s="37">
        <f>((PI()*$D$8^2)/4)*Лист2!$C$2*R43</f>
        <v>635.41873769322217</v>
      </c>
      <c r="S46" s="37">
        <f>((PI()*$D$8^2)/4)*Лист2!$C$2*S43</f>
        <v>678.06560970080454</v>
      </c>
    </row>
    <row r="47" spans="1:19" x14ac:dyDescent="0.25">
      <c r="A47" s="32" t="s">
        <v>84</v>
      </c>
      <c r="B47" s="2">
        <f>B40/B44</f>
        <v>0.57971014492753625</v>
      </c>
      <c r="L47" s="37" t="s">
        <v>110</v>
      </c>
      <c r="M47" s="37">
        <f>((PI()*$D$8^2)/4)*Лист2!$C$2*ABS(M44)</f>
        <v>324.35037133837523</v>
      </c>
      <c r="N47" s="37">
        <f>((PI()*$D$8^2)/4)*Лист2!$C$2*ABS(N44)</f>
        <v>275.83070032328095</v>
      </c>
      <c r="O47" s="37">
        <f>((PI()*$D$8^2)/4)*Лист2!$C$2*ABS(O44)</f>
        <v>239.56051374860888</v>
      </c>
      <c r="P47" s="37">
        <f>((PI()*$D$8^2)/4)*Лист2!$C$2*ABS(P44)</f>
        <v>206.69346338824636</v>
      </c>
      <c r="Q47" s="37">
        <f>((PI()*$D$8^2)/4)*Лист2!$C$2*ABS(Q44)</f>
        <v>173.83317224271045</v>
      </c>
      <c r="R47" s="37">
        <f>((PI()*$D$8^2)/4)*Лист2!$C$2*ABS(R44)</f>
        <v>138.10498257742216</v>
      </c>
      <c r="S47" s="37">
        <f>((PI()*$D$8^2)/4)*Лист2!$C$2*ABS(S44)</f>
        <v>95.45811056983969</v>
      </c>
    </row>
    <row r="48" spans="1:19" x14ac:dyDescent="0.25">
      <c r="A48" s="2" t="s">
        <v>85</v>
      </c>
      <c r="B48" s="2">
        <f>POWER(B44,2)/(2*(B42^2-1))</f>
        <v>2.764808362369338</v>
      </c>
      <c r="L48" s="37" t="s">
        <v>111</v>
      </c>
    </row>
    <row r="49" spans="1:12" x14ac:dyDescent="0.25">
      <c r="A49" s="18" t="s">
        <v>88</v>
      </c>
      <c r="B49" s="2">
        <f>$B$43*$B$40/($D$46*B38)</f>
        <v>0.26495726495726496</v>
      </c>
      <c r="L49" s="37" t="s">
        <v>112</v>
      </c>
    </row>
    <row r="50" spans="1:12" x14ac:dyDescent="0.25">
      <c r="A50" s="18" t="s">
        <v>89</v>
      </c>
      <c r="B50" s="2">
        <f>$B$43*$B$40/($D$46*B39)</f>
        <v>0.26495726495726496</v>
      </c>
    </row>
    <row r="51" spans="1:12" x14ac:dyDescent="0.25">
      <c r="A51" s="36" t="s">
        <v>95</v>
      </c>
      <c r="B51" s="2">
        <f>2*(B42-1)*B43*B48</f>
        <v>17.998902439024391</v>
      </c>
    </row>
  </sheetData>
  <mergeCells count="5">
    <mergeCell ref="D1:H1"/>
    <mergeCell ref="A29:B29"/>
    <mergeCell ref="K1:K31"/>
    <mergeCell ref="L38:S38"/>
    <mergeCell ref="L42:S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3" width="17" bestFit="1" customWidth="1"/>
  </cols>
  <sheetData>
    <row r="1" spans="1:3" x14ac:dyDescent="0.25">
      <c r="A1" t="s">
        <v>6</v>
      </c>
      <c r="B1" t="s">
        <v>9</v>
      </c>
      <c r="C1" t="s">
        <v>10</v>
      </c>
    </row>
    <row r="2" spans="1:3" x14ac:dyDescent="0.25">
      <c r="A2" t="s">
        <v>11</v>
      </c>
      <c r="B2">
        <v>7900</v>
      </c>
      <c r="C2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2023-08-24T14:29:33Z</dcterms:modified>
</cp:coreProperties>
</file>