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sib\2022-1\projects\Vitya_project_DZ\"/>
    </mc:Choice>
  </mc:AlternateContent>
  <bookViews>
    <workbookView xWindow="0" yWindow="0" windowWidth="16380" windowHeight="8190" tabRatio="994"/>
  </bookViews>
  <sheets>
    <sheet name="Алгоритм расчета ДЗ" sheetId="1" r:id="rId1"/>
    <sheet name="База данных материалов" sheetId="2" r:id="rId2"/>
  </sheets>
  <definedNames>
    <definedName name="Tables_next">'База данных материалов'!$A$190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8" i="1" l="1"/>
  <c r="M37" i="1"/>
  <c r="M33" i="1"/>
  <c r="M32" i="1"/>
  <c r="M24" i="1" s="1"/>
  <c r="M31" i="1"/>
  <c r="J21" i="1"/>
  <c r="M20" i="1"/>
  <c r="M21" i="1" s="1"/>
  <c r="V8" i="1" s="1"/>
  <c r="J20" i="1"/>
  <c r="M19" i="1"/>
  <c r="M39" i="1" s="1"/>
  <c r="M18" i="1"/>
  <c r="M17" i="1"/>
  <c r="M16" i="1"/>
  <c r="M15" i="1"/>
  <c r="V14" i="1"/>
  <c r="M14" i="1"/>
  <c r="M13" i="1"/>
  <c r="M12" i="1"/>
  <c r="M11" i="1"/>
  <c r="V7" i="1"/>
  <c r="M7" i="1"/>
  <c r="M6" i="1"/>
  <c r="M5" i="1"/>
  <c r="M3" i="1"/>
  <c r="M2" i="1"/>
  <c r="M4" i="1" l="1"/>
  <c r="M10" i="1"/>
  <c r="M25" i="1"/>
  <c r="M26" i="1"/>
  <c r="M36" i="1"/>
  <c r="Q16" i="1"/>
  <c r="U19" i="1" s="1"/>
  <c r="U20" i="1"/>
  <c r="M22" i="1"/>
  <c r="U10" i="1" s="1"/>
  <c r="S16" i="1"/>
  <c r="M8" i="1" l="1"/>
  <c r="U3" i="1" s="1"/>
  <c r="M23" i="1"/>
  <c r="U12" i="1" s="1"/>
  <c r="M9" i="1"/>
  <c r="U4" i="1" s="1"/>
  <c r="U5" i="1"/>
  <c r="U21" i="1"/>
  <c r="U17" i="1"/>
  <c r="U24" i="1" l="1"/>
  <c r="U18" i="1"/>
  <c r="U22" i="1"/>
  <c r="U25" i="1" l="1"/>
  <c r="M27" i="1"/>
  <c r="U23" i="1"/>
  <c r="M28" i="1" l="1"/>
  <c r="M30" i="1" s="1"/>
  <c r="M35" i="1" s="1"/>
  <c r="V18" i="1" s="1"/>
  <c r="M29" i="1"/>
  <c r="M34" i="1" s="1"/>
  <c r="V17" i="1" s="1"/>
  <c r="V24" i="1" l="1"/>
  <c r="U27" i="1"/>
  <c r="V22" i="1"/>
  <c r="U28" i="1"/>
  <c r="V25" i="1"/>
  <c r="V23" i="1"/>
  <c r="U30" i="1" l="1"/>
  <c r="V30" i="1" s="1"/>
  <c r="P32" i="1" s="1"/>
  <c r="R32" i="1" s="1"/>
  <c r="U32" i="1"/>
  <c r="U31" i="1"/>
  <c r="U29" i="1"/>
  <c r="V29" i="1" s="1"/>
  <c r="P31" i="1" s="1"/>
  <c r="R31" i="1" s="1"/>
  <c r="M51" i="1" l="1"/>
  <c r="M57" i="1" s="1"/>
  <c r="M41" i="1"/>
  <c r="M49" i="1" s="1"/>
  <c r="U68" i="1" s="1"/>
  <c r="M43" i="1"/>
  <c r="M53" i="1"/>
  <c r="M55" i="1" s="1"/>
  <c r="U73" i="1" s="1"/>
  <c r="Q56" i="1"/>
  <c r="Q52" i="1"/>
  <c r="Q48" i="1"/>
  <c r="Q44" i="1"/>
  <c r="Q40" i="1"/>
  <c r="Q36" i="1"/>
  <c r="Q63" i="1"/>
  <c r="Q61" i="1"/>
  <c r="Q59" i="1"/>
  <c r="Q57" i="1"/>
  <c r="Q53" i="1"/>
  <c r="Q49" i="1"/>
  <c r="Q45" i="1"/>
  <c r="Q41" i="1"/>
  <c r="Q37" i="1"/>
  <c r="Q54" i="1"/>
  <c r="Q50" i="1"/>
  <c r="Q46" i="1"/>
  <c r="Q47" i="1"/>
  <c r="Q38" i="1"/>
  <c r="Q58" i="1"/>
  <c r="Q51" i="1"/>
  <c r="Q39" i="1"/>
  <c r="Q60" i="1"/>
  <c r="Q55" i="1"/>
  <c r="Q42" i="1"/>
  <c r="Q62" i="1"/>
  <c r="Q43" i="1"/>
  <c r="Q35" i="1"/>
  <c r="M40" i="1"/>
  <c r="M48" i="1" s="1"/>
  <c r="U67" i="1" s="1"/>
  <c r="M50" i="1"/>
  <c r="M56" i="1" s="1"/>
  <c r="M42" i="1"/>
  <c r="M52" i="1"/>
  <c r="M54" i="1" s="1"/>
  <c r="U72" i="1" s="1"/>
  <c r="R43" i="1" l="1"/>
  <c r="S43" i="1"/>
  <c r="T43" i="1"/>
  <c r="U43" i="1" s="1"/>
  <c r="V43" i="1" s="1"/>
  <c r="R38" i="1"/>
  <c r="T38" i="1"/>
  <c r="U38" i="1" s="1"/>
  <c r="V38" i="1" s="1"/>
  <c r="S38" i="1"/>
  <c r="R49" i="1"/>
  <c r="T49" i="1"/>
  <c r="U49" i="1" s="1"/>
  <c r="V49" i="1" s="1"/>
  <c r="S49" i="1"/>
  <c r="R61" i="1"/>
  <c r="S61" i="1"/>
  <c r="T61" i="1"/>
  <c r="U61" i="1" s="1"/>
  <c r="V61" i="1" s="1"/>
  <c r="R44" i="1"/>
  <c r="T44" i="1"/>
  <c r="U44" i="1" s="1"/>
  <c r="V44" i="1" s="1"/>
  <c r="S44" i="1"/>
  <c r="R42" i="1"/>
  <c r="S42" i="1"/>
  <c r="T42" i="1"/>
  <c r="U42" i="1" s="1"/>
  <c r="V42" i="1" s="1"/>
  <c r="R46" i="1"/>
  <c r="T46" i="1"/>
  <c r="U46" i="1" s="1"/>
  <c r="V46" i="1" s="1"/>
  <c r="S46" i="1"/>
  <c r="R41" i="1"/>
  <c r="S41" i="1"/>
  <c r="T41" i="1"/>
  <c r="U41" i="1" s="1"/>
  <c r="V41" i="1" s="1"/>
  <c r="S36" i="1"/>
  <c r="R36" i="1"/>
  <c r="T36" i="1"/>
  <c r="U36" i="1" s="1"/>
  <c r="V36" i="1" s="1"/>
  <c r="R52" i="1"/>
  <c r="S52" i="1"/>
  <c r="T52" i="1"/>
  <c r="U52" i="1" s="1"/>
  <c r="V52" i="1" s="1"/>
  <c r="M44" i="1"/>
  <c r="M46" i="1" s="1"/>
  <c r="R60" i="1"/>
  <c r="S60" i="1"/>
  <c r="T60" i="1"/>
  <c r="U60" i="1" s="1"/>
  <c r="V60" i="1" s="1"/>
  <c r="R54" i="1"/>
  <c r="T54" i="1"/>
  <c r="U54" i="1" s="1"/>
  <c r="V54" i="1" s="1"/>
  <c r="S54" i="1"/>
  <c r="R62" i="1"/>
  <c r="S62" i="1"/>
  <c r="T62" i="1"/>
  <c r="U62" i="1" s="1"/>
  <c r="V62" i="1" s="1"/>
  <c r="R39" i="1"/>
  <c r="S39" i="1"/>
  <c r="T39" i="1"/>
  <c r="U39" i="1" s="1"/>
  <c r="V39" i="1" s="1"/>
  <c r="R47" i="1"/>
  <c r="T47" i="1"/>
  <c r="U47" i="1" s="1"/>
  <c r="V47" i="1" s="1"/>
  <c r="S47" i="1"/>
  <c r="R37" i="1"/>
  <c r="T37" i="1"/>
  <c r="U37" i="1" s="1"/>
  <c r="V37" i="1" s="1"/>
  <c r="S37" i="1"/>
  <c r="R53" i="1"/>
  <c r="S53" i="1"/>
  <c r="T53" i="1"/>
  <c r="U53" i="1" s="1"/>
  <c r="V53" i="1" s="1"/>
  <c r="R63" i="1"/>
  <c r="T63" i="1"/>
  <c r="U63" i="1" s="1"/>
  <c r="V63" i="1" s="1"/>
  <c r="S63" i="1"/>
  <c r="R48" i="1"/>
  <c r="S48" i="1"/>
  <c r="T48" i="1"/>
  <c r="U48" i="1" s="1"/>
  <c r="V48" i="1" s="1"/>
  <c r="M45" i="1"/>
  <c r="M47" i="1" s="1"/>
  <c r="R51" i="1"/>
  <c r="S51" i="1"/>
  <c r="T51" i="1"/>
  <c r="U51" i="1" s="1"/>
  <c r="V51" i="1" s="1"/>
  <c r="R57" i="1"/>
  <c r="S57" i="1"/>
  <c r="T57" i="1"/>
  <c r="U57" i="1" s="1"/>
  <c r="V57" i="1" s="1"/>
  <c r="R35" i="1"/>
  <c r="S35" i="1"/>
  <c r="T35" i="1"/>
  <c r="U35" i="1" s="1"/>
  <c r="V35" i="1" s="1"/>
  <c r="R55" i="1"/>
  <c r="T55" i="1"/>
  <c r="U55" i="1" s="1"/>
  <c r="V55" i="1" s="1"/>
  <c r="S55" i="1"/>
  <c r="R58" i="1"/>
  <c r="T58" i="1"/>
  <c r="U58" i="1" s="1"/>
  <c r="V58" i="1" s="1"/>
  <c r="S58" i="1"/>
  <c r="R50" i="1"/>
  <c r="T50" i="1"/>
  <c r="U50" i="1" s="1"/>
  <c r="V50" i="1" s="1"/>
  <c r="S50" i="1"/>
  <c r="R45" i="1"/>
  <c r="S45" i="1"/>
  <c r="T45" i="1"/>
  <c r="U45" i="1" s="1"/>
  <c r="V45" i="1" s="1"/>
  <c r="R59" i="1"/>
  <c r="S59" i="1"/>
  <c r="T59" i="1"/>
  <c r="U59" i="1" s="1"/>
  <c r="V59" i="1" s="1"/>
  <c r="R40" i="1"/>
  <c r="T40" i="1"/>
  <c r="U40" i="1" s="1"/>
  <c r="V40" i="1" s="1"/>
  <c r="S40" i="1"/>
  <c r="R56" i="1"/>
  <c r="S56" i="1"/>
  <c r="T56" i="1"/>
  <c r="U56" i="1" s="1"/>
  <c r="V56" i="1" s="1"/>
</calcChain>
</file>

<file path=xl/sharedStrings.xml><?xml version="1.0" encoding="utf-8"?>
<sst xmlns="http://schemas.openxmlformats.org/spreadsheetml/2006/main" count="633" uniqueCount="493">
  <si>
    <t>Вводные данные</t>
  </si>
  <si>
    <t>Промежуточные результаты</t>
  </si>
  <si>
    <t>Результат</t>
  </si>
  <si>
    <t>Эмпирический коэффициент</t>
  </si>
  <si>
    <t>n=</t>
  </si>
  <si>
    <t>-</t>
  </si>
  <si>
    <t>δ1=</t>
  </si>
  <si>
    <t>м</t>
  </si>
  <si>
    <t>Формирование отверстий в пластинах ЭДЗ при их пробитии КС</t>
  </si>
  <si>
    <t>Толщина пластины (лицевой)</t>
  </si>
  <si>
    <t>мм</t>
  </si>
  <si>
    <t>δ2=</t>
  </si>
  <si>
    <t>Время формирования отверстия в пластине</t>
  </si>
  <si>
    <t>T(e)=</t>
  </si>
  <si>
    <t>мкс</t>
  </si>
  <si>
    <t>Толщина пластины (тыльной)</t>
  </si>
  <si>
    <t>u=</t>
  </si>
  <si>
    <t>м/с</t>
  </si>
  <si>
    <t>Диаметр отверстия в пластине</t>
  </si>
  <si>
    <t>D(c)=</t>
  </si>
  <si>
    <t>Угол между КС и нормалью к пластине</t>
  </si>
  <si>
    <t>q=</t>
  </si>
  <si>
    <t>градусы</t>
  </si>
  <si>
    <t>cos()=</t>
  </si>
  <si>
    <t>Диаметр отверстия в полубесконечной преграде</t>
  </si>
  <si>
    <t>D(cf)=</t>
  </si>
  <si>
    <t>плотность материала пластины (лицевой)</t>
  </si>
  <si>
    <t>P(p1)=</t>
  </si>
  <si>
    <t>г/см3</t>
  </si>
  <si>
    <t>sin()=</t>
  </si>
  <si>
    <t>Инициирование детонации в заряде ВВ ЭДЗ</t>
  </si>
  <si>
    <t>плотность материала пластины (тыльной)</t>
  </si>
  <si>
    <t>P(p2)=</t>
  </si>
  <si>
    <r>
      <rPr>
        <sz val="11"/>
        <color rgb="FF000000"/>
        <rFont val="Symbol"/>
        <family val="1"/>
        <charset val="2"/>
      </rPr>
      <t>tg(</t>
    </r>
    <r>
      <rPr>
        <sz val="11"/>
        <color rgb="FF000000"/>
        <rFont val="Symbol"/>
        <family val="1"/>
        <charset val="2"/>
      </rPr>
      <t>q)=</t>
    </r>
  </si>
  <si>
    <t>Если h ≥ неравенство, то слой ВВ - тонкий
Если h &lt; неравенство, то слой ВВ - толстый</t>
  </si>
  <si>
    <t>h=</t>
  </si>
  <si>
    <t>динамический предел текучести материала пластины</t>
  </si>
  <si>
    <t>Q(p)=</t>
  </si>
  <si>
    <t>МПа</t>
  </si>
  <si>
    <t>с</t>
  </si>
  <si>
    <t>неравенство=</t>
  </si>
  <si>
    <t>длина пластины</t>
  </si>
  <si>
    <t>а=</t>
  </si>
  <si>
    <t>Для толстого слоя ВВ</t>
  </si>
  <si>
    <t>ширина пластины</t>
  </si>
  <si>
    <t>b=</t>
  </si>
  <si>
    <t>Время инициирования детонации</t>
  </si>
  <si>
    <r>
      <rPr>
        <sz val="11"/>
        <color rgb="FF000000"/>
        <rFont val="Calibri"/>
        <family val="2"/>
        <charset val="204"/>
      </rPr>
      <t>t(</t>
    </r>
    <r>
      <rPr>
        <sz val="11"/>
        <color rgb="FF000000"/>
        <rFont val="Symbol"/>
        <family val="1"/>
        <charset val="2"/>
      </rPr>
      <t>д</t>
    </r>
    <r>
      <rPr>
        <sz val="11"/>
        <color rgb="FF000000"/>
        <rFont val="Symbol"/>
        <family val="1"/>
        <charset val="2"/>
      </rPr>
      <t>)=</t>
    </r>
  </si>
  <si>
    <t>толщина слоя ВВ</t>
  </si>
  <si>
    <t>кг/м3</t>
  </si>
  <si>
    <t>Для тонкого слоя ВВ, где τ(д) ≤ 1</t>
  </si>
  <si>
    <t>плотность ВВ</t>
  </si>
  <si>
    <t>P(0)=</t>
  </si>
  <si>
    <t>скорость детонации заряда ВВ</t>
  </si>
  <si>
    <t>D=</t>
  </si>
  <si>
    <t>P(j)=</t>
  </si>
  <si>
    <t>Взрывное метание пластин ЭДЗ</t>
  </si>
  <si>
    <t>критический диаметр детонации ВВ</t>
  </si>
  <si>
    <t>dкр=</t>
  </si>
  <si>
    <t>Па</t>
  </si>
  <si>
    <t>Энергия Гарни (политропное уравнение)</t>
  </si>
  <si>
    <t>Eg=</t>
  </si>
  <si>
    <t>плотность материала КС</t>
  </si>
  <si>
    <t>Q(j)=</t>
  </si>
  <si>
    <t>Для тонких пластин</t>
  </si>
  <si>
    <t>динамический предел текучести материала КС</t>
  </si>
  <si>
    <t>d(j)=</t>
  </si>
  <si>
    <t>r1=</t>
  </si>
  <si>
    <t>r2=</t>
  </si>
  <si>
    <t>r ≥ 0,1</t>
  </si>
  <si>
    <t>r &lt; 0,1</t>
  </si>
  <si>
    <t>диаметр КС</t>
  </si>
  <si>
    <t>V(j)=</t>
  </si>
  <si>
    <t>Скорости метания лицевой и тыльной пластин (несимметричное метание)</t>
  </si>
  <si>
    <t>U1=</t>
  </si>
  <si>
    <t>скорость КС</t>
  </si>
  <si>
    <t>км/с</t>
  </si>
  <si>
    <t>U2=</t>
  </si>
  <si>
    <t>показатель политропы продуктов детонации</t>
  </si>
  <si>
    <t>k=</t>
  </si>
  <si>
    <t>Если метаемая пластина одна</t>
  </si>
  <si>
    <t>параметры, определяющие распределение скоростей продуктов детонации</t>
  </si>
  <si>
    <r>
      <rPr>
        <sz val="11"/>
        <color rgb="FF000000"/>
        <rFont val="Calibri"/>
        <family val="2"/>
        <charset val="1"/>
      </rPr>
      <t>ξ</t>
    </r>
    <r>
      <rPr>
        <sz val="11"/>
        <color rgb="FF000000"/>
        <rFont val="Calibri"/>
        <family val="2"/>
        <charset val="1"/>
      </rPr>
      <t>z=</t>
    </r>
  </si>
  <si>
    <t>При одностороннем ограничении заряда ВВ</t>
  </si>
  <si>
    <r>
      <rPr>
        <sz val="11"/>
        <color rgb="FF000000"/>
        <rFont val="Calibri"/>
        <family val="2"/>
        <charset val="1"/>
      </rPr>
      <t>ξ</t>
    </r>
    <r>
      <rPr>
        <sz val="11"/>
        <color rgb="FF000000"/>
        <rFont val="Calibri"/>
        <family val="2"/>
        <charset val="1"/>
      </rPr>
      <t>r=</t>
    </r>
  </si>
  <si>
    <t>нерав</t>
  </si>
  <si>
    <t>Пластины с одинаковой толщиной</t>
  </si>
  <si>
    <t>U=</t>
  </si>
  <si>
    <t>давление детонации</t>
  </si>
  <si>
    <t>рн=</t>
  </si>
  <si>
    <t>Время разгона пластины</t>
  </si>
  <si>
    <r>
      <rPr>
        <sz val="11"/>
        <color rgb="FF000000"/>
        <rFont val="Calibri"/>
        <family val="2"/>
        <charset val="204"/>
      </rPr>
      <t>t(</t>
    </r>
    <r>
      <rPr>
        <sz val="11"/>
        <color rgb="FF000000"/>
        <rFont val="Symbol"/>
        <family val="1"/>
        <charset val="2"/>
      </rPr>
      <t>р1</t>
    </r>
    <r>
      <rPr>
        <sz val="11"/>
        <color rgb="FF000000"/>
        <rFont val="Symbol"/>
        <family val="1"/>
        <charset val="2"/>
      </rPr>
      <t>)=</t>
    </r>
  </si>
  <si>
    <t>коэффициент для среднего давления</t>
  </si>
  <si>
    <t>(0,5..1)=</t>
  </si>
  <si>
    <r>
      <rPr>
        <sz val="11"/>
        <color rgb="FF000000"/>
        <rFont val="Calibri"/>
        <family val="2"/>
        <charset val="204"/>
      </rPr>
      <t>t(</t>
    </r>
    <r>
      <rPr>
        <sz val="11"/>
        <color rgb="FF000000"/>
        <rFont val="Symbol"/>
        <family val="1"/>
        <charset val="2"/>
      </rPr>
      <t>р2</t>
    </r>
    <r>
      <rPr>
        <sz val="11"/>
        <color rgb="FF000000"/>
        <rFont val="Symbol"/>
        <family val="1"/>
        <charset val="2"/>
      </rPr>
      <t>)=</t>
    </r>
  </si>
  <si>
    <t>коэффициент увеличения диаметра КС</t>
  </si>
  <si>
    <t>ae=</t>
  </si>
  <si>
    <t>mвв=</t>
  </si>
  <si>
    <t>кг</t>
  </si>
  <si>
    <t>Поворот пластины на угол</t>
  </si>
  <si>
    <r>
      <rPr>
        <sz val="11"/>
        <color rgb="FF000000"/>
        <rFont val="Calibri"/>
        <family val="2"/>
        <charset val="1"/>
      </rPr>
      <t>β</t>
    </r>
    <r>
      <rPr>
        <sz val="11"/>
        <color rgb="FF000000"/>
        <rFont val="Calibri"/>
        <family val="2"/>
        <charset val="1"/>
      </rPr>
      <t>1=</t>
    </r>
  </si>
  <si>
    <t>mпл1=</t>
  </si>
  <si>
    <r>
      <rPr>
        <sz val="11"/>
        <color rgb="FF000000"/>
        <rFont val="Calibri"/>
        <family val="2"/>
        <charset val="1"/>
      </rPr>
      <t>β</t>
    </r>
    <r>
      <rPr>
        <sz val="11"/>
        <color rgb="FF000000"/>
        <rFont val="Calibri"/>
        <family val="2"/>
        <charset val="1"/>
      </rPr>
      <t>2=</t>
    </r>
  </si>
  <si>
    <t>mпл2=</t>
  </si>
  <si>
    <t>Для толстых пластин</t>
  </si>
  <si>
    <t>h1=</t>
  </si>
  <si>
    <t>Скорости метания пластин</t>
  </si>
  <si>
    <t>U01=</t>
  </si>
  <si>
    <t>h2=</t>
  </si>
  <si>
    <t>U02=</t>
  </si>
  <si>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1"/>
      </rPr>
      <t>α</t>
    </r>
    <r>
      <rPr>
        <sz val="11"/>
        <color rgb="FF000000"/>
        <rFont val="Calibri"/>
        <family val="2"/>
        <charset val="1"/>
      </rPr>
      <t>1=</t>
    </r>
  </si>
  <si>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1"/>
      </rPr>
      <t>α2</t>
    </r>
    <r>
      <rPr>
        <sz val="11"/>
        <color rgb="FF000000"/>
        <rFont val="Calibri"/>
        <family val="2"/>
        <charset val="1"/>
      </rPr>
      <t>=</t>
    </r>
  </si>
  <si>
    <t>1..2=</t>
  </si>
  <si>
    <t>t  ≤  t(р)</t>
  </si>
  <si>
    <t>w1=</t>
  </si>
  <si>
    <t>Точка</t>
  </si>
  <si>
    <t>коэф.</t>
  </si>
  <si>
    <t>t, с</t>
  </si>
  <si>
    <t>t, мкс</t>
  </si>
  <si>
    <t>U1, м/с</t>
  </si>
  <si>
    <t>s1, м</t>
  </si>
  <si>
    <t>s1, мм</t>
  </si>
  <si>
    <r>
      <rPr>
        <sz val="11"/>
        <color rgb="FF000000"/>
        <rFont val="Calibri"/>
        <family val="2"/>
        <charset val="1"/>
      </rPr>
      <t>Δ</t>
    </r>
    <r>
      <rPr>
        <sz val="11"/>
        <color rgb="FF000000"/>
        <rFont val="Calibri"/>
        <family val="2"/>
        <charset val="1"/>
      </rPr>
      <t>L, мм</t>
    </r>
  </si>
  <si>
    <t>w2=</t>
  </si>
  <si>
    <t>Ф=</t>
  </si>
  <si>
    <t>р*=</t>
  </si>
  <si>
    <t>Po=</t>
  </si>
  <si>
    <t>Uy1=</t>
  </si>
  <si>
    <t>Uy2=</t>
  </si>
  <si>
    <t>Vj1=</t>
  </si>
  <si>
    <t>Vj2=</t>
  </si>
  <si>
    <t>t1=</t>
  </si>
  <si>
    <t>c</t>
  </si>
  <si>
    <t>t2=</t>
  </si>
  <si>
    <t>mj1=</t>
  </si>
  <si>
    <t>mj2=</t>
  </si>
  <si>
    <t>Vjy1=</t>
  </si>
  <si>
    <t>Vjy2=</t>
  </si>
  <si>
    <t>Uплx1=</t>
  </si>
  <si>
    <t>Uплx2=</t>
  </si>
  <si>
    <t>Vji1=</t>
  </si>
  <si>
    <t>Vji2=</t>
  </si>
  <si>
    <t>кг/с</t>
  </si>
  <si>
    <t>За время t (мкс) траекторию кумулятивной струи пересечет участок пластины длиной ΔL (мм)</t>
  </si>
  <si>
    <t>Взаимодействие движущихся пластин с КС (кобылкин)</t>
  </si>
  <si>
    <t>отношения скоростей</t>
  </si>
  <si>
    <t>wi1=</t>
  </si>
  <si>
    <t>wi2=</t>
  </si>
  <si>
    <t>Если wi ≤ 1, то характер взаимодействия непрерывный
Если wi &gt; 1, то характер взаимодействия периодический</t>
  </si>
  <si>
    <t>Взаимодействие движущихся пластин с КС (григорян)</t>
  </si>
  <si>
    <t>отношение потоков масс</t>
  </si>
  <si>
    <t>дL1=</t>
  </si>
  <si>
    <t>дL2=</t>
  </si>
  <si>
    <t>Если дL &gt; 1, то характер взаимодействия непрерывный
Если дL &lt; 1, то характер взаимодействия периодический</t>
  </si>
  <si>
    <t>Материал пластины</t>
  </si>
  <si>
    <t>Плотность (г/см3)</t>
  </si>
  <si>
    <t>динамический предел текучести</t>
  </si>
  <si>
    <t>Взрывчатое вещество</t>
  </si>
  <si>
    <t>Скорость детонации (м/с)</t>
  </si>
  <si>
    <t>Тротиловый эквивалент</t>
  </si>
  <si>
    <t>Критический диаметр детонации, мм</t>
  </si>
  <si>
    <t>Материал струи</t>
  </si>
  <si>
    <t>02Х17Н11М2</t>
  </si>
  <si>
    <t>Азотнокислая мочевина, нитромочевина, нитрокарбамид = Nitrourea</t>
  </si>
  <si>
    <t>02Х22Н5АМ3</t>
  </si>
  <si>
    <t>Аммоний нитрат, нитрамон, аммиачная селитра, нитрат аммония, аммониевая селитра, азотнокислый аммоний = Ammonium nitrate (AN=(Ам.Сел.) + &lt;0.5% H2O)</t>
  </si>
  <si>
    <t>03Н18К9М5Т</t>
  </si>
  <si>
    <t>ANNMAL (66% AN=(Ам.Сел.) + 25% NM + 5% Al + 3% C + 1% TETA)</t>
  </si>
  <si>
    <t>03Х11Н10М2Т</t>
  </si>
  <si>
    <t>Аматол, аммотол = Amatol (50% TNT=ТНТ + 50% AN=(Ам.Сел.))</t>
  </si>
  <si>
    <t>03Х13Н8Д2ТМ (ЭП699)</t>
  </si>
  <si>
    <t>Аматол, аммотол = Amatol (80% TNT=ТНТ + 20% AN=(Ам.Сел.))</t>
  </si>
  <si>
    <t>03Х24Н6АМ3 (ЗИ130)</t>
  </si>
  <si>
    <t>Апрол, 1,1-диамино-2,2-динитроэтилен = DADNE (1,1-diamino-2,2-dinitroethene, FOX-7)</t>
  </si>
  <si>
    <t>06Х12Н3Д</t>
  </si>
  <si>
    <t>АСДТ, игданит, взрывчатая смесь аммиачной селитры с дизельным топливом = ANFO (94% AN=(Ам.Сел.) + 6% дизтоплива)</t>
  </si>
  <si>
    <t>06ХН28МДТ (0Х23Н28М3Д3Т, ЭИ943)</t>
  </si>
  <si>
    <t>Гексамин (ВВ), гексаметилендиамин, гексаметилентетрамин, уротропин, метенамин = Hexamine dinitrate (HDN)</t>
  </si>
  <si>
    <t>07Х16Н6 (Х16Н6, ЭП288)</t>
  </si>
  <si>
    <t>Гексаметилентрипероксиддиамин (ГМТД, пероксид уротропина) = HMTD (hexamine peroxide) (инициатор)</t>
  </si>
  <si>
    <t>Сталь 08</t>
  </si>
  <si>
    <t>7871…7846…7814…7781…7745…7708…
7668…7628…7598…7602</t>
  </si>
  <si>
    <t>Гексанитростильбен, ГНС = Hexanitrostilbene, , JD-X (HNS)</t>
  </si>
  <si>
    <t>08ГДНФЛ</t>
  </si>
  <si>
    <t>Гексоген, циклонит, циклотриметилентринитроамин = Hexogen (RDX)</t>
  </si>
  <si>
    <t>08кп</t>
  </si>
  <si>
    <t>Гексанитрогексаазаизовюрцитан, ГНИВ = CL-20,HNIW (CL-20)</t>
  </si>
  <si>
    <t>08Х13 (0Х13, ЭИ496)</t>
  </si>
  <si>
    <t>7760…7740…7710</t>
  </si>
  <si>
    <t>Гексанитробензол, ГНБ =Hexanitrobenzene (HNB)</t>
  </si>
  <si>
    <t>08Х17Т (0Х17Т, ЭИ645)</t>
  </si>
  <si>
    <t>Гелигнит, гремучий студень, динамитный желатин = Gelignite (92% NG + 7% nitrocellulose)</t>
  </si>
  <si>
    <t>08Х17Н13М2Т (0Х17Н13М2Т)</t>
  </si>
  <si>
    <t>7900…7870…7830…7790…7750…7700…
7660…7620</t>
  </si>
  <si>
    <t>Гептанитрокубан = Heptanitrocubane (HNC)</t>
  </si>
  <si>
    <t>08Х18Н10 (0Х18Н10)</t>
  </si>
  <si>
    <t>Гидразин азотнокислый, Гидразин мононитрат, Гидразин нитрат, Гидразиний мононитрат = Hydrazine mononitrate</t>
  </si>
  <si>
    <t>08Х18Н10Т (0Х18Н10Т, ЭИ914)</t>
  </si>
  <si>
    <t>Hydromite® 600 (AN=(Ам.Сел.) водная эмульсия) коммерческий продукт</t>
  </si>
  <si>
    <t>08Х22Н6Т (0Х22Н5Т, ЭП53)</t>
  </si>
  <si>
    <t>Динитробензол, m-динитробензол, ДНБ = Dinitrobenzene (DNB)</t>
  </si>
  <si>
    <t>3Х3М3Ф</t>
  </si>
  <si>
    <t>7828…7808…7783…7754…7721…7684…
7642…7597…7565…7525</t>
  </si>
  <si>
    <t>4,4'-динитро-3,3'диазенофуроксан = DDF (4,4’-Dinitro-3,3’-diazenofuroxan)</t>
  </si>
  <si>
    <t>4Х4ВМФС (ДИ22)</t>
  </si>
  <si>
    <t>7808…7786…7757…7726…7693…7658…
7624…7581…7554…7550</t>
  </si>
  <si>
    <t>Динамит Нобеля (нитроглицерин с глиной) / Nobel's Dynamite (75% NG + 23% diatomite)</t>
  </si>
  <si>
    <t>4Х5МФ1С (ЭП572)</t>
  </si>
  <si>
    <t>7716…7692…7660…7627…7593…7559…
7523…7490…7459…7438</t>
  </si>
  <si>
    <t>Диэтиленгликольдинитрат, дигликольдинитрат, нитродигликоль = Diethylene glycol dinitrate (DEGDN)</t>
  </si>
  <si>
    <t>9ХС</t>
  </si>
  <si>
    <t>Лиддит; мелинит, пикриновая кислота, пироксилиновая кислота, тринитрофенол = Picric acid (TNP)</t>
  </si>
  <si>
    <t>9Х2МФ</t>
  </si>
  <si>
    <t>Метилендинитроамин; МЕДИНА = MEDINA (Methylene dinitroamine)</t>
  </si>
  <si>
    <t>Сталь 10</t>
  </si>
  <si>
    <t>7856…7832…7800…7765…7730…7692…
7653…7613…7582…7594</t>
  </si>
  <si>
    <t>Нитроклетчатка, нитроцеллюлоза, нитрат целлюлозы, нитроцеллюлоза, НЦ = Nitrocellulose (13.5% N, NC)</t>
  </si>
  <si>
    <t>10Г2</t>
  </si>
  <si>
    <t>Нитрогуанидин, гуанидин азотнокислый, азотнокислая соль амида мочевины =Nitroguanidine</t>
  </si>
  <si>
    <t>10кп</t>
  </si>
  <si>
    <t>Нитрометан= Nitromethane (NM)</t>
  </si>
  <si>
    <t>10Х11Н20Т3Р (ЭИ696)</t>
  </si>
  <si>
    <t>Нитроглицерин, глицеринтринитрат, тринитроглицерин, тринитрин, НГЦ = Nitroglycerin (NG)</t>
  </si>
  <si>
    <t>10Х11Н23Т3МР (ЭП33)</t>
  </si>
  <si>
    <t>Нитротриазолон, Оксонитротриазол = NTO (Nitrotriazolon)</t>
  </si>
  <si>
    <t>10Х12Н3М2ФА(Ш) (10Х12Н3М2ФА-А(Ш))</t>
  </si>
  <si>
    <t>Октоген; 1,3,5,7-тетранитро-1,3,5,7-тетраазациклооктан, циклотетраметилентетранитрамин = Octogen (HMX grade B)</t>
  </si>
  <si>
    <t>10Х13Н3М1Л</t>
  </si>
  <si>
    <t>Октол = Octol (80% HMX + 19% TNT=ТНТ + 1% DNT)</t>
  </si>
  <si>
    <t>10Х14Г14Н4Т (Х14Г14Н3Т, ЭИ711)</t>
  </si>
  <si>
    <t>Октанитрокубан = Octanitrocubane (ONC)</t>
  </si>
  <si>
    <t>10Х17Н13М2Т (Х17Н13М2Т, ЭИ448)</t>
  </si>
  <si>
    <t>Пентолит = Pentolite (56% PETN + 44% TNT=ТНТ)</t>
  </si>
  <si>
    <t>10Х18Н18Ю4Д (ЭП841)</t>
  </si>
  <si>
    <t>PBXW-126 (22% NTO, 20% RDX, 20% AP, 26% Al, 12% PU’s system)*</t>
  </si>
  <si>
    <t>12МХ</t>
  </si>
  <si>
    <t>7850…7830…7800…7760…7730…7690…
7650…7610</t>
  </si>
  <si>
    <t>PBXIH-135 EB (42% HMX, 33% Al, 25% PCP-TMETN’s system)*</t>
  </si>
  <si>
    <t>12ХН2</t>
  </si>
  <si>
    <t>PBXN-109 (64% RDX, 20% Al, 16% HTPB’s system)*</t>
  </si>
  <si>
    <t>12ХН3А</t>
  </si>
  <si>
    <t>7850…7830…7800…7760…7720…7680…7640</t>
  </si>
  <si>
    <t>RISAL P (50% IPN + 28% RDX + 15% Al + 4% Mg + 1% Zr + 2% NC)*</t>
  </si>
  <si>
    <t>12X2МФБ (ЭИ531)</t>
  </si>
  <si>
    <t>PBXW-11 (96% HMX, 1% HyTemp, 3% DOA)</t>
  </si>
  <si>
    <t>12X1МФ (ЭИ575)</t>
  </si>
  <si>
    <t>7800…7780…7750…7720…7680…7650…
7600…7570…7540…7560</t>
  </si>
  <si>
    <t>Сейсмогель = Tovex, Trenchrite, Seismogel, Seismopac Extra (AN=(Ам.Сел.) водный гель) коммерческий продукт</t>
  </si>
  <si>
    <t>12Х2Н4А</t>
  </si>
  <si>
    <t>7840…7820…7760…7710…7630</t>
  </si>
  <si>
    <t>Семтекс 1А = Semtex 1A (76% PETN + 6% RDX)</t>
  </si>
  <si>
    <t>12Х13 (1Х13)</t>
  </si>
  <si>
    <t>7720…7700…7670…7640…7620…7580…
7550…7520…7490…7500</t>
  </si>
  <si>
    <t>Состав B = Composition B (63% RDX + 36% TNT=ТНТ + 1% wax)</t>
  </si>
  <si>
    <t>12Х17 (Х17, ЭЖ17)</t>
  </si>
  <si>
    <t>Состав C-3 = Composition C-3 (78% RDX)</t>
  </si>
  <si>
    <t>12Х18Н9 (Х18Н9)</t>
  </si>
  <si>
    <t>7900…7860…7820…7780…7740…7690…
7650…7600…7560…7510</t>
  </si>
  <si>
    <t>Состав С-4, си-четыре, си-фор = Composition C-4 (91% RDX)</t>
  </si>
  <si>
    <t>12Х18Н9Т (Х18Н9Т)</t>
  </si>
  <si>
    <t>Смесь: 24% Нитробензол = nitrobenzene + 76% Тетранитрометан,нитроформен, ТНМ = TNM</t>
  </si>
  <si>
    <t>12Х18Н10Т</t>
  </si>
  <si>
    <t>Смесь: 30% Нитробензол =nitrobenzene + 70% азот тетраоксид, четырёхокись азота, азотный тетроксид, четырёхокись азота; азотноватый ангидрид = nitrogen tetroxide</t>
  </si>
  <si>
    <t>12Х18Н12Т (Х18Н12Т)</t>
  </si>
  <si>
    <t>7900…7870…7830…7780…7740…7700…
7850…7610</t>
  </si>
  <si>
    <t>Состав А-5 = Composition A-5 (98% RDX + 2% stearic acid)</t>
  </si>
  <si>
    <t>12Х25Н16Г7АР (ЭИ835)</t>
  </si>
  <si>
    <t>Тетранитрат эритрита = Erythritol tetranitrate (ETN)</t>
  </si>
  <si>
    <t>13Х11Н2В2МФ-Ш (ЭИ961-Ш)</t>
  </si>
  <si>
    <t>Триаминотринитробензол, ТАТБ = triaminobtrinitrobenzene (TATB)</t>
  </si>
  <si>
    <t>14Х17Н2 (1Х17Н2, ЭИ268)</t>
  </si>
  <si>
    <t>Тротил (литой)</t>
  </si>
  <si>
    <t>Сталь 15</t>
  </si>
  <si>
    <t>7850…7827…7794…7759…7724…7687…
7648…7611…7599…7584</t>
  </si>
  <si>
    <t>Тротил (прессованный)</t>
  </si>
  <si>
    <t>15Г</t>
  </si>
  <si>
    <t>Тротил, тол, тринитрололуол, ТНТ = Trinitrotoluene (TNT=ТНТ)</t>
  </si>
  <si>
    <t>15кп</t>
  </si>
  <si>
    <t>ТАТП, триацетона трипероксид, циклотриацетонтрипероксид, перекись ацетона = TATP (acetone peroxide)</t>
  </si>
  <si>
    <t>15К</t>
  </si>
  <si>
    <t>Тринитробензол, ТНБ =Trinitrobenzene (TNB)</t>
  </si>
  <si>
    <t>15Л</t>
  </si>
  <si>
    <t>Тетритол = Tetrytol (70% tetryl + 30% TNT=ТНТ)</t>
  </si>
  <si>
    <t>15Х</t>
  </si>
  <si>
    <t>7830…7810…7780…7710…7640</t>
  </si>
  <si>
    <t>Тетранитрометиланилин, тетрил = Tetryl</t>
  </si>
  <si>
    <t>15ХМ</t>
  </si>
  <si>
    <t>7850…7830…7800…7760…7730…7700…7660</t>
  </si>
  <si>
    <t>Торпекс = Torpex (он жеHBX, 41% RDX + 40% TNT=ТНТ + 18% Al + 1% wax)*</t>
  </si>
  <si>
    <t>15ХФ</t>
  </si>
  <si>
    <t>7760…7730…7710…7670…7640…7600…
7570…7530</t>
  </si>
  <si>
    <t>Тритонал = Tritonal (80% TNT=ТНТ + 20% aluminium)*</t>
  </si>
  <si>
    <t>15Х5М (12Х5МА, Х5М)</t>
  </si>
  <si>
    <t>7750…7730…7700…7670…7640…7610…7580</t>
  </si>
  <si>
    <t>Таннерит = Tanerit Simply® (93% гранулированный AN=(Ам.Сел.) + 6% красный P + 1% C)</t>
  </si>
  <si>
    <t>15Х12ВНМФ(ЭИ802, ЭИ952)</t>
  </si>
  <si>
    <t>7850…7830…7800…7780…7760…7730…
7700…7670</t>
  </si>
  <si>
    <t>Тетранитропентаэритрит, пентаэритриттетранитрат, ТЭН, пентриn = Penthrite (PETN)</t>
  </si>
  <si>
    <t>15Х25Т (Х25Т, ЭИ439)</t>
  </si>
  <si>
    <t>Тринитроазетидин 1,3,3; ТНАЗ = TNAZ (trinitroazetidine)</t>
  </si>
  <si>
    <t>16ГС</t>
  </si>
  <si>
    <t>Черный порох, дымный порох = Black powder (75% KNO3 + 19% C + 6% S)</t>
  </si>
  <si>
    <t>17Х18Н9 (2Х18Н9)</t>
  </si>
  <si>
    <t>Этиленгликольдинитрат, нитрогликоль, ЭГДН, динитрогликоль = Ethylene glycol dinitrate (EGDN)</t>
  </si>
  <si>
    <t>18Х2Н4МА (18Х2Н4ВА)</t>
  </si>
  <si>
    <t>7950…7930…7900…7860…7830…7800…7760</t>
  </si>
  <si>
    <t>ПВВ-5А (ОСТ В 84-1278—81)</t>
  </si>
  <si>
    <t>18Х12ВМБФР-Ш (ЭП 993-Ш)</t>
  </si>
  <si>
    <t>ПВВ-12М (ТУ 84-1071—85)</t>
  </si>
  <si>
    <t>18ХГТ</t>
  </si>
  <si>
    <t>ЭВВ-34 (ОСТ В 84-1994—82)</t>
  </si>
  <si>
    <t>Сталь 20</t>
  </si>
  <si>
    <t>7856…7834…7803…7770…7736…7699…
7659…7617…7624…7600</t>
  </si>
  <si>
    <t>ЭГ-85 (ТУ-520-294—79)</t>
  </si>
  <si>
    <t>20Г</t>
  </si>
  <si>
    <t>ТК-Г (ТУ 84-982—84)</t>
  </si>
  <si>
    <t>20К</t>
  </si>
  <si>
    <t>Динаммон</t>
  </si>
  <si>
    <t>20Л</t>
  </si>
  <si>
    <t>ТНРС</t>
  </si>
  <si>
    <t>20кп</t>
  </si>
  <si>
    <t>7834…7803…7770…7736…7699…7659…
7617…7624…7600</t>
  </si>
  <si>
    <t>ЛВВ-11</t>
  </si>
  <si>
    <t>20Х</t>
  </si>
  <si>
    <t>ТГ 50/50</t>
  </si>
  <si>
    <t>20ХГР</t>
  </si>
  <si>
    <t>ТГА70/15/15</t>
  </si>
  <si>
    <t>20ХГСА</t>
  </si>
  <si>
    <t>ТГА50/25/25</t>
  </si>
  <si>
    <t>20ХМЛ</t>
  </si>
  <si>
    <t>7800…7780…7750…7720…7690…7650…7620</t>
  </si>
  <si>
    <t>ТГА50/20/30</t>
  </si>
  <si>
    <t>20ХН3А</t>
  </si>
  <si>
    <t>7850…7830…7760…7660</t>
  </si>
  <si>
    <t>ТГА40/45/15</t>
  </si>
  <si>
    <t>20Х2Н4А</t>
  </si>
  <si>
    <t>ТНТО</t>
  </si>
  <si>
    <t>20Х3МВФ (ЭИ415, ЭИ579)</t>
  </si>
  <si>
    <t>7800…7690…7660…7620</t>
  </si>
  <si>
    <t>THTO/OD
THTO/O</t>
  </si>
  <si>
    <t>20Х5МЛ</t>
  </si>
  <si>
    <t>THTO I</t>
  </si>
  <si>
    <t>20Х13 (2Х13)</t>
  </si>
  <si>
    <t>7670…7660…7630…7600…7570…7540…
7510…7480…7450</t>
  </si>
  <si>
    <t>THTO II</t>
  </si>
  <si>
    <t>20Х13Л</t>
  </si>
  <si>
    <t>AFX-644</t>
  </si>
  <si>
    <t>20Х20Н13 (Х23Н13, ЭИ319)</t>
  </si>
  <si>
    <t>7820…7790…7580…7480</t>
  </si>
  <si>
    <t>Гремучая ртуть</t>
  </si>
  <si>
    <t>20Х20Н14С2 (Х20Н14С2, ЭИ211)</t>
  </si>
  <si>
    <t>7800…7760…7550…7510…7470…7420</t>
  </si>
  <si>
    <t>Азид свинца</t>
  </si>
  <si>
    <t>20Х23Н18 (Х23Н18, ЭИ417)</t>
  </si>
  <si>
    <t>7900…7760…7720…7670…7620…7540</t>
  </si>
  <si>
    <t>Тенерес</t>
  </si>
  <si>
    <t>20Х25Н20С2 (Х25Н20С2, ЭИ283)</t>
  </si>
  <si>
    <t>7720…7680…7440…7390</t>
  </si>
  <si>
    <t>Тетразен</t>
  </si>
  <si>
    <t>Сталь 25</t>
  </si>
  <si>
    <t>25Л</t>
  </si>
  <si>
    <t>25ХГСА</t>
  </si>
  <si>
    <t>7850…7830…7790…7760…7730…7690…
7650…7610</t>
  </si>
  <si>
    <t>25Х1МФ (ЭИ10)</t>
  </si>
  <si>
    <t>7840…7790…7720…7650</t>
  </si>
  <si>
    <t>25Х2М1Ф (ЭИ723)</t>
  </si>
  <si>
    <t>7800…7780…7750…7720…7680…7650…7600</t>
  </si>
  <si>
    <t>25Х13Н2 (2Х14Н2, ЭИ474)</t>
  </si>
  <si>
    <t>Сталь 30</t>
  </si>
  <si>
    <t>30Г</t>
  </si>
  <si>
    <t>30Л</t>
  </si>
  <si>
    <t>30Х</t>
  </si>
  <si>
    <t>7820…7800…7770…7740…7700…7670…
7630…7590…7610…7560</t>
  </si>
  <si>
    <t>30ХМ, 30ХМА</t>
  </si>
  <si>
    <t>7820…7800…7770…7740…7700…7660</t>
  </si>
  <si>
    <t>30ХН3А</t>
  </si>
  <si>
    <t>7850…7830…7800…7760…7730…7700…
7670…7690…7650…7600</t>
  </si>
  <si>
    <t>30Х13 (3Х13)</t>
  </si>
  <si>
    <t>7670…7650…7620…7600…7570…7540…
7510…7480…7450…7460</t>
  </si>
  <si>
    <t>31Х19Н9МВБТ (ЭИ572)</t>
  </si>
  <si>
    <t>33ХС</t>
  </si>
  <si>
    <t>34ХН3М, 34ХН3МА</t>
  </si>
  <si>
    <t>7830…7810…7780…7710…7650</t>
  </si>
  <si>
    <t>Сталь 35</t>
  </si>
  <si>
    <t>7826…7804…7771…7737…7700…7662…
7623…7583…7600…7549</t>
  </si>
  <si>
    <t>35Г2</t>
  </si>
  <si>
    <t>35Л</t>
  </si>
  <si>
    <t>35ХГСЛ</t>
  </si>
  <si>
    <t>35ХМ</t>
  </si>
  <si>
    <t>7820…7800…7770…7770…7630</t>
  </si>
  <si>
    <t>35ХМЛ</t>
  </si>
  <si>
    <t>35ХМФЛ</t>
  </si>
  <si>
    <t>37Х12Н8Г8МФБ (ЭИ481)</t>
  </si>
  <si>
    <t>38ХА</t>
  </si>
  <si>
    <t>7850…7800…7650</t>
  </si>
  <si>
    <t>38ХН3МФА</t>
  </si>
  <si>
    <t>38ХС</t>
  </si>
  <si>
    <t>38Х2МЮА (38ХМЮА)</t>
  </si>
  <si>
    <t>Сталь 40</t>
  </si>
  <si>
    <t>40Г</t>
  </si>
  <si>
    <t>40Г2</t>
  </si>
  <si>
    <t>40Л</t>
  </si>
  <si>
    <t>40Х</t>
  </si>
  <si>
    <t>40ХЛ</t>
  </si>
  <si>
    <t>40ХН</t>
  </si>
  <si>
    <t>7820…7800…7770…7740…7700</t>
  </si>
  <si>
    <t>40ХН2МА (40ХНМА)</t>
  </si>
  <si>
    <t>40ХС</t>
  </si>
  <si>
    <t>7740…7720…7690…7620…7540</t>
  </si>
  <si>
    <t>40ХФА</t>
  </si>
  <si>
    <t>40Х9С2 (4Х9С2, ЭСХ8)</t>
  </si>
  <si>
    <t>7630…7610…7580…7510…7440…7390</t>
  </si>
  <si>
    <t>40Х10С2М (4Х10С2М, ЭИ107)</t>
  </si>
  <si>
    <t>7620…7610…7430</t>
  </si>
  <si>
    <t>40Х13 (4Х13)</t>
  </si>
  <si>
    <t>7650…7630…7600…7570…7540…7510…
7480…7450…7420</t>
  </si>
  <si>
    <t>40Х24Н12СЛ (ЭИ316Л)</t>
  </si>
  <si>
    <t>Сталь 45</t>
  </si>
  <si>
    <t>7826…7799…7769…7739…7698…7662…
7625…7587…7595</t>
  </si>
  <si>
    <t>45Г2</t>
  </si>
  <si>
    <t>45Л</t>
  </si>
  <si>
    <t>45Х</t>
  </si>
  <si>
    <t>45ХН</t>
  </si>
  <si>
    <t>45Х14Н14В2М (ЭИ69)</t>
  </si>
  <si>
    <t>8000…7930…7840…7760…7660</t>
  </si>
  <si>
    <t>Сталь 50</t>
  </si>
  <si>
    <t>50Г</t>
  </si>
  <si>
    <t>50Г2</t>
  </si>
  <si>
    <t>50Л</t>
  </si>
  <si>
    <t>50Х</t>
  </si>
  <si>
    <t>50ХН</t>
  </si>
  <si>
    <t>50ХФА</t>
  </si>
  <si>
    <t>7800…7780…7750…7720…7680…7650…7610</t>
  </si>
  <si>
    <t>Сталь 55</t>
  </si>
  <si>
    <t>Сталь 60</t>
  </si>
  <si>
    <t>60С2, 60С2А</t>
  </si>
  <si>
    <t>7680…7660…7630…7590…7570…7520</t>
  </si>
  <si>
    <t>65Г (ЗМИ3)</t>
  </si>
  <si>
    <t>7850…7830…7800…7730</t>
  </si>
  <si>
    <t>75ХМ</t>
  </si>
  <si>
    <t>95Х18 (9Х18, ЭИ229)</t>
  </si>
  <si>
    <t>7750…7730…7540</t>
  </si>
  <si>
    <t>Х23Ю5Т</t>
  </si>
  <si>
    <t>ХН32Т (ЭП670)</t>
  </si>
  <si>
    <t>ХН35ВТ (ЭИ612)</t>
  </si>
  <si>
    <t>ХН35ВТЮ (ЭИ787)</t>
  </si>
  <si>
    <t>ХН45Ю (ЭП747)</t>
  </si>
  <si>
    <t>ХН55ВМТКЮ (ЭИ929), ХН55ВМТКЮ-ВД (ЭИ929-ВД)</t>
  </si>
  <si>
    <t>ХН58ВКМТЮБЛ (ЦНК8МП)</t>
  </si>
  <si>
    <t>ХН60Ю (ЭИ559А)</t>
  </si>
  <si>
    <t>ХН60ВТ (ЭИ868)</t>
  </si>
  <si>
    <t>ХН60КВМЮТБЛ (ЦНК21П)</t>
  </si>
  <si>
    <t>ХН60КВМЮТЛ (ЦНК7П)</t>
  </si>
  <si>
    <t>ХН62МБВЮ (ЭП709)</t>
  </si>
  <si>
    <t>ХН62МВКЮ (ЭИ867), ХН62МВКЮ-ВД (ЭИ867-ВД)</t>
  </si>
  <si>
    <t>ХН64ВМКЮТЛ (ЗМИ3)</t>
  </si>
  <si>
    <t>ХН65ВКМБЮТЛ (ЭИ539ЛМУ)</t>
  </si>
  <si>
    <t>ХН65ВМТЮ (ЭИ893)</t>
  </si>
  <si>
    <t>ХН65ВМТЮЛ (ЭИ893Л)</t>
  </si>
  <si>
    <t>ХН65КМВЮТЛ (ЖС6К)</t>
  </si>
  <si>
    <t>ХН67МВТЮ (ЭП202, ЭИ445Р)</t>
  </si>
  <si>
    <t>ХН70КВМЮТЛ (ЦНК17П)</t>
  </si>
  <si>
    <t>ХН70ВМТЮФ (ЭИ826), ХН70ВМТЮФ-ВД (ЭИ826-ВД)</t>
  </si>
  <si>
    <t>ХН70ВМЮТ (ЭИ765)</t>
  </si>
  <si>
    <t>ХН70Ю (ЭИ652)</t>
  </si>
  <si>
    <t>ХН73МБТЮ (ЭИ698)</t>
  </si>
  <si>
    <t>ХН75ВМЮ (ЭИ827)</t>
  </si>
  <si>
    <t>ХН77ТЮР (ЭИ437Б)</t>
  </si>
  <si>
    <t>ХН78Т (ЭИ435)</t>
  </si>
  <si>
    <t>ХН80ТБЮ (ЭИ607)</t>
  </si>
  <si>
    <t>ХН80ТБЮА (ЭИ607А)</t>
  </si>
  <si>
    <t>Х15Н60-Н</t>
  </si>
  <si>
    <t>Х20Н80-Н</t>
  </si>
  <si>
    <t>Х27Ю5Т</t>
  </si>
  <si>
    <t>ХВГ</t>
  </si>
  <si>
    <t>А12</t>
  </si>
  <si>
    <t>Р6М3</t>
  </si>
  <si>
    <t>Р6М5К5</t>
  </si>
  <si>
    <t>Р9</t>
  </si>
  <si>
    <t>Р9М4К8</t>
  </si>
  <si>
    <t>Р12</t>
  </si>
  <si>
    <t>Р18</t>
  </si>
  <si>
    <t>У7, У7А</t>
  </si>
  <si>
    <t>У8, У8А</t>
  </si>
  <si>
    <t>7839…7817…7786…7752…7714…7676…
7638…7600…7852</t>
  </si>
  <si>
    <t>У9, У9А</t>
  </si>
  <si>
    <t>7745…7726…7717…7690…7686…7655…
7622…7586…7568…7523</t>
  </si>
  <si>
    <t>У10, У10А</t>
  </si>
  <si>
    <t>У12, У12А</t>
  </si>
  <si>
    <t>7830…7809…7781…7749…7713…7675…
7634…7592…7565…7489</t>
  </si>
  <si>
    <t>ШХ15</t>
  </si>
  <si>
    <t>7812…7790…7750…7720…7680…7640</t>
  </si>
  <si>
    <t>ШХ15СГ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</si>
</sst>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"/>
    <numFmt numFmtId="165" formatCode="0.000"/>
    <numFmt numFmtId="166" formatCode="0.00000"/>
    <numFmt numFmtId="167" formatCode="0.0000"/>
    <numFmt numFmtId="168" formatCode="0.00000000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Symbol"/>
      <family val="1"/>
      <charset val="2"/>
    </font>
    <font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D9D9D9"/>
        <bgColor rgb="FFDDD9C3"/>
      </patternFill>
    </fill>
    <fill>
      <patternFill patternType="solid">
        <fgColor rgb="FFDCE6F2"/>
        <bgColor rgb="FFD9D9D9"/>
      </patternFill>
    </fill>
    <fill>
      <patternFill patternType="solid">
        <fgColor rgb="FFEBF1DE"/>
        <bgColor rgb="FFDCE6F2"/>
      </patternFill>
    </fill>
    <fill>
      <patternFill patternType="solid">
        <fgColor rgb="FFEFFEBE"/>
        <bgColor rgb="FFEBF1DE"/>
      </patternFill>
    </fill>
    <fill>
      <patternFill patternType="solid">
        <fgColor rgb="FF8EB4E3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558ED5"/>
        <bgColor rgb="FF4F81BD"/>
      </patternFill>
    </fill>
    <fill>
      <patternFill patternType="solid">
        <fgColor rgb="FFFFFFFF"/>
        <bgColor rgb="FFEBF1DE"/>
      </patternFill>
    </fill>
    <fill>
      <patternFill patternType="solid">
        <fgColor rgb="FFDDD9C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AC090"/>
        <bgColor rgb="FFC4BD97"/>
      </patternFill>
    </fill>
    <fill>
      <patternFill patternType="solid">
        <fgColor rgb="FFC4BD97"/>
        <bgColor rgb="FFBFBFBF"/>
      </patternFill>
    </fill>
    <fill>
      <patternFill patternType="solid">
        <fgColor rgb="FFCCCCCC"/>
        <bgColor rgb="FFD0CECE"/>
      </patternFill>
    </fill>
    <fill>
      <patternFill patternType="solid">
        <fgColor rgb="FFD0CECE"/>
        <bgColor rgb="FFCCCCCC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5" borderId="21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right"/>
    </xf>
    <xf numFmtId="0" fontId="5" fillId="5" borderId="8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right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0" fillId="3" borderId="7" xfId="0" applyFont="1" applyFill="1" applyBorder="1" applyAlignment="1">
      <alignment horizontal="right" wrapText="1"/>
    </xf>
    <xf numFmtId="0" fontId="4" fillId="4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right" wrapText="1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/>
    </xf>
    <xf numFmtId="0" fontId="0" fillId="3" borderId="4" xfId="0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right"/>
    </xf>
    <xf numFmtId="0" fontId="0" fillId="3" borderId="11" xfId="0" applyFill="1" applyBorder="1" applyAlignment="1">
      <alignment horizontal="left"/>
    </xf>
    <xf numFmtId="0" fontId="0" fillId="3" borderId="1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left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3" borderId="7" xfId="0" applyFont="1" applyFill="1" applyBorder="1" applyAlignment="1">
      <alignment horizontal="right"/>
    </xf>
    <xf numFmtId="1" fontId="0" fillId="3" borderId="8" xfId="0" applyNumberFormat="1" applyFill="1" applyBorder="1" applyAlignment="1">
      <alignment horizontal="left"/>
    </xf>
    <xf numFmtId="0" fontId="0" fillId="3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right"/>
    </xf>
    <xf numFmtId="1" fontId="0" fillId="4" borderId="8" xfId="0" applyNumberFormat="1" applyFill="1" applyBorder="1" applyAlignment="1">
      <alignment horizontal="left"/>
    </xf>
    <xf numFmtId="0" fontId="0" fillId="4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0" fillId="4" borderId="16" xfId="0" applyFont="1" applyFill="1" applyBorder="1" applyAlignment="1">
      <alignment horizontal="right"/>
    </xf>
    <xf numFmtId="1" fontId="0" fillId="4" borderId="16" xfId="0" applyNumberFormat="1" applyFill="1" applyBorder="1" applyAlignment="1">
      <alignment horizontal="left"/>
    </xf>
    <xf numFmtId="0" fontId="0" fillId="4" borderId="1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0" fontId="0" fillId="3" borderId="18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right"/>
    </xf>
    <xf numFmtId="164" fontId="0" fillId="4" borderId="8" xfId="0" applyNumberFormat="1" applyFill="1" applyBorder="1" applyAlignment="1">
      <alignment horizontal="left"/>
    </xf>
    <xf numFmtId="0" fontId="0" fillId="4" borderId="1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165" fontId="0" fillId="4" borderId="8" xfId="0" applyNumberFormat="1" applyFill="1" applyBorder="1" applyAlignment="1">
      <alignment horizontal="left"/>
    </xf>
    <xf numFmtId="0" fontId="0" fillId="4" borderId="1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left"/>
    </xf>
    <xf numFmtId="0" fontId="0" fillId="5" borderId="9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5" borderId="16" xfId="0" applyFont="1" applyFill="1" applyBorder="1" applyAlignment="1">
      <alignment horizontal="right"/>
    </xf>
    <xf numFmtId="2" fontId="0" fillId="5" borderId="24" xfId="0" applyNumberFormat="1" applyFill="1" applyBorder="1" applyAlignment="1">
      <alignment horizontal="left"/>
    </xf>
    <xf numFmtId="0" fontId="0" fillId="5" borderId="1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0" borderId="0" xfId="0" applyFont="1"/>
    <xf numFmtId="0" fontId="0" fillId="7" borderId="4" xfId="0" applyFont="1" applyFill="1" applyBorder="1" applyAlignment="1">
      <alignment horizontal="right"/>
    </xf>
    <xf numFmtId="1" fontId="0" fillId="7" borderId="4" xfId="0" applyNumberFormat="1" applyFill="1" applyBorder="1" applyAlignment="1">
      <alignment horizontal="left"/>
    </xf>
    <xf numFmtId="0" fontId="0" fillId="7" borderId="5" xfId="0" applyFont="1" applyFill="1" applyBorder="1" applyAlignment="1">
      <alignment horizontal="center"/>
    </xf>
    <xf numFmtId="0" fontId="0" fillId="7" borderId="25" xfId="0" applyFill="1" applyBorder="1"/>
    <xf numFmtId="0" fontId="0" fillId="7" borderId="0" xfId="0" applyFont="1" applyFill="1" applyBorder="1" applyAlignment="1">
      <alignment horizontal="right"/>
    </xf>
    <xf numFmtId="165" fontId="0" fillId="7" borderId="0" xfId="0" applyNumberFormat="1" applyFill="1" applyBorder="1" applyAlignment="1">
      <alignment horizontal="left"/>
    </xf>
    <xf numFmtId="0" fontId="0" fillId="7" borderId="0" xfId="0" applyFill="1" applyBorder="1"/>
    <xf numFmtId="0" fontId="0" fillId="7" borderId="8" xfId="0" applyFont="1" applyFill="1" applyBorder="1" applyAlignment="1"/>
    <xf numFmtId="0" fontId="0" fillId="7" borderId="11" xfId="0" applyFont="1" applyFill="1" applyBorder="1" applyAlignment="1"/>
    <xf numFmtId="0" fontId="0" fillId="7" borderId="9" xfId="0" applyFill="1" applyBorder="1" applyAlignment="1"/>
    <xf numFmtId="0" fontId="3" fillId="7" borderId="8" xfId="0" applyFont="1" applyFill="1" applyBorder="1" applyAlignment="1">
      <alignment horizontal="right"/>
    </xf>
    <xf numFmtId="1" fontId="0" fillId="9" borderId="8" xfId="0" applyNumberFormat="1" applyFill="1" applyBorder="1" applyAlignment="1">
      <alignment horizontal="left"/>
    </xf>
    <xf numFmtId="0" fontId="0" fillId="7" borderId="9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right"/>
    </xf>
    <xf numFmtId="1" fontId="0" fillId="7" borderId="8" xfId="0" applyNumberFormat="1" applyFill="1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3" borderId="8" xfId="0" applyFont="1" applyFill="1" applyBorder="1" applyAlignment="1">
      <alignment horizontal="right"/>
    </xf>
    <xf numFmtId="0" fontId="0" fillId="5" borderId="8" xfId="0" applyFill="1" applyBorder="1" applyAlignment="1">
      <alignment horizontal="left"/>
    </xf>
    <xf numFmtId="0" fontId="0" fillId="5" borderId="26" xfId="0" applyFill="1" applyBorder="1" applyAlignment="1">
      <alignment horizontal="center" vertical="center"/>
    </xf>
    <xf numFmtId="0" fontId="3" fillId="7" borderId="27" xfId="0" applyFont="1" applyFill="1" applyBorder="1" applyAlignment="1">
      <alignment horizontal="right"/>
    </xf>
    <xf numFmtId="1" fontId="0" fillId="7" borderId="27" xfId="0" applyNumberFormat="1" applyFill="1" applyBorder="1" applyAlignment="1">
      <alignment horizontal="left"/>
    </xf>
    <xf numFmtId="0" fontId="0" fillId="7" borderId="2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right"/>
    </xf>
    <xf numFmtId="164" fontId="0" fillId="5" borderId="8" xfId="0" applyNumberFormat="1" applyFill="1" applyBorder="1" applyAlignment="1">
      <alignment horizontal="left"/>
    </xf>
    <xf numFmtId="0" fontId="0" fillId="5" borderId="1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right"/>
    </xf>
    <xf numFmtId="2" fontId="0" fillId="10" borderId="8" xfId="0" applyNumberFormat="1" applyFill="1" applyBorder="1" applyAlignment="1">
      <alignment horizontal="left"/>
    </xf>
    <xf numFmtId="0" fontId="0" fillId="11" borderId="16" xfId="0" applyFont="1" applyFill="1" applyBorder="1" applyAlignment="1">
      <alignment horizontal="right"/>
    </xf>
    <xf numFmtId="0" fontId="0" fillId="11" borderId="16" xfId="0" applyFill="1" applyBorder="1" applyAlignment="1">
      <alignment horizontal="left"/>
    </xf>
    <xf numFmtId="0" fontId="0" fillId="11" borderId="1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165" fontId="1" fillId="7" borderId="8" xfId="0" applyNumberFormat="1" applyFont="1" applyFill="1" applyBorder="1" applyAlignment="1">
      <alignment horizontal="left"/>
    </xf>
    <xf numFmtId="0" fontId="0" fillId="7" borderId="18" xfId="0" applyFont="1" applyFill="1" applyBorder="1" applyAlignment="1">
      <alignment horizontal="center" vertical="center"/>
    </xf>
    <xf numFmtId="165" fontId="0" fillId="7" borderId="11" xfId="0" applyNumberFormat="1" applyFill="1" applyBorder="1" applyAlignment="1">
      <alignment horizontal="left"/>
    </xf>
    <xf numFmtId="0" fontId="0" fillId="0" borderId="0" xfId="0"/>
    <xf numFmtId="165" fontId="0" fillId="7" borderId="8" xfId="0" applyNumberForma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167" fontId="0" fillId="7" borderId="8" xfId="0" applyNumberFormat="1" applyFill="1" applyBorder="1" applyAlignment="1">
      <alignment horizontal="left"/>
    </xf>
    <xf numFmtId="0" fontId="0" fillId="7" borderId="11" xfId="0" applyFont="1" applyFill="1" applyBorder="1" applyAlignment="1">
      <alignment horizontal="right"/>
    </xf>
    <xf numFmtId="1" fontId="0" fillId="9" borderId="11" xfId="0" applyNumberFormat="1" applyFill="1" applyBorder="1" applyAlignment="1">
      <alignment horizontal="left"/>
    </xf>
    <xf numFmtId="0" fontId="0" fillId="7" borderId="12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right"/>
    </xf>
    <xf numFmtId="11" fontId="0" fillId="7" borderId="8" xfId="0" applyNumberFormat="1" applyFill="1" applyBorder="1" applyAlignment="1">
      <alignment horizontal="left"/>
    </xf>
    <xf numFmtId="0" fontId="0" fillId="0" borderId="0" xfId="0" applyAlignment="1"/>
    <xf numFmtId="0" fontId="2" fillId="7" borderId="16" xfId="0" applyFont="1" applyFill="1" applyBorder="1" applyAlignment="1">
      <alignment horizontal="right"/>
    </xf>
    <xf numFmtId="11" fontId="0" fillId="7" borderId="16" xfId="0" applyNumberFormat="1" applyFill="1" applyBorder="1" applyAlignment="1">
      <alignment horizontal="left"/>
    </xf>
    <xf numFmtId="2" fontId="0" fillId="10" borderId="16" xfId="0" applyNumberFormat="1" applyFill="1" applyBorder="1" applyAlignment="1">
      <alignment horizontal="left"/>
    </xf>
    <xf numFmtId="0" fontId="0" fillId="7" borderId="1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7" borderId="18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right"/>
    </xf>
    <xf numFmtId="2" fontId="0" fillId="10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0" fillId="12" borderId="13" xfId="0" applyFont="1" applyFill="1" applyBorder="1" applyAlignment="1">
      <alignment horizontal="right"/>
    </xf>
    <xf numFmtId="1" fontId="0" fillId="9" borderId="4" xfId="0" applyNumberFormat="1" applyFill="1" applyBorder="1" applyAlignment="1">
      <alignment horizontal="left"/>
    </xf>
    <xf numFmtId="0" fontId="0" fillId="12" borderId="30" xfId="0" applyFont="1" applyFill="1" applyBorder="1"/>
    <xf numFmtId="0" fontId="2" fillId="12" borderId="23" xfId="0" applyFont="1" applyFill="1" applyBorder="1" applyAlignment="1">
      <alignment horizontal="right"/>
    </xf>
    <xf numFmtId="2" fontId="0" fillId="10" borderId="16" xfId="0" applyNumberFormat="1" applyFont="1" applyFill="1" applyBorder="1" applyAlignment="1">
      <alignment horizontal="center"/>
    </xf>
    <xf numFmtId="0" fontId="0" fillId="12" borderId="16" xfId="0" applyFont="1" applyFill="1" applyBorder="1" applyAlignment="1">
      <alignment horizontal="left"/>
    </xf>
    <xf numFmtId="0" fontId="0" fillId="12" borderId="16" xfId="0" applyFill="1" applyBorder="1" applyAlignment="1">
      <alignment horizontal="center"/>
    </xf>
    <xf numFmtId="0" fontId="0" fillId="12" borderId="17" xfId="0" applyFont="1" applyFill="1" applyBorder="1" applyAlignment="1">
      <alignment horizontal="left"/>
    </xf>
    <xf numFmtId="0" fontId="0" fillId="12" borderId="15" xfId="0" applyFont="1" applyFill="1" applyBorder="1" applyAlignment="1">
      <alignment horizontal="right"/>
    </xf>
    <xf numFmtId="1" fontId="0" fillId="9" borderId="16" xfId="0" applyNumberFormat="1" applyFill="1" applyBorder="1" applyAlignment="1">
      <alignment horizontal="left"/>
    </xf>
    <xf numFmtId="0" fontId="0" fillId="12" borderId="31" xfId="0" applyFont="1" applyFill="1" applyBorder="1"/>
    <xf numFmtId="0" fontId="0" fillId="7" borderId="9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1" fontId="0" fillId="12" borderId="8" xfId="0" applyNumberFormat="1" applyFill="1" applyBorder="1" applyAlignment="1">
      <alignment horizontal="center" vertical="center"/>
    </xf>
    <xf numFmtId="2" fontId="0" fillId="12" borderId="8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65" fontId="0" fillId="13" borderId="9" xfId="0" applyNumberForma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center" vertical="center"/>
    </xf>
    <xf numFmtId="2" fontId="0" fillId="0" borderId="0" xfId="0" applyNumberFormat="1"/>
    <xf numFmtId="0" fontId="0" fillId="14" borderId="7" xfId="0" applyFont="1" applyFill="1" applyBorder="1" applyAlignment="1">
      <alignment horizontal="right"/>
    </xf>
    <xf numFmtId="1" fontId="0" fillId="14" borderId="8" xfId="0" applyNumberFormat="1" applyFill="1" applyBorder="1" applyAlignment="1">
      <alignment horizontal="left"/>
    </xf>
    <xf numFmtId="0" fontId="0" fillId="14" borderId="18" xfId="0" applyFont="1" applyFill="1" applyBorder="1" applyAlignment="1">
      <alignment horizontal="center"/>
    </xf>
    <xf numFmtId="0" fontId="0" fillId="14" borderId="8" xfId="0" applyFill="1" applyBorder="1" applyAlignment="1">
      <alignment horizontal="left"/>
    </xf>
    <xf numFmtId="168" fontId="0" fillId="14" borderId="8" xfId="0" applyNumberFormat="1" applyFill="1" applyBorder="1" applyAlignment="1">
      <alignment horizontal="left"/>
    </xf>
    <xf numFmtId="2" fontId="0" fillId="14" borderId="8" xfId="0" applyNumberFormat="1" applyFill="1" applyBorder="1" applyAlignment="1">
      <alignment horizontal="left"/>
    </xf>
    <xf numFmtId="0" fontId="0" fillId="15" borderId="7" xfId="0" applyFont="1" applyFill="1" applyBorder="1" applyAlignment="1">
      <alignment horizontal="right"/>
    </xf>
    <xf numFmtId="1" fontId="0" fillId="15" borderId="8" xfId="0" applyNumberFormat="1" applyFill="1" applyBorder="1" applyAlignment="1">
      <alignment horizontal="left"/>
    </xf>
    <xf numFmtId="0" fontId="0" fillId="15" borderId="18" xfId="0" applyFont="1" applyFill="1" applyBorder="1" applyAlignment="1">
      <alignment horizontal="center"/>
    </xf>
    <xf numFmtId="0" fontId="0" fillId="15" borderId="10" xfId="0" applyFont="1" applyFill="1" applyBorder="1" applyAlignment="1">
      <alignment horizontal="right"/>
    </xf>
    <xf numFmtId="1" fontId="0" fillId="15" borderId="11" xfId="0" applyNumberFormat="1" applyFill="1" applyBorder="1" applyAlignment="1">
      <alignment horizontal="left"/>
    </xf>
    <xf numFmtId="0" fontId="0" fillId="15" borderId="34" xfId="0" applyFont="1" applyFill="1" applyBorder="1" applyAlignment="1">
      <alignment horizontal="center"/>
    </xf>
    <xf numFmtId="1" fontId="0" fillId="16" borderId="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15" borderId="23" xfId="0" applyFont="1" applyFill="1" applyBorder="1" applyAlignment="1">
      <alignment horizontal="right"/>
    </xf>
    <xf numFmtId="1" fontId="0" fillId="15" borderId="16" xfId="0" applyNumberFormat="1" applyFill="1" applyBorder="1" applyAlignment="1">
      <alignment horizontal="left"/>
    </xf>
    <xf numFmtId="0" fontId="0" fillId="15" borderId="35" xfId="0" applyFont="1" applyFill="1" applyBorder="1" applyAlignment="1">
      <alignment horizontal="center"/>
    </xf>
    <xf numFmtId="11" fontId="0" fillId="0" borderId="0" xfId="0" applyNumberFormat="1"/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5" fontId="0" fillId="13" borderId="17" xfId="0" applyNumberForma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right"/>
    </xf>
    <xf numFmtId="165" fontId="0" fillId="14" borderId="11" xfId="0" applyNumberFormat="1" applyFill="1" applyBorder="1" applyAlignment="1">
      <alignment horizontal="left"/>
    </xf>
    <xf numFmtId="0" fontId="0" fillId="14" borderId="12" xfId="0" applyFont="1" applyFill="1" applyBorder="1" applyAlignment="1">
      <alignment horizontal="center"/>
    </xf>
    <xf numFmtId="0" fontId="0" fillId="14" borderId="8" xfId="0" applyFont="1" applyFill="1" applyBorder="1" applyAlignment="1">
      <alignment horizontal="right"/>
    </xf>
    <xf numFmtId="165" fontId="0" fillId="14" borderId="8" xfId="0" applyNumberFormat="1" applyFill="1" applyBorder="1" applyAlignment="1">
      <alignment horizontal="left"/>
    </xf>
    <xf numFmtId="0" fontId="0" fillId="14" borderId="9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right"/>
    </xf>
    <xf numFmtId="165" fontId="0" fillId="15" borderId="4" xfId="0" applyNumberFormat="1" applyFill="1" applyBorder="1" applyAlignment="1">
      <alignment horizontal="left"/>
    </xf>
    <xf numFmtId="0" fontId="0" fillId="15" borderId="5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right"/>
    </xf>
    <xf numFmtId="165" fontId="0" fillId="15" borderId="8" xfId="0" applyNumberFormat="1" applyFill="1" applyBorder="1" applyAlignment="1">
      <alignment horizontal="left"/>
    </xf>
    <xf numFmtId="0" fontId="0" fillId="15" borderId="9" xfId="0" applyFont="1" applyFill="1" applyBorder="1" applyAlignment="1">
      <alignment horizontal="center"/>
    </xf>
    <xf numFmtId="0" fontId="0" fillId="0" borderId="33" xfId="0" applyBorder="1"/>
    <xf numFmtId="0" fontId="0" fillId="0" borderId="0" xfId="0" applyBorder="1"/>
    <xf numFmtId="0" fontId="0" fillId="0" borderId="38" xfId="0" applyBorder="1" applyAlignment="1">
      <alignment horizontal="center"/>
    </xf>
    <xf numFmtId="0" fontId="0" fillId="3" borderId="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8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5" borderId="7" xfId="0" applyFont="1" applyFill="1" applyBorder="1" applyAlignment="1">
      <alignment horizontal="right"/>
    </xf>
    <xf numFmtId="0" fontId="0" fillId="6" borderId="7" xfId="0" applyFont="1" applyFill="1" applyBorder="1" applyAlignment="1">
      <alignment horizontal="right" wrapText="1"/>
    </xf>
    <xf numFmtId="0" fontId="1" fillId="5" borderId="22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right" wrapText="1"/>
    </xf>
    <xf numFmtId="0" fontId="0" fillId="5" borderId="23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right"/>
    </xf>
    <xf numFmtId="0" fontId="0" fillId="7" borderId="3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right" wrapText="1"/>
    </xf>
    <xf numFmtId="0" fontId="1" fillId="7" borderId="22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right" wrapText="1"/>
    </xf>
    <xf numFmtId="0" fontId="0" fillId="8" borderId="7" xfId="0" applyFont="1" applyFill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0" fontId="0" fillId="7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right"/>
    </xf>
    <xf numFmtId="0" fontId="1" fillId="7" borderId="22" xfId="0" applyFont="1" applyFill="1" applyBorder="1" applyAlignment="1">
      <alignment horizontal="center"/>
    </xf>
    <xf numFmtId="0" fontId="0" fillId="7" borderId="29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12" borderId="32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/>
    </xf>
    <xf numFmtId="0" fontId="0" fillId="14" borderId="10" xfId="0" applyFont="1" applyFill="1" applyBorder="1" applyAlignment="1">
      <alignment horizontal="right" vertical="center"/>
    </xf>
    <xf numFmtId="0" fontId="0" fillId="14" borderId="36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right" vertical="center"/>
    </xf>
    <xf numFmtId="0" fontId="0" fillId="15" borderId="3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993366"/>
      <rgbColor rgb="FFEFFEBE"/>
      <rgbColor rgb="FFCFF5F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DDD9C3"/>
      <rgbColor rgb="FFB9CDE5"/>
      <rgbColor rgb="FFD0CECE"/>
      <rgbColor rgb="FFCCCCCC"/>
      <rgbColor rgb="FFFAC090"/>
      <rgbColor rgb="FF4F81BD"/>
      <rgbColor rgb="FF33CCCC"/>
      <rgbColor rgb="FF9BBB59"/>
      <rgbColor rgb="FFD9D9D9"/>
      <rgbColor rgb="FFF79646"/>
      <rgbColor rgb="FFFF6600"/>
      <rgbColor rgb="FF8064A2"/>
      <rgbColor rgb="FFC4BD97"/>
      <rgbColor rgb="FF003366"/>
      <rgbColor rgb="FF558ED5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 Смещение пластины</c:v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'Алгоритм расчета ДЗ'!$R$35:$R$63</c:f>
              <c:numCache>
                <c:formatCode>0.00</c:formatCode>
                <c:ptCount val="29"/>
                <c:pt idx="0">
                  <c:v>0.31911711790097858</c:v>
                </c:pt>
                <c:pt idx="1">
                  <c:v>0.35457457544553173</c:v>
                </c:pt>
                <c:pt idx="2">
                  <c:v>0.39889639737622318</c:v>
                </c:pt>
                <c:pt idx="3">
                  <c:v>0.45588159700139791</c:v>
                </c:pt>
                <c:pt idx="4">
                  <c:v>0.53186186316829764</c:v>
                </c:pt>
                <c:pt idx="5">
                  <c:v>0.63823423580195715</c:v>
                </c:pt>
                <c:pt idx="6">
                  <c:v>0.79779279475244635</c:v>
                </c:pt>
                <c:pt idx="7">
                  <c:v>1.0637237263365953</c:v>
                </c:pt>
                <c:pt idx="8">
                  <c:v>1.5955855895048927</c:v>
                </c:pt>
                <c:pt idx="9">
                  <c:v>1.679563778426203</c:v>
                </c:pt>
                <c:pt idx="10">
                  <c:v>1.7728728772276585</c:v>
                </c:pt>
                <c:pt idx="11">
                  <c:v>1.8771595170645796</c:v>
                </c:pt>
                <c:pt idx="12">
                  <c:v>1.9944819868811157</c:v>
                </c:pt>
                <c:pt idx="13">
                  <c:v>2.1274474526731906</c:v>
                </c:pt>
                <c:pt idx="14">
                  <c:v>2.2794079850069897</c:v>
                </c:pt>
                <c:pt idx="15">
                  <c:v>2.4547470607767581</c:v>
                </c:pt>
                <c:pt idx="16">
                  <c:v>2.659309315841488</c:v>
                </c:pt>
                <c:pt idx="17">
                  <c:v>2.9010647081907139</c:v>
                </c:pt>
                <c:pt idx="18">
                  <c:v>3.1911711790097854</c:v>
                </c:pt>
                <c:pt idx="19">
                  <c:v>3.5102882969107645</c:v>
                </c:pt>
                <c:pt idx="20">
                  <c:v>3.8294054148117427</c:v>
                </c:pt>
                <c:pt idx="21">
                  <c:v>4.1485225327127218</c:v>
                </c:pt>
                <c:pt idx="22">
                  <c:v>4.4676396506136999</c:v>
                </c:pt>
                <c:pt idx="23">
                  <c:v>4.7867567685146781</c:v>
                </c:pt>
                <c:pt idx="24">
                  <c:v>5.1058738864156572</c:v>
                </c:pt>
                <c:pt idx="25">
                  <c:v>5.4249910043166354</c:v>
                </c:pt>
                <c:pt idx="26">
                  <c:v>5.7441081222176136</c:v>
                </c:pt>
                <c:pt idx="27">
                  <c:v>6.0632252401185918</c:v>
                </c:pt>
                <c:pt idx="28">
                  <c:v>6.3823423580195708</c:v>
                </c:pt>
              </c:numCache>
            </c:numRef>
          </c:xVal>
          <c:yVal>
            <c:numRef>
              <c:f>'Алгоритм расчета ДЗ'!$U$35:$U$63</c:f>
              <c:numCache>
                <c:formatCode>0.00</c:formatCode>
                <c:ptCount val="29"/>
                <c:pt idx="0">
                  <c:v>5.3505201427845601E-2</c:v>
                </c:pt>
                <c:pt idx="1">
                  <c:v>6.5802716859372112E-2</c:v>
                </c:pt>
                <c:pt idx="2">
                  <c:v>8.2881171392810413E-2</c:v>
                </c:pt>
                <c:pt idx="3">
                  <c:v>0.10758057992931658</c:v>
                </c:pt>
                <c:pt idx="4">
                  <c:v>0.14520887999255672</c:v>
                </c:pt>
                <c:pt idx="5">
                  <c:v>0.2066407779282313</c:v>
                </c:pt>
                <c:pt idx="6">
                  <c:v>0.31711056880727456</c:v>
                </c:pt>
                <c:pt idx="7">
                  <c:v>0.54666872467786065</c:v>
                </c:pt>
                <c:pt idx="8">
                  <c:v>1.1531293411173624</c:v>
                </c:pt>
                <c:pt idx="9">
                  <c:v>1.2642561080627734</c:v>
                </c:pt>
                <c:pt idx="10">
                  <c:v>1.391980548948256</c:v>
                </c:pt>
                <c:pt idx="11">
                  <c:v>1.5396964131345197</c:v>
                </c:pt>
                <c:pt idx="12">
                  <c:v>1.7116763657210836</c:v>
                </c:pt>
                <c:pt idx="13">
                  <c:v>1.913340536372512</c:v>
                </c:pt>
                <c:pt idx="14">
                  <c:v>2.151611598586332</c:v>
                </c:pt>
                <c:pt idx="15">
                  <c:v>2.4353755770525991</c:v>
                </c:pt>
                <c:pt idx="16">
                  <c:v>2.7760521175047606</c:v>
                </c:pt>
                <c:pt idx="17">
                  <c:v>3.1882163601141187</c:v>
                </c:pt>
                <c:pt idx="18">
                  <c:v>3.6900138915755587</c:v>
                </c:pt>
                <c:pt idx="19">
                  <c:v>4.2416709683661056</c:v>
                </c:pt>
                <c:pt idx="20">
                  <c:v>4.7822580034819229</c:v>
                </c:pt>
                <c:pt idx="21">
                  <c:v>5.3007049552482899</c:v>
                </c:pt>
                <c:pt idx="22">
                  <c:v>5.7859417819904762</c:v>
                </c:pt>
                <c:pt idx="23">
                  <c:v>6.2268984420337539</c:v>
                </c:pt>
                <c:pt idx="24">
                  <c:v>6.6125048937034006</c:v>
                </c:pt>
                <c:pt idx="25">
                  <c:v>6.9316910953246849</c:v>
                </c:pt>
                <c:pt idx="26">
                  <c:v>7.1733870052228861</c:v>
                </c:pt>
                <c:pt idx="27">
                  <c:v>7.326522581723272</c:v>
                </c:pt>
                <c:pt idx="28">
                  <c:v>7.3800277831511174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6-417E-986C-35CC3705CD2A}"/>
            </c:ext>
          </c:extLst>
        </c:ser>
        <c:ser>
          <c:idx val="1"/>
          <c:order val="1"/>
          <c:tx>
            <c:v>(L) Длина пересеченного участка</c:v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'Алгоритм расчета ДЗ'!$R$35:$R$63</c:f>
              <c:numCache>
                <c:formatCode>0.00</c:formatCode>
                <c:ptCount val="29"/>
                <c:pt idx="0">
                  <c:v>0.31911711790097858</c:v>
                </c:pt>
                <c:pt idx="1">
                  <c:v>0.35457457544553173</c:v>
                </c:pt>
                <c:pt idx="2">
                  <c:v>0.39889639737622318</c:v>
                </c:pt>
                <c:pt idx="3">
                  <c:v>0.45588159700139791</c:v>
                </c:pt>
                <c:pt idx="4">
                  <c:v>0.53186186316829764</c:v>
                </c:pt>
                <c:pt idx="5">
                  <c:v>0.63823423580195715</c:v>
                </c:pt>
                <c:pt idx="6">
                  <c:v>0.79779279475244635</c:v>
                </c:pt>
                <c:pt idx="7">
                  <c:v>1.0637237263365953</c:v>
                </c:pt>
                <c:pt idx="8">
                  <c:v>1.5955855895048927</c:v>
                </c:pt>
                <c:pt idx="9">
                  <c:v>1.679563778426203</c:v>
                </c:pt>
                <c:pt idx="10">
                  <c:v>1.7728728772276585</c:v>
                </c:pt>
                <c:pt idx="11">
                  <c:v>1.8771595170645796</c:v>
                </c:pt>
                <c:pt idx="12">
                  <c:v>1.9944819868811157</c:v>
                </c:pt>
                <c:pt idx="13">
                  <c:v>2.1274474526731906</c:v>
                </c:pt>
                <c:pt idx="14">
                  <c:v>2.2794079850069897</c:v>
                </c:pt>
                <c:pt idx="15">
                  <c:v>2.4547470607767581</c:v>
                </c:pt>
                <c:pt idx="16">
                  <c:v>2.659309315841488</c:v>
                </c:pt>
                <c:pt idx="17">
                  <c:v>2.9010647081907139</c:v>
                </c:pt>
                <c:pt idx="18">
                  <c:v>3.1911711790097854</c:v>
                </c:pt>
                <c:pt idx="19">
                  <c:v>3.5102882969107645</c:v>
                </c:pt>
                <c:pt idx="20">
                  <c:v>3.8294054148117427</c:v>
                </c:pt>
                <c:pt idx="21">
                  <c:v>4.1485225327127218</c:v>
                </c:pt>
                <c:pt idx="22">
                  <c:v>4.4676396506136999</c:v>
                </c:pt>
                <c:pt idx="23">
                  <c:v>4.7867567685146781</c:v>
                </c:pt>
                <c:pt idx="24">
                  <c:v>5.1058738864156572</c:v>
                </c:pt>
                <c:pt idx="25">
                  <c:v>5.4249910043166354</c:v>
                </c:pt>
                <c:pt idx="26">
                  <c:v>5.7441081222176136</c:v>
                </c:pt>
                <c:pt idx="27">
                  <c:v>6.0632252401185918</c:v>
                </c:pt>
                <c:pt idx="28">
                  <c:v>6.3823423580195708</c:v>
                </c:pt>
              </c:numCache>
            </c:numRef>
          </c:xVal>
          <c:yVal>
            <c:numRef>
              <c:f>'Алгоритм расчета ДЗ'!$V$35:$V$63</c:f>
              <c:numCache>
                <c:formatCode>0.000</c:formatCode>
                <c:ptCount val="29"/>
                <c:pt idx="0">
                  <c:v>0.1324300206434515</c:v>
                </c:pt>
                <c:pt idx="1">
                  <c:v>0.16286743941770679</c:v>
                </c:pt>
                <c:pt idx="2">
                  <c:v>0.2051380977100879</c:v>
                </c:pt>
                <c:pt idx="3">
                  <c:v>0.26627127906595255</c:v>
                </c:pt>
                <c:pt idx="4">
                  <c:v>0.3594045898688818</c:v>
                </c:pt>
                <c:pt idx="5">
                  <c:v>0.51145387282988164</c:v>
                </c:pt>
                <c:pt idx="6">
                  <c:v>0.78487619993424917</c:v>
                </c:pt>
                <c:pt idx="7">
                  <c:v>1.3530525736240258</c:v>
                </c:pt>
                <c:pt idx="8">
                  <c:v>2.8540952724881796</c:v>
                </c:pt>
                <c:pt idx="9">
                  <c:v>3.1291436724174231</c:v>
                </c:pt>
                <c:pt idx="10">
                  <c:v>3.4452727569130279</c:v>
                </c:pt>
                <c:pt idx="11">
                  <c:v>3.8108823504014762</c:v>
                </c:pt>
                <c:pt idx="12">
                  <c:v>4.2365476700996387</c:v>
                </c:pt>
                <c:pt idx="13">
                  <c:v>4.7356840076840898</c:v>
                </c:pt>
                <c:pt idx="14">
                  <c:v>5.3254255813190516</c:v>
                </c:pt>
                <c:pt idx="15">
                  <c:v>6.0277660738940151</c:v>
                </c:pt>
                <c:pt idx="16">
                  <c:v>6.870970100434505</c:v>
                </c:pt>
                <c:pt idx="17">
                  <c:v>7.8911123987652116</c:v>
                </c:pt>
                <c:pt idx="18">
                  <c:v>9.133104871962173</c:v>
                </c:pt>
                <c:pt idx="19">
                  <c:v>10.49850405032052</c:v>
                </c:pt>
                <c:pt idx="20">
                  <c:v>11.836503914062972</c:v>
                </c:pt>
                <c:pt idx="21">
                  <c:v>13.11970514857366</c:v>
                </c:pt>
                <c:pt idx="22">
                  <c:v>14.320708439236686</c:v>
                </c:pt>
                <c:pt idx="23">
                  <c:v>15.412114471436162</c:v>
                </c:pt>
                <c:pt idx="24">
                  <c:v>16.366523930556212</c:v>
                </c:pt>
                <c:pt idx="25">
                  <c:v>17.156537501980935</c:v>
                </c:pt>
                <c:pt idx="26">
                  <c:v>17.754755871094464</c:v>
                </c:pt>
                <c:pt idx="27">
                  <c:v>18.133779723280895</c:v>
                </c:pt>
                <c:pt idx="28">
                  <c:v>18.266209743924346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6-417E-986C-35CC3705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483"/>
        <c:axId val="46047633"/>
      </c:scatterChart>
      <c:scatterChart>
        <c:scatterStyle val="lineMarker"/>
        <c:varyColors val="0"/>
        <c:ser>
          <c:idx val="2"/>
          <c:order val="2"/>
          <c:tx>
            <c:v>(U) Скорость метаемой пластины</c:v>
          </c:tx>
          <c:spPr>
            <a:ln w="1908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'Алгоритм расчета ДЗ'!$R$35:$R$63</c:f>
              <c:numCache>
                <c:formatCode>0.00</c:formatCode>
                <c:ptCount val="29"/>
                <c:pt idx="0">
                  <c:v>0.31911711790097858</c:v>
                </c:pt>
                <c:pt idx="1">
                  <c:v>0.35457457544553173</c:v>
                </c:pt>
                <c:pt idx="2">
                  <c:v>0.39889639737622318</c:v>
                </c:pt>
                <c:pt idx="3">
                  <c:v>0.45588159700139791</c:v>
                </c:pt>
                <c:pt idx="4">
                  <c:v>0.53186186316829764</c:v>
                </c:pt>
                <c:pt idx="5">
                  <c:v>0.63823423580195715</c:v>
                </c:pt>
                <c:pt idx="6">
                  <c:v>0.79779279475244635</c:v>
                </c:pt>
                <c:pt idx="7">
                  <c:v>1.0637237263365953</c:v>
                </c:pt>
                <c:pt idx="8">
                  <c:v>1.5955855895048927</c:v>
                </c:pt>
                <c:pt idx="9">
                  <c:v>1.679563778426203</c:v>
                </c:pt>
                <c:pt idx="10">
                  <c:v>1.7728728772276585</c:v>
                </c:pt>
                <c:pt idx="11">
                  <c:v>1.8771595170645796</c:v>
                </c:pt>
                <c:pt idx="12">
                  <c:v>1.9944819868811157</c:v>
                </c:pt>
                <c:pt idx="13">
                  <c:v>2.1274474526731906</c:v>
                </c:pt>
                <c:pt idx="14">
                  <c:v>2.2794079850069897</c:v>
                </c:pt>
                <c:pt idx="15">
                  <c:v>2.4547470607767581</c:v>
                </c:pt>
                <c:pt idx="16">
                  <c:v>2.659309315841488</c:v>
                </c:pt>
                <c:pt idx="17">
                  <c:v>2.9010647081907139</c:v>
                </c:pt>
                <c:pt idx="18">
                  <c:v>3.1911711790097854</c:v>
                </c:pt>
                <c:pt idx="19">
                  <c:v>3.5102882969107645</c:v>
                </c:pt>
                <c:pt idx="20">
                  <c:v>3.8294054148117427</c:v>
                </c:pt>
                <c:pt idx="21">
                  <c:v>4.1485225327127218</c:v>
                </c:pt>
                <c:pt idx="22">
                  <c:v>4.4676396506136999</c:v>
                </c:pt>
                <c:pt idx="23">
                  <c:v>4.7867567685146781</c:v>
                </c:pt>
                <c:pt idx="24">
                  <c:v>5.1058738864156572</c:v>
                </c:pt>
                <c:pt idx="25">
                  <c:v>5.4249910043166354</c:v>
                </c:pt>
                <c:pt idx="26">
                  <c:v>5.7441081222176136</c:v>
                </c:pt>
                <c:pt idx="27">
                  <c:v>6.0632252401185918</c:v>
                </c:pt>
                <c:pt idx="28">
                  <c:v>6.3823423580195708</c:v>
                </c:pt>
              </c:numCache>
            </c:numRef>
          </c:xVal>
          <c:yVal>
            <c:numRef>
              <c:f>'Алгоритм расчета ДЗ'!$S$35:$S$63</c:f>
              <c:numCache>
                <c:formatCode>0</c:formatCode>
                <c:ptCount val="29"/>
                <c:pt idx="0">
                  <c:v>329.55109585357957</c:v>
                </c:pt>
                <c:pt idx="1">
                  <c:v>364.02655162513656</c:v>
                </c:pt>
                <c:pt idx="2">
                  <c:v>406.51862152990896</c:v>
                </c:pt>
                <c:pt idx="3">
                  <c:v>460.16801784065882</c:v>
                </c:pt>
                <c:pt idx="4">
                  <c:v>529.97983251306653</c:v>
                </c:pt>
                <c:pt idx="5">
                  <c:v>624.41260266994016</c:v>
                </c:pt>
                <c:pt idx="6">
                  <c:v>758.83476018916338</c:v>
                </c:pt>
                <c:pt idx="7">
                  <c:v>963.59969547830269</c:v>
                </c:pt>
                <c:pt idx="8">
                  <c:v>1300.8595888957086</c:v>
                </c:pt>
                <c:pt idx="9">
                  <c:v>1345.3026219420071</c:v>
                </c:pt>
                <c:pt idx="10">
                  <c:v>1391.8662268019928</c:v>
                </c:pt>
                <c:pt idx="11">
                  <c:v>1440.3981607149715</c:v>
                </c:pt>
                <c:pt idx="12">
                  <c:v>1490.5682789429995</c:v>
                </c:pt>
                <c:pt idx="13">
                  <c:v>1541.7595127652842</c:v>
                </c:pt>
                <c:pt idx="14">
                  <c:v>1592.8892925253576</c:v>
                </c:pt>
                <c:pt idx="15">
                  <c:v>1642.1107236553323</c:v>
                </c:pt>
                <c:pt idx="16">
                  <c:v>1686.2994670870298</c:v>
                </c:pt>
                <c:pt idx="17">
                  <c:v>1720.1449109364742</c:v>
                </c:pt>
                <c:pt idx="18">
                  <c:v>1734.4794518609449</c:v>
                </c:pt>
                <c:pt idx="19">
                  <c:v>1717.1346573423352</c:v>
                </c:pt>
                <c:pt idx="20">
                  <c:v>1665.1002737865072</c:v>
                </c:pt>
                <c:pt idx="21">
                  <c:v>1578.3763011934598</c:v>
                </c:pt>
                <c:pt idx="22">
                  <c:v>1456.9627395631935</c:v>
                </c:pt>
                <c:pt idx="23">
                  <c:v>1300.8595888957091</c:v>
                </c:pt>
                <c:pt idx="24">
                  <c:v>1110.0668491910042</c:v>
                </c:pt>
                <c:pt idx="25">
                  <c:v>884.58452044908279</c:v>
                </c:pt>
                <c:pt idx="26">
                  <c:v>624.41260266993936</c:v>
                </c:pt>
                <c:pt idx="27">
                  <c:v>329.55109585357934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6-417E-986C-35CC3705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544"/>
        <c:axId val="64238438"/>
      </c:scatterChart>
      <c:valAx>
        <c:axId val="919554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300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ru-RU" sz="1300" spc="-1">
                    <a:solidFill>
                      <a:srgbClr val="000000"/>
                    </a:solidFill>
                    <a:latin typeface="Calibri"/>
                  </a:rPr>
                  <a:t>время, мкс</a:t>
                </a:r>
              </a:p>
            </c:rich>
          </c:tx>
          <c:layout>
            <c:manualLayout>
              <c:xMode val="edge"/>
              <c:yMode val="edge"/>
              <c:x val="0.49500509683995902"/>
              <c:y val="0.91152688980819896"/>
            </c:manualLayout>
          </c:layout>
          <c:overlay val="0"/>
        </c:title>
        <c:numFmt formatCode="#,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6047633"/>
        <c:crosses val="autoZero"/>
        <c:crossBetween val="midCat"/>
      </c:valAx>
      <c:valAx>
        <c:axId val="46047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91955483"/>
        <c:crosses val="autoZero"/>
        <c:crossBetween val="midCat"/>
      </c:valAx>
      <c:valAx>
        <c:axId val="71770544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300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ru-RU" sz="1300" spc="-1">
                    <a:solidFill>
                      <a:srgbClr val="000000"/>
                    </a:solidFill>
                    <a:latin typeface="Calibri"/>
                  </a:rPr>
                  <a:t>время, мкс</a:t>
                </a:r>
              </a:p>
            </c:rich>
          </c:tx>
          <c:layout>
            <c:manualLayout>
              <c:xMode val="edge"/>
              <c:yMode val="edge"/>
              <c:x val="0.49500509683995902"/>
              <c:y val="0.91152688980819896"/>
            </c:manualLayout>
          </c:layout>
          <c:overlay val="0"/>
        </c:title>
        <c:numFmt formatCode="#,000" sourceLinked="0"/>
        <c:majorTickMark val="none"/>
        <c:minorTickMark val="none"/>
        <c:tickLblPos val="nextTo"/>
        <c:crossAx val="64238438"/>
        <c:crosses val="autoZero"/>
        <c:crossBetween val="midCat"/>
      </c:valAx>
      <c:valAx>
        <c:axId val="6423843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71770544"/>
        <c:crosses val="max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1636523761835"/>
          <c:y val="4.2991847901236599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CFF5F9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246240</xdr:colOff>
      <xdr:row>19</xdr:row>
      <xdr:rowOff>81360</xdr:rowOff>
    </xdr:from>
    <xdr:to>
      <xdr:col>17</xdr:col>
      <xdr:colOff>246600</xdr:colOff>
      <xdr:row>20</xdr:row>
      <xdr:rowOff>62640</xdr:rowOff>
    </xdr:to>
    <xdr:sp macro="" textlink="">
      <xdr:nvSpPr>
        <xdr:cNvPr id="2" name="CustomShape 1"/>
        <xdr:cNvSpPr/>
      </xdr:nvSpPr>
      <xdr:spPr>
        <a:xfrm>
          <a:off x="9515880" y="3729240"/>
          <a:ext cx="360" cy="171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46080</xdr:colOff>
      <xdr:row>34</xdr:row>
      <xdr:rowOff>162360</xdr:rowOff>
    </xdr:from>
    <xdr:to>
      <xdr:col>10</xdr:col>
      <xdr:colOff>531360</xdr:colOff>
      <xdr:row>54</xdr:row>
      <xdr:rowOff>171360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zoomScaleNormal="100" workbookViewId="0">
      <selection activeCell="AQ27" sqref="AQ26:AQ27"/>
    </sheetView>
  </sheetViews>
  <sheetFormatPr defaultRowHeight="15" x14ac:dyDescent="0.25"/>
  <cols>
    <col min="1" max="1" width="8.5703125"/>
    <col min="2" max="2" width="7.28515625"/>
    <col min="3" max="3" width="6.140625"/>
    <col min="4" max="4" width="5"/>
    <col min="5" max="5" width="5.28515625"/>
    <col min="6" max="6" width="5"/>
    <col min="7" max="7" width="6"/>
    <col min="8" max="8" width="8.5703125"/>
    <col min="9" max="9" width="8.42578125"/>
    <col min="10" max="10" width="7.7109375"/>
    <col min="11" max="11" width="8.28515625"/>
    <col min="12" max="12" width="8.42578125"/>
    <col min="13" max="13" width="12.140625"/>
    <col min="14" max="14" width="7.5703125"/>
    <col min="15" max="15" width="8.5703125"/>
    <col min="16" max="16" width="8.28515625"/>
    <col min="17" max="17" width="9.85546875"/>
    <col min="19" max="19" width="11"/>
    <col min="20" max="20" width="8.5703125"/>
    <col min="21" max="21" width="8.28515625"/>
    <col min="22" max="22" width="8.42578125"/>
    <col min="23" max="23" width="5.140625"/>
  </cols>
  <sheetData>
    <row r="1" spans="1:29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3" t="s">
        <v>1</v>
      </c>
      <c r="M1" s="13"/>
      <c r="N1" s="13"/>
      <c r="O1" s="14" t="s">
        <v>2</v>
      </c>
      <c r="P1" s="14"/>
      <c r="Q1" s="14"/>
      <c r="R1" s="14"/>
      <c r="S1" s="14"/>
      <c r="T1" s="14"/>
      <c r="U1" s="14"/>
      <c r="V1" s="14"/>
    </row>
    <row r="2" spans="1:29" ht="15.75" customHeight="1" x14ac:dyDescent="0.25">
      <c r="A2" s="12" t="s">
        <v>3</v>
      </c>
      <c r="B2" s="12"/>
      <c r="C2" s="12"/>
      <c r="D2" s="12"/>
      <c r="E2" s="12"/>
      <c r="F2" s="12"/>
      <c r="G2" s="12"/>
      <c r="H2" s="12"/>
      <c r="I2" s="15" t="s">
        <v>4</v>
      </c>
      <c r="J2" s="16">
        <v>4.5</v>
      </c>
      <c r="K2" s="17" t="s">
        <v>5</v>
      </c>
      <c r="L2" s="18" t="s">
        <v>6</v>
      </c>
      <c r="M2" s="19">
        <f>J3/1000</f>
        <v>1.5E-3</v>
      </c>
      <c r="N2" s="20" t="s">
        <v>7</v>
      </c>
      <c r="O2" s="11" t="s">
        <v>8</v>
      </c>
      <c r="P2" s="11"/>
      <c r="Q2" s="11"/>
      <c r="R2" s="11"/>
      <c r="S2" s="11"/>
      <c r="T2" s="11"/>
      <c r="U2" s="11"/>
      <c r="V2" s="11"/>
    </row>
    <row r="3" spans="1:29" ht="15" customHeight="1" x14ac:dyDescent="0.25">
      <c r="A3" s="10" t="s">
        <v>9</v>
      </c>
      <c r="B3" s="10"/>
      <c r="C3" s="10"/>
      <c r="D3" s="10"/>
      <c r="E3" s="10"/>
      <c r="F3" s="10"/>
      <c r="G3" s="10"/>
      <c r="H3" s="10"/>
      <c r="I3" s="21" t="s">
        <v>6</v>
      </c>
      <c r="J3" s="22">
        <v>1.5</v>
      </c>
      <c r="K3" s="23" t="s">
        <v>10</v>
      </c>
      <c r="L3" s="24" t="s">
        <v>11</v>
      </c>
      <c r="M3" s="25">
        <f>J4/1000</f>
        <v>1.5E-3</v>
      </c>
      <c r="N3" s="26" t="s">
        <v>7</v>
      </c>
      <c r="O3" s="9" t="s">
        <v>12</v>
      </c>
      <c r="P3" s="9"/>
      <c r="Q3" s="9"/>
      <c r="R3" s="9"/>
      <c r="S3" s="9"/>
      <c r="T3" s="27" t="s">
        <v>13</v>
      </c>
      <c r="U3" s="28">
        <f>M8*1000000</f>
        <v>3.8760877862594398</v>
      </c>
      <c r="V3" s="29" t="s">
        <v>14</v>
      </c>
    </row>
    <row r="4" spans="1:29" ht="15" customHeight="1" x14ac:dyDescent="0.25">
      <c r="A4" s="10" t="s">
        <v>15</v>
      </c>
      <c r="B4" s="10"/>
      <c r="C4" s="10"/>
      <c r="D4" s="10"/>
      <c r="E4" s="10"/>
      <c r="F4" s="10"/>
      <c r="G4" s="10"/>
      <c r="H4" s="10"/>
      <c r="I4" s="21" t="s">
        <v>11</v>
      </c>
      <c r="J4" s="30">
        <v>1.5</v>
      </c>
      <c r="K4" s="23" t="s">
        <v>10</v>
      </c>
      <c r="L4" s="31" t="s">
        <v>16</v>
      </c>
      <c r="M4" s="32">
        <f>(SQRT(M13/M11)/(1+SQRT(M13/M11)))*M17</f>
        <v>4648.7345851958817</v>
      </c>
      <c r="N4" s="33" t="s">
        <v>17</v>
      </c>
      <c r="O4" s="8" t="s">
        <v>18</v>
      </c>
      <c r="P4" s="8"/>
      <c r="Q4" s="8"/>
      <c r="R4" s="8"/>
      <c r="S4" s="8"/>
      <c r="T4" s="34" t="s">
        <v>19</v>
      </c>
      <c r="U4" s="35">
        <f>M9*1000</f>
        <v>65.634096818667643</v>
      </c>
      <c r="V4" s="36" t="s">
        <v>10</v>
      </c>
    </row>
    <row r="5" spans="1:29" ht="15" customHeight="1" x14ac:dyDescent="0.25">
      <c r="A5" s="10" t="s">
        <v>20</v>
      </c>
      <c r="B5" s="10"/>
      <c r="C5" s="10"/>
      <c r="D5" s="10"/>
      <c r="E5" s="10"/>
      <c r="F5" s="10"/>
      <c r="G5" s="10"/>
      <c r="H5" s="10"/>
      <c r="I5" s="37" t="s">
        <v>21</v>
      </c>
      <c r="J5" s="22">
        <v>68</v>
      </c>
      <c r="K5" s="23" t="s">
        <v>22</v>
      </c>
      <c r="L5" s="31" t="s">
        <v>23</v>
      </c>
      <c r="M5" s="38">
        <f>COS(J5*PI()/180)</f>
        <v>0.37460659341591196</v>
      </c>
      <c r="N5" s="33" t="s">
        <v>5</v>
      </c>
      <c r="O5" s="7" t="s">
        <v>24</v>
      </c>
      <c r="P5" s="7"/>
      <c r="Q5" s="7"/>
      <c r="R5" s="7"/>
      <c r="S5" s="7"/>
      <c r="T5" s="39" t="s">
        <v>25</v>
      </c>
      <c r="U5" s="40">
        <f>M10*1000</f>
        <v>586.11399772016898</v>
      </c>
      <c r="V5" s="41" t="s">
        <v>10</v>
      </c>
    </row>
    <row r="6" spans="1:29" ht="15" customHeight="1" x14ac:dyDescent="0.25">
      <c r="A6" s="10" t="s">
        <v>26</v>
      </c>
      <c r="B6" s="10"/>
      <c r="C6" s="10"/>
      <c r="D6" s="10"/>
      <c r="E6" s="10"/>
      <c r="F6" s="10"/>
      <c r="G6" s="10"/>
      <c r="H6" s="10"/>
      <c r="I6" s="42" t="s">
        <v>27</v>
      </c>
      <c r="J6" s="43">
        <v>7.85</v>
      </c>
      <c r="K6" s="44" t="s">
        <v>28</v>
      </c>
      <c r="L6" s="31" t="s">
        <v>29</v>
      </c>
      <c r="M6" s="38">
        <f>SIN(J5*PI()/180)</f>
        <v>0.92718385456678742</v>
      </c>
      <c r="N6" s="45" t="s">
        <v>5</v>
      </c>
      <c r="O6" s="6" t="s">
        <v>30</v>
      </c>
      <c r="P6" s="6"/>
      <c r="Q6" s="6"/>
      <c r="R6" s="6"/>
      <c r="S6" s="6"/>
      <c r="T6" s="6"/>
      <c r="U6" s="6"/>
      <c r="V6" s="6"/>
    </row>
    <row r="7" spans="1:29" ht="15" customHeight="1" x14ac:dyDescent="0.25">
      <c r="A7" s="10" t="s">
        <v>31</v>
      </c>
      <c r="B7" s="10"/>
      <c r="C7" s="10"/>
      <c r="D7" s="10"/>
      <c r="E7" s="10"/>
      <c r="F7" s="10"/>
      <c r="G7" s="10"/>
      <c r="H7" s="10"/>
      <c r="I7" s="42" t="s">
        <v>32</v>
      </c>
      <c r="J7" s="43">
        <v>7.85</v>
      </c>
      <c r="K7" s="44" t="s">
        <v>28</v>
      </c>
      <c r="L7" s="31" t="s">
        <v>33</v>
      </c>
      <c r="M7" s="38">
        <f>TAN(J5*PI()/180)</f>
        <v>2.4750868534162964</v>
      </c>
      <c r="N7" s="46" t="s">
        <v>5</v>
      </c>
      <c r="O7" s="5" t="s">
        <v>34</v>
      </c>
      <c r="P7" s="5"/>
      <c r="Q7" s="5"/>
      <c r="R7" s="5"/>
      <c r="S7" s="5"/>
      <c r="T7" s="4" t="s">
        <v>35</v>
      </c>
      <c r="U7" s="4"/>
      <c r="V7" s="47">
        <f>M18</f>
        <v>0.01</v>
      </c>
    </row>
    <row r="8" spans="1:29" ht="15" customHeight="1" x14ac:dyDescent="0.25">
      <c r="A8" s="10" t="s">
        <v>36</v>
      </c>
      <c r="B8" s="10"/>
      <c r="C8" s="10"/>
      <c r="D8" s="10"/>
      <c r="E8" s="10"/>
      <c r="F8" s="10"/>
      <c r="G8" s="10"/>
      <c r="H8" s="10"/>
      <c r="I8" s="42" t="s">
        <v>37</v>
      </c>
      <c r="J8" s="22">
        <v>500</v>
      </c>
      <c r="K8" s="23" t="s">
        <v>38</v>
      </c>
      <c r="L8" s="48" t="s">
        <v>13</v>
      </c>
      <c r="M8" s="49">
        <f>((J2*M2)/(M4*M5))</f>
        <v>3.8760877862594398E-6</v>
      </c>
      <c r="N8" s="50" t="s">
        <v>39</v>
      </c>
      <c r="O8" s="5"/>
      <c r="P8" s="5"/>
      <c r="Q8" s="5"/>
      <c r="R8" s="5"/>
      <c r="S8" s="5"/>
      <c r="T8" s="3" t="s">
        <v>40</v>
      </c>
      <c r="U8" s="3"/>
      <c r="V8" s="51">
        <f>M21</f>
        <v>4.2153780204341177E-6</v>
      </c>
    </row>
    <row r="9" spans="1:29" ht="15" customHeight="1" x14ac:dyDescent="0.25">
      <c r="A9" s="2" t="s">
        <v>41</v>
      </c>
      <c r="B9" s="2"/>
      <c r="C9" s="2"/>
      <c r="D9" s="2"/>
      <c r="E9" s="2"/>
      <c r="F9" s="2"/>
      <c r="G9" s="2"/>
      <c r="H9" s="2"/>
      <c r="I9" s="42" t="s">
        <v>42</v>
      </c>
      <c r="J9" s="22">
        <v>260</v>
      </c>
      <c r="K9" s="52" t="s">
        <v>10</v>
      </c>
      <c r="L9" s="48" t="s">
        <v>19</v>
      </c>
      <c r="M9" s="53">
        <f>(SQRT(M10^2-((SQRT(M10^2-M16^2))-(2*M8*SQRT(M14/M11)))^2))</f>
        <v>6.5634096818667637E-2</v>
      </c>
      <c r="N9" s="50" t="s">
        <v>7</v>
      </c>
      <c r="O9" s="1" t="s">
        <v>43</v>
      </c>
      <c r="P9" s="1"/>
      <c r="Q9" s="1"/>
      <c r="R9" s="1"/>
      <c r="S9" s="1"/>
      <c r="T9" s="1"/>
      <c r="U9" s="1"/>
      <c r="V9" s="1"/>
    </row>
    <row r="10" spans="1:29" ht="15" customHeight="1" x14ac:dyDescent="0.25">
      <c r="A10" s="2" t="s">
        <v>44</v>
      </c>
      <c r="B10" s="2"/>
      <c r="C10" s="2"/>
      <c r="D10" s="2"/>
      <c r="E10" s="2"/>
      <c r="F10" s="2"/>
      <c r="G10" s="2"/>
      <c r="H10" s="2"/>
      <c r="I10" s="42" t="s">
        <v>45</v>
      </c>
      <c r="J10" s="22">
        <v>138</v>
      </c>
      <c r="K10" s="52" t="s">
        <v>10</v>
      </c>
      <c r="L10" s="48" t="s">
        <v>25</v>
      </c>
      <c r="M10" s="53">
        <f>((SQRT(M11*M13))/((SQRT(2*M14))*(SQRT(M13)+SQRT(M11))))*(M16*M17)</f>
        <v>0.58611399772016903</v>
      </c>
      <c r="N10" s="54" t="s">
        <v>7</v>
      </c>
      <c r="O10" s="207" t="s">
        <v>46</v>
      </c>
      <c r="P10" s="207"/>
      <c r="Q10" s="207"/>
      <c r="R10" s="207"/>
      <c r="S10" s="207"/>
      <c r="T10" s="56" t="s">
        <v>47</v>
      </c>
      <c r="U10" s="57">
        <f>M22*1000000</f>
        <v>1.25</v>
      </c>
      <c r="V10" s="58" t="s">
        <v>14</v>
      </c>
    </row>
    <row r="11" spans="1:29" ht="15" customHeight="1" x14ac:dyDescent="0.25">
      <c r="A11" s="208" t="s">
        <v>48</v>
      </c>
      <c r="B11" s="208"/>
      <c r="C11" s="208"/>
      <c r="D11" s="208"/>
      <c r="E11" s="208"/>
      <c r="F11" s="208"/>
      <c r="G11" s="208"/>
      <c r="H11" s="208"/>
      <c r="I11" s="59" t="s">
        <v>35</v>
      </c>
      <c r="J11" s="43">
        <v>10</v>
      </c>
      <c r="K11" s="23" t="s">
        <v>10</v>
      </c>
      <c r="L11" s="31" t="s">
        <v>27</v>
      </c>
      <c r="M11" s="38">
        <f>J6*1000</f>
        <v>7850</v>
      </c>
      <c r="N11" s="46" t="s">
        <v>49</v>
      </c>
      <c r="O11" s="209" t="s">
        <v>50</v>
      </c>
      <c r="P11" s="209"/>
      <c r="Q11" s="209"/>
      <c r="R11" s="209"/>
      <c r="S11" s="209"/>
      <c r="T11" s="209"/>
      <c r="U11" s="209"/>
      <c r="V11" s="209"/>
    </row>
    <row r="12" spans="1:29" ht="15" customHeight="1" x14ac:dyDescent="0.25">
      <c r="A12" s="210" t="s">
        <v>51</v>
      </c>
      <c r="B12" s="210"/>
      <c r="C12" s="210"/>
      <c r="D12" s="210"/>
      <c r="E12" s="210"/>
      <c r="F12" s="210"/>
      <c r="G12" s="210"/>
      <c r="H12" s="210"/>
      <c r="I12" s="42" t="s">
        <v>52</v>
      </c>
      <c r="J12" s="43">
        <v>1.6</v>
      </c>
      <c r="K12" s="44" t="s">
        <v>28</v>
      </c>
      <c r="L12" s="31" t="s">
        <v>32</v>
      </c>
      <c r="M12" s="38">
        <f>J7*1000</f>
        <v>7850</v>
      </c>
      <c r="N12" s="46" t="s">
        <v>49</v>
      </c>
      <c r="O12" s="211" t="s">
        <v>46</v>
      </c>
      <c r="P12" s="211"/>
      <c r="Q12" s="211"/>
      <c r="R12" s="211"/>
      <c r="S12" s="211"/>
      <c r="T12" s="60" t="s">
        <v>47</v>
      </c>
      <c r="U12" s="61">
        <f>M23*1000000</f>
        <v>2.151123024283959</v>
      </c>
      <c r="V12" s="62" t="s">
        <v>14</v>
      </c>
    </row>
    <row r="13" spans="1:29" ht="15" customHeight="1" x14ac:dyDescent="0.25">
      <c r="A13" s="210" t="s">
        <v>53</v>
      </c>
      <c r="B13" s="210"/>
      <c r="C13" s="210"/>
      <c r="D13" s="210"/>
      <c r="E13" s="210"/>
      <c r="F13" s="210"/>
      <c r="G13" s="210"/>
      <c r="H13" s="210"/>
      <c r="I13" s="59" t="s">
        <v>54</v>
      </c>
      <c r="J13" s="43">
        <v>8000</v>
      </c>
      <c r="K13" s="23" t="s">
        <v>17</v>
      </c>
      <c r="L13" s="31" t="s">
        <v>55</v>
      </c>
      <c r="M13" s="38">
        <f>J15*1000</f>
        <v>8960</v>
      </c>
      <c r="N13" s="63" t="s">
        <v>49</v>
      </c>
      <c r="O13" s="212" t="s">
        <v>56</v>
      </c>
      <c r="P13" s="212"/>
      <c r="Q13" s="212"/>
      <c r="R13" s="212"/>
      <c r="S13" s="212"/>
      <c r="T13" s="212"/>
      <c r="U13" s="212"/>
      <c r="V13" s="212"/>
      <c r="W13" s="212"/>
      <c r="AC13" s="64"/>
    </row>
    <row r="14" spans="1:29" ht="15" customHeight="1" x14ac:dyDescent="0.25">
      <c r="A14" s="213" t="s">
        <v>57</v>
      </c>
      <c r="B14" s="213"/>
      <c r="C14" s="213"/>
      <c r="D14" s="213"/>
      <c r="E14" s="213"/>
      <c r="F14" s="213"/>
      <c r="G14" s="213"/>
      <c r="H14" s="213"/>
      <c r="I14" s="59" t="s">
        <v>58</v>
      </c>
      <c r="J14" s="43">
        <v>0.5</v>
      </c>
      <c r="K14" s="23" t="s">
        <v>10</v>
      </c>
      <c r="L14" s="31" t="s">
        <v>37</v>
      </c>
      <c r="M14" s="38">
        <f>J8*1000000</f>
        <v>500000000</v>
      </c>
      <c r="N14" s="46" t="s">
        <v>59</v>
      </c>
      <c r="O14" s="214" t="s">
        <v>60</v>
      </c>
      <c r="P14" s="214"/>
      <c r="Q14" s="214"/>
      <c r="R14" s="214"/>
      <c r="S14" s="214"/>
      <c r="T14" s="214"/>
      <c r="U14" s="65" t="s">
        <v>61</v>
      </c>
      <c r="V14" s="66">
        <f>(J13*J13)/(2*(J19*J19-1))</f>
        <v>4000000</v>
      </c>
      <c r="W14" s="67" t="s">
        <v>17</v>
      </c>
    </row>
    <row r="15" spans="1:29" ht="15" customHeight="1" x14ac:dyDescent="0.25">
      <c r="A15" s="215" t="s">
        <v>62</v>
      </c>
      <c r="B15" s="215"/>
      <c r="C15" s="215"/>
      <c r="D15" s="215"/>
      <c r="E15" s="215"/>
      <c r="F15" s="215"/>
      <c r="G15" s="215"/>
      <c r="H15" s="215"/>
      <c r="I15" s="42" t="s">
        <v>55</v>
      </c>
      <c r="J15" s="43">
        <v>8.9600000000000009</v>
      </c>
      <c r="K15" s="44" t="s">
        <v>28</v>
      </c>
      <c r="L15" s="31" t="s">
        <v>63</v>
      </c>
      <c r="M15" s="38">
        <f>J16*1000000</f>
        <v>824000000</v>
      </c>
      <c r="N15" s="46" t="s">
        <v>59</v>
      </c>
      <c r="O15" s="216" t="s">
        <v>64</v>
      </c>
      <c r="P15" s="216"/>
      <c r="Q15" s="216"/>
      <c r="R15" s="216"/>
      <c r="S15" s="216"/>
      <c r="T15" s="216"/>
      <c r="U15" s="216"/>
      <c r="V15" s="216"/>
      <c r="W15" s="216"/>
    </row>
    <row r="16" spans="1:29" ht="15.75" customHeight="1" x14ac:dyDescent="0.25">
      <c r="A16" s="215" t="s">
        <v>65</v>
      </c>
      <c r="B16" s="215"/>
      <c r="C16" s="215"/>
      <c r="D16" s="215"/>
      <c r="E16" s="215"/>
      <c r="F16" s="215"/>
      <c r="G16" s="215"/>
      <c r="H16" s="215"/>
      <c r="I16" s="42" t="s">
        <v>63</v>
      </c>
      <c r="J16" s="43">
        <v>824</v>
      </c>
      <c r="K16" s="44" t="s">
        <v>38</v>
      </c>
      <c r="L16" s="31" t="s">
        <v>66</v>
      </c>
      <c r="M16" s="38">
        <f>J17/1000</f>
        <v>4.4999999999999998E-2</v>
      </c>
      <c r="N16" s="46" t="s">
        <v>7</v>
      </c>
      <c r="O16" s="68"/>
      <c r="P16" s="69" t="s">
        <v>67</v>
      </c>
      <c r="Q16" s="70">
        <f>(M19*M18)/(M11*M2)</f>
        <v>1.3588110403397027</v>
      </c>
      <c r="R16" s="69" t="s">
        <v>68</v>
      </c>
      <c r="S16" s="70">
        <f>(M19*M18)/(M12*M3)</f>
        <v>1.3588110403397027</v>
      </c>
      <c r="T16" s="71"/>
      <c r="U16" s="72" t="s">
        <v>69</v>
      </c>
      <c r="V16" s="73" t="s">
        <v>70</v>
      </c>
      <c r="W16" s="74"/>
    </row>
    <row r="17" spans="1:24" ht="15" customHeight="1" x14ac:dyDescent="0.25">
      <c r="A17" s="215" t="s">
        <v>71</v>
      </c>
      <c r="B17" s="215"/>
      <c r="C17" s="215"/>
      <c r="D17" s="215"/>
      <c r="E17" s="215"/>
      <c r="F17" s="215"/>
      <c r="G17" s="215"/>
      <c r="H17" s="215"/>
      <c r="I17" s="42" t="s">
        <v>66</v>
      </c>
      <c r="J17" s="22">
        <v>45</v>
      </c>
      <c r="K17" s="23" t="s">
        <v>10</v>
      </c>
      <c r="L17" s="31" t="s">
        <v>72</v>
      </c>
      <c r="M17" s="38">
        <f>J18*1000</f>
        <v>9000</v>
      </c>
      <c r="N17" s="46" t="s">
        <v>17</v>
      </c>
      <c r="O17" s="217" t="s">
        <v>73</v>
      </c>
      <c r="P17" s="217"/>
      <c r="Q17" s="217"/>
      <c r="R17" s="217"/>
      <c r="S17" s="217"/>
      <c r="T17" s="75" t="s">
        <v>74</v>
      </c>
      <c r="U17" s="76">
        <f>(SQRT(2*V14))*(SQRT((3*Q16)/(3+Q16+ (((S16/Q16)*((Q16+2)/(S16+2)^2)))*(Q16+2*S16+6))))</f>
        <v>2105.1416735380244</v>
      </c>
      <c r="V17" s="76">
        <f>U17/M34</f>
        <v>1734.4794518609449</v>
      </c>
      <c r="W17" s="77" t="s">
        <v>17</v>
      </c>
    </row>
    <row r="18" spans="1:24" ht="15" customHeight="1" x14ac:dyDescent="0.25">
      <c r="A18" s="218" t="s">
        <v>75</v>
      </c>
      <c r="B18" s="218"/>
      <c r="C18" s="218"/>
      <c r="D18" s="218"/>
      <c r="E18" s="218"/>
      <c r="F18" s="218"/>
      <c r="G18" s="218"/>
      <c r="H18" s="218"/>
      <c r="I18" s="59" t="s">
        <v>72</v>
      </c>
      <c r="J18" s="43">
        <v>9</v>
      </c>
      <c r="K18" s="23" t="s">
        <v>76</v>
      </c>
      <c r="L18" s="31" t="s">
        <v>35</v>
      </c>
      <c r="M18" s="38">
        <f>J11/1000</f>
        <v>0.01</v>
      </c>
      <c r="N18" s="46" t="s">
        <v>7</v>
      </c>
      <c r="O18" s="217"/>
      <c r="P18" s="217"/>
      <c r="Q18" s="217"/>
      <c r="R18" s="217"/>
      <c r="S18" s="217"/>
      <c r="T18" s="75" t="s">
        <v>77</v>
      </c>
      <c r="U18" s="76">
        <f>U17*(S16/Q16)*((Q16+2)/(S16+2))</f>
        <v>2105.1416735380244</v>
      </c>
      <c r="V18" s="76">
        <f>U18/M35</f>
        <v>1734.4794518609449</v>
      </c>
      <c r="W18" s="77" t="s">
        <v>17</v>
      </c>
    </row>
    <row r="19" spans="1:24" ht="15" customHeight="1" x14ac:dyDescent="0.25">
      <c r="A19" s="219" t="s">
        <v>78</v>
      </c>
      <c r="B19" s="219"/>
      <c r="C19" s="219"/>
      <c r="D19" s="219"/>
      <c r="E19" s="219"/>
      <c r="F19" s="219"/>
      <c r="G19" s="219"/>
      <c r="H19" s="219"/>
      <c r="I19" s="42" t="s">
        <v>79</v>
      </c>
      <c r="J19" s="22">
        <v>3</v>
      </c>
      <c r="K19" s="23" t="s">
        <v>5</v>
      </c>
      <c r="L19" s="31" t="s">
        <v>52</v>
      </c>
      <c r="M19" s="38">
        <f>J12*1000</f>
        <v>1600</v>
      </c>
      <c r="N19" s="46" t="s">
        <v>49</v>
      </c>
      <c r="O19" s="220" t="s">
        <v>80</v>
      </c>
      <c r="P19" s="220"/>
      <c r="Q19" s="220"/>
      <c r="R19" s="220"/>
      <c r="S19" s="220"/>
      <c r="T19" s="75" t="s">
        <v>74</v>
      </c>
      <c r="U19" s="79">
        <f>(SQRT(2*V14))*(SQRT((3*Q16^2)/(Q16^2+5*Q16+4)))</f>
        <v>1872.3364414001421</v>
      </c>
      <c r="V19" s="71"/>
      <c r="W19" s="77" t="s">
        <v>17</v>
      </c>
    </row>
    <row r="20" spans="1:24" ht="15" customHeight="1" x14ac:dyDescent="0.25">
      <c r="A20" s="221" t="s">
        <v>81</v>
      </c>
      <c r="B20" s="221"/>
      <c r="C20" s="221"/>
      <c r="D20" s="221"/>
      <c r="E20" s="221"/>
      <c r="F20" s="221"/>
      <c r="G20" s="221"/>
      <c r="H20" s="221"/>
      <c r="I20" s="21" t="s">
        <v>82</v>
      </c>
      <c r="J20" s="80">
        <f>1/6</f>
        <v>0.16666666666666666</v>
      </c>
      <c r="K20" s="23" t="s">
        <v>5</v>
      </c>
      <c r="L20" s="81" t="s">
        <v>58</v>
      </c>
      <c r="M20" s="38">
        <f>J14/1000</f>
        <v>5.0000000000000001E-4</v>
      </c>
      <c r="N20" s="63" t="s">
        <v>7</v>
      </c>
      <c r="O20" s="220" t="s">
        <v>83</v>
      </c>
      <c r="P20" s="220"/>
      <c r="Q20" s="220"/>
      <c r="R20" s="220"/>
      <c r="S20" s="220"/>
      <c r="T20" s="75" t="s">
        <v>74</v>
      </c>
      <c r="U20" s="79">
        <f>(SQRT(6*V14))*(Q16/(Q16+2))</f>
        <v>1981.8880346159722</v>
      </c>
      <c r="V20" s="71"/>
      <c r="W20" s="77" t="s">
        <v>17</v>
      </c>
    </row>
    <row r="21" spans="1:24" ht="15" customHeight="1" x14ac:dyDescent="0.25">
      <c r="A21" s="221"/>
      <c r="B21" s="221"/>
      <c r="C21" s="221"/>
      <c r="D21" s="221"/>
      <c r="E21" s="221"/>
      <c r="F21" s="221"/>
      <c r="G21" s="221"/>
      <c r="H21" s="221"/>
      <c r="I21" s="21" t="s">
        <v>84</v>
      </c>
      <c r="J21" s="80">
        <f>1/12</f>
        <v>8.3333333333333329E-2</v>
      </c>
      <c r="K21" s="23" t="s">
        <v>5</v>
      </c>
      <c r="L21" s="55" t="s">
        <v>85</v>
      </c>
      <c r="M21" s="82">
        <f>(M20/2)/((1-(M20/2))/(1*M16*M5))</f>
        <v>4.2153780204341177E-6</v>
      </c>
      <c r="N21" s="83"/>
      <c r="O21" s="220" t="s">
        <v>86</v>
      </c>
      <c r="P21" s="220"/>
      <c r="Q21" s="220"/>
      <c r="R21" s="220"/>
      <c r="S21" s="220"/>
      <c r="T21" s="84" t="s">
        <v>87</v>
      </c>
      <c r="U21" s="85">
        <f>(J13/SQRT(J19^2-1))*SQRT((3*Q16/(6+Q16)))</f>
        <v>2105.141673538024</v>
      </c>
      <c r="V21" s="71"/>
      <c r="W21" s="86" t="s">
        <v>17</v>
      </c>
    </row>
    <row r="22" spans="1:24" ht="15" customHeight="1" x14ac:dyDescent="0.25">
      <c r="A22" s="219" t="s">
        <v>88</v>
      </c>
      <c r="B22" s="219"/>
      <c r="C22" s="219"/>
      <c r="D22" s="219"/>
      <c r="E22" s="219"/>
      <c r="F22" s="219"/>
      <c r="G22" s="219"/>
      <c r="H22" s="219"/>
      <c r="I22" s="42" t="s">
        <v>89</v>
      </c>
      <c r="J22" s="22">
        <v>20000</v>
      </c>
      <c r="K22" s="23" t="s">
        <v>38</v>
      </c>
      <c r="L22" s="87" t="s">
        <v>47</v>
      </c>
      <c r="M22" s="88">
        <f>(M18/J13)</f>
        <v>1.2500000000000001E-6</v>
      </c>
      <c r="N22" s="89" t="s">
        <v>39</v>
      </c>
      <c r="O22" s="222" t="s">
        <v>90</v>
      </c>
      <c r="P22" s="222"/>
      <c r="Q22" s="222"/>
      <c r="R22" s="222"/>
      <c r="S22" s="222"/>
      <c r="T22" s="90" t="s">
        <v>91</v>
      </c>
      <c r="U22" s="91">
        <f>(M11*M2*U17/M38)*1000000</f>
        <v>1.5492527003693899</v>
      </c>
      <c r="V22" s="91">
        <f>(M11*M2*V17/M38)*1000000</f>
        <v>1.2764684716039143</v>
      </c>
      <c r="W22" s="77" t="s">
        <v>14</v>
      </c>
    </row>
    <row r="23" spans="1:24" ht="15" customHeight="1" x14ac:dyDescent="0.25">
      <c r="A23" s="219" t="s">
        <v>92</v>
      </c>
      <c r="B23" s="219"/>
      <c r="C23" s="219"/>
      <c r="D23" s="219"/>
      <c r="E23" s="219"/>
      <c r="F23" s="219"/>
      <c r="G23" s="219"/>
      <c r="H23" s="219"/>
      <c r="I23" s="42" t="s">
        <v>93</v>
      </c>
      <c r="J23" s="22">
        <v>0.8</v>
      </c>
      <c r="K23" s="23" t="s">
        <v>5</v>
      </c>
      <c r="L23" s="87" t="s">
        <v>47</v>
      </c>
      <c r="M23" s="88">
        <f>(M18/M4)</f>
        <v>2.151123024283959E-6</v>
      </c>
      <c r="N23" s="89" t="s">
        <v>39</v>
      </c>
      <c r="O23" s="222"/>
      <c r="P23" s="222"/>
      <c r="Q23" s="222"/>
      <c r="R23" s="222"/>
      <c r="S23" s="222"/>
      <c r="T23" s="90" t="s">
        <v>94</v>
      </c>
      <c r="U23" s="91">
        <f>(M12*M3*U18/M38)*1000000</f>
        <v>1.5492527003693899</v>
      </c>
      <c r="V23" s="91">
        <f>(M12*M3*V18/M38)*1000000</f>
        <v>1.2764684716039143</v>
      </c>
      <c r="W23" s="77" t="s">
        <v>14</v>
      </c>
    </row>
    <row r="24" spans="1:24" ht="15" customHeight="1" x14ac:dyDescent="0.25">
      <c r="A24" s="223" t="s">
        <v>95</v>
      </c>
      <c r="B24" s="223"/>
      <c r="C24" s="223"/>
      <c r="D24" s="223"/>
      <c r="E24" s="223"/>
      <c r="F24" s="223"/>
      <c r="G24" s="223"/>
      <c r="H24" s="223"/>
      <c r="I24" s="92" t="s">
        <v>96</v>
      </c>
      <c r="J24" s="93">
        <v>1.2</v>
      </c>
      <c r="K24" s="94" t="s">
        <v>5</v>
      </c>
      <c r="L24" s="95" t="s">
        <v>97</v>
      </c>
      <c r="M24" s="96">
        <f>M18*M31*M32*M19</f>
        <v>0.57408000000000003</v>
      </c>
      <c r="N24" s="97" t="s">
        <v>98</v>
      </c>
      <c r="O24" s="222" t="s">
        <v>99</v>
      </c>
      <c r="P24" s="222"/>
      <c r="Q24" s="222"/>
      <c r="R24" s="222"/>
      <c r="S24" s="222"/>
      <c r="T24" s="75" t="s">
        <v>100</v>
      </c>
      <c r="U24" s="98">
        <f>2*ASIN(U17/(2*J13))</f>
        <v>0.26390789659723252</v>
      </c>
      <c r="V24" s="98">
        <f>2*ASIN(V17/(2*J13))</f>
        <v>0.21723683819630357</v>
      </c>
      <c r="W24" s="77" t="s">
        <v>5</v>
      </c>
    </row>
    <row r="25" spans="1:24" ht="15" customHeight="1" x14ac:dyDescent="0.25">
      <c r="K25" s="99"/>
      <c r="L25" s="95" t="s">
        <v>101</v>
      </c>
      <c r="M25" s="96">
        <f>M2*M31*M32*M11</f>
        <v>0.42248700000000006</v>
      </c>
      <c r="N25" s="97" t="s">
        <v>98</v>
      </c>
      <c r="O25" s="222"/>
      <c r="P25" s="222"/>
      <c r="Q25" s="222"/>
      <c r="R25" s="222"/>
      <c r="S25" s="222"/>
      <c r="T25" s="75" t="s">
        <v>102</v>
      </c>
      <c r="U25" s="100">
        <f>2*ASIN(U18/(2*J13))</f>
        <v>0.26390789659723252</v>
      </c>
      <c r="V25" s="98">
        <f>2*ASIN(V18/(2*J13))</f>
        <v>0.21723683819630357</v>
      </c>
      <c r="W25" s="77" t="s">
        <v>5</v>
      </c>
    </row>
    <row r="26" spans="1:24" ht="15" customHeight="1" x14ac:dyDescent="0.25">
      <c r="A26" s="99"/>
      <c r="B26" s="99"/>
      <c r="C26" s="99"/>
      <c r="D26" s="99"/>
      <c r="E26" s="99"/>
      <c r="F26" s="99"/>
      <c r="G26" s="99"/>
      <c r="H26" s="99"/>
      <c r="I26" s="101"/>
      <c r="L26" s="95" t="s">
        <v>103</v>
      </c>
      <c r="M26" s="96">
        <f>M3*M31*M32*M12</f>
        <v>0.42248700000000006</v>
      </c>
      <c r="N26" s="97" t="s">
        <v>98</v>
      </c>
      <c r="O26" s="224" t="s">
        <v>104</v>
      </c>
      <c r="P26" s="224"/>
      <c r="Q26" s="224"/>
      <c r="R26" s="224"/>
      <c r="S26" s="224"/>
      <c r="T26" s="224"/>
      <c r="U26" s="224"/>
      <c r="V26" s="224"/>
      <c r="W26" s="224"/>
    </row>
    <row r="27" spans="1:24" ht="15" customHeight="1" x14ac:dyDescent="0.25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102" t="s">
        <v>105</v>
      </c>
      <c r="M27" s="103">
        <f>M18*(1+U18/U17)^(-1)</f>
        <v>5.0000000000000001E-3</v>
      </c>
      <c r="N27" s="97" t="s">
        <v>7</v>
      </c>
      <c r="O27" s="225" t="s">
        <v>106</v>
      </c>
      <c r="P27" s="225"/>
      <c r="Q27" s="225"/>
      <c r="R27" s="225"/>
      <c r="S27" s="225"/>
      <c r="T27" s="104" t="s">
        <v>107</v>
      </c>
      <c r="U27" s="105">
        <f>V17</f>
        <v>1734.4794518609449</v>
      </c>
      <c r="V27" s="71"/>
      <c r="W27" s="106" t="s">
        <v>17</v>
      </c>
    </row>
    <row r="28" spans="1:24" ht="15" customHeigh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102" t="s">
        <v>108</v>
      </c>
      <c r="M28" s="103">
        <f>M18-M27</f>
        <v>5.0000000000000001E-3</v>
      </c>
      <c r="N28" s="97" t="s">
        <v>7</v>
      </c>
      <c r="O28" s="225"/>
      <c r="P28" s="225"/>
      <c r="Q28" s="225"/>
      <c r="R28" s="225"/>
      <c r="S28" s="225"/>
      <c r="T28" s="107" t="s">
        <v>109</v>
      </c>
      <c r="U28" s="76">
        <f>V18</f>
        <v>1734.4794518609449</v>
      </c>
      <c r="V28" s="71"/>
      <c r="W28" s="86" t="s">
        <v>17</v>
      </c>
    </row>
    <row r="29" spans="1:24" ht="15" customHeight="1" x14ac:dyDescent="0.25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78" t="s">
        <v>110</v>
      </c>
      <c r="M29" s="100">
        <f>(M19*M27)/(M11*M2)</f>
        <v>0.67940552016985134</v>
      </c>
      <c r="N29" s="97" t="s">
        <v>5</v>
      </c>
      <c r="O29" s="226" t="s">
        <v>90</v>
      </c>
      <c r="P29" s="226"/>
      <c r="Q29" s="226"/>
      <c r="R29" s="226"/>
      <c r="S29" s="226"/>
      <c r="T29" s="90" t="s">
        <v>91</v>
      </c>
      <c r="U29" s="108">
        <f>(2*U27*M11*M2)/M39</f>
        <v>3.1911711790097856E-6</v>
      </c>
      <c r="V29" s="91">
        <f>U29*1000000</f>
        <v>3.1911711790097854</v>
      </c>
      <c r="W29" s="77" t="s">
        <v>14</v>
      </c>
      <c r="X29" s="109"/>
    </row>
    <row r="30" spans="1:24" ht="14.25" customHeight="1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78" t="s">
        <v>111</v>
      </c>
      <c r="M30" s="100">
        <f>(M19*M28)/(M12*M3)</f>
        <v>0.67940552016985134</v>
      </c>
      <c r="N30" s="97" t="s">
        <v>5</v>
      </c>
      <c r="O30" s="226"/>
      <c r="P30" s="226"/>
      <c r="Q30" s="226"/>
      <c r="R30" s="226"/>
      <c r="S30" s="226"/>
      <c r="T30" s="110" t="s">
        <v>94</v>
      </c>
      <c r="U30" s="111">
        <f>(2*U28*M12*M3)/M39</f>
        <v>3.1911711790097856E-6</v>
      </c>
      <c r="V30" s="112">
        <f>U30*1000000</f>
        <v>3.1911711790097854</v>
      </c>
      <c r="W30" s="113" t="s">
        <v>14</v>
      </c>
    </row>
    <row r="31" spans="1:24" ht="15" customHeight="1" x14ac:dyDescent="0.25">
      <c r="A31" s="99"/>
      <c r="B31" s="99"/>
      <c r="C31" s="99"/>
      <c r="D31" s="99"/>
      <c r="E31" s="99"/>
      <c r="F31" s="99"/>
      <c r="G31" s="99"/>
      <c r="H31" s="99"/>
      <c r="J31" s="99"/>
      <c r="K31" s="99"/>
      <c r="L31" s="78" t="s">
        <v>42</v>
      </c>
      <c r="M31" s="114">
        <f>J9/1000</f>
        <v>0.26</v>
      </c>
      <c r="N31" s="115" t="s">
        <v>7</v>
      </c>
      <c r="O31" s="116" t="s">
        <v>91</v>
      </c>
      <c r="P31" s="117">
        <f>V29</f>
        <v>3.1911711790097854</v>
      </c>
      <c r="Q31" s="118" t="s">
        <v>14</v>
      </c>
      <c r="R31" s="119">
        <f>P31/1000000</f>
        <v>3.1911711790097856E-6</v>
      </c>
      <c r="S31" s="120" t="s">
        <v>39</v>
      </c>
      <c r="T31" s="121" t="s">
        <v>74</v>
      </c>
      <c r="U31" s="122">
        <f>U27</f>
        <v>1734.4794518609449</v>
      </c>
      <c r="V31" s="123" t="s">
        <v>17</v>
      </c>
      <c r="W31" s="109"/>
    </row>
    <row r="32" spans="1:24" ht="15" customHeight="1" x14ac:dyDescent="0.2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78" t="s">
        <v>45</v>
      </c>
      <c r="M32" s="114">
        <f>J10/1000</f>
        <v>0.13800000000000001</v>
      </c>
      <c r="N32" s="115" t="s">
        <v>7</v>
      </c>
      <c r="O32" s="124" t="s">
        <v>94</v>
      </c>
      <c r="P32" s="125">
        <f>V30</f>
        <v>3.1911711790097854</v>
      </c>
      <c r="Q32" s="126" t="s">
        <v>14</v>
      </c>
      <c r="R32" s="127">
        <f>P32/1000000</f>
        <v>3.1911711790097856E-6</v>
      </c>
      <c r="S32" s="128" t="s">
        <v>39</v>
      </c>
      <c r="T32" s="129" t="s">
        <v>77</v>
      </c>
      <c r="U32" s="130">
        <f>U28</f>
        <v>1734.4794518609449</v>
      </c>
      <c r="V32" s="131" t="s">
        <v>17</v>
      </c>
    </row>
    <row r="33" spans="1:24" ht="15" customHeight="1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78" t="s">
        <v>112</v>
      </c>
      <c r="M33" s="114">
        <f>J9/J10</f>
        <v>1.8840579710144927</v>
      </c>
      <c r="N33" s="132" t="s">
        <v>5</v>
      </c>
      <c r="O33" s="227" t="s">
        <v>113</v>
      </c>
      <c r="P33" s="227"/>
      <c r="Q33" s="227"/>
      <c r="R33" s="227"/>
      <c r="S33" s="227"/>
      <c r="T33" s="227"/>
      <c r="U33" s="227"/>
      <c r="V33" s="227"/>
    </row>
    <row r="34" spans="1:24" x14ac:dyDescent="0.25">
      <c r="A34" s="99"/>
      <c r="B34" s="99"/>
      <c r="C34" s="99"/>
      <c r="D34" s="99"/>
      <c r="E34" s="99"/>
      <c r="F34" s="99"/>
      <c r="G34" s="99"/>
      <c r="H34" s="101"/>
      <c r="I34" s="99"/>
      <c r="J34" s="99"/>
      <c r="K34" s="99"/>
      <c r="L34" s="78" t="s">
        <v>114</v>
      </c>
      <c r="M34" s="100">
        <f>SQRT(1+((1+2*J20*M29)/(2*J21*M29))*M36^2)</f>
        <v>1.2137022847283612</v>
      </c>
      <c r="N34" s="97" t="s">
        <v>5</v>
      </c>
      <c r="O34" s="133" t="s">
        <v>115</v>
      </c>
      <c r="P34" s="134" t="s">
        <v>116</v>
      </c>
      <c r="Q34" s="134" t="s">
        <v>117</v>
      </c>
      <c r="R34" s="134" t="s">
        <v>118</v>
      </c>
      <c r="S34" s="134" t="s">
        <v>119</v>
      </c>
      <c r="T34" s="134" t="s">
        <v>120</v>
      </c>
      <c r="U34" s="134" t="s">
        <v>121</v>
      </c>
      <c r="V34" s="135" t="s">
        <v>122</v>
      </c>
    </row>
    <row r="35" spans="1:24" ht="15" customHeight="1" x14ac:dyDescent="0.25">
      <c r="A35" s="136"/>
      <c r="B35" s="137"/>
      <c r="C35" s="137"/>
      <c r="D35" s="137"/>
      <c r="E35" s="137"/>
      <c r="F35" s="137"/>
      <c r="G35" s="137"/>
      <c r="H35" s="137"/>
      <c r="I35" s="99"/>
      <c r="J35" s="99"/>
      <c r="K35" s="99"/>
      <c r="L35" s="78" t="s">
        <v>123</v>
      </c>
      <c r="M35" s="100">
        <f>SQRT(1+((1+2*J20*M30)/(2*J21*M30))*M36^2)</f>
        <v>1.2137022847283612</v>
      </c>
      <c r="N35" s="97" t="s">
        <v>5</v>
      </c>
      <c r="O35" s="138">
        <v>1</v>
      </c>
      <c r="P35" s="139">
        <v>10</v>
      </c>
      <c r="Q35" s="140">
        <f t="shared" ref="Q35:Q53" si="0">$R$31/P35</f>
        <v>3.1911711790097856E-7</v>
      </c>
      <c r="R35" s="141">
        <f t="shared" ref="R35:R63" si="1">Q35*1000000</f>
        <v>0.31911711790097858</v>
      </c>
      <c r="S35" s="142">
        <f t="shared" ref="S35:S63" si="2">($M$39/($M$11*$M$2))*(Q35-(Q35*Q35/(2*$R$31)))</f>
        <v>329.55109585357957</v>
      </c>
      <c r="T35" s="140">
        <f t="shared" ref="T35:T63" si="3">($M$39/($M$11*$M$2))*(( Q35*Q35/2)-(Q35*Q35*Q35/(6*$R$31)))</f>
        <v>5.3505201427845598E-5</v>
      </c>
      <c r="U35" s="141">
        <f t="shared" ref="U35:U63" si="4">T35*1000</f>
        <v>5.3505201427845601E-2</v>
      </c>
      <c r="V35" s="143">
        <f t="shared" ref="V35:V63" si="5">U35*$M$7</f>
        <v>0.1324300206434515</v>
      </c>
    </row>
    <row r="36" spans="1:24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78" t="s">
        <v>124</v>
      </c>
      <c r="M36" s="114">
        <f>(   (M31+M32) *M18*M33             )/(M31*M32)</f>
        <v>0.20898970804452843</v>
      </c>
      <c r="N36" s="97" t="s">
        <v>5</v>
      </c>
      <c r="O36" s="138">
        <v>2</v>
      </c>
      <c r="P36" s="139">
        <v>9</v>
      </c>
      <c r="Q36" s="140">
        <f t="shared" si="0"/>
        <v>3.5457457544553171E-7</v>
      </c>
      <c r="R36" s="141">
        <f t="shared" si="1"/>
        <v>0.35457457544553173</v>
      </c>
      <c r="S36" s="142">
        <f t="shared" si="2"/>
        <v>364.02655162513656</v>
      </c>
      <c r="T36" s="140">
        <f t="shared" si="3"/>
        <v>6.5802716859372106E-5</v>
      </c>
      <c r="U36" s="141">
        <f t="shared" si="4"/>
        <v>6.5802716859372112E-2</v>
      </c>
      <c r="V36" s="143">
        <f t="shared" si="5"/>
        <v>0.16286743941770679</v>
      </c>
    </row>
    <row r="37" spans="1:24" ht="15" customHeight="1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78" t="s">
        <v>89</v>
      </c>
      <c r="M37" s="71">
        <f>J22*1000000</f>
        <v>20000000000</v>
      </c>
      <c r="N37" s="144" t="s">
        <v>59</v>
      </c>
      <c r="O37" s="138">
        <v>3</v>
      </c>
      <c r="P37" s="139">
        <v>8</v>
      </c>
      <c r="Q37" s="140">
        <f t="shared" si="0"/>
        <v>3.9889639737622319E-7</v>
      </c>
      <c r="R37" s="141">
        <f t="shared" si="1"/>
        <v>0.39889639737622318</v>
      </c>
      <c r="S37" s="142">
        <f t="shared" si="2"/>
        <v>406.51862152990896</v>
      </c>
      <c r="T37" s="140">
        <f t="shared" si="3"/>
        <v>8.2881171392810407E-5</v>
      </c>
      <c r="U37" s="141">
        <f t="shared" si="4"/>
        <v>8.2881171392810413E-2</v>
      </c>
      <c r="V37" s="143">
        <f t="shared" si="5"/>
        <v>0.2051380977100879</v>
      </c>
      <c r="X37" s="145"/>
    </row>
    <row r="38" spans="1:24" ht="15" customHeight="1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78" t="s">
        <v>125</v>
      </c>
      <c r="M38" s="114">
        <f>J23*M37</f>
        <v>16000000000</v>
      </c>
      <c r="N38" s="97" t="s">
        <v>59</v>
      </c>
      <c r="O38" s="138">
        <v>4</v>
      </c>
      <c r="P38" s="139">
        <v>7</v>
      </c>
      <c r="Q38" s="140">
        <f t="shared" si="0"/>
        <v>4.5588159700139792E-7</v>
      </c>
      <c r="R38" s="141">
        <f t="shared" si="1"/>
        <v>0.45588159700139791</v>
      </c>
      <c r="S38" s="142">
        <f t="shared" si="2"/>
        <v>460.16801784065882</v>
      </c>
      <c r="T38" s="140">
        <f t="shared" si="3"/>
        <v>1.0758057992931657E-4</v>
      </c>
      <c r="U38" s="141">
        <f t="shared" si="4"/>
        <v>0.10758057992931658</v>
      </c>
      <c r="V38" s="143">
        <f t="shared" si="5"/>
        <v>0.26627127906595255</v>
      </c>
    </row>
    <row r="39" spans="1:24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78" t="s">
        <v>126</v>
      </c>
      <c r="M39" s="114">
        <f>(M19*J13^2)/(2*(J19+1))</f>
        <v>12800000000</v>
      </c>
      <c r="N39" s="97" t="s">
        <v>59</v>
      </c>
      <c r="O39" s="138">
        <v>5</v>
      </c>
      <c r="P39" s="139">
        <v>6</v>
      </c>
      <c r="Q39" s="140">
        <f t="shared" si="0"/>
        <v>5.3186186316829759E-7</v>
      </c>
      <c r="R39" s="141">
        <f t="shared" si="1"/>
        <v>0.53186186316829764</v>
      </c>
      <c r="S39" s="142">
        <f t="shared" si="2"/>
        <v>529.97983251306653</v>
      </c>
      <c r="T39" s="140">
        <f t="shared" si="3"/>
        <v>1.4520887999255671E-4</v>
      </c>
      <c r="U39" s="141">
        <f t="shared" si="4"/>
        <v>0.14520887999255672</v>
      </c>
      <c r="V39" s="143">
        <f t="shared" si="5"/>
        <v>0.3594045898688818</v>
      </c>
    </row>
    <row r="40" spans="1:24" ht="15" customHeight="1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146" t="s">
        <v>127</v>
      </c>
      <c r="M40" s="147">
        <f>U31*M6</f>
        <v>1608.1813438433196</v>
      </c>
      <c r="N40" s="148" t="s">
        <v>17</v>
      </c>
      <c r="O40" s="138">
        <v>6</v>
      </c>
      <c r="P40" s="139">
        <v>5</v>
      </c>
      <c r="Q40" s="140">
        <f t="shared" si="0"/>
        <v>6.3823423580195711E-7</v>
      </c>
      <c r="R40" s="141">
        <f t="shared" si="1"/>
        <v>0.63823423580195715</v>
      </c>
      <c r="S40" s="142">
        <f t="shared" si="2"/>
        <v>624.41260266994016</v>
      </c>
      <c r="T40" s="140">
        <f t="shared" si="3"/>
        <v>2.0664077792823129E-4</v>
      </c>
      <c r="U40" s="141">
        <f t="shared" si="4"/>
        <v>0.2066407779282313</v>
      </c>
      <c r="V40" s="143">
        <f t="shared" si="5"/>
        <v>0.51145387282988164</v>
      </c>
    </row>
    <row r="41" spans="1:24" ht="15" customHeight="1" x14ac:dyDescent="0.25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146" t="s">
        <v>128</v>
      </c>
      <c r="M41" s="147">
        <f>U32*M6</f>
        <v>1608.1813438433196</v>
      </c>
      <c r="N41" s="148" t="s">
        <v>17</v>
      </c>
      <c r="O41" s="138">
        <v>7</v>
      </c>
      <c r="P41" s="139">
        <v>4</v>
      </c>
      <c r="Q41" s="140">
        <f t="shared" si="0"/>
        <v>7.9779279475244639E-7</v>
      </c>
      <c r="R41" s="141">
        <f t="shared" si="1"/>
        <v>0.79779279475244635</v>
      </c>
      <c r="S41" s="142">
        <f t="shared" si="2"/>
        <v>758.83476018916338</v>
      </c>
      <c r="T41" s="140">
        <f t="shared" si="3"/>
        <v>3.1711056880727456E-4</v>
      </c>
      <c r="U41" s="141">
        <f t="shared" si="4"/>
        <v>0.31711056880727456</v>
      </c>
      <c r="V41" s="143">
        <f t="shared" si="5"/>
        <v>0.78487619993424917</v>
      </c>
    </row>
    <row r="42" spans="1:24" ht="15" customHeight="1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146" t="s">
        <v>129</v>
      </c>
      <c r="M42" s="147">
        <f>M17+(U31/M5)</f>
        <v>13630.13594086748</v>
      </c>
      <c r="N42" s="148" t="s">
        <v>17</v>
      </c>
      <c r="O42" s="138">
        <v>8</v>
      </c>
      <c r="P42" s="139">
        <v>3</v>
      </c>
      <c r="Q42" s="140">
        <f t="shared" si="0"/>
        <v>1.0637237263365952E-6</v>
      </c>
      <c r="R42" s="141">
        <f t="shared" si="1"/>
        <v>1.0637237263365953</v>
      </c>
      <c r="S42" s="142">
        <f t="shared" si="2"/>
        <v>963.59969547830269</v>
      </c>
      <c r="T42" s="140">
        <f t="shared" si="3"/>
        <v>5.4666872467786063E-4</v>
      </c>
      <c r="U42" s="141">
        <f t="shared" si="4"/>
        <v>0.54666872467786065</v>
      </c>
      <c r="V42" s="143">
        <f t="shared" si="5"/>
        <v>1.3530525736240258</v>
      </c>
    </row>
    <row r="43" spans="1:24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146" t="s">
        <v>130</v>
      </c>
      <c r="M43" s="147">
        <f>M17-(U32/M5)</f>
        <v>4369.8640591325202</v>
      </c>
      <c r="N43" s="148" t="s">
        <v>17</v>
      </c>
      <c r="O43" s="138">
        <v>9</v>
      </c>
      <c r="P43" s="139">
        <v>2</v>
      </c>
      <c r="Q43" s="140">
        <f t="shared" si="0"/>
        <v>1.5955855895048928E-6</v>
      </c>
      <c r="R43" s="141">
        <f t="shared" si="1"/>
        <v>1.5955855895048927</v>
      </c>
      <c r="S43" s="142">
        <f t="shared" si="2"/>
        <v>1300.8595888957086</v>
      </c>
      <c r="T43" s="140">
        <f t="shared" si="3"/>
        <v>1.1531293411173624E-3</v>
      </c>
      <c r="U43" s="141">
        <f t="shared" si="4"/>
        <v>1.1531293411173624</v>
      </c>
      <c r="V43" s="143">
        <f t="shared" si="5"/>
        <v>2.8540952724881796</v>
      </c>
    </row>
    <row r="44" spans="1:24" ht="15" customHeight="1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146" t="s">
        <v>131</v>
      </c>
      <c r="M44" s="149">
        <f>M2/(M42*M5)</f>
        <v>2.9377555449209834E-7</v>
      </c>
      <c r="N44" s="148" t="s">
        <v>132</v>
      </c>
      <c r="O44" s="138">
        <v>10</v>
      </c>
      <c r="P44" s="139">
        <v>1.9</v>
      </c>
      <c r="Q44" s="140">
        <f t="shared" si="0"/>
        <v>1.6795637784262029E-6</v>
      </c>
      <c r="R44" s="141">
        <f t="shared" si="1"/>
        <v>1.679563778426203</v>
      </c>
      <c r="S44" s="142">
        <f t="shared" si="2"/>
        <v>1345.3026219420071</v>
      </c>
      <c r="T44" s="140">
        <f t="shared" si="3"/>
        <v>1.2642561080627734E-3</v>
      </c>
      <c r="U44" s="141">
        <f t="shared" si="4"/>
        <v>1.2642561080627734</v>
      </c>
      <c r="V44" s="143">
        <f t="shared" si="5"/>
        <v>3.1291436724174231</v>
      </c>
    </row>
    <row r="45" spans="1:24" ht="15" customHeight="1" x14ac:dyDescent="0.2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146" t="s">
        <v>133</v>
      </c>
      <c r="M45" s="149">
        <f>M3/(M43*M5)</f>
        <v>9.1632158109419828E-7</v>
      </c>
      <c r="N45" s="148" t="s">
        <v>132</v>
      </c>
      <c r="O45" s="138">
        <v>11</v>
      </c>
      <c r="P45" s="139">
        <v>1.8</v>
      </c>
      <c r="Q45" s="140">
        <f t="shared" si="0"/>
        <v>1.7728728772276585E-6</v>
      </c>
      <c r="R45" s="141">
        <f t="shared" si="1"/>
        <v>1.7728728772276585</v>
      </c>
      <c r="S45" s="142">
        <f t="shared" si="2"/>
        <v>1391.8662268019928</v>
      </c>
      <c r="T45" s="140">
        <f t="shared" si="3"/>
        <v>1.3919805489482559E-3</v>
      </c>
      <c r="U45" s="141">
        <f t="shared" si="4"/>
        <v>1.391980548948256</v>
      </c>
      <c r="V45" s="143">
        <f t="shared" si="5"/>
        <v>3.4452727569130279</v>
      </c>
    </row>
    <row r="46" spans="1:24" ht="15" customHeight="1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146" t="s">
        <v>134</v>
      </c>
      <c r="M46" s="150">
        <f>(M13*PI()*M16*M16*M42*M44)/4</f>
        <v>5.7060918816483917E-2</v>
      </c>
      <c r="N46" s="148" t="s">
        <v>98</v>
      </c>
      <c r="O46" s="138">
        <v>12</v>
      </c>
      <c r="P46" s="139">
        <v>1.7</v>
      </c>
      <c r="Q46" s="140">
        <f t="shared" si="0"/>
        <v>1.8771595170645797E-6</v>
      </c>
      <c r="R46" s="141">
        <f t="shared" si="1"/>
        <v>1.8771595170645796</v>
      </c>
      <c r="S46" s="142">
        <f t="shared" si="2"/>
        <v>1440.3981607149715</v>
      </c>
      <c r="T46" s="140">
        <f t="shared" si="3"/>
        <v>1.5396964131345198E-3</v>
      </c>
      <c r="U46" s="141">
        <f t="shared" si="4"/>
        <v>1.5396964131345197</v>
      </c>
      <c r="V46" s="143">
        <f t="shared" si="5"/>
        <v>3.8108823504014762</v>
      </c>
    </row>
    <row r="47" spans="1:24" ht="15" customHeight="1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146" t="s">
        <v>135</v>
      </c>
      <c r="M47" s="150">
        <f>(M13*PI()*M16*M16*M43*M45)/4</f>
        <v>5.706091881648391E-2</v>
      </c>
      <c r="N47" s="148" t="s">
        <v>98</v>
      </c>
      <c r="O47" s="138">
        <v>13</v>
      </c>
      <c r="P47" s="139">
        <v>1.6</v>
      </c>
      <c r="Q47" s="140">
        <f t="shared" si="0"/>
        <v>1.9944819868811157E-6</v>
      </c>
      <c r="R47" s="141">
        <f t="shared" si="1"/>
        <v>1.9944819868811157</v>
      </c>
      <c r="S47" s="142">
        <f t="shared" si="2"/>
        <v>1490.5682789429995</v>
      </c>
      <c r="T47" s="140">
        <f t="shared" si="3"/>
        <v>1.7116763657210837E-3</v>
      </c>
      <c r="U47" s="141">
        <f t="shared" si="4"/>
        <v>1.7116763657210836</v>
      </c>
      <c r="V47" s="143">
        <f t="shared" si="5"/>
        <v>4.2365476700996387</v>
      </c>
    </row>
    <row r="48" spans="1:24" ht="15" customHeight="1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146" t="s">
        <v>136</v>
      </c>
      <c r="M48" s="151">
        <f>(4/PI())*(M11/M13)*(J24*M2/(M16*M5))*(M40*M40/M42)</f>
        <v>22.600923847074114</v>
      </c>
      <c r="N48" s="148" t="s">
        <v>17</v>
      </c>
      <c r="O48" s="138">
        <v>14</v>
      </c>
      <c r="P48" s="139">
        <v>1.5</v>
      </c>
      <c r="Q48" s="140">
        <f t="shared" si="0"/>
        <v>2.1274474526731904E-6</v>
      </c>
      <c r="R48" s="141">
        <f t="shared" si="1"/>
        <v>2.1274474526731906</v>
      </c>
      <c r="S48" s="142">
        <f t="shared" si="2"/>
        <v>1541.7595127652842</v>
      </c>
      <c r="T48" s="140">
        <f t="shared" si="3"/>
        <v>1.9133405363725121E-3</v>
      </c>
      <c r="U48" s="141">
        <f t="shared" si="4"/>
        <v>1.913340536372512</v>
      </c>
      <c r="V48" s="143">
        <f t="shared" si="5"/>
        <v>4.7356840076840898</v>
      </c>
    </row>
    <row r="49" spans="1:22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146" t="s">
        <v>137</v>
      </c>
      <c r="M49" s="151">
        <f>(4/PI())*(M12/M13)*(J24*M3/(M16*M5))*(M41*M41/M43)</f>
        <v>70.495022329359799</v>
      </c>
      <c r="N49" s="148" t="s">
        <v>17</v>
      </c>
      <c r="O49" s="138">
        <v>15</v>
      </c>
      <c r="P49" s="139">
        <v>1.4</v>
      </c>
      <c r="Q49" s="140">
        <f t="shared" si="0"/>
        <v>2.2794079850069899E-6</v>
      </c>
      <c r="R49" s="141">
        <f t="shared" si="1"/>
        <v>2.2794079850069897</v>
      </c>
      <c r="S49" s="142">
        <f t="shared" si="2"/>
        <v>1592.8892925253576</v>
      </c>
      <c r="T49" s="140">
        <f t="shared" si="3"/>
        <v>2.1516115985863319E-3</v>
      </c>
      <c r="U49" s="141">
        <f t="shared" si="4"/>
        <v>2.151611598586332</v>
      </c>
      <c r="V49" s="143">
        <f t="shared" si="5"/>
        <v>5.3254255813190516</v>
      </c>
    </row>
    <row r="50" spans="1:22" ht="15" customHeight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152" t="s">
        <v>138</v>
      </c>
      <c r="M50" s="153">
        <f>U31*M7</f>
        <v>4292.9872888217287</v>
      </c>
      <c r="N50" s="154" t="s">
        <v>17</v>
      </c>
      <c r="O50" s="138">
        <v>16</v>
      </c>
      <c r="P50" s="139">
        <v>1.3</v>
      </c>
      <c r="Q50" s="140">
        <f t="shared" si="0"/>
        <v>2.454747060776758E-6</v>
      </c>
      <c r="R50" s="141">
        <f t="shared" si="1"/>
        <v>2.4547470607767581</v>
      </c>
      <c r="S50" s="142">
        <f t="shared" si="2"/>
        <v>1642.1107236553323</v>
      </c>
      <c r="T50" s="140">
        <f t="shared" si="3"/>
        <v>2.4353755770525989E-3</v>
      </c>
      <c r="U50" s="141">
        <f t="shared" si="4"/>
        <v>2.4353755770525991</v>
      </c>
      <c r="V50" s="143">
        <f t="shared" si="5"/>
        <v>6.0277660738940151</v>
      </c>
    </row>
    <row r="51" spans="1:22" ht="15.75" customHeight="1" x14ac:dyDescent="0.25">
      <c r="A51" s="99"/>
      <c r="B51" s="99"/>
      <c r="C51" s="99"/>
      <c r="D51" s="99"/>
      <c r="K51" s="99"/>
      <c r="L51" s="152" t="s">
        <v>139</v>
      </c>
      <c r="M51" s="153">
        <f>U32*M7</f>
        <v>4292.9872888217287</v>
      </c>
      <c r="N51" s="154" t="s">
        <v>17</v>
      </c>
      <c r="O51" s="138">
        <v>17</v>
      </c>
      <c r="P51" s="139">
        <v>1.2</v>
      </c>
      <c r="Q51" s="140">
        <f t="shared" si="0"/>
        <v>2.659309315841488E-6</v>
      </c>
      <c r="R51" s="141">
        <f t="shared" si="1"/>
        <v>2.659309315841488</v>
      </c>
      <c r="S51" s="142">
        <f t="shared" si="2"/>
        <v>1686.2994670870298</v>
      </c>
      <c r="T51" s="140">
        <f t="shared" si="3"/>
        <v>2.7760521175047605E-3</v>
      </c>
      <c r="U51" s="141">
        <f t="shared" si="4"/>
        <v>2.7760521175047606</v>
      </c>
      <c r="V51" s="143">
        <f t="shared" si="5"/>
        <v>6.870970100434505</v>
      </c>
    </row>
    <row r="52" spans="1:22" ht="15" customHeight="1" x14ac:dyDescent="0.25">
      <c r="K52" s="99"/>
      <c r="L52" s="155" t="s">
        <v>140</v>
      </c>
      <c r="M52" s="156">
        <f>M17+(U31/M5)</f>
        <v>13630.13594086748</v>
      </c>
      <c r="N52" s="157" t="s">
        <v>17</v>
      </c>
      <c r="O52" s="138">
        <v>18</v>
      </c>
      <c r="P52" s="139">
        <v>1.1000000000000001</v>
      </c>
      <c r="Q52" s="140">
        <f t="shared" si="0"/>
        <v>2.9010647081907141E-6</v>
      </c>
      <c r="R52" s="141">
        <f t="shared" si="1"/>
        <v>2.9010647081907139</v>
      </c>
      <c r="S52" s="142">
        <f t="shared" si="2"/>
        <v>1720.1449109364742</v>
      </c>
      <c r="T52" s="140">
        <f t="shared" si="3"/>
        <v>3.1882163601141189E-3</v>
      </c>
      <c r="U52" s="141">
        <f t="shared" si="4"/>
        <v>3.1882163601141187</v>
      </c>
      <c r="V52" s="143">
        <f t="shared" si="5"/>
        <v>7.8911123987652116</v>
      </c>
    </row>
    <row r="53" spans="1:22" x14ac:dyDescent="0.25">
      <c r="K53" s="99"/>
      <c r="L53" s="152" t="s">
        <v>141</v>
      </c>
      <c r="M53" s="153">
        <f>M17-(U32/M5)</f>
        <v>4369.8640591325202</v>
      </c>
      <c r="N53" s="154" t="s">
        <v>17</v>
      </c>
      <c r="O53" s="138">
        <v>19</v>
      </c>
      <c r="P53" s="139">
        <v>1</v>
      </c>
      <c r="Q53" s="140">
        <f t="shared" si="0"/>
        <v>3.1911711790097856E-6</v>
      </c>
      <c r="R53" s="141">
        <f t="shared" si="1"/>
        <v>3.1911711790097854</v>
      </c>
      <c r="S53" s="158">
        <f t="shared" si="2"/>
        <v>1734.4794518609449</v>
      </c>
      <c r="T53" s="140">
        <f t="shared" si="3"/>
        <v>3.6900138915755588E-3</v>
      </c>
      <c r="U53" s="141">
        <f t="shared" si="4"/>
        <v>3.6900138915755587</v>
      </c>
      <c r="V53" s="143">
        <f t="shared" si="5"/>
        <v>9.133104871962173</v>
      </c>
    </row>
    <row r="54" spans="1:22" x14ac:dyDescent="0.25">
      <c r="K54" s="99"/>
      <c r="L54" s="152" t="s">
        <v>134</v>
      </c>
      <c r="M54" s="153">
        <f>PI()*M16*M16*M13*M52/4</f>
        <v>194233.039284481</v>
      </c>
      <c r="N54" s="154" t="s">
        <v>142</v>
      </c>
      <c r="O54" s="159">
        <v>20</v>
      </c>
      <c r="P54" s="160">
        <v>1.1000000000000001</v>
      </c>
      <c r="Q54" s="161">
        <f t="shared" ref="Q54:Q63" si="6">$R$31*P54</f>
        <v>3.5102882969107645E-6</v>
      </c>
      <c r="R54" s="162">
        <f t="shared" si="1"/>
        <v>3.5102882969107645</v>
      </c>
      <c r="S54" s="163">
        <f t="shared" si="2"/>
        <v>1717.1346573423352</v>
      </c>
      <c r="T54" s="161">
        <f t="shared" si="3"/>
        <v>4.2416709683661055E-3</v>
      </c>
      <c r="U54" s="162">
        <f t="shared" si="4"/>
        <v>4.2416709683661056</v>
      </c>
      <c r="V54" s="143">
        <f t="shared" si="5"/>
        <v>10.49850405032052</v>
      </c>
    </row>
    <row r="55" spans="1:22" x14ac:dyDescent="0.25">
      <c r="K55" s="99"/>
      <c r="L55" s="152" t="s">
        <v>135</v>
      </c>
      <c r="M55" s="153">
        <f>PI()*M16*M16*M13*M53/4</f>
        <v>62271.717695818443</v>
      </c>
      <c r="N55" s="154" t="s">
        <v>142</v>
      </c>
      <c r="O55" s="159">
        <v>21</v>
      </c>
      <c r="P55" s="160">
        <v>1.2</v>
      </c>
      <c r="Q55" s="161">
        <f t="shared" si="6"/>
        <v>3.8294054148117427E-6</v>
      </c>
      <c r="R55" s="162">
        <f t="shared" si="1"/>
        <v>3.8294054148117427</v>
      </c>
      <c r="S55" s="163">
        <f t="shared" si="2"/>
        <v>1665.1002737865072</v>
      </c>
      <c r="T55" s="161">
        <f t="shared" si="3"/>
        <v>4.7822580034819233E-3</v>
      </c>
      <c r="U55" s="162">
        <f t="shared" si="4"/>
        <v>4.7822580034819229</v>
      </c>
      <c r="V55" s="143">
        <f t="shared" si="5"/>
        <v>11.836503914062972</v>
      </c>
    </row>
    <row r="56" spans="1:22" x14ac:dyDescent="0.25">
      <c r="K56" s="99"/>
      <c r="L56" s="152" t="s">
        <v>101</v>
      </c>
      <c r="M56" s="153">
        <f>M2*$J$24*$M$16*M11*M50</f>
        <v>2729.6959675972957</v>
      </c>
      <c r="N56" s="154" t="s">
        <v>142</v>
      </c>
      <c r="O56" s="159">
        <v>22</v>
      </c>
      <c r="P56" s="160">
        <v>1.3</v>
      </c>
      <c r="Q56" s="161">
        <f t="shared" si="6"/>
        <v>4.1485225327127216E-6</v>
      </c>
      <c r="R56" s="162">
        <f t="shared" si="1"/>
        <v>4.1485225327127218</v>
      </c>
      <c r="S56" s="163">
        <f t="shared" si="2"/>
        <v>1578.3763011934598</v>
      </c>
      <c r="T56" s="161">
        <f t="shared" si="3"/>
        <v>5.30070495524829E-3</v>
      </c>
      <c r="U56" s="162">
        <f t="shared" si="4"/>
        <v>5.3007049552482899</v>
      </c>
      <c r="V56" s="143">
        <f t="shared" si="5"/>
        <v>13.11970514857366</v>
      </c>
    </row>
    <row r="57" spans="1:22" x14ac:dyDescent="0.25">
      <c r="K57" s="99"/>
      <c r="L57" s="164" t="s">
        <v>103</v>
      </c>
      <c r="M57" s="165">
        <f>M3*$J$24*$M$16*M12*M51</f>
        <v>2729.6959675972957</v>
      </c>
      <c r="N57" s="166" t="s">
        <v>142</v>
      </c>
      <c r="O57" s="159">
        <v>23</v>
      </c>
      <c r="P57" s="160">
        <v>1.4</v>
      </c>
      <c r="Q57" s="161">
        <f t="shared" si="6"/>
        <v>4.4676396506136998E-6</v>
      </c>
      <c r="R57" s="162">
        <f t="shared" si="1"/>
        <v>4.4676396506136999</v>
      </c>
      <c r="S57" s="163">
        <f t="shared" si="2"/>
        <v>1456.9627395631935</v>
      </c>
      <c r="T57" s="161">
        <f t="shared" si="3"/>
        <v>5.785941781990476E-3</v>
      </c>
      <c r="U57" s="162">
        <f t="shared" si="4"/>
        <v>5.7859417819904762</v>
      </c>
      <c r="V57" s="143">
        <f t="shared" si="5"/>
        <v>14.320708439236686</v>
      </c>
    </row>
    <row r="58" spans="1:22" x14ac:dyDescent="0.25">
      <c r="K58" s="99"/>
      <c r="O58" s="159">
        <v>24</v>
      </c>
      <c r="P58" s="160">
        <v>1.5</v>
      </c>
      <c r="Q58" s="161">
        <f t="shared" si="6"/>
        <v>4.7867567685146779E-6</v>
      </c>
      <c r="R58" s="162">
        <f t="shared" si="1"/>
        <v>4.7867567685146781</v>
      </c>
      <c r="S58" s="163">
        <f t="shared" si="2"/>
        <v>1300.8595888957091</v>
      </c>
      <c r="T58" s="161">
        <f t="shared" si="3"/>
        <v>6.226898442033754E-3</v>
      </c>
      <c r="U58" s="162">
        <f t="shared" si="4"/>
        <v>6.2268984420337539</v>
      </c>
      <c r="V58" s="143">
        <f t="shared" si="5"/>
        <v>15.412114471436162</v>
      </c>
    </row>
    <row r="59" spans="1:22" x14ac:dyDescent="0.25">
      <c r="K59" s="99"/>
      <c r="O59" s="159">
        <v>25</v>
      </c>
      <c r="P59" s="160">
        <v>1.6</v>
      </c>
      <c r="Q59" s="161">
        <f t="shared" si="6"/>
        <v>5.1058738864156569E-6</v>
      </c>
      <c r="R59" s="162">
        <f t="shared" si="1"/>
        <v>5.1058738864156572</v>
      </c>
      <c r="S59" s="163">
        <f t="shared" si="2"/>
        <v>1110.0668491910042</v>
      </c>
      <c r="T59" s="161">
        <f t="shared" si="3"/>
        <v>6.6125048937034003E-3</v>
      </c>
      <c r="U59" s="162">
        <f t="shared" si="4"/>
        <v>6.6125048937034006</v>
      </c>
      <c r="V59" s="143">
        <f t="shared" si="5"/>
        <v>16.366523930556212</v>
      </c>
    </row>
    <row r="60" spans="1:22" ht="15" customHeight="1" x14ac:dyDescent="0.25">
      <c r="K60" s="99"/>
      <c r="O60" s="159">
        <v>26</v>
      </c>
      <c r="P60" s="160">
        <v>1.7</v>
      </c>
      <c r="Q60" s="161">
        <f t="shared" si="6"/>
        <v>5.424991004316635E-6</v>
      </c>
      <c r="R60" s="162">
        <f t="shared" si="1"/>
        <v>5.4249910043166354</v>
      </c>
      <c r="S60" s="163">
        <f t="shared" si="2"/>
        <v>884.58452044908279</v>
      </c>
      <c r="T60" s="161">
        <f t="shared" si="3"/>
        <v>6.931691095324685E-3</v>
      </c>
      <c r="U60" s="162">
        <f t="shared" si="4"/>
        <v>6.9316910953246849</v>
      </c>
      <c r="V60" s="143">
        <f t="shared" si="5"/>
        <v>17.156537501980935</v>
      </c>
    </row>
    <row r="61" spans="1:22" x14ac:dyDescent="0.25">
      <c r="K61" s="99"/>
      <c r="O61" s="159">
        <v>27</v>
      </c>
      <c r="P61" s="160">
        <v>1.8</v>
      </c>
      <c r="Q61" s="161">
        <f t="shared" si="6"/>
        <v>5.744108122217614E-6</v>
      </c>
      <c r="R61" s="162">
        <f t="shared" si="1"/>
        <v>5.7441081222176136</v>
      </c>
      <c r="S61" s="163">
        <f t="shared" si="2"/>
        <v>624.41260266993936</v>
      </c>
      <c r="T61" s="161">
        <f t="shared" si="3"/>
        <v>7.1733870052228862E-3</v>
      </c>
      <c r="U61" s="162">
        <f t="shared" si="4"/>
        <v>7.1733870052228861</v>
      </c>
      <c r="V61" s="143">
        <f t="shared" si="5"/>
        <v>17.754755871094464</v>
      </c>
    </row>
    <row r="62" spans="1:22" x14ac:dyDescent="0.25">
      <c r="K62" s="167"/>
      <c r="L62" s="99"/>
      <c r="M62" s="99"/>
      <c r="N62" s="99"/>
      <c r="O62" s="159">
        <v>28</v>
      </c>
      <c r="P62" s="160">
        <v>1.9</v>
      </c>
      <c r="Q62" s="161">
        <f t="shared" si="6"/>
        <v>6.0632252401185921E-6</v>
      </c>
      <c r="R62" s="162">
        <f t="shared" si="1"/>
        <v>6.0632252401185918</v>
      </c>
      <c r="S62" s="163">
        <f t="shared" si="2"/>
        <v>329.55109585357934</v>
      </c>
      <c r="T62" s="161">
        <f t="shared" si="3"/>
        <v>7.3265225817232722E-3</v>
      </c>
      <c r="U62" s="162">
        <f t="shared" si="4"/>
        <v>7.326522581723272</v>
      </c>
      <c r="V62" s="143">
        <f t="shared" si="5"/>
        <v>18.133779723280895</v>
      </c>
    </row>
    <row r="63" spans="1:22" x14ac:dyDescent="0.25">
      <c r="K63" s="99"/>
      <c r="L63" s="99"/>
      <c r="M63" s="99"/>
      <c r="N63" s="99"/>
      <c r="O63" s="168">
        <v>29</v>
      </c>
      <c r="P63" s="169">
        <v>2</v>
      </c>
      <c r="Q63" s="170">
        <f t="shared" si="6"/>
        <v>6.3823423580195711E-6</v>
      </c>
      <c r="R63" s="171">
        <f t="shared" si="1"/>
        <v>6.3823423580195708</v>
      </c>
      <c r="S63" s="172">
        <f t="shared" si="2"/>
        <v>0</v>
      </c>
      <c r="T63" s="170">
        <f t="shared" si="3"/>
        <v>7.3800277831511177E-3</v>
      </c>
      <c r="U63" s="171">
        <f t="shared" si="4"/>
        <v>7.3800277831511174</v>
      </c>
      <c r="V63" s="173">
        <f t="shared" si="5"/>
        <v>18.266209743924346</v>
      </c>
    </row>
    <row r="64" spans="1:22" ht="15" customHeight="1" x14ac:dyDescent="0.25">
      <c r="K64" s="99"/>
      <c r="L64" s="99"/>
      <c r="M64" s="99"/>
      <c r="N64" s="99"/>
      <c r="O64" s="228" t="s">
        <v>143</v>
      </c>
      <c r="P64" s="228"/>
      <c r="Q64" s="228"/>
      <c r="R64" s="228"/>
      <c r="S64" s="228"/>
      <c r="T64" s="228"/>
      <c r="U64" s="228"/>
      <c r="V64" s="228"/>
    </row>
    <row r="65" spans="11:22" x14ac:dyDescent="0.25">
      <c r="K65" s="99"/>
      <c r="L65" s="99"/>
      <c r="M65" s="99"/>
      <c r="N65" s="99"/>
      <c r="O65" s="228"/>
      <c r="P65" s="228"/>
      <c r="Q65" s="228"/>
      <c r="R65" s="228"/>
      <c r="S65" s="228"/>
      <c r="T65" s="228"/>
      <c r="U65" s="228"/>
      <c r="V65" s="228"/>
    </row>
    <row r="66" spans="11:22" ht="16.5" x14ac:dyDescent="0.25">
      <c r="K66" s="99"/>
      <c r="L66" s="99"/>
      <c r="M66" s="99"/>
      <c r="N66" s="99"/>
      <c r="O66" s="229" t="s">
        <v>144</v>
      </c>
      <c r="P66" s="229"/>
      <c r="Q66" s="229"/>
      <c r="R66" s="229"/>
      <c r="S66" s="229"/>
      <c r="T66" s="229"/>
      <c r="U66" s="229"/>
      <c r="V66" s="229"/>
    </row>
    <row r="67" spans="11:22" x14ac:dyDescent="0.25">
      <c r="K67" s="99"/>
      <c r="L67" s="99"/>
      <c r="O67" s="230" t="s">
        <v>145</v>
      </c>
      <c r="P67" s="230"/>
      <c r="Q67" s="230"/>
      <c r="R67" s="230"/>
      <c r="S67" s="230"/>
      <c r="T67" s="174" t="s">
        <v>146</v>
      </c>
      <c r="U67" s="175">
        <f>M48/M40</f>
        <v>1.4053715977739918E-2</v>
      </c>
      <c r="V67" s="176" t="s">
        <v>5</v>
      </c>
    </row>
    <row r="68" spans="11:22" ht="15" customHeight="1" x14ac:dyDescent="0.25">
      <c r="K68" s="99"/>
      <c r="L68" s="99"/>
      <c r="O68" s="230"/>
      <c r="P68" s="230"/>
      <c r="Q68" s="230"/>
      <c r="R68" s="230"/>
      <c r="S68" s="230"/>
      <c r="T68" s="177" t="s">
        <v>147</v>
      </c>
      <c r="U68" s="178">
        <f>M49/M41</f>
        <v>4.3835244451279946E-2</v>
      </c>
      <c r="V68" s="179" t="s">
        <v>5</v>
      </c>
    </row>
    <row r="69" spans="11:22" ht="15" customHeight="1" x14ac:dyDescent="0.25">
      <c r="K69" s="99"/>
      <c r="L69" s="99"/>
      <c r="O69" s="231" t="s">
        <v>148</v>
      </c>
      <c r="P69" s="231"/>
      <c r="Q69" s="231"/>
      <c r="R69" s="231"/>
      <c r="S69" s="231"/>
      <c r="T69" s="231"/>
      <c r="U69" s="231"/>
      <c r="V69" s="231"/>
    </row>
    <row r="70" spans="11:22" x14ac:dyDescent="0.25">
      <c r="K70" s="99"/>
      <c r="L70" s="99"/>
      <c r="O70" s="231"/>
      <c r="P70" s="231"/>
      <c r="Q70" s="231"/>
      <c r="R70" s="231"/>
      <c r="S70" s="231"/>
      <c r="T70" s="231"/>
      <c r="U70" s="231"/>
      <c r="V70" s="231"/>
    </row>
    <row r="71" spans="11:22" ht="16.5" x14ac:dyDescent="0.25">
      <c r="L71" s="99"/>
      <c r="O71" s="232" t="s">
        <v>149</v>
      </c>
      <c r="P71" s="232"/>
      <c r="Q71" s="232"/>
      <c r="R71" s="232"/>
      <c r="S71" s="232"/>
      <c r="T71" s="232"/>
      <c r="U71" s="232"/>
      <c r="V71" s="232"/>
    </row>
    <row r="72" spans="11:22" x14ac:dyDescent="0.25">
      <c r="L72" s="99"/>
      <c r="O72" s="233" t="s">
        <v>150</v>
      </c>
      <c r="P72" s="233"/>
      <c r="Q72" s="233"/>
      <c r="R72" s="233"/>
      <c r="S72" s="233"/>
      <c r="T72" s="180" t="s">
        <v>151</v>
      </c>
      <c r="U72" s="181">
        <f>M54/M56</f>
        <v>71.155557831389828</v>
      </c>
      <c r="V72" s="182" t="s">
        <v>5</v>
      </c>
    </row>
    <row r="73" spans="11:22" x14ac:dyDescent="0.25">
      <c r="L73" s="99"/>
      <c r="O73" s="233"/>
      <c r="P73" s="233"/>
      <c r="Q73" s="233"/>
      <c r="R73" s="233"/>
      <c r="S73" s="233"/>
      <c r="T73" s="183" t="s">
        <v>152</v>
      </c>
      <c r="U73" s="184">
        <f>M55/M57</f>
        <v>22.812693587495239</v>
      </c>
      <c r="V73" s="185" t="s">
        <v>5</v>
      </c>
    </row>
    <row r="74" spans="11:22" ht="15" customHeight="1" x14ac:dyDescent="0.25">
      <c r="L74" s="99"/>
      <c r="O74" s="234" t="s">
        <v>153</v>
      </c>
      <c r="P74" s="234"/>
      <c r="Q74" s="234"/>
      <c r="R74" s="234"/>
      <c r="S74" s="234"/>
      <c r="T74" s="234"/>
      <c r="U74" s="234"/>
      <c r="V74" s="234"/>
    </row>
    <row r="75" spans="11:22" x14ac:dyDescent="0.25">
      <c r="L75" s="99"/>
      <c r="M75" s="99"/>
      <c r="N75" s="99"/>
      <c r="O75" s="234"/>
      <c r="P75" s="234"/>
      <c r="Q75" s="234"/>
      <c r="R75" s="234"/>
      <c r="S75" s="234"/>
      <c r="T75" s="234"/>
      <c r="U75" s="234"/>
      <c r="V75" s="234"/>
    </row>
  </sheetData>
  <mergeCells count="57">
    <mergeCell ref="O74:V75"/>
    <mergeCell ref="O66:V66"/>
    <mergeCell ref="O67:S68"/>
    <mergeCell ref="O69:V70"/>
    <mergeCell ref="O71:V71"/>
    <mergeCell ref="O72:S73"/>
    <mergeCell ref="O26:W26"/>
    <mergeCell ref="O27:S28"/>
    <mergeCell ref="O29:S30"/>
    <mergeCell ref="O33:V33"/>
    <mergeCell ref="O64:V65"/>
    <mergeCell ref="A22:H22"/>
    <mergeCell ref="O22:S23"/>
    <mergeCell ref="A23:H23"/>
    <mergeCell ref="A24:H24"/>
    <mergeCell ref="O24:S25"/>
    <mergeCell ref="A19:H19"/>
    <mergeCell ref="O19:S19"/>
    <mergeCell ref="A20:H21"/>
    <mergeCell ref="O20:S20"/>
    <mergeCell ref="O21:S21"/>
    <mergeCell ref="A15:H15"/>
    <mergeCell ref="O15:W15"/>
    <mergeCell ref="A16:H16"/>
    <mergeCell ref="A17:H17"/>
    <mergeCell ref="O17:S18"/>
    <mergeCell ref="A18:H18"/>
    <mergeCell ref="A12:H12"/>
    <mergeCell ref="O12:S12"/>
    <mergeCell ref="A13:H13"/>
    <mergeCell ref="O13:W13"/>
    <mergeCell ref="A14:H14"/>
    <mergeCell ref="O14:T14"/>
    <mergeCell ref="A9:H9"/>
    <mergeCell ref="O9:V9"/>
    <mergeCell ref="A10:H10"/>
    <mergeCell ref="O10:S10"/>
    <mergeCell ref="A11:H11"/>
    <mergeCell ref="O11:V11"/>
    <mergeCell ref="A6:H6"/>
    <mergeCell ref="O6:V6"/>
    <mergeCell ref="A7:H7"/>
    <mergeCell ref="O7:S8"/>
    <mergeCell ref="T7:U7"/>
    <mergeCell ref="A8:H8"/>
    <mergeCell ref="T8:U8"/>
    <mergeCell ref="A3:H3"/>
    <mergeCell ref="O3:S3"/>
    <mergeCell ref="A4:H4"/>
    <mergeCell ref="O4:S4"/>
    <mergeCell ref="A5:H5"/>
    <mergeCell ref="O5:S5"/>
    <mergeCell ref="A1:K1"/>
    <mergeCell ref="L1:N1"/>
    <mergeCell ref="O1:V1"/>
    <mergeCell ref="A2:H2"/>
    <mergeCell ref="O2:V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zoomScaleNormal="100" workbookViewId="0">
      <selection activeCell="E13" sqref="E13"/>
    </sheetView>
  </sheetViews>
  <sheetFormatPr defaultRowHeight="15" x14ac:dyDescent="0.25"/>
  <cols>
    <col min="5" max="5" width="10.85546875"/>
    <col min="6" max="6" width="14.5703125"/>
    <col min="7" max="7" width="20.140625" style="186"/>
    <col min="8" max="8" width="16" style="187"/>
    <col min="9" max="9" width="17.140625" style="187"/>
    <col min="10" max="10" width="18.42578125" style="187"/>
    <col min="11" max="11" width="23.7109375" style="187"/>
    <col min="12" max="12" width="10.5703125" style="187"/>
    <col min="13" max="13" width="11" style="187"/>
    <col min="14" max="14" width="12.140625" style="187"/>
    <col min="15" max="15" width="14.85546875" style="188"/>
    <col min="20" max="20" width="10.5703125"/>
    <col min="21" max="21" width="15.42578125"/>
  </cols>
  <sheetData>
    <row r="1" spans="1:22" ht="48" customHeight="1" x14ac:dyDescent="0.25">
      <c r="A1" s="235" t="s">
        <v>154</v>
      </c>
      <c r="B1" s="235"/>
      <c r="C1" s="235"/>
      <c r="D1" s="235"/>
      <c r="E1" s="189" t="s">
        <v>155</v>
      </c>
      <c r="F1" s="190" t="s">
        <v>156</v>
      </c>
      <c r="G1" s="236" t="s">
        <v>157</v>
      </c>
      <c r="H1" s="236"/>
      <c r="I1" s="236"/>
      <c r="J1" s="236"/>
      <c r="K1" s="236"/>
      <c r="L1" s="191" t="s">
        <v>155</v>
      </c>
      <c r="M1" s="191" t="s">
        <v>158</v>
      </c>
      <c r="N1" s="191" t="s">
        <v>159</v>
      </c>
      <c r="O1" s="192" t="s">
        <v>160</v>
      </c>
      <c r="P1" s="237" t="s">
        <v>161</v>
      </c>
      <c r="Q1" s="237"/>
      <c r="R1" s="237"/>
      <c r="S1" s="237"/>
      <c r="T1" s="193" t="s">
        <v>155</v>
      </c>
      <c r="U1" s="193" t="s">
        <v>156</v>
      </c>
    </row>
    <row r="2" spans="1:22" ht="32.1" customHeight="1" x14ac:dyDescent="0.25">
      <c r="A2" s="238" t="s">
        <v>162</v>
      </c>
      <c r="B2" s="238"/>
      <c r="C2" s="238"/>
      <c r="D2" s="238"/>
      <c r="E2" s="194">
        <v>8000</v>
      </c>
      <c r="G2" s="239" t="s">
        <v>163</v>
      </c>
      <c r="H2" s="239"/>
      <c r="I2" s="239"/>
      <c r="J2" s="239"/>
      <c r="K2" s="239"/>
      <c r="L2" s="195">
        <v>1.45</v>
      </c>
      <c r="M2" s="196">
        <v>6860</v>
      </c>
      <c r="N2" s="196">
        <v>1.05</v>
      </c>
      <c r="O2" s="197"/>
      <c r="P2" s="240"/>
      <c r="Q2" s="240"/>
      <c r="R2" s="240"/>
      <c r="S2" s="240"/>
    </row>
    <row r="3" spans="1:22" ht="15" customHeight="1" x14ac:dyDescent="0.25">
      <c r="A3" s="238" t="s">
        <v>164</v>
      </c>
      <c r="B3" s="238"/>
      <c r="C3" s="238"/>
      <c r="D3" s="238"/>
      <c r="E3" s="194">
        <v>8000</v>
      </c>
      <c r="G3" s="239" t="s">
        <v>165</v>
      </c>
      <c r="H3" s="239"/>
      <c r="I3" s="239"/>
      <c r="J3" s="239"/>
      <c r="K3" s="239"/>
      <c r="L3" s="198">
        <v>1.1200000000000001</v>
      </c>
      <c r="M3" s="196">
        <v>2550</v>
      </c>
      <c r="N3" s="196">
        <v>0.42</v>
      </c>
      <c r="O3" s="197">
        <v>100</v>
      </c>
    </row>
    <row r="4" spans="1:22" ht="15" customHeight="1" x14ac:dyDescent="0.25">
      <c r="A4" s="238" t="s">
        <v>166</v>
      </c>
      <c r="B4" s="238"/>
      <c r="C4" s="238"/>
      <c r="D4" s="238"/>
      <c r="E4" s="194">
        <v>8000</v>
      </c>
      <c r="G4" s="239" t="s">
        <v>167</v>
      </c>
      <c r="H4" s="239"/>
      <c r="I4" s="239"/>
      <c r="J4" s="239"/>
      <c r="K4" s="239"/>
      <c r="L4" s="198">
        <v>1.1599999999999999</v>
      </c>
      <c r="M4" s="196">
        <v>5360</v>
      </c>
      <c r="N4" s="196">
        <v>0.87</v>
      </c>
      <c r="O4" s="197"/>
    </row>
    <row r="5" spans="1:22" ht="14.25" customHeight="1" x14ac:dyDescent="0.25">
      <c r="A5" s="238" t="s">
        <v>168</v>
      </c>
      <c r="B5" s="238"/>
      <c r="C5" s="238"/>
      <c r="D5" s="238"/>
      <c r="E5" s="194">
        <v>8000</v>
      </c>
      <c r="G5" s="239" t="s">
        <v>169</v>
      </c>
      <c r="H5" s="239"/>
      <c r="I5" s="239"/>
      <c r="J5" s="239"/>
      <c r="K5" s="239"/>
      <c r="L5" s="199">
        <v>1.5</v>
      </c>
      <c r="M5" s="196">
        <v>6290</v>
      </c>
      <c r="N5" s="196">
        <v>0.91</v>
      </c>
      <c r="O5" s="197">
        <v>6.3</v>
      </c>
    </row>
    <row r="6" spans="1:22" ht="14.25" customHeight="1" x14ac:dyDescent="0.25">
      <c r="A6" s="238" t="s">
        <v>170</v>
      </c>
      <c r="B6" s="238"/>
      <c r="C6" s="238"/>
      <c r="D6" s="238"/>
      <c r="E6" s="194">
        <v>7800</v>
      </c>
      <c r="G6" s="239" t="s">
        <v>171</v>
      </c>
      <c r="H6" s="239"/>
      <c r="I6" s="239"/>
      <c r="J6" s="239"/>
      <c r="K6" s="239"/>
      <c r="L6" s="199">
        <v>1.55</v>
      </c>
      <c r="M6" s="196">
        <v>6570</v>
      </c>
      <c r="N6" s="196">
        <v>1.1000000000000001</v>
      </c>
      <c r="O6" s="197">
        <v>23</v>
      </c>
    </row>
    <row r="7" spans="1:22" ht="14.25" customHeight="1" x14ac:dyDescent="0.25">
      <c r="A7" s="238" t="s">
        <v>172</v>
      </c>
      <c r="B7" s="238"/>
      <c r="C7" s="238"/>
      <c r="D7" s="238"/>
      <c r="E7" s="194">
        <v>8000</v>
      </c>
      <c r="G7" s="239" t="s">
        <v>173</v>
      </c>
      <c r="H7" s="239"/>
      <c r="I7" s="239"/>
      <c r="J7" s="239"/>
      <c r="K7" s="239"/>
      <c r="L7" s="199">
        <v>17.77</v>
      </c>
      <c r="M7" s="196">
        <v>8330</v>
      </c>
      <c r="N7" s="196">
        <v>1.6</v>
      </c>
      <c r="O7" s="197"/>
    </row>
    <row r="8" spans="1:22" ht="26.85" customHeight="1" x14ac:dyDescent="0.25">
      <c r="A8" s="238" t="s">
        <v>174</v>
      </c>
      <c r="B8" s="238"/>
      <c r="C8" s="238"/>
      <c r="D8" s="238"/>
      <c r="E8" s="194">
        <v>7810</v>
      </c>
      <c r="G8" s="239" t="s">
        <v>175</v>
      </c>
      <c r="H8" s="239"/>
      <c r="I8" s="239"/>
      <c r="J8" s="239"/>
      <c r="K8" s="239"/>
      <c r="L8" s="199">
        <v>0.92</v>
      </c>
      <c r="M8" s="196">
        <v>5270</v>
      </c>
      <c r="N8" s="196">
        <v>0.74</v>
      </c>
      <c r="O8" s="197">
        <v>200</v>
      </c>
    </row>
    <row r="9" spans="1:22" ht="26.85" customHeight="1" x14ac:dyDescent="0.25">
      <c r="A9" s="238" t="s">
        <v>176</v>
      </c>
      <c r="B9" s="238"/>
      <c r="C9" s="238"/>
      <c r="D9" s="238"/>
      <c r="E9" s="194">
        <v>7960</v>
      </c>
      <c r="G9" s="239" t="s">
        <v>177</v>
      </c>
      <c r="H9" s="239"/>
      <c r="I9" s="239"/>
      <c r="J9" s="239"/>
      <c r="K9" s="239"/>
      <c r="L9" s="199">
        <v>1.3</v>
      </c>
      <c r="M9" s="196">
        <v>5070</v>
      </c>
      <c r="N9" s="196">
        <v>0.6</v>
      </c>
      <c r="O9" s="197"/>
    </row>
    <row r="10" spans="1:22" ht="26.85" customHeight="1" x14ac:dyDescent="0.25">
      <c r="A10" s="238" t="s">
        <v>178</v>
      </c>
      <c r="B10" s="238"/>
      <c r="C10" s="238"/>
      <c r="D10" s="238"/>
      <c r="E10" s="194">
        <v>7800</v>
      </c>
      <c r="G10" s="239" t="s">
        <v>179</v>
      </c>
      <c r="H10" s="239"/>
      <c r="I10" s="239"/>
      <c r="J10" s="239"/>
      <c r="K10" s="239"/>
      <c r="L10" s="199">
        <v>0.88</v>
      </c>
      <c r="M10" s="196">
        <v>4520</v>
      </c>
      <c r="N10" s="196">
        <v>0.74</v>
      </c>
      <c r="O10" s="197"/>
    </row>
    <row r="11" spans="1:22" ht="112.5" customHeight="1" x14ac:dyDescent="0.25">
      <c r="A11" s="194" t="s">
        <v>180</v>
      </c>
      <c r="E11" s="194" t="s">
        <v>181</v>
      </c>
      <c r="G11" s="239" t="s">
        <v>182</v>
      </c>
      <c r="H11" s="239"/>
      <c r="I11" s="239"/>
      <c r="J11" s="239"/>
      <c r="K11" s="239"/>
      <c r="L11" s="199">
        <v>1.7</v>
      </c>
      <c r="M11" s="196">
        <v>7080</v>
      </c>
      <c r="N11" s="196">
        <v>1.05</v>
      </c>
      <c r="O11" s="197"/>
      <c r="T11" s="241"/>
      <c r="U11" s="241"/>
      <c r="V11" s="241"/>
    </row>
    <row r="12" spans="1:22" ht="14.25" customHeight="1" x14ac:dyDescent="0.25">
      <c r="A12" s="194" t="s">
        <v>183</v>
      </c>
      <c r="E12" s="194">
        <v>7850</v>
      </c>
      <c r="G12" s="239" t="s">
        <v>184</v>
      </c>
      <c r="H12" s="239"/>
      <c r="I12" s="239"/>
      <c r="J12" s="239"/>
      <c r="K12" s="239"/>
      <c r="L12" s="199">
        <v>1.78</v>
      </c>
      <c r="M12" s="196">
        <v>8700</v>
      </c>
      <c r="N12" s="196">
        <v>1.6</v>
      </c>
      <c r="O12" s="197">
        <v>1.25</v>
      </c>
      <c r="T12" s="200"/>
    </row>
    <row r="13" spans="1:22" ht="117" customHeight="1" x14ac:dyDescent="0.25">
      <c r="A13" s="194" t="s">
        <v>185</v>
      </c>
      <c r="E13" s="194" t="s">
        <v>181</v>
      </c>
      <c r="G13" s="239" t="s">
        <v>186</v>
      </c>
      <c r="H13" s="239"/>
      <c r="I13" s="239"/>
      <c r="J13" s="239"/>
      <c r="K13" s="239"/>
      <c r="L13" s="199">
        <v>1.97</v>
      </c>
      <c r="M13" s="196">
        <v>9380</v>
      </c>
      <c r="N13" s="196">
        <v>1.8</v>
      </c>
      <c r="O13" s="197">
        <v>6</v>
      </c>
      <c r="T13" s="200"/>
    </row>
    <row r="14" spans="1:22" ht="33.950000000000003" customHeight="1" x14ac:dyDescent="0.25">
      <c r="A14" s="194" t="s">
        <v>187</v>
      </c>
      <c r="E14" s="194" t="s">
        <v>188</v>
      </c>
      <c r="G14" s="239" t="s">
        <v>189</v>
      </c>
      <c r="H14" s="239"/>
      <c r="I14" s="239"/>
      <c r="J14" s="239"/>
      <c r="K14" s="239"/>
      <c r="L14" s="199">
        <v>1.97</v>
      </c>
      <c r="M14" s="196">
        <v>9400</v>
      </c>
      <c r="N14" s="196">
        <v>1.85</v>
      </c>
      <c r="O14" s="197"/>
      <c r="T14" s="200"/>
    </row>
    <row r="15" spans="1:22" ht="33.950000000000003" customHeight="1" x14ac:dyDescent="0.25">
      <c r="A15" s="194" t="s">
        <v>190</v>
      </c>
      <c r="E15" s="194">
        <v>7700</v>
      </c>
      <c r="G15" s="239" t="s">
        <v>191</v>
      </c>
      <c r="H15" s="239"/>
      <c r="I15" s="239"/>
      <c r="J15" s="239"/>
      <c r="K15" s="239"/>
      <c r="L15" s="199">
        <v>1.6</v>
      </c>
      <c r="M15" s="196">
        <v>7970</v>
      </c>
      <c r="N15" s="196">
        <v>1.6</v>
      </c>
      <c r="O15" s="197"/>
      <c r="T15" s="200"/>
    </row>
    <row r="16" spans="1:22" ht="76.7" customHeight="1" x14ac:dyDescent="0.25">
      <c r="A16" s="194" t="s">
        <v>192</v>
      </c>
      <c r="E16" s="194" t="s">
        <v>193</v>
      </c>
      <c r="G16" s="239" t="s">
        <v>194</v>
      </c>
      <c r="H16" s="239"/>
      <c r="I16" s="239"/>
      <c r="J16" s="239"/>
      <c r="K16" s="239"/>
      <c r="L16" s="199">
        <v>1.92</v>
      </c>
      <c r="M16" s="196">
        <v>9200</v>
      </c>
      <c r="N16" s="196" t="s">
        <v>5</v>
      </c>
      <c r="O16" s="197"/>
      <c r="T16" s="200"/>
    </row>
    <row r="17" spans="1:20" ht="44.65" customHeight="1" x14ac:dyDescent="0.25">
      <c r="A17" s="194" t="s">
        <v>195</v>
      </c>
      <c r="E17" s="194">
        <v>7850</v>
      </c>
      <c r="G17" s="239" t="s">
        <v>196</v>
      </c>
      <c r="H17" s="239"/>
      <c r="I17" s="239"/>
      <c r="J17" s="239"/>
      <c r="K17" s="239"/>
      <c r="L17" s="199">
        <v>1.59</v>
      </c>
      <c r="M17" s="196">
        <v>8500</v>
      </c>
      <c r="N17" s="196">
        <v>1.42</v>
      </c>
      <c r="O17" s="197"/>
      <c r="T17" s="200"/>
    </row>
    <row r="18" spans="1:20" ht="44.65" customHeight="1" x14ac:dyDescent="0.25">
      <c r="A18" s="194" t="s">
        <v>197</v>
      </c>
      <c r="E18" s="194">
        <v>7900</v>
      </c>
      <c r="G18" s="239" t="s">
        <v>198</v>
      </c>
      <c r="H18" s="239"/>
      <c r="I18" s="239"/>
      <c r="J18" s="239"/>
      <c r="K18" s="239"/>
      <c r="L18" s="199">
        <v>1.24</v>
      </c>
      <c r="M18" s="196">
        <v>5550</v>
      </c>
      <c r="N18" s="196">
        <v>0.8</v>
      </c>
      <c r="O18" s="197"/>
      <c r="T18" s="200"/>
    </row>
    <row r="19" spans="1:20" ht="44.65" customHeight="1" x14ac:dyDescent="0.25">
      <c r="A19" s="194" t="s">
        <v>199</v>
      </c>
      <c r="E19" s="194">
        <v>7700</v>
      </c>
      <c r="G19" s="239" t="s">
        <v>200</v>
      </c>
      <c r="H19" s="239"/>
      <c r="I19" s="239"/>
      <c r="J19" s="239"/>
      <c r="K19" s="239"/>
      <c r="L19" s="199">
        <v>1.5</v>
      </c>
      <c r="M19" s="196">
        <v>6025</v>
      </c>
      <c r="N19" s="196">
        <v>0.6</v>
      </c>
      <c r="O19" s="197"/>
      <c r="T19" s="200"/>
    </row>
    <row r="20" spans="1:20" ht="98.25" customHeight="1" x14ac:dyDescent="0.25">
      <c r="A20" s="194" t="s">
        <v>201</v>
      </c>
      <c r="E20" s="194" t="s">
        <v>202</v>
      </c>
      <c r="G20" s="239" t="s">
        <v>203</v>
      </c>
      <c r="H20" s="239"/>
      <c r="I20" s="239"/>
      <c r="J20" s="239"/>
      <c r="K20" s="239"/>
      <c r="L20" s="199">
        <v>1.98</v>
      </c>
      <c r="M20" s="196">
        <v>10</v>
      </c>
      <c r="N20" s="196">
        <v>1.95</v>
      </c>
      <c r="O20" s="197"/>
      <c r="T20" s="200"/>
    </row>
    <row r="21" spans="1:20" ht="98.25" customHeight="1" x14ac:dyDescent="0.25">
      <c r="A21" s="194" t="s">
        <v>204</v>
      </c>
      <c r="E21" s="194" t="s">
        <v>205</v>
      </c>
      <c r="G21" s="239" t="s">
        <v>206</v>
      </c>
      <c r="H21" s="239"/>
      <c r="I21" s="239"/>
      <c r="J21" s="239"/>
      <c r="K21" s="239"/>
      <c r="L21" s="199">
        <v>1.48</v>
      </c>
      <c r="M21" s="196">
        <v>7200</v>
      </c>
      <c r="N21" s="196">
        <v>1.25</v>
      </c>
      <c r="O21" s="197">
        <v>2.5</v>
      </c>
      <c r="T21" s="200"/>
    </row>
    <row r="22" spans="1:20" ht="98.25" customHeight="1" x14ac:dyDescent="0.25">
      <c r="A22" s="194" t="s">
        <v>207</v>
      </c>
      <c r="E22" s="194" t="s">
        <v>208</v>
      </c>
      <c r="G22" s="239" t="s">
        <v>209</v>
      </c>
      <c r="H22" s="239"/>
      <c r="I22" s="239"/>
      <c r="J22" s="239"/>
      <c r="K22" s="239"/>
      <c r="L22" s="199">
        <v>1.38</v>
      </c>
      <c r="M22" s="196">
        <v>6610</v>
      </c>
      <c r="N22" s="196">
        <v>1.17</v>
      </c>
      <c r="O22" s="197"/>
      <c r="T22" s="200"/>
    </row>
    <row r="23" spans="1:20" ht="26.85" customHeight="1" x14ac:dyDescent="0.25">
      <c r="A23" s="194" t="s">
        <v>210</v>
      </c>
      <c r="E23" s="194">
        <v>7830</v>
      </c>
      <c r="G23" s="239" t="s">
        <v>211</v>
      </c>
      <c r="H23" s="239"/>
      <c r="I23" s="239"/>
      <c r="J23" s="239"/>
      <c r="K23" s="239"/>
      <c r="L23" s="199">
        <v>1.71</v>
      </c>
      <c r="M23" s="196">
        <v>7350</v>
      </c>
      <c r="N23" s="196">
        <v>1.2</v>
      </c>
      <c r="O23" s="197">
        <v>8</v>
      </c>
      <c r="T23" s="200"/>
    </row>
    <row r="24" spans="1:20" ht="14.25" customHeight="1" x14ac:dyDescent="0.25">
      <c r="A24" s="194" t="s">
        <v>212</v>
      </c>
      <c r="E24" s="194">
        <v>7840</v>
      </c>
      <c r="G24" s="239" t="s">
        <v>213</v>
      </c>
      <c r="H24" s="239"/>
      <c r="I24" s="239"/>
      <c r="J24" s="239"/>
      <c r="K24" s="239"/>
      <c r="L24" s="199">
        <v>1.65</v>
      </c>
      <c r="M24" s="196">
        <v>8700</v>
      </c>
      <c r="N24" s="196">
        <v>1.93</v>
      </c>
      <c r="O24" s="197"/>
      <c r="T24" s="200"/>
    </row>
    <row r="25" spans="1:20" ht="98.25" customHeight="1" x14ac:dyDescent="0.25">
      <c r="A25" s="194" t="s">
        <v>214</v>
      </c>
      <c r="E25" s="194" t="s">
        <v>215</v>
      </c>
      <c r="G25" s="239" t="s">
        <v>216</v>
      </c>
      <c r="H25" s="239"/>
      <c r="I25" s="239"/>
      <c r="J25" s="239"/>
      <c r="K25" s="239"/>
      <c r="L25" s="199">
        <v>1.4</v>
      </c>
      <c r="M25" s="196">
        <v>6400</v>
      </c>
      <c r="N25" s="196">
        <v>1.1000000000000001</v>
      </c>
      <c r="O25" s="197"/>
      <c r="T25" s="200"/>
    </row>
    <row r="26" spans="1:20" ht="14.25" customHeight="1" x14ac:dyDescent="0.25">
      <c r="A26" s="194" t="s">
        <v>217</v>
      </c>
      <c r="E26" s="194">
        <v>7790</v>
      </c>
      <c r="G26" s="239" t="s">
        <v>218</v>
      </c>
      <c r="H26" s="239"/>
      <c r="I26" s="239"/>
      <c r="J26" s="239"/>
      <c r="K26" s="239"/>
      <c r="L26" s="199">
        <v>1.32</v>
      </c>
      <c r="M26" s="196">
        <v>6750</v>
      </c>
      <c r="N26" s="196">
        <v>0.95</v>
      </c>
      <c r="O26" s="197"/>
      <c r="T26" s="200"/>
    </row>
    <row r="27" spans="1:20" ht="98.25" customHeight="1" x14ac:dyDescent="0.25">
      <c r="A27" s="194" t="s">
        <v>219</v>
      </c>
      <c r="E27" s="194" t="s">
        <v>215</v>
      </c>
      <c r="G27" s="239" t="s">
        <v>220</v>
      </c>
      <c r="H27" s="239"/>
      <c r="I27" s="239"/>
      <c r="J27" s="239"/>
      <c r="K27" s="239"/>
      <c r="L27" s="199">
        <v>1.1299999999999999</v>
      </c>
      <c r="M27" s="196">
        <v>6360</v>
      </c>
      <c r="N27" s="196">
        <v>1.1000000000000001</v>
      </c>
      <c r="O27" s="197"/>
      <c r="T27" s="200"/>
    </row>
    <row r="28" spans="1:20" ht="33.950000000000003" customHeight="1" x14ac:dyDescent="0.25">
      <c r="A28" s="194" t="s">
        <v>221</v>
      </c>
      <c r="E28" s="194">
        <v>7900</v>
      </c>
      <c r="G28" s="239" t="s">
        <v>222</v>
      </c>
      <c r="H28" s="239"/>
      <c r="I28" s="239"/>
      <c r="J28" s="239"/>
      <c r="K28" s="239"/>
      <c r="L28" s="199">
        <v>1.59</v>
      </c>
      <c r="M28" s="196">
        <v>8100</v>
      </c>
      <c r="N28" s="196">
        <v>1.54</v>
      </c>
      <c r="O28" s="197">
        <v>2.5</v>
      </c>
      <c r="T28" s="200"/>
    </row>
    <row r="29" spans="1:20" ht="33.950000000000003" customHeight="1" x14ac:dyDescent="0.25">
      <c r="A29" s="194" t="s">
        <v>223</v>
      </c>
      <c r="E29" s="194">
        <v>7950</v>
      </c>
      <c r="G29" s="239" t="s">
        <v>224</v>
      </c>
      <c r="H29" s="239"/>
      <c r="I29" s="239"/>
      <c r="J29" s="239"/>
      <c r="K29" s="239"/>
      <c r="L29" s="199">
        <v>1.87</v>
      </c>
      <c r="M29" s="196">
        <v>8120</v>
      </c>
      <c r="N29" s="196">
        <v>1.6</v>
      </c>
      <c r="O29" s="197"/>
      <c r="T29" s="200"/>
    </row>
    <row r="30" spans="1:20" ht="55.35" customHeight="1" x14ac:dyDescent="0.25">
      <c r="A30" s="194" t="s">
        <v>225</v>
      </c>
      <c r="E30" s="194">
        <v>7750</v>
      </c>
      <c r="G30" s="239" t="s">
        <v>226</v>
      </c>
      <c r="H30" s="239"/>
      <c r="I30" s="239"/>
      <c r="J30" s="239"/>
      <c r="K30" s="239"/>
      <c r="L30" s="199">
        <v>1.86</v>
      </c>
      <c r="M30" s="196">
        <v>9100</v>
      </c>
      <c r="N30" s="196">
        <v>1.7</v>
      </c>
      <c r="O30" s="197">
        <v>4</v>
      </c>
      <c r="T30" s="200"/>
    </row>
    <row r="31" spans="1:20" ht="23.25" customHeight="1" x14ac:dyDescent="0.25">
      <c r="A31" s="194" t="s">
        <v>227</v>
      </c>
      <c r="E31" s="194">
        <v>7745</v>
      </c>
      <c r="G31" s="239" t="s">
        <v>228</v>
      </c>
      <c r="H31" s="239"/>
      <c r="I31" s="239"/>
      <c r="J31" s="239"/>
      <c r="K31" s="239"/>
      <c r="L31" s="199">
        <v>1.83</v>
      </c>
      <c r="M31" s="196">
        <v>8690</v>
      </c>
      <c r="N31" s="196">
        <v>1.54</v>
      </c>
      <c r="O31" s="197">
        <v>6.4</v>
      </c>
      <c r="T31" s="200"/>
    </row>
    <row r="32" spans="1:20" ht="55.35" customHeight="1" x14ac:dyDescent="0.25">
      <c r="A32" s="194" t="s">
        <v>229</v>
      </c>
      <c r="E32" s="194">
        <v>7800</v>
      </c>
      <c r="G32" s="239" t="s">
        <v>230</v>
      </c>
      <c r="H32" s="239"/>
      <c r="I32" s="239"/>
      <c r="J32" s="239"/>
      <c r="K32" s="239"/>
      <c r="L32" s="199">
        <v>1.95</v>
      </c>
      <c r="M32" s="196">
        <v>10.6</v>
      </c>
      <c r="N32" s="196">
        <v>2.38</v>
      </c>
      <c r="O32" s="197"/>
      <c r="T32" s="200"/>
    </row>
    <row r="33" spans="1:20" ht="76.7" customHeight="1" x14ac:dyDescent="0.25">
      <c r="A33" s="194" t="s">
        <v>231</v>
      </c>
      <c r="E33" s="194" t="s">
        <v>193</v>
      </c>
      <c r="G33" s="239" t="s">
        <v>232</v>
      </c>
      <c r="H33" s="239"/>
      <c r="I33" s="239"/>
      <c r="J33" s="239"/>
      <c r="K33" s="239"/>
      <c r="L33" s="199">
        <v>1.66</v>
      </c>
      <c r="M33" s="196">
        <v>7520</v>
      </c>
      <c r="N33" s="196">
        <v>1.33</v>
      </c>
      <c r="O33" s="197">
        <v>5.7</v>
      </c>
      <c r="T33" s="200"/>
    </row>
    <row r="34" spans="1:20" ht="33.950000000000003" customHeight="1" x14ac:dyDescent="0.25">
      <c r="A34" s="194" t="s">
        <v>233</v>
      </c>
      <c r="E34" s="194">
        <v>7630</v>
      </c>
      <c r="G34" s="239" t="s">
        <v>234</v>
      </c>
      <c r="H34" s="239"/>
      <c r="I34" s="239"/>
      <c r="J34" s="239"/>
      <c r="K34" s="239"/>
      <c r="L34" s="199">
        <v>1.8</v>
      </c>
      <c r="M34" s="196">
        <v>6450</v>
      </c>
      <c r="N34" s="196">
        <v>1.1000000000000001</v>
      </c>
      <c r="O34" s="197"/>
      <c r="T34" s="200"/>
    </row>
    <row r="35" spans="1:20" ht="76.7" customHeight="1" x14ac:dyDescent="0.25">
      <c r="A35" s="194" t="s">
        <v>235</v>
      </c>
      <c r="E35" s="194" t="s">
        <v>236</v>
      </c>
      <c r="G35" s="239" t="s">
        <v>237</v>
      </c>
      <c r="H35" s="239"/>
      <c r="I35" s="239"/>
      <c r="J35" s="239"/>
      <c r="K35" s="239"/>
      <c r="L35" s="199">
        <v>1.81</v>
      </c>
      <c r="M35" s="196">
        <v>7060</v>
      </c>
      <c r="N35" s="196">
        <v>1.17</v>
      </c>
      <c r="O35" s="197"/>
      <c r="T35" s="200"/>
    </row>
    <row r="36" spans="1:20" ht="14.25" customHeight="1" x14ac:dyDescent="0.25">
      <c r="A36" s="194" t="s">
        <v>238</v>
      </c>
      <c r="E36" s="194">
        <v>7880</v>
      </c>
      <c r="G36" s="239" t="s">
        <v>239</v>
      </c>
      <c r="H36" s="239"/>
      <c r="I36" s="239"/>
      <c r="J36" s="239"/>
      <c r="K36" s="239"/>
      <c r="L36" s="199">
        <v>1.68</v>
      </c>
      <c r="M36" s="196">
        <v>7450</v>
      </c>
      <c r="N36" s="196">
        <v>1.17</v>
      </c>
      <c r="O36" s="197"/>
      <c r="T36" s="200"/>
    </row>
    <row r="37" spans="1:20" ht="66" customHeight="1" x14ac:dyDescent="0.25">
      <c r="A37" s="194" t="s">
        <v>240</v>
      </c>
      <c r="E37" s="194" t="s">
        <v>241</v>
      </c>
      <c r="G37" s="239" t="s">
        <v>242</v>
      </c>
      <c r="H37" s="239"/>
      <c r="I37" s="239"/>
      <c r="J37" s="239"/>
      <c r="K37" s="239"/>
      <c r="L37" s="199">
        <v>1.39</v>
      </c>
      <c r="M37" s="196">
        <v>5980</v>
      </c>
      <c r="N37" s="196">
        <v>1.4</v>
      </c>
      <c r="O37" s="197"/>
      <c r="T37" s="200"/>
    </row>
    <row r="38" spans="1:20" ht="15" customHeight="1" x14ac:dyDescent="0.25">
      <c r="A38" s="194" t="s">
        <v>243</v>
      </c>
      <c r="E38" s="194">
        <v>7800</v>
      </c>
      <c r="G38" s="239" t="s">
        <v>244</v>
      </c>
      <c r="H38" s="239"/>
      <c r="I38" s="239"/>
      <c r="J38" s="239"/>
      <c r="K38" s="239"/>
      <c r="L38" s="199">
        <v>1.81</v>
      </c>
      <c r="M38" s="196">
        <v>8720</v>
      </c>
      <c r="N38" s="196">
        <v>1.6</v>
      </c>
      <c r="O38" s="197"/>
      <c r="T38" s="200"/>
    </row>
    <row r="39" spans="1:20" ht="98.25" customHeight="1" x14ac:dyDescent="0.25">
      <c r="A39" s="194" t="s">
        <v>245</v>
      </c>
      <c r="E39" s="194" t="s">
        <v>246</v>
      </c>
      <c r="G39" s="239" t="s">
        <v>247</v>
      </c>
      <c r="H39" s="239"/>
      <c r="I39" s="239"/>
      <c r="J39" s="239"/>
      <c r="K39" s="239"/>
      <c r="L39" s="199">
        <v>1.33</v>
      </c>
      <c r="M39" s="196">
        <v>5690</v>
      </c>
      <c r="N39" s="196">
        <v>0.8</v>
      </c>
      <c r="O39" s="197"/>
      <c r="T39" s="200"/>
    </row>
    <row r="40" spans="1:20" ht="44.65" customHeight="1" x14ac:dyDescent="0.25">
      <c r="A40" s="194" t="s">
        <v>248</v>
      </c>
      <c r="E40" s="194" t="s">
        <v>249</v>
      </c>
      <c r="G40" s="239" t="s">
        <v>250</v>
      </c>
      <c r="H40" s="239"/>
      <c r="I40" s="239"/>
      <c r="J40" s="239"/>
      <c r="K40" s="239"/>
      <c r="L40" s="199">
        <v>1.55</v>
      </c>
      <c r="M40" s="196">
        <v>7670</v>
      </c>
      <c r="N40" s="196">
        <v>1.35</v>
      </c>
      <c r="O40" s="197"/>
      <c r="T40" s="200"/>
    </row>
    <row r="41" spans="1:20" ht="98.25" customHeight="1" x14ac:dyDescent="0.25">
      <c r="A41" s="194" t="s">
        <v>251</v>
      </c>
      <c r="E41" s="194" t="s">
        <v>252</v>
      </c>
      <c r="G41" s="239" t="s">
        <v>253</v>
      </c>
      <c r="H41" s="239"/>
      <c r="I41" s="239"/>
      <c r="J41" s="239"/>
      <c r="K41" s="239"/>
      <c r="L41" s="199">
        <v>1.72</v>
      </c>
      <c r="M41" s="196">
        <v>7840</v>
      </c>
      <c r="N41" s="196">
        <v>1.33</v>
      </c>
      <c r="O41" s="197"/>
      <c r="T41" s="200"/>
    </row>
    <row r="42" spans="1:20" ht="33.950000000000003" customHeight="1" x14ac:dyDescent="0.25">
      <c r="A42" s="194" t="s">
        <v>254</v>
      </c>
      <c r="E42" s="194">
        <v>7720</v>
      </c>
      <c r="G42" s="239" t="s">
        <v>255</v>
      </c>
      <c r="H42" s="239"/>
      <c r="I42" s="239"/>
      <c r="J42" s="239"/>
      <c r="K42" s="239"/>
      <c r="L42" s="199">
        <v>1.6</v>
      </c>
      <c r="M42" s="196">
        <v>7630</v>
      </c>
      <c r="N42" s="196">
        <v>1.33</v>
      </c>
      <c r="O42" s="197"/>
      <c r="T42" s="200"/>
    </row>
    <row r="43" spans="1:20" ht="98.25" customHeight="1" x14ac:dyDescent="0.25">
      <c r="A43" s="194" t="s">
        <v>256</v>
      </c>
      <c r="E43" s="194" t="s">
        <v>257</v>
      </c>
      <c r="G43" s="239" t="s">
        <v>258</v>
      </c>
      <c r="H43" s="239"/>
      <c r="I43" s="239"/>
      <c r="J43" s="239"/>
      <c r="K43" s="239"/>
      <c r="L43" s="199">
        <v>1.59</v>
      </c>
      <c r="M43" s="196">
        <v>8040</v>
      </c>
      <c r="N43" s="196">
        <v>1.34</v>
      </c>
      <c r="O43" s="197"/>
      <c r="T43" s="200"/>
    </row>
    <row r="44" spans="1:20" ht="98.25" customHeight="1" x14ac:dyDescent="0.25">
      <c r="A44" s="194" t="s">
        <v>259</v>
      </c>
      <c r="E44" s="194" t="s">
        <v>257</v>
      </c>
      <c r="G44" s="239" t="s">
        <v>260</v>
      </c>
      <c r="H44" s="239"/>
      <c r="I44" s="239"/>
      <c r="J44" s="239"/>
      <c r="K44" s="239"/>
      <c r="L44" s="199">
        <v>1.48</v>
      </c>
      <c r="M44" s="196">
        <v>8060</v>
      </c>
      <c r="N44" s="196">
        <v>1.5</v>
      </c>
      <c r="O44" s="197"/>
      <c r="T44" s="200"/>
    </row>
    <row r="45" spans="1:20" ht="26.85" customHeight="1" x14ac:dyDescent="0.25">
      <c r="A45" s="194" t="s">
        <v>261</v>
      </c>
      <c r="E45" s="194">
        <v>7900</v>
      </c>
      <c r="G45" s="239" t="s">
        <v>262</v>
      </c>
      <c r="H45" s="239"/>
      <c r="I45" s="239"/>
      <c r="J45" s="239"/>
      <c r="K45" s="239"/>
      <c r="L45" s="199">
        <v>1.39</v>
      </c>
      <c r="M45" s="196">
        <v>8290</v>
      </c>
      <c r="N45" s="196">
        <v>1.5</v>
      </c>
      <c r="O45" s="197"/>
      <c r="T45" s="200"/>
    </row>
    <row r="46" spans="1:20" ht="76.7" customHeight="1" x14ac:dyDescent="0.25">
      <c r="A46" s="194" t="s">
        <v>263</v>
      </c>
      <c r="E46" s="194" t="s">
        <v>264</v>
      </c>
      <c r="G46" s="239" t="s">
        <v>265</v>
      </c>
      <c r="H46" s="239"/>
      <c r="I46" s="239"/>
      <c r="J46" s="239"/>
      <c r="K46" s="239"/>
      <c r="L46" s="199">
        <v>1.65</v>
      </c>
      <c r="M46" s="196">
        <v>8470</v>
      </c>
      <c r="N46" s="196">
        <v>1.6</v>
      </c>
      <c r="O46" s="197"/>
      <c r="T46" s="200"/>
    </row>
    <row r="47" spans="1:20" ht="33.950000000000003" customHeight="1" x14ac:dyDescent="0.25">
      <c r="A47" s="194" t="s">
        <v>266</v>
      </c>
      <c r="E47" s="194">
        <v>7820</v>
      </c>
      <c r="G47" s="239" t="s">
        <v>267</v>
      </c>
      <c r="H47" s="239"/>
      <c r="I47" s="239"/>
      <c r="J47" s="239"/>
      <c r="K47" s="239"/>
      <c r="L47" s="199">
        <v>1.6</v>
      </c>
      <c r="M47" s="196">
        <v>8100</v>
      </c>
      <c r="N47" s="196">
        <v>1.6</v>
      </c>
      <c r="O47" s="197"/>
    </row>
    <row r="48" spans="1:20" ht="44.65" customHeight="1" x14ac:dyDescent="0.25">
      <c r="A48" s="194" t="s">
        <v>268</v>
      </c>
      <c r="E48" s="194">
        <v>7800</v>
      </c>
      <c r="G48" s="239" t="s">
        <v>269</v>
      </c>
      <c r="H48" s="239"/>
      <c r="I48" s="239"/>
      <c r="J48" s="239"/>
      <c r="K48" s="239"/>
      <c r="L48" s="199">
        <v>1.8</v>
      </c>
      <c r="M48" s="196">
        <v>7550</v>
      </c>
      <c r="N48" s="196">
        <v>1.17</v>
      </c>
      <c r="O48" s="197"/>
    </row>
    <row r="49" spans="1:15" ht="33.950000000000003" customHeight="1" x14ac:dyDescent="0.25">
      <c r="A49" s="194" t="s">
        <v>270</v>
      </c>
      <c r="E49" s="194">
        <v>7750</v>
      </c>
      <c r="G49" s="242" t="s">
        <v>271</v>
      </c>
      <c r="H49" s="242"/>
      <c r="I49" s="242"/>
      <c r="J49" s="242"/>
      <c r="K49" s="242"/>
      <c r="L49" s="201">
        <v>1.62</v>
      </c>
      <c r="M49" s="201">
        <v>6900</v>
      </c>
      <c r="N49" s="201">
        <v>1</v>
      </c>
      <c r="O49" s="197">
        <v>32</v>
      </c>
    </row>
    <row r="50" spans="1:15" ht="98.25" customHeight="1" x14ac:dyDescent="0.25">
      <c r="A50" s="194" t="s">
        <v>272</v>
      </c>
      <c r="E50" s="194" t="s">
        <v>273</v>
      </c>
      <c r="G50" s="242" t="s">
        <v>274</v>
      </c>
      <c r="H50" s="242"/>
      <c r="I50" s="242"/>
      <c r="J50" s="242"/>
      <c r="K50" s="242"/>
      <c r="L50" s="201">
        <v>1.56</v>
      </c>
      <c r="M50" s="201">
        <v>6200</v>
      </c>
      <c r="N50" s="201">
        <v>1</v>
      </c>
      <c r="O50" s="197">
        <v>11</v>
      </c>
    </row>
    <row r="51" spans="1:15" ht="14.25" customHeight="1" x14ac:dyDescent="0.25">
      <c r="A51" s="194" t="s">
        <v>275</v>
      </c>
      <c r="E51" s="194">
        <v>7810</v>
      </c>
      <c r="G51" s="243" t="s">
        <v>276</v>
      </c>
      <c r="H51" s="243"/>
      <c r="I51" s="243"/>
      <c r="J51" s="243"/>
      <c r="K51" s="243"/>
      <c r="L51" s="202">
        <v>1.6</v>
      </c>
      <c r="M51" s="203">
        <v>6900</v>
      </c>
      <c r="N51" s="203">
        <v>1</v>
      </c>
      <c r="O51" s="204">
        <v>9</v>
      </c>
    </row>
    <row r="52" spans="1:15" ht="98.25" customHeight="1" x14ac:dyDescent="0.25">
      <c r="A52" s="194" t="s">
        <v>277</v>
      </c>
      <c r="E52" s="194" t="s">
        <v>273</v>
      </c>
      <c r="G52" s="239" t="s">
        <v>278</v>
      </c>
      <c r="H52" s="239"/>
      <c r="I52" s="239"/>
      <c r="J52" s="239"/>
      <c r="K52" s="239"/>
      <c r="L52" s="199">
        <v>1.18</v>
      </c>
      <c r="M52" s="196">
        <v>5300</v>
      </c>
      <c r="N52" s="196">
        <v>0.8</v>
      </c>
      <c r="O52" s="197"/>
    </row>
    <row r="53" spans="1:15" ht="14.25" customHeight="1" x14ac:dyDescent="0.25">
      <c r="A53" s="194" t="s">
        <v>279</v>
      </c>
      <c r="E53" s="194">
        <v>7850</v>
      </c>
      <c r="G53" s="239" t="s">
        <v>280</v>
      </c>
      <c r="H53" s="239"/>
      <c r="I53" s="239"/>
      <c r="J53" s="239"/>
      <c r="K53" s="239"/>
      <c r="L53" s="199">
        <v>1.6</v>
      </c>
      <c r="M53" s="196">
        <v>7300</v>
      </c>
      <c r="N53" s="196">
        <v>1.2</v>
      </c>
      <c r="O53" s="197"/>
    </row>
    <row r="54" spans="1:15" ht="14.25" customHeight="1" x14ac:dyDescent="0.25">
      <c r="A54" s="194" t="s">
        <v>281</v>
      </c>
      <c r="E54" s="194">
        <v>7820</v>
      </c>
      <c r="G54" s="239" t="s">
        <v>282</v>
      </c>
      <c r="H54" s="239"/>
      <c r="I54" s="239"/>
      <c r="J54" s="239"/>
      <c r="K54" s="239"/>
      <c r="L54" s="199">
        <v>1.6</v>
      </c>
      <c r="M54" s="196">
        <v>7370</v>
      </c>
      <c r="N54" s="196">
        <v>1.2</v>
      </c>
      <c r="O54" s="197"/>
    </row>
    <row r="55" spans="1:15" ht="44.65" customHeight="1" x14ac:dyDescent="0.25">
      <c r="A55" s="194" t="s">
        <v>283</v>
      </c>
      <c r="E55" s="194" t="s">
        <v>284</v>
      </c>
      <c r="G55" s="239" t="s">
        <v>285</v>
      </c>
      <c r="H55" s="239"/>
      <c r="I55" s="239"/>
      <c r="J55" s="239"/>
      <c r="K55" s="239"/>
      <c r="L55" s="199">
        <v>1.73</v>
      </c>
      <c r="M55" s="196">
        <v>7770</v>
      </c>
      <c r="N55" s="196">
        <v>1.25</v>
      </c>
      <c r="O55" s="197">
        <v>6</v>
      </c>
    </row>
    <row r="56" spans="1:15" ht="66" customHeight="1" x14ac:dyDescent="0.25">
      <c r="A56" s="194" t="s">
        <v>286</v>
      </c>
      <c r="E56" s="194" t="s">
        <v>287</v>
      </c>
      <c r="G56" s="239" t="s">
        <v>288</v>
      </c>
      <c r="H56" s="239"/>
      <c r="I56" s="239"/>
      <c r="J56" s="239"/>
      <c r="K56" s="239"/>
      <c r="L56" s="199">
        <v>1.8</v>
      </c>
      <c r="M56" s="196">
        <v>7440</v>
      </c>
      <c r="N56" s="196">
        <v>1.3</v>
      </c>
      <c r="O56" s="197"/>
    </row>
    <row r="57" spans="1:15" ht="76.7" customHeight="1" x14ac:dyDescent="0.25">
      <c r="A57" s="194" t="s">
        <v>289</v>
      </c>
      <c r="E57" s="194" t="s">
        <v>290</v>
      </c>
      <c r="G57" s="239" t="s">
        <v>291</v>
      </c>
      <c r="H57" s="239"/>
      <c r="I57" s="239"/>
      <c r="J57" s="239"/>
      <c r="K57" s="239"/>
      <c r="L57" s="199">
        <v>1.7</v>
      </c>
      <c r="M57" s="196">
        <v>6650</v>
      </c>
      <c r="N57" s="196">
        <v>1.05</v>
      </c>
      <c r="O57" s="197"/>
    </row>
    <row r="58" spans="1:15" ht="66" customHeight="1" x14ac:dyDescent="0.25">
      <c r="A58" s="194" t="s">
        <v>292</v>
      </c>
      <c r="E58" s="194" t="s">
        <v>293</v>
      </c>
      <c r="G58" s="239" t="s">
        <v>294</v>
      </c>
      <c r="H58" s="239"/>
      <c r="I58" s="239"/>
      <c r="J58" s="239"/>
      <c r="K58" s="239"/>
      <c r="L58" s="199">
        <v>0.9</v>
      </c>
      <c r="M58" s="196">
        <v>2750</v>
      </c>
      <c r="N58" s="196">
        <v>0.55000000000000004</v>
      </c>
      <c r="O58" s="197"/>
    </row>
    <row r="59" spans="1:15" ht="76.7" customHeight="1" x14ac:dyDescent="0.25">
      <c r="A59" s="194" t="s">
        <v>295</v>
      </c>
      <c r="E59" s="194" t="s">
        <v>296</v>
      </c>
      <c r="G59" s="239" t="s">
        <v>297</v>
      </c>
      <c r="H59" s="239"/>
      <c r="I59" s="239"/>
      <c r="J59" s="239"/>
      <c r="K59" s="239"/>
      <c r="L59" s="199">
        <v>1.71</v>
      </c>
      <c r="M59" s="196">
        <v>8400</v>
      </c>
      <c r="N59" s="196">
        <v>1.66</v>
      </c>
      <c r="O59" s="197">
        <v>2.6</v>
      </c>
    </row>
    <row r="60" spans="1:15" ht="33.950000000000003" customHeight="1" x14ac:dyDescent="0.25">
      <c r="A60" s="194" t="s">
        <v>298</v>
      </c>
      <c r="E60" s="194">
        <v>7600</v>
      </c>
      <c r="G60" s="239" t="s">
        <v>299</v>
      </c>
      <c r="H60" s="239"/>
      <c r="I60" s="239"/>
      <c r="J60" s="239"/>
      <c r="K60" s="239"/>
      <c r="L60" s="199">
        <v>1.85</v>
      </c>
      <c r="M60" s="196">
        <v>8640</v>
      </c>
      <c r="N60" s="196">
        <v>1.7</v>
      </c>
      <c r="O60" s="197"/>
    </row>
    <row r="61" spans="1:15" ht="14.25" customHeight="1" x14ac:dyDescent="0.25">
      <c r="A61" s="194" t="s">
        <v>300</v>
      </c>
      <c r="E61" s="194">
        <v>7850</v>
      </c>
      <c r="G61" s="239" t="s">
        <v>301</v>
      </c>
      <c r="H61" s="239"/>
      <c r="I61" s="239"/>
      <c r="J61" s="239"/>
      <c r="K61" s="239"/>
      <c r="L61" s="199">
        <v>1.65</v>
      </c>
      <c r="M61" s="196">
        <v>600</v>
      </c>
      <c r="N61" s="196">
        <v>0.55000000000000004</v>
      </c>
      <c r="O61" s="197"/>
    </row>
    <row r="62" spans="1:15" ht="23.25" customHeight="1" x14ac:dyDescent="0.25">
      <c r="A62" s="194" t="s">
        <v>302</v>
      </c>
      <c r="E62" s="194">
        <v>7850</v>
      </c>
      <c r="G62" s="239" t="s">
        <v>303</v>
      </c>
      <c r="H62" s="239"/>
      <c r="I62" s="239"/>
      <c r="J62" s="239"/>
      <c r="K62" s="239"/>
      <c r="L62" s="199">
        <v>1.49</v>
      </c>
      <c r="M62" s="196">
        <v>8300</v>
      </c>
      <c r="N62" s="196">
        <v>1.66</v>
      </c>
      <c r="O62" s="197"/>
    </row>
    <row r="63" spans="1:15" ht="60" x14ac:dyDescent="0.25">
      <c r="A63" s="194" t="s">
        <v>304</v>
      </c>
      <c r="E63" s="194" t="s">
        <v>305</v>
      </c>
      <c r="G63" s="244" t="s">
        <v>306</v>
      </c>
      <c r="H63" s="244"/>
      <c r="I63" s="244"/>
      <c r="J63" s="244"/>
      <c r="K63" s="244"/>
      <c r="L63" s="205">
        <v>1.54</v>
      </c>
      <c r="M63" s="205">
        <v>7700</v>
      </c>
      <c r="N63" s="206">
        <v>1.1200000000000001</v>
      </c>
      <c r="O63" s="197">
        <v>5.5</v>
      </c>
    </row>
    <row r="64" spans="1:15" ht="60" x14ac:dyDescent="0.25">
      <c r="A64" s="194" t="s">
        <v>307</v>
      </c>
      <c r="E64" s="194">
        <v>7850</v>
      </c>
      <c r="G64" s="244" t="s">
        <v>308</v>
      </c>
      <c r="H64" s="244"/>
      <c r="I64" s="244"/>
      <c r="J64" s="244"/>
      <c r="K64" s="244"/>
      <c r="L64" s="205">
        <v>1.6</v>
      </c>
      <c r="M64" s="205">
        <v>8000</v>
      </c>
      <c r="N64" s="206"/>
      <c r="O64" s="197">
        <v>8</v>
      </c>
    </row>
    <row r="65" spans="1:15" x14ac:dyDescent="0.25">
      <c r="A65" s="194" t="s">
        <v>309</v>
      </c>
      <c r="E65" s="194">
        <v>7800</v>
      </c>
      <c r="G65" s="244" t="s">
        <v>310</v>
      </c>
      <c r="H65" s="244"/>
      <c r="I65" s="244"/>
      <c r="J65" s="244"/>
      <c r="K65" s="244"/>
      <c r="L65" s="205">
        <v>1.5</v>
      </c>
      <c r="M65" s="205">
        <v>7600</v>
      </c>
      <c r="N65" s="206">
        <v>0.98</v>
      </c>
      <c r="O65" s="197">
        <v>6</v>
      </c>
    </row>
    <row r="66" spans="1:15" ht="105" x14ac:dyDescent="0.25">
      <c r="A66" s="194" t="s">
        <v>311</v>
      </c>
      <c r="E66" s="194" t="s">
        <v>312</v>
      </c>
      <c r="G66" s="244" t="s">
        <v>313</v>
      </c>
      <c r="H66" s="244"/>
      <c r="I66" s="244"/>
      <c r="J66" s="244"/>
      <c r="K66" s="244"/>
      <c r="L66" s="205">
        <v>1.6</v>
      </c>
      <c r="M66" s="205">
        <v>7900</v>
      </c>
      <c r="N66" s="206"/>
      <c r="O66" s="197"/>
    </row>
    <row r="67" spans="1:15" x14ac:dyDescent="0.25">
      <c r="A67" s="194" t="s">
        <v>314</v>
      </c>
      <c r="E67" s="194">
        <v>7820</v>
      </c>
      <c r="G67" s="244" t="s">
        <v>315</v>
      </c>
      <c r="H67" s="244"/>
      <c r="I67" s="244"/>
      <c r="J67" s="244"/>
      <c r="K67" s="244"/>
      <c r="L67" s="205">
        <v>1.58</v>
      </c>
      <c r="M67" s="205">
        <v>7600</v>
      </c>
      <c r="N67" s="206"/>
      <c r="O67" s="197"/>
    </row>
    <row r="68" spans="1:15" x14ac:dyDescent="0.25">
      <c r="A68" s="194" t="s">
        <v>316</v>
      </c>
      <c r="E68" s="194">
        <v>7850</v>
      </c>
      <c r="G68" s="244" t="s">
        <v>317</v>
      </c>
      <c r="H68" s="244"/>
      <c r="I68" s="244"/>
      <c r="J68" s="244"/>
      <c r="K68" s="244"/>
      <c r="L68" s="205">
        <v>1.1499999999999999</v>
      </c>
      <c r="M68" s="205">
        <v>2870</v>
      </c>
      <c r="N68" s="206">
        <v>1.0029999999999999</v>
      </c>
      <c r="O68" s="197">
        <v>35</v>
      </c>
    </row>
    <row r="69" spans="1:15" x14ac:dyDescent="0.25">
      <c r="A69" s="194" t="s">
        <v>318</v>
      </c>
      <c r="E69" s="194">
        <v>7850</v>
      </c>
      <c r="G69" s="244" t="s">
        <v>319</v>
      </c>
      <c r="H69" s="244"/>
      <c r="I69" s="244"/>
      <c r="J69" s="244"/>
      <c r="K69" s="244"/>
      <c r="L69" s="205">
        <v>2.9</v>
      </c>
      <c r="M69" s="205">
        <v>5200</v>
      </c>
      <c r="N69" s="206">
        <v>0.39</v>
      </c>
      <c r="O69" s="197"/>
    </row>
    <row r="70" spans="1:15" ht="90" x14ac:dyDescent="0.25">
      <c r="A70" s="194" t="s">
        <v>320</v>
      </c>
      <c r="E70" s="194" t="s">
        <v>321</v>
      </c>
      <c r="G70" s="244" t="s">
        <v>322</v>
      </c>
      <c r="H70" s="244"/>
      <c r="I70" s="244"/>
      <c r="J70" s="244"/>
      <c r="K70" s="244"/>
      <c r="L70" s="205">
        <v>1.42</v>
      </c>
      <c r="M70" s="205">
        <v>7400</v>
      </c>
      <c r="N70" s="206"/>
      <c r="O70" s="197">
        <v>6</v>
      </c>
    </row>
    <row r="71" spans="1:15" ht="45" x14ac:dyDescent="0.25">
      <c r="A71" s="194" t="s">
        <v>323</v>
      </c>
      <c r="E71" s="194" t="s">
        <v>284</v>
      </c>
      <c r="G71" s="244" t="s">
        <v>324</v>
      </c>
      <c r="H71" s="244"/>
      <c r="I71" s="244"/>
      <c r="J71" s="244"/>
      <c r="K71" s="244"/>
      <c r="L71" s="205">
        <v>1.7</v>
      </c>
      <c r="M71" s="205">
        <v>7570</v>
      </c>
      <c r="N71" s="206">
        <v>1.1200000000000001</v>
      </c>
      <c r="O71" s="197"/>
    </row>
    <row r="72" spans="1:15" x14ac:dyDescent="0.25">
      <c r="A72" s="194" t="s">
        <v>325</v>
      </c>
      <c r="E72" s="194">
        <v>7800</v>
      </c>
      <c r="G72" s="244" t="s">
        <v>326</v>
      </c>
      <c r="H72" s="244"/>
      <c r="I72" s="244"/>
      <c r="J72" s="244"/>
      <c r="K72" s="244"/>
      <c r="L72" s="205">
        <v>1.72</v>
      </c>
      <c r="M72" s="205">
        <v>6960</v>
      </c>
      <c r="N72" s="206"/>
      <c r="O72" s="197">
        <v>6</v>
      </c>
    </row>
    <row r="73" spans="1:15" x14ac:dyDescent="0.25">
      <c r="A73" s="194" t="s">
        <v>327</v>
      </c>
      <c r="E73" s="194">
        <v>7760</v>
      </c>
      <c r="G73" s="244" t="s">
        <v>328</v>
      </c>
      <c r="H73" s="244"/>
      <c r="I73" s="244"/>
      <c r="J73" s="244"/>
      <c r="K73" s="244"/>
      <c r="L73" s="205">
        <v>1.85</v>
      </c>
      <c r="M73" s="205">
        <v>7680</v>
      </c>
      <c r="N73" s="206"/>
      <c r="O73" s="197"/>
    </row>
    <row r="74" spans="1:15" ht="60" x14ac:dyDescent="0.25">
      <c r="A74" s="194" t="s">
        <v>329</v>
      </c>
      <c r="E74" s="194" t="s">
        <v>330</v>
      </c>
      <c r="G74" s="244" t="s">
        <v>331</v>
      </c>
      <c r="H74" s="244"/>
      <c r="I74" s="244"/>
      <c r="J74" s="244"/>
      <c r="K74" s="244"/>
      <c r="L74" s="205">
        <v>1.8</v>
      </c>
      <c r="M74" s="205">
        <v>7400</v>
      </c>
      <c r="N74" s="206"/>
      <c r="O74" s="197"/>
    </row>
    <row r="75" spans="1:15" ht="45" x14ac:dyDescent="0.25">
      <c r="A75" s="194" t="s">
        <v>332</v>
      </c>
      <c r="E75" s="194" t="s">
        <v>333</v>
      </c>
      <c r="G75" s="244" t="s">
        <v>334</v>
      </c>
      <c r="H75" s="244"/>
      <c r="I75" s="244"/>
      <c r="J75" s="244"/>
      <c r="K75" s="244"/>
      <c r="L75" s="205">
        <v>1.79</v>
      </c>
      <c r="M75" s="205">
        <v>7500</v>
      </c>
      <c r="N75" s="205"/>
      <c r="O75" s="197"/>
    </row>
    <row r="76" spans="1:15" x14ac:dyDescent="0.25">
      <c r="A76" s="194" t="s">
        <v>335</v>
      </c>
      <c r="E76" s="194">
        <v>7850</v>
      </c>
      <c r="G76" s="244" t="s">
        <v>336</v>
      </c>
      <c r="H76" s="244"/>
      <c r="I76" s="244"/>
      <c r="J76" s="244"/>
      <c r="K76" s="244"/>
      <c r="L76" s="205">
        <v>1.74</v>
      </c>
      <c r="M76" s="205">
        <v>7340</v>
      </c>
      <c r="N76" s="205"/>
      <c r="O76" s="197"/>
    </row>
    <row r="77" spans="1:15" ht="33.950000000000003" customHeight="1" x14ac:dyDescent="0.25">
      <c r="A77" s="194" t="s">
        <v>337</v>
      </c>
      <c r="E77" s="194" t="s">
        <v>338</v>
      </c>
      <c r="G77" s="245" t="s">
        <v>339</v>
      </c>
      <c r="H77" s="245"/>
      <c r="I77" s="245"/>
      <c r="J77" s="245"/>
      <c r="K77" s="245"/>
      <c r="L77" s="205">
        <v>1.61</v>
      </c>
      <c r="M77" s="205">
        <v>6900</v>
      </c>
      <c r="N77" s="205"/>
      <c r="O77" s="197"/>
    </row>
    <row r="78" spans="1:15" x14ac:dyDescent="0.25">
      <c r="A78" s="194" t="s">
        <v>340</v>
      </c>
      <c r="E78" s="194">
        <v>7730</v>
      </c>
      <c r="G78" s="244" t="s">
        <v>341</v>
      </c>
      <c r="H78" s="244"/>
      <c r="I78" s="244"/>
      <c r="J78" s="244"/>
      <c r="K78" s="244"/>
      <c r="L78" s="205">
        <v>1.76</v>
      </c>
      <c r="M78" s="205">
        <v>6670</v>
      </c>
      <c r="N78" s="205"/>
      <c r="O78" s="197"/>
    </row>
    <row r="79" spans="1:15" ht="90" x14ac:dyDescent="0.25">
      <c r="A79" s="194" t="s">
        <v>342</v>
      </c>
      <c r="E79" s="194" t="s">
        <v>343</v>
      </c>
      <c r="G79" s="244" t="s">
        <v>344</v>
      </c>
      <c r="H79" s="244"/>
      <c r="I79" s="244"/>
      <c r="J79" s="244"/>
      <c r="K79" s="244"/>
      <c r="L79" s="205">
        <v>1.74</v>
      </c>
      <c r="M79" s="205">
        <v>6840</v>
      </c>
      <c r="N79" s="205"/>
      <c r="O79" s="197"/>
    </row>
    <row r="80" spans="1:15" x14ac:dyDescent="0.25">
      <c r="A80" s="194" t="s">
        <v>345</v>
      </c>
      <c r="E80" s="194">
        <v>7740</v>
      </c>
      <c r="G80" s="244" t="s">
        <v>346</v>
      </c>
      <c r="H80" s="244"/>
      <c r="I80" s="244"/>
      <c r="J80" s="244"/>
      <c r="K80" s="244"/>
      <c r="L80" s="205">
        <v>1.7</v>
      </c>
      <c r="M80" s="205">
        <v>6960</v>
      </c>
      <c r="N80" s="205"/>
      <c r="O80" s="197"/>
    </row>
    <row r="81" spans="1:15" ht="60" x14ac:dyDescent="0.25">
      <c r="A81" s="194" t="s">
        <v>347</v>
      </c>
      <c r="E81" s="194" t="s">
        <v>348</v>
      </c>
      <c r="G81" s="244" t="s">
        <v>349</v>
      </c>
      <c r="H81" s="244"/>
      <c r="I81" s="244"/>
      <c r="J81" s="244"/>
      <c r="K81" s="244"/>
      <c r="L81" s="205">
        <v>4.9000000000000004</v>
      </c>
      <c r="M81" s="205">
        <v>5050</v>
      </c>
      <c r="N81" s="206">
        <v>0.41</v>
      </c>
      <c r="O81" s="197"/>
    </row>
    <row r="82" spans="1:15" ht="75" x14ac:dyDescent="0.25">
      <c r="A82" s="194" t="s">
        <v>350</v>
      </c>
      <c r="E82" s="194" t="s">
        <v>351</v>
      </c>
      <c r="G82" s="244" t="s">
        <v>352</v>
      </c>
      <c r="H82" s="244"/>
      <c r="I82" s="244"/>
      <c r="J82" s="244"/>
      <c r="K82" s="244"/>
      <c r="L82" s="205">
        <v>4</v>
      </c>
      <c r="M82" s="205">
        <v>5100</v>
      </c>
      <c r="N82" s="206">
        <v>0.39</v>
      </c>
      <c r="O82" s="197">
        <v>8.0000000000000002E-3</v>
      </c>
    </row>
    <row r="83" spans="1:15" ht="60" x14ac:dyDescent="0.25">
      <c r="A83" s="194" t="s">
        <v>353</v>
      </c>
      <c r="E83" s="194" t="s">
        <v>354</v>
      </c>
      <c r="G83" s="244" t="s">
        <v>355</v>
      </c>
      <c r="H83" s="244"/>
      <c r="I83" s="244"/>
      <c r="J83" s="244"/>
      <c r="K83" s="244"/>
      <c r="L83" s="205">
        <v>2.9</v>
      </c>
      <c r="M83" s="205">
        <v>5200</v>
      </c>
      <c r="N83" s="206">
        <v>0.37</v>
      </c>
      <c r="O83" s="197"/>
    </row>
    <row r="84" spans="1:15" ht="75" x14ac:dyDescent="0.25">
      <c r="A84" s="194" t="s">
        <v>356</v>
      </c>
      <c r="E84" s="194" t="s">
        <v>357</v>
      </c>
      <c r="G84" s="244" t="s">
        <v>358</v>
      </c>
      <c r="H84" s="244"/>
      <c r="I84" s="244"/>
      <c r="J84" s="244"/>
      <c r="K84" s="244"/>
      <c r="L84" s="205">
        <v>1.47</v>
      </c>
      <c r="M84" s="205">
        <v>5000</v>
      </c>
      <c r="N84" s="206">
        <v>0.52</v>
      </c>
      <c r="O84" s="197"/>
    </row>
    <row r="85" spans="1:15" x14ac:dyDescent="0.25">
      <c r="A85" s="194" t="s">
        <v>359</v>
      </c>
      <c r="E85" s="194">
        <v>7820</v>
      </c>
    </row>
    <row r="86" spans="1:15" x14ac:dyDescent="0.25">
      <c r="A86" s="194" t="s">
        <v>360</v>
      </c>
      <c r="E86" s="194">
        <v>7830</v>
      </c>
    </row>
    <row r="87" spans="1:15" ht="75" x14ac:dyDescent="0.25">
      <c r="A87" s="194" t="s">
        <v>361</v>
      </c>
      <c r="E87" s="194" t="s">
        <v>362</v>
      </c>
    </row>
    <row r="88" spans="1:15" ht="45" x14ac:dyDescent="0.25">
      <c r="A88" s="194" t="s">
        <v>363</v>
      </c>
      <c r="E88" s="194" t="s">
        <v>364</v>
      </c>
    </row>
    <row r="89" spans="1:15" ht="60" x14ac:dyDescent="0.25">
      <c r="A89" s="194" t="s">
        <v>365</v>
      </c>
      <c r="E89" s="194" t="s">
        <v>366</v>
      </c>
    </row>
    <row r="90" spans="1:15" ht="45" x14ac:dyDescent="0.25">
      <c r="A90" s="194" t="s">
        <v>367</v>
      </c>
      <c r="E90" s="194">
        <v>7680</v>
      </c>
    </row>
    <row r="91" spans="1:15" x14ac:dyDescent="0.25">
      <c r="A91" s="194" t="s">
        <v>368</v>
      </c>
      <c r="E91" s="194">
        <v>7850</v>
      </c>
    </row>
    <row r="92" spans="1:15" x14ac:dyDescent="0.25">
      <c r="A92" s="194" t="s">
        <v>369</v>
      </c>
      <c r="E92" s="194">
        <v>7810</v>
      </c>
    </row>
    <row r="93" spans="1:15" x14ac:dyDescent="0.25">
      <c r="A93" s="194" t="s">
        <v>370</v>
      </c>
      <c r="E93" s="194">
        <v>7810</v>
      </c>
    </row>
    <row r="94" spans="1:15" ht="105" x14ac:dyDescent="0.25">
      <c r="A94" s="194" t="s">
        <v>371</v>
      </c>
      <c r="E94" s="194" t="s">
        <v>372</v>
      </c>
    </row>
    <row r="95" spans="1:15" ht="60" x14ac:dyDescent="0.25">
      <c r="A95" s="194" t="s">
        <v>373</v>
      </c>
      <c r="E95" s="194" t="s">
        <v>374</v>
      </c>
    </row>
    <row r="96" spans="1:15" ht="105" x14ac:dyDescent="0.25">
      <c r="A96" s="194" t="s">
        <v>375</v>
      </c>
      <c r="E96" s="194" t="s">
        <v>376</v>
      </c>
    </row>
    <row r="97" spans="1:5" ht="105" x14ac:dyDescent="0.25">
      <c r="A97" s="194" t="s">
        <v>377</v>
      </c>
      <c r="E97" s="194" t="s">
        <v>378</v>
      </c>
    </row>
    <row r="98" spans="1:5" ht="45" x14ac:dyDescent="0.25">
      <c r="A98" s="194" t="s">
        <v>379</v>
      </c>
      <c r="E98" s="194">
        <v>7960</v>
      </c>
    </row>
    <row r="99" spans="1:5" x14ac:dyDescent="0.25">
      <c r="A99" s="194" t="s">
        <v>380</v>
      </c>
      <c r="E99" s="194">
        <v>7640</v>
      </c>
    </row>
    <row r="100" spans="1:5" ht="45" x14ac:dyDescent="0.25">
      <c r="A100" s="194" t="s">
        <v>381</v>
      </c>
      <c r="E100" s="194" t="s">
        <v>382</v>
      </c>
    </row>
    <row r="101" spans="1:5" ht="105" x14ac:dyDescent="0.25">
      <c r="A101" s="194" t="s">
        <v>383</v>
      </c>
      <c r="E101" s="194" t="s">
        <v>384</v>
      </c>
    </row>
    <row r="102" spans="1:5" x14ac:dyDescent="0.25">
      <c r="A102" s="194" t="s">
        <v>385</v>
      </c>
      <c r="E102" s="194">
        <v>7790</v>
      </c>
    </row>
    <row r="103" spans="1:5" x14ac:dyDescent="0.25">
      <c r="A103" s="194" t="s">
        <v>386</v>
      </c>
      <c r="E103" s="194">
        <v>7830</v>
      </c>
    </row>
    <row r="104" spans="1:5" x14ac:dyDescent="0.25">
      <c r="A104" s="194" t="s">
        <v>387</v>
      </c>
      <c r="E104" s="194">
        <v>7800</v>
      </c>
    </row>
    <row r="105" spans="1:5" ht="45" x14ac:dyDescent="0.25">
      <c r="A105" s="194" t="s">
        <v>388</v>
      </c>
      <c r="E105" s="194" t="s">
        <v>389</v>
      </c>
    </row>
    <row r="106" spans="1:5" x14ac:dyDescent="0.25">
      <c r="A106" s="194" t="s">
        <v>390</v>
      </c>
      <c r="E106" s="194">
        <v>7840</v>
      </c>
    </row>
    <row r="107" spans="1:5" x14ac:dyDescent="0.25">
      <c r="A107" s="194" t="s">
        <v>391</v>
      </c>
      <c r="E107" s="194">
        <v>7820</v>
      </c>
    </row>
    <row r="108" spans="1:5" ht="45" x14ac:dyDescent="0.25">
      <c r="A108" s="194" t="s">
        <v>392</v>
      </c>
      <c r="E108" s="194">
        <v>7850</v>
      </c>
    </row>
    <row r="109" spans="1:5" ht="30" x14ac:dyDescent="0.25">
      <c r="A109" s="194" t="s">
        <v>393</v>
      </c>
      <c r="E109" s="194" t="s">
        <v>394</v>
      </c>
    </row>
    <row r="110" spans="1:5" ht="30" x14ac:dyDescent="0.25">
      <c r="A110" s="194" t="s">
        <v>395</v>
      </c>
      <c r="E110" s="194">
        <v>7900</v>
      </c>
    </row>
    <row r="111" spans="1:5" x14ac:dyDescent="0.25">
      <c r="A111" s="194" t="s">
        <v>396</v>
      </c>
      <c r="E111" s="194">
        <v>7800</v>
      </c>
    </row>
    <row r="112" spans="1:5" ht="60" x14ac:dyDescent="0.25">
      <c r="A112" s="194" t="s">
        <v>397</v>
      </c>
      <c r="E112" s="194">
        <v>7710</v>
      </c>
    </row>
    <row r="113" spans="1:5" x14ac:dyDescent="0.25">
      <c r="A113" s="194" t="s">
        <v>398</v>
      </c>
      <c r="E113" s="194">
        <v>7850</v>
      </c>
    </row>
    <row r="114" spans="1:5" x14ac:dyDescent="0.25">
      <c r="A114" s="194" t="s">
        <v>399</v>
      </c>
      <c r="E114" s="194">
        <v>7810</v>
      </c>
    </row>
    <row r="115" spans="1:5" x14ac:dyDescent="0.25">
      <c r="A115" s="194" t="s">
        <v>400</v>
      </c>
      <c r="E115" s="194">
        <v>7800</v>
      </c>
    </row>
    <row r="116" spans="1:5" x14ac:dyDescent="0.25">
      <c r="A116" s="194" t="s">
        <v>401</v>
      </c>
      <c r="E116" s="194">
        <v>7810</v>
      </c>
    </row>
    <row r="117" spans="1:5" ht="30" x14ac:dyDescent="0.25">
      <c r="A117" s="194" t="s">
        <v>402</v>
      </c>
      <c r="E117" s="194" t="s">
        <v>394</v>
      </c>
    </row>
    <row r="118" spans="1:5" x14ac:dyDescent="0.25">
      <c r="A118" s="194" t="s">
        <v>403</v>
      </c>
      <c r="E118" s="194">
        <v>7830</v>
      </c>
    </row>
    <row r="119" spans="1:5" ht="45" x14ac:dyDescent="0.25">
      <c r="A119" s="194" t="s">
        <v>404</v>
      </c>
      <c r="E119" s="194" t="s">
        <v>405</v>
      </c>
    </row>
    <row r="120" spans="1:5" ht="60" x14ac:dyDescent="0.25">
      <c r="A120" s="194" t="s">
        <v>406</v>
      </c>
      <c r="E120" s="194">
        <v>7850</v>
      </c>
    </row>
    <row r="121" spans="1:5" ht="45" x14ac:dyDescent="0.25">
      <c r="A121" s="194" t="s">
        <v>407</v>
      </c>
      <c r="E121" s="194" t="s">
        <v>408</v>
      </c>
    </row>
    <row r="122" spans="1:5" x14ac:dyDescent="0.25">
      <c r="A122" s="194" t="s">
        <v>409</v>
      </c>
      <c r="E122" s="194">
        <v>7810</v>
      </c>
    </row>
    <row r="123" spans="1:5" ht="60" x14ac:dyDescent="0.25">
      <c r="A123" s="194" t="s">
        <v>410</v>
      </c>
      <c r="E123" s="194" t="s">
        <v>411</v>
      </c>
    </row>
    <row r="124" spans="1:5" ht="75" x14ac:dyDescent="0.25">
      <c r="A124" s="194" t="s">
        <v>412</v>
      </c>
      <c r="E124" s="194" t="s">
        <v>413</v>
      </c>
    </row>
    <row r="125" spans="1:5" ht="90" x14ac:dyDescent="0.25">
      <c r="A125" s="194" t="s">
        <v>414</v>
      </c>
      <c r="E125" s="194" t="s">
        <v>415</v>
      </c>
    </row>
    <row r="126" spans="1:5" ht="60" x14ac:dyDescent="0.25">
      <c r="A126" s="194" t="s">
        <v>416</v>
      </c>
      <c r="E126" s="194">
        <v>7800</v>
      </c>
    </row>
    <row r="127" spans="1:5" ht="90" x14ac:dyDescent="0.25">
      <c r="A127" s="194" t="s">
        <v>417</v>
      </c>
      <c r="E127" s="194" t="s">
        <v>418</v>
      </c>
    </row>
    <row r="128" spans="1:5" x14ac:dyDescent="0.25">
      <c r="A128" s="194" t="s">
        <v>419</v>
      </c>
      <c r="E128" s="194">
        <v>7810</v>
      </c>
    </row>
    <row r="129" spans="1:5" x14ac:dyDescent="0.25">
      <c r="A129" s="194" t="s">
        <v>420</v>
      </c>
      <c r="E129" s="194">
        <v>7800</v>
      </c>
    </row>
    <row r="130" spans="1:5" x14ac:dyDescent="0.25">
      <c r="A130" s="194" t="s">
        <v>421</v>
      </c>
      <c r="E130" s="194">
        <v>7820</v>
      </c>
    </row>
    <row r="131" spans="1:5" x14ac:dyDescent="0.25">
      <c r="A131" s="194" t="s">
        <v>422</v>
      </c>
      <c r="E131" s="194">
        <v>7820</v>
      </c>
    </row>
    <row r="132" spans="1:5" ht="45" x14ac:dyDescent="0.25">
      <c r="A132" s="194" t="s">
        <v>423</v>
      </c>
      <c r="E132" s="194" t="s">
        <v>424</v>
      </c>
    </row>
    <row r="133" spans="1:5" x14ac:dyDescent="0.25">
      <c r="A133" s="194" t="s">
        <v>425</v>
      </c>
      <c r="E133" s="194">
        <v>7810</v>
      </c>
    </row>
    <row r="134" spans="1:5" x14ac:dyDescent="0.25">
      <c r="A134" s="194" t="s">
        <v>426</v>
      </c>
      <c r="E134" s="194">
        <v>7810</v>
      </c>
    </row>
    <row r="135" spans="1:5" x14ac:dyDescent="0.25">
      <c r="A135" s="194" t="s">
        <v>427</v>
      </c>
      <c r="E135" s="194">
        <v>7500</v>
      </c>
    </row>
    <row r="136" spans="1:5" x14ac:dyDescent="0.25">
      <c r="A136" s="194" t="s">
        <v>428</v>
      </c>
      <c r="E136" s="194">
        <v>7820</v>
      </c>
    </row>
    <row r="137" spans="1:5" x14ac:dyDescent="0.25">
      <c r="A137" s="194" t="s">
        <v>429</v>
      </c>
      <c r="E137" s="194">
        <v>7820</v>
      </c>
    </row>
    <row r="138" spans="1:5" x14ac:dyDescent="0.25">
      <c r="A138" s="194" t="s">
        <v>430</v>
      </c>
      <c r="E138" s="194">
        <v>7860</v>
      </c>
    </row>
    <row r="139" spans="1:5" ht="60" x14ac:dyDescent="0.25">
      <c r="A139" s="194" t="s">
        <v>431</v>
      </c>
      <c r="E139" s="194" t="s">
        <v>432</v>
      </c>
    </row>
    <row r="140" spans="1:5" x14ac:dyDescent="0.25">
      <c r="A140" s="194" t="s">
        <v>433</v>
      </c>
      <c r="E140" s="194">
        <v>7820</v>
      </c>
    </row>
    <row r="141" spans="1:5" x14ac:dyDescent="0.25">
      <c r="A141" s="194" t="s">
        <v>434</v>
      </c>
      <c r="E141" s="194">
        <v>7800</v>
      </c>
    </row>
    <row r="142" spans="1:5" ht="60" x14ac:dyDescent="0.25">
      <c r="A142" s="194" t="s">
        <v>435</v>
      </c>
      <c r="E142" s="194" t="s">
        <v>436</v>
      </c>
    </row>
    <row r="143" spans="1:5" ht="45" x14ac:dyDescent="0.25">
      <c r="A143" s="194" t="s">
        <v>437</v>
      </c>
      <c r="E143" s="194" t="s">
        <v>438</v>
      </c>
    </row>
    <row r="144" spans="1:5" x14ac:dyDescent="0.25">
      <c r="A144" s="194" t="s">
        <v>439</v>
      </c>
      <c r="E144" s="194">
        <v>7900</v>
      </c>
    </row>
    <row r="145" spans="1:5" ht="45" x14ac:dyDescent="0.25">
      <c r="A145" s="194" t="s">
        <v>440</v>
      </c>
      <c r="E145" s="194" t="s">
        <v>441</v>
      </c>
    </row>
    <row r="146" spans="1:5" x14ac:dyDescent="0.25">
      <c r="A146" s="194" t="s">
        <v>442</v>
      </c>
      <c r="E146" s="194">
        <v>7210</v>
      </c>
    </row>
    <row r="147" spans="1:5" ht="30" x14ac:dyDescent="0.25">
      <c r="A147" s="194" t="s">
        <v>443</v>
      </c>
      <c r="E147" s="194">
        <v>8160</v>
      </c>
    </row>
    <row r="148" spans="1:5" ht="30" x14ac:dyDescent="0.25">
      <c r="A148" s="194" t="s">
        <v>444</v>
      </c>
      <c r="E148" s="194">
        <v>8164</v>
      </c>
    </row>
    <row r="149" spans="1:5" ht="45" x14ac:dyDescent="0.25">
      <c r="A149" s="194" t="s">
        <v>445</v>
      </c>
      <c r="E149" s="194">
        <v>8040</v>
      </c>
    </row>
    <row r="150" spans="1:5" ht="30" x14ac:dyDescent="0.25">
      <c r="A150" s="194" t="s">
        <v>446</v>
      </c>
      <c r="E150" s="194">
        <v>7700</v>
      </c>
    </row>
    <row r="151" spans="1:5" ht="105" x14ac:dyDescent="0.25">
      <c r="A151" s="194" t="s">
        <v>447</v>
      </c>
      <c r="E151" s="194">
        <v>8400</v>
      </c>
    </row>
    <row r="152" spans="1:5" ht="60" x14ac:dyDescent="0.25">
      <c r="A152" s="194" t="s">
        <v>448</v>
      </c>
      <c r="E152" s="194">
        <v>8210</v>
      </c>
    </row>
    <row r="153" spans="1:5" ht="45" x14ac:dyDescent="0.25">
      <c r="A153" s="194" t="s">
        <v>449</v>
      </c>
      <c r="E153" s="194">
        <v>7900</v>
      </c>
    </row>
    <row r="154" spans="1:5" ht="30" x14ac:dyDescent="0.25">
      <c r="A154" s="194" t="s">
        <v>450</v>
      </c>
      <c r="E154" s="194">
        <v>8350</v>
      </c>
    </row>
    <row r="155" spans="1:5" ht="60" x14ac:dyDescent="0.25">
      <c r="A155" s="194" t="s">
        <v>451</v>
      </c>
      <c r="E155" s="194">
        <v>8110</v>
      </c>
    </row>
    <row r="156" spans="1:5" ht="45" x14ac:dyDescent="0.25">
      <c r="A156" s="194" t="s">
        <v>452</v>
      </c>
      <c r="E156" s="194">
        <v>8200</v>
      </c>
    </row>
    <row r="157" spans="1:5" ht="45" x14ac:dyDescent="0.25">
      <c r="A157" s="194" t="s">
        <v>453</v>
      </c>
      <c r="E157" s="194">
        <v>8700</v>
      </c>
    </row>
    <row r="158" spans="1:5" ht="105" x14ac:dyDescent="0.25">
      <c r="A158" s="194" t="s">
        <v>454</v>
      </c>
      <c r="E158" s="194">
        <v>8570</v>
      </c>
    </row>
    <row r="159" spans="1:5" ht="45" x14ac:dyDescent="0.25">
      <c r="A159" s="194" t="s">
        <v>455</v>
      </c>
      <c r="E159" s="194">
        <v>8250</v>
      </c>
    </row>
    <row r="160" spans="1:5" ht="60" x14ac:dyDescent="0.25">
      <c r="A160" s="194" t="s">
        <v>456</v>
      </c>
      <c r="E160" s="194">
        <v>8220</v>
      </c>
    </row>
    <row r="161" spans="1:5" ht="45" x14ac:dyDescent="0.25">
      <c r="A161" s="194" t="s">
        <v>457</v>
      </c>
      <c r="E161" s="194">
        <v>8790</v>
      </c>
    </row>
    <row r="162" spans="1:5" ht="60" x14ac:dyDescent="0.25">
      <c r="A162" s="194" t="s">
        <v>458</v>
      </c>
      <c r="E162" s="194">
        <v>8790</v>
      </c>
    </row>
    <row r="163" spans="1:5" ht="45" x14ac:dyDescent="0.25">
      <c r="A163" s="194" t="s">
        <v>459</v>
      </c>
      <c r="E163" s="194">
        <v>8200</v>
      </c>
    </row>
    <row r="164" spans="1:5" ht="60" x14ac:dyDescent="0.25">
      <c r="A164" s="194" t="s">
        <v>460</v>
      </c>
      <c r="E164" s="194">
        <v>8360</v>
      </c>
    </row>
    <row r="165" spans="1:5" ht="60" x14ac:dyDescent="0.25">
      <c r="A165" s="194" t="s">
        <v>461</v>
      </c>
      <c r="E165" s="194">
        <v>8000</v>
      </c>
    </row>
    <row r="166" spans="1:5" ht="105" x14ac:dyDescent="0.25">
      <c r="A166" s="194" t="s">
        <v>462</v>
      </c>
      <c r="E166" s="194">
        <v>8470</v>
      </c>
    </row>
    <row r="167" spans="1:5" ht="45" x14ac:dyDescent="0.25">
      <c r="A167" s="194" t="s">
        <v>463</v>
      </c>
      <c r="E167" s="194">
        <v>8570</v>
      </c>
    </row>
    <row r="168" spans="1:5" ht="30" x14ac:dyDescent="0.25">
      <c r="A168" s="194" t="s">
        <v>464</v>
      </c>
      <c r="E168" s="194">
        <v>7900</v>
      </c>
    </row>
    <row r="169" spans="1:5" ht="45" x14ac:dyDescent="0.25">
      <c r="A169" s="194" t="s">
        <v>465</v>
      </c>
      <c r="E169" s="194">
        <v>8320</v>
      </c>
    </row>
    <row r="170" spans="1:5" ht="45" x14ac:dyDescent="0.25">
      <c r="A170" s="194" t="s">
        <v>466</v>
      </c>
      <c r="E170" s="194">
        <v>8430</v>
      </c>
    </row>
    <row r="171" spans="1:5" ht="45" x14ac:dyDescent="0.25">
      <c r="A171" s="194" t="s">
        <v>467</v>
      </c>
      <c r="E171" s="194">
        <v>8200</v>
      </c>
    </row>
    <row r="172" spans="1:5" ht="30" x14ac:dyDescent="0.25">
      <c r="A172" s="194" t="s">
        <v>468</v>
      </c>
      <c r="E172" s="194">
        <v>8400</v>
      </c>
    </row>
    <row r="173" spans="1:5" ht="45" x14ac:dyDescent="0.25">
      <c r="A173" s="194" t="s">
        <v>469</v>
      </c>
      <c r="E173" s="194">
        <v>8300</v>
      </c>
    </row>
    <row r="174" spans="1:5" ht="60" x14ac:dyDescent="0.25">
      <c r="A174" s="194" t="s">
        <v>470</v>
      </c>
      <c r="E174" s="194">
        <v>8300</v>
      </c>
    </row>
    <row r="175" spans="1:5" ht="30" x14ac:dyDescent="0.25">
      <c r="A175" s="194" t="s">
        <v>471</v>
      </c>
      <c r="E175" s="194">
        <v>8200</v>
      </c>
    </row>
    <row r="176" spans="1:5" ht="30" x14ac:dyDescent="0.25">
      <c r="A176" s="194" t="s">
        <v>472</v>
      </c>
      <c r="E176" s="194">
        <v>8400</v>
      </c>
    </row>
    <row r="177" spans="1:5" x14ac:dyDescent="0.25">
      <c r="A177" s="194" t="s">
        <v>473</v>
      </c>
      <c r="E177" s="194">
        <v>7190</v>
      </c>
    </row>
    <row r="178" spans="1:5" ht="45" x14ac:dyDescent="0.25">
      <c r="A178" s="194" t="s">
        <v>474</v>
      </c>
      <c r="E178" s="194" t="s">
        <v>333</v>
      </c>
    </row>
    <row r="179" spans="1:5" x14ac:dyDescent="0.25">
      <c r="A179" s="194" t="s">
        <v>475</v>
      </c>
      <c r="E179" s="194">
        <v>7830</v>
      </c>
    </row>
    <row r="180" spans="1:5" x14ac:dyDescent="0.25">
      <c r="A180" s="194" t="s">
        <v>476</v>
      </c>
      <c r="E180" s="194">
        <v>8000</v>
      </c>
    </row>
    <row r="181" spans="1:5" x14ac:dyDescent="0.25">
      <c r="A181" s="194" t="s">
        <v>477</v>
      </c>
      <c r="E181" s="194">
        <v>8200</v>
      </c>
    </row>
    <row r="182" spans="1:5" x14ac:dyDescent="0.25">
      <c r="A182" s="194" t="s">
        <v>478</v>
      </c>
      <c r="E182" s="194">
        <v>8300</v>
      </c>
    </row>
    <row r="183" spans="1:5" x14ac:dyDescent="0.25">
      <c r="A183" s="194" t="s">
        <v>479</v>
      </c>
      <c r="E183" s="194">
        <v>8300</v>
      </c>
    </row>
    <row r="184" spans="1:5" x14ac:dyDescent="0.25">
      <c r="A184" s="194" t="s">
        <v>480</v>
      </c>
      <c r="E184" s="194">
        <v>8300</v>
      </c>
    </row>
    <row r="185" spans="1:5" x14ac:dyDescent="0.25">
      <c r="A185" s="194" t="s">
        <v>481</v>
      </c>
      <c r="E185" s="194">
        <v>8800</v>
      </c>
    </row>
    <row r="186" spans="1:5" x14ac:dyDescent="0.25">
      <c r="A186" s="194" t="s">
        <v>482</v>
      </c>
      <c r="E186" s="194">
        <v>7830</v>
      </c>
    </row>
    <row r="187" spans="1:5" ht="90" x14ac:dyDescent="0.25">
      <c r="A187" s="194" t="s">
        <v>483</v>
      </c>
      <c r="E187" s="194" t="s">
        <v>484</v>
      </c>
    </row>
    <row r="188" spans="1:5" ht="105" x14ac:dyDescent="0.25">
      <c r="A188" s="194" t="s">
        <v>485</v>
      </c>
      <c r="E188" s="194" t="s">
        <v>486</v>
      </c>
    </row>
    <row r="189" spans="1:5" ht="30" x14ac:dyDescent="0.25">
      <c r="A189" s="194" t="s">
        <v>487</v>
      </c>
      <c r="E189" s="194">
        <v>7810</v>
      </c>
    </row>
    <row r="190" spans="1:5" ht="105" x14ac:dyDescent="0.25">
      <c r="A190" s="194" t="s">
        <v>488</v>
      </c>
      <c r="E190" s="194" t="s">
        <v>489</v>
      </c>
    </row>
    <row r="191" spans="1:5" ht="60" x14ac:dyDescent="0.25">
      <c r="A191" s="194" t="s">
        <v>490</v>
      </c>
      <c r="E191" s="194" t="s">
        <v>491</v>
      </c>
    </row>
    <row r="192" spans="1:5" x14ac:dyDescent="0.25">
      <c r="A192" s="194" t="s">
        <v>492</v>
      </c>
      <c r="E192" s="194">
        <v>7650</v>
      </c>
    </row>
  </sheetData>
  <mergeCells count="97">
    <mergeCell ref="G81:K81"/>
    <mergeCell ref="G82:K82"/>
    <mergeCell ref="G83:K83"/>
    <mergeCell ref="G84:K84"/>
    <mergeCell ref="G76:K76"/>
    <mergeCell ref="G77:K77"/>
    <mergeCell ref="G78:K78"/>
    <mergeCell ref="G79:K79"/>
    <mergeCell ref="G80:K80"/>
    <mergeCell ref="G71:K71"/>
    <mergeCell ref="G72:K72"/>
    <mergeCell ref="G73:K73"/>
    <mergeCell ref="G74:K74"/>
    <mergeCell ref="G75:K75"/>
    <mergeCell ref="G66:K66"/>
    <mergeCell ref="G67:K67"/>
    <mergeCell ref="G68:K68"/>
    <mergeCell ref="G69:K69"/>
    <mergeCell ref="G70:K70"/>
    <mergeCell ref="G61:K61"/>
    <mergeCell ref="G62:K62"/>
    <mergeCell ref="G63:K63"/>
    <mergeCell ref="G64:K64"/>
    <mergeCell ref="G65:K65"/>
    <mergeCell ref="G56:K56"/>
    <mergeCell ref="G57:K57"/>
    <mergeCell ref="G58:K58"/>
    <mergeCell ref="G59:K59"/>
    <mergeCell ref="G60:K60"/>
    <mergeCell ref="G51:K51"/>
    <mergeCell ref="G52:K52"/>
    <mergeCell ref="G53:K53"/>
    <mergeCell ref="G54:K54"/>
    <mergeCell ref="G55:K55"/>
    <mergeCell ref="G46:K46"/>
    <mergeCell ref="G47:K47"/>
    <mergeCell ref="G48:K48"/>
    <mergeCell ref="G49:K49"/>
    <mergeCell ref="G50:K50"/>
    <mergeCell ref="G41:K41"/>
    <mergeCell ref="G42:K42"/>
    <mergeCell ref="G43:K43"/>
    <mergeCell ref="G44:K44"/>
    <mergeCell ref="G45:K45"/>
    <mergeCell ref="G36:K36"/>
    <mergeCell ref="G37:K37"/>
    <mergeCell ref="G38:K38"/>
    <mergeCell ref="G39:K39"/>
    <mergeCell ref="G40:K40"/>
    <mergeCell ref="G31:K31"/>
    <mergeCell ref="G32:K32"/>
    <mergeCell ref="G33:K33"/>
    <mergeCell ref="G34:K34"/>
    <mergeCell ref="G35:K35"/>
    <mergeCell ref="G26:K26"/>
    <mergeCell ref="G27:K27"/>
    <mergeCell ref="G28:K28"/>
    <mergeCell ref="G29:K29"/>
    <mergeCell ref="G30:K30"/>
    <mergeCell ref="G21:K21"/>
    <mergeCell ref="G22:K22"/>
    <mergeCell ref="G23:K23"/>
    <mergeCell ref="G24:K24"/>
    <mergeCell ref="G25:K25"/>
    <mergeCell ref="G16:K16"/>
    <mergeCell ref="G17:K17"/>
    <mergeCell ref="G18:K18"/>
    <mergeCell ref="G19:K19"/>
    <mergeCell ref="G20:K20"/>
    <mergeCell ref="T11:V11"/>
    <mergeCell ref="G12:K12"/>
    <mergeCell ref="G13:K13"/>
    <mergeCell ref="G14:K14"/>
    <mergeCell ref="G15:K15"/>
    <mergeCell ref="A9:D9"/>
    <mergeCell ref="G9:K9"/>
    <mergeCell ref="A10:D10"/>
    <mergeCell ref="G10:K10"/>
    <mergeCell ref="G11:K11"/>
    <mergeCell ref="A6:D6"/>
    <mergeCell ref="G6:K6"/>
    <mergeCell ref="A7:D7"/>
    <mergeCell ref="G7:K7"/>
    <mergeCell ref="A8:D8"/>
    <mergeCell ref="G8:K8"/>
    <mergeCell ref="A3:D3"/>
    <mergeCell ref="G3:K3"/>
    <mergeCell ref="A4:D4"/>
    <mergeCell ref="G4:K4"/>
    <mergeCell ref="A5:D5"/>
    <mergeCell ref="G5:K5"/>
    <mergeCell ref="A1:D1"/>
    <mergeCell ref="G1:K1"/>
    <mergeCell ref="P1:S1"/>
    <mergeCell ref="A2:D2"/>
    <mergeCell ref="G2:K2"/>
    <mergeCell ref="P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Алгоритм расчета ДЗ</vt:lpstr>
      <vt:lpstr>База данных материалов</vt:lpstr>
      <vt:lpstr>Tables_next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4NR_Operator_27</cp:lastModifiedBy>
  <cp:revision>2</cp:revision>
  <dcterms:created xsi:type="dcterms:W3CDTF">2006-09-16T00:00:00Z</dcterms:created>
  <dcterms:modified xsi:type="dcterms:W3CDTF">2023-03-31T13:09:06Z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