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b9b06d92f9ab19/File Skripsi/"/>
    </mc:Choice>
  </mc:AlternateContent>
  <xr:revisionPtr revIDLastSave="28" documentId="14_{ECB9037A-285B-44C7-9A51-E2BDE60A8F62}" xr6:coauthVersionLast="47" xr6:coauthVersionMax="47" xr10:uidLastSave="{EC44E577-33E2-418F-89FB-37A91D049D2C}"/>
  <bookViews>
    <workbookView xWindow="-120" yWindow="-120" windowWidth="20730" windowHeight="11760" xr2:uid="{91E8ABC5-8C74-40ED-A079-0471C9C1A8E7}"/>
  </bookViews>
  <sheets>
    <sheet name="DATA NILAI RAPOT SMK 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40" i="1"/>
  <c r="D40" i="1"/>
  <c r="C40" i="1"/>
  <c r="B40" i="1"/>
  <c r="A40" i="1"/>
  <c r="E70" i="1"/>
  <c r="D70" i="1"/>
  <c r="C70" i="1"/>
  <c r="B70" i="1"/>
  <c r="A70" i="1"/>
  <c r="E30" i="1"/>
  <c r="D30" i="1"/>
  <c r="C30" i="1"/>
  <c r="B30" i="1"/>
  <c r="A30" i="1"/>
  <c r="E25" i="1"/>
  <c r="D25" i="1"/>
  <c r="C25" i="1"/>
  <c r="B25" i="1"/>
  <c r="A25" i="1"/>
  <c r="E43" i="1"/>
  <c r="D43" i="1"/>
  <c r="C43" i="1"/>
  <c r="B43" i="1"/>
  <c r="A43" i="1"/>
  <c r="E12" i="1"/>
  <c r="D12" i="1"/>
  <c r="C12" i="1"/>
  <c r="B12" i="1"/>
  <c r="A12" i="1"/>
  <c r="E47" i="1"/>
  <c r="D47" i="1"/>
  <c r="C47" i="1"/>
  <c r="B47" i="1"/>
  <c r="A47" i="1"/>
  <c r="E73" i="1"/>
  <c r="D73" i="1"/>
  <c r="C73" i="1"/>
  <c r="B73" i="1"/>
  <c r="A73" i="1"/>
  <c r="E55" i="1"/>
  <c r="D55" i="1"/>
  <c r="C55" i="1"/>
  <c r="B55" i="1"/>
  <c r="A55" i="1"/>
  <c r="E97" i="1"/>
  <c r="D97" i="1"/>
  <c r="C97" i="1"/>
  <c r="B97" i="1"/>
  <c r="A97" i="1"/>
  <c r="E53" i="1"/>
  <c r="D53" i="1"/>
  <c r="C53" i="1"/>
  <c r="B53" i="1"/>
  <c r="A53" i="1"/>
  <c r="E90" i="1"/>
  <c r="D90" i="1"/>
  <c r="C90" i="1"/>
  <c r="B90" i="1"/>
  <c r="A90" i="1"/>
  <c r="E76" i="1"/>
  <c r="D76" i="1"/>
  <c r="C76" i="1"/>
  <c r="B76" i="1"/>
  <c r="A76" i="1"/>
  <c r="E95" i="1"/>
  <c r="D95" i="1"/>
  <c r="C95" i="1"/>
  <c r="B95" i="1"/>
  <c r="A95" i="1"/>
  <c r="E41" i="1"/>
  <c r="D41" i="1"/>
  <c r="C41" i="1"/>
  <c r="B41" i="1"/>
  <c r="A41" i="1"/>
  <c r="E8" i="1"/>
  <c r="D8" i="1"/>
  <c r="C8" i="1"/>
  <c r="B8" i="1"/>
  <c r="A8" i="1"/>
  <c r="E39" i="1"/>
  <c r="D39" i="1"/>
  <c r="C39" i="1"/>
  <c r="B39" i="1"/>
  <c r="A39" i="1"/>
  <c r="E62" i="1"/>
  <c r="D62" i="1"/>
  <c r="C62" i="1"/>
  <c r="B62" i="1"/>
  <c r="A62" i="1"/>
  <c r="E80" i="1"/>
  <c r="D80" i="1"/>
  <c r="C80" i="1"/>
  <c r="B80" i="1"/>
  <c r="A80" i="1"/>
  <c r="E86" i="1"/>
  <c r="D86" i="1"/>
  <c r="C86" i="1"/>
  <c r="B86" i="1"/>
  <c r="A86" i="1"/>
  <c r="E6" i="1"/>
  <c r="D6" i="1"/>
  <c r="C6" i="1"/>
  <c r="B6" i="1"/>
  <c r="A6" i="1"/>
  <c r="E81" i="1"/>
  <c r="D81" i="1"/>
  <c r="C81" i="1"/>
  <c r="B81" i="1"/>
  <c r="A81" i="1"/>
  <c r="E100" i="1"/>
  <c r="D100" i="1"/>
  <c r="C100" i="1"/>
  <c r="B100" i="1"/>
  <c r="A100" i="1"/>
  <c r="E24" i="1"/>
  <c r="D24" i="1"/>
  <c r="C24" i="1"/>
  <c r="B24" i="1"/>
  <c r="A24" i="1"/>
  <c r="E50" i="1"/>
  <c r="D50" i="1"/>
  <c r="C50" i="1"/>
  <c r="B50" i="1"/>
  <c r="A50" i="1"/>
  <c r="E99" i="1"/>
  <c r="D99" i="1"/>
  <c r="C99" i="1"/>
  <c r="B99" i="1"/>
  <c r="A99" i="1"/>
  <c r="E91" i="1"/>
  <c r="D91" i="1"/>
  <c r="C91" i="1"/>
  <c r="B91" i="1"/>
  <c r="A91" i="1"/>
  <c r="E66" i="1"/>
  <c r="D66" i="1"/>
  <c r="C66" i="1"/>
  <c r="B66" i="1"/>
  <c r="A66" i="1"/>
  <c r="E102" i="1"/>
  <c r="D102" i="1"/>
  <c r="C102" i="1"/>
  <c r="B102" i="1"/>
  <c r="A102" i="1"/>
  <c r="E5" i="1"/>
  <c r="D5" i="1"/>
  <c r="C5" i="1"/>
  <c r="B5" i="1"/>
  <c r="A5" i="1"/>
  <c r="E46" i="1"/>
  <c r="D46" i="1"/>
  <c r="C46" i="1"/>
  <c r="B46" i="1"/>
  <c r="A46" i="1"/>
  <c r="E38" i="1"/>
  <c r="D38" i="1"/>
  <c r="C38" i="1"/>
  <c r="B38" i="1"/>
  <c r="A38" i="1"/>
  <c r="E44" i="1"/>
  <c r="D44" i="1"/>
  <c r="C44" i="1"/>
  <c r="B44" i="1"/>
  <c r="A44" i="1"/>
  <c r="E74" i="1"/>
  <c r="D74" i="1"/>
  <c r="C74" i="1"/>
  <c r="B74" i="1"/>
  <c r="A74" i="1"/>
  <c r="E36" i="1"/>
  <c r="D36" i="1"/>
  <c r="C36" i="1"/>
  <c r="B36" i="1"/>
  <c r="A36" i="1"/>
  <c r="E65" i="1"/>
  <c r="D65" i="1"/>
  <c r="C65" i="1"/>
  <c r="B65" i="1"/>
  <c r="A65" i="1"/>
  <c r="E85" i="1"/>
  <c r="D85" i="1"/>
  <c r="C85" i="1"/>
  <c r="B85" i="1"/>
  <c r="A85" i="1"/>
  <c r="D2" i="1"/>
  <c r="C2" i="1"/>
  <c r="B2" i="1"/>
  <c r="A2" i="1"/>
  <c r="E77" i="1"/>
  <c r="D77" i="1"/>
  <c r="C77" i="1"/>
  <c r="B77" i="1"/>
  <c r="A77" i="1"/>
  <c r="E96" i="1"/>
  <c r="D96" i="1"/>
  <c r="C96" i="1"/>
  <c r="B96" i="1"/>
  <c r="A96" i="1"/>
  <c r="E10" i="1"/>
  <c r="D10" i="1"/>
  <c r="C10" i="1"/>
  <c r="B10" i="1"/>
  <c r="A10" i="1"/>
  <c r="E7" i="1"/>
  <c r="D7" i="1"/>
  <c r="C7" i="1"/>
  <c r="B7" i="1"/>
  <c r="A7" i="1"/>
  <c r="E83" i="1"/>
  <c r="D83" i="1"/>
  <c r="C83" i="1"/>
  <c r="B83" i="1"/>
  <c r="A83" i="1"/>
  <c r="E20" i="1"/>
  <c r="D20" i="1"/>
  <c r="C20" i="1"/>
  <c r="B20" i="1"/>
  <c r="A20" i="1"/>
  <c r="E31" i="1"/>
  <c r="D31" i="1"/>
  <c r="C31" i="1"/>
  <c r="B31" i="1"/>
  <c r="A31" i="1"/>
  <c r="E23" i="1"/>
  <c r="D23" i="1"/>
  <c r="C23" i="1"/>
  <c r="B23" i="1"/>
  <c r="A23" i="1"/>
  <c r="E59" i="1"/>
  <c r="D59" i="1"/>
  <c r="C59" i="1"/>
  <c r="B59" i="1"/>
  <c r="A59" i="1"/>
  <c r="E78" i="1"/>
  <c r="D78" i="1"/>
  <c r="C78" i="1"/>
  <c r="B78" i="1"/>
  <c r="A78" i="1"/>
  <c r="E101" i="1"/>
  <c r="D101" i="1"/>
  <c r="C101" i="1"/>
  <c r="B101" i="1"/>
  <c r="A101" i="1"/>
  <c r="E72" i="1"/>
  <c r="D72" i="1"/>
  <c r="C72" i="1"/>
  <c r="B72" i="1"/>
  <c r="A72" i="1"/>
  <c r="E64" i="1"/>
  <c r="D64" i="1"/>
  <c r="C64" i="1"/>
  <c r="B64" i="1"/>
  <c r="A64" i="1"/>
  <c r="E37" i="1"/>
  <c r="D37" i="1"/>
  <c r="C37" i="1"/>
  <c r="B37" i="1"/>
  <c r="A37" i="1"/>
  <c r="E71" i="1"/>
  <c r="D71" i="1"/>
  <c r="C71" i="1"/>
  <c r="B71" i="1"/>
  <c r="A71" i="1"/>
  <c r="E45" i="1"/>
  <c r="D45" i="1"/>
  <c r="C45" i="1"/>
  <c r="B45" i="1"/>
  <c r="A45" i="1"/>
  <c r="E98" i="1"/>
  <c r="D98" i="1"/>
  <c r="C98" i="1"/>
  <c r="B98" i="1"/>
  <c r="A98" i="1"/>
  <c r="E60" i="1"/>
  <c r="D60" i="1"/>
  <c r="C60" i="1"/>
  <c r="B60" i="1"/>
  <c r="A60" i="1"/>
  <c r="E19" i="1"/>
  <c r="D19" i="1"/>
  <c r="C19" i="1"/>
  <c r="B19" i="1"/>
  <c r="A19" i="1"/>
  <c r="E33" i="1"/>
  <c r="D33" i="1"/>
  <c r="C33" i="1"/>
  <c r="B33" i="1"/>
  <c r="A33" i="1"/>
  <c r="E88" i="1"/>
  <c r="D88" i="1"/>
  <c r="C88" i="1"/>
  <c r="B88" i="1"/>
  <c r="A88" i="1"/>
  <c r="E79" i="1"/>
  <c r="D79" i="1"/>
  <c r="C79" i="1"/>
  <c r="B79" i="1"/>
  <c r="A79" i="1"/>
  <c r="E93" i="1"/>
  <c r="D93" i="1"/>
  <c r="C93" i="1"/>
  <c r="B93" i="1"/>
  <c r="A93" i="1"/>
  <c r="E94" i="1"/>
  <c r="D94" i="1"/>
  <c r="C94" i="1"/>
  <c r="B94" i="1"/>
  <c r="A94" i="1"/>
  <c r="E29" i="1"/>
  <c r="D29" i="1"/>
  <c r="C29" i="1"/>
  <c r="B29" i="1"/>
  <c r="A29" i="1"/>
  <c r="E49" i="1"/>
  <c r="D49" i="1"/>
  <c r="C49" i="1"/>
  <c r="B49" i="1"/>
  <c r="A49" i="1"/>
  <c r="E14" i="1"/>
  <c r="D14" i="1"/>
  <c r="C14" i="1"/>
  <c r="B14" i="1"/>
  <c r="A14" i="1"/>
  <c r="E48" i="1"/>
  <c r="D48" i="1"/>
  <c r="C48" i="1"/>
  <c r="B48" i="1"/>
  <c r="A48" i="1"/>
  <c r="E18" i="1"/>
  <c r="D18" i="1"/>
  <c r="C18" i="1"/>
  <c r="B18" i="1"/>
  <c r="A18" i="1"/>
  <c r="E35" i="1"/>
  <c r="D35" i="1"/>
  <c r="C35" i="1"/>
  <c r="B35" i="1"/>
  <c r="A35" i="1"/>
  <c r="E57" i="1"/>
  <c r="D57" i="1"/>
  <c r="C57" i="1"/>
  <c r="B57" i="1"/>
  <c r="A57" i="1"/>
  <c r="E9" i="1"/>
  <c r="D9" i="1"/>
  <c r="C9" i="1"/>
  <c r="B9" i="1"/>
  <c r="A9" i="1"/>
  <c r="E54" i="1"/>
  <c r="D54" i="1"/>
  <c r="C54" i="1"/>
  <c r="B54" i="1"/>
  <c r="A54" i="1"/>
  <c r="E84" i="1"/>
  <c r="D84" i="1"/>
  <c r="C84" i="1"/>
  <c r="B84" i="1"/>
  <c r="A84" i="1"/>
  <c r="E63" i="1"/>
  <c r="D63" i="1"/>
  <c r="C63" i="1"/>
  <c r="B63" i="1"/>
  <c r="A63" i="1"/>
  <c r="E11" i="1"/>
  <c r="D11" i="1"/>
  <c r="C11" i="1"/>
  <c r="B11" i="1"/>
  <c r="A11" i="1"/>
  <c r="E82" i="1"/>
  <c r="D82" i="1"/>
  <c r="C82" i="1"/>
  <c r="B82" i="1"/>
  <c r="A82" i="1"/>
  <c r="E32" i="1"/>
  <c r="D32" i="1"/>
  <c r="C32" i="1"/>
  <c r="B32" i="1"/>
  <c r="A32" i="1"/>
  <c r="E42" i="1"/>
  <c r="D42" i="1"/>
  <c r="C42" i="1"/>
  <c r="B42" i="1"/>
  <c r="A42" i="1"/>
  <c r="E61" i="1"/>
  <c r="D61" i="1"/>
  <c r="C61" i="1"/>
  <c r="B61" i="1"/>
  <c r="A61" i="1"/>
  <c r="E34" i="1"/>
  <c r="D34" i="1"/>
  <c r="C34" i="1"/>
  <c r="B34" i="1"/>
  <c r="A34" i="1"/>
  <c r="E3" i="1"/>
  <c r="D3" i="1"/>
  <c r="C3" i="1"/>
  <c r="B3" i="1"/>
  <c r="A3" i="1"/>
  <c r="E16" i="1"/>
  <c r="D16" i="1"/>
  <c r="C16" i="1"/>
  <c r="B16" i="1"/>
  <c r="A16" i="1"/>
  <c r="E58" i="1"/>
  <c r="D58" i="1"/>
  <c r="C58" i="1"/>
  <c r="B58" i="1"/>
  <c r="A58" i="1"/>
  <c r="E68" i="1"/>
  <c r="D68" i="1"/>
  <c r="C68" i="1"/>
  <c r="B68" i="1"/>
  <c r="A68" i="1"/>
  <c r="E13" i="1"/>
  <c r="D13" i="1"/>
  <c r="C13" i="1"/>
  <c r="B13" i="1"/>
  <c r="A13" i="1"/>
  <c r="E28" i="1"/>
  <c r="D28" i="1"/>
  <c r="C28" i="1"/>
  <c r="B28" i="1"/>
  <c r="A28" i="1"/>
  <c r="E89" i="1"/>
  <c r="D89" i="1"/>
  <c r="C89" i="1"/>
  <c r="B89" i="1"/>
  <c r="A89" i="1"/>
  <c r="E69" i="1"/>
  <c r="D69" i="1"/>
  <c r="C69" i="1"/>
  <c r="B69" i="1"/>
  <c r="A69" i="1"/>
  <c r="E67" i="1"/>
  <c r="D67" i="1"/>
  <c r="C67" i="1"/>
  <c r="B67" i="1"/>
  <c r="A67" i="1"/>
  <c r="E92" i="1"/>
  <c r="D92" i="1"/>
  <c r="C92" i="1"/>
  <c r="B92" i="1"/>
  <c r="A92" i="1"/>
  <c r="E26" i="1"/>
  <c r="D26" i="1"/>
  <c r="C26" i="1"/>
  <c r="B26" i="1"/>
  <c r="A26" i="1"/>
  <c r="E4" i="1"/>
  <c r="D4" i="1"/>
  <c r="C4" i="1"/>
  <c r="B4" i="1"/>
  <c r="A4" i="1"/>
  <c r="E56" i="1"/>
  <c r="D56" i="1"/>
  <c r="C56" i="1"/>
  <c r="B56" i="1"/>
  <c r="A56" i="1"/>
  <c r="E21" i="1"/>
  <c r="D21" i="1"/>
  <c r="C21" i="1"/>
  <c r="B21" i="1"/>
  <c r="A21" i="1"/>
  <c r="E51" i="1"/>
  <c r="D51" i="1"/>
  <c r="C51" i="1"/>
  <c r="B51" i="1"/>
  <c r="A51" i="1"/>
  <c r="E87" i="1"/>
  <c r="D87" i="1"/>
  <c r="C87" i="1"/>
  <c r="B87" i="1"/>
  <c r="A87" i="1"/>
  <c r="E75" i="1"/>
  <c r="D75" i="1"/>
  <c r="C75" i="1"/>
  <c r="B75" i="1"/>
  <c r="A75" i="1"/>
  <c r="E17" i="1"/>
  <c r="D17" i="1"/>
  <c r="C17" i="1"/>
  <c r="B17" i="1"/>
  <c r="A17" i="1"/>
  <c r="E15" i="1"/>
  <c r="D15" i="1"/>
  <c r="C15" i="1"/>
  <c r="B15" i="1"/>
  <c r="A15" i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<sst xmlns="http://schemas.openxmlformats.org/spreadsheetml/2006/main" count="6" uniqueCount="6">
  <si>
    <t>MTK</t>
  </si>
  <si>
    <t>IPA</t>
  </si>
  <si>
    <t>IPS</t>
  </si>
  <si>
    <t>JURUSAN</t>
  </si>
  <si>
    <t>BahasaIndonesia</t>
  </si>
  <si>
    <t>BahasaInggris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</si>
</sst>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79D8-CF5B-41B2-A5AD-189032CCCB63}">
  <dimension ref="A1:F102"/>
  <sheetViews>
    <sheetView tabSelected="1" workbookViewId="0">
      <selection activeCell="C1" sqref="C1"/>
    </sheetView>
  </sheetViews>
  <sheetFormatPr defaultRowHeight="15" x14ac:dyDescent="0.25"/>
  <cols>
    <col min="1" max="6" width="12.7109375" customWidth="1"/>
  </cols>
  <sheetData>
    <row r="1" spans="1:6" x14ac:dyDescent="0.25">
      <c r="A1" s="7" t="s">
        <v>0</v>
      </c>
      <c r="B1" s="7" t="s">
        <v>4</v>
      </c>
      <c r="C1" s="7" t="s">
        <v>5</v>
      </c>
      <c r="D1" s="7" t="s">
        <v>1</v>
      </c>
      <c r="E1" s="7" t="s">
        <v>2</v>
      </c>
      <c r="F1" s="8" t="s">
        <v>3</v>
      </c>
    </row>
    <row r="2" spans="1:6" x14ac:dyDescent="0.25">
      <c r="A2" s="1">
        <f>(76+89+84+87+79)/5</f>
        <v>83</v>
      </c>
      <c r="B2" s="1">
        <f>(93+70+90+95+92)/5</f>
        <v>88</v>
      </c>
      <c r="C2" s="1">
        <f>(70+85+88+85+80)/5</f>
        <v>81.599999999999994</v>
      </c>
      <c r="D2" s="1">
        <f>(85+94+85+87+89)/5</f>
        <v>88</v>
      </c>
      <c r="E2" s="1">
        <f>(92+92+90+8+89)/5</f>
        <v>74.2</v>
      </c>
      <c r="F2" s="1">
        <v>1</v>
      </c>
    </row>
    <row r="3" spans="1:6" x14ac:dyDescent="0.25">
      <c r="A3" s="1">
        <f>(88+80+80+71+88+88)/6</f>
        <v>82.5</v>
      </c>
      <c r="B3" s="1">
        <f>(86+86+83+85+92+90)/6</f>
        <v>87</v>
      </c>
      <c r="C3" s="1">
        <f>(85+83+80+70+79+80)/6</f>
        <v>79.5</v>
      </c>
      <c r="D3" s="2">
        <f>(90+90+80+74+89+88)/6</f>
        <v>85.166666666666671</v>
      </c>
      <c r="E3" s="2">
        <f>(83+81+83+89+87+83)/6</f>
        <v>84.333333333333329</v>
      </c>
      <c r="F3" s="3">
        <v>0</v>
      </c>
    </row>
    <row r="4" spans="1:6" x14ac:dyDescent="0.25">
      <c r="A4" s="1">
        <f>(79+80+84+81)/4</f>
        <v>81</v>
      </c>
      <c r="B4" s="1">
        <f>(80+81+84+74)/4</f>
        <v>79.75</v>
      </c>
      <c r="C4" s="1">
        <f>(77+78+86+81)/4</f>
        <v>80.5</v>
      </c>
      <c r="D4" s="1">
        <f>(79+79+80+82)/4</f>
        <v>80</v>
      </c>
      <c r="E4" s="1">
        <f>(81+80+79+77)/4</f>
        <v>79.25</v>
      </c>
      <c r="F4" s="3">
        <v>0</v>
      </c>
    </row>
    <row r="5" spans="1:6" x14ac:dyDescent="0.25">
      <c r="A5" s="1">
        <f>(89+92+90+88+86)/5</f>
        <v>89</v>
      </c>
      <c r="B5" s="1">
        <f>(85+85+70+87+84+84)/6</f>
        <v>82.5</v>
      </c>
      <c r="C5" s="1">
        <f>(92+93+90+89+86)/5</f>
        <v>90</v>
      </c>
      <c r="D5" s="1">
        <f>(90+91+91+89+87)/5</f>
        <v>89.6</v>
      </c>
      <c r="E5" s="1">
        <f>(92+92+91+90+88)/5</f>
        <v>90.6</v>
      </c>
      <c r="F5" s="1">
        <v>1</v>
      </c>
    </row>
    <row r="6" spans="1:6" x14ac:dyDescent="0.25">
      <c r="A6" s="1">
        <f>(79+80+82+84+85)/5</f>
        <v>82</v>
      </c>
      <c r="B6" s="1">
        <f>(81+83+85+87+88)/5</f>
        <v>84.8</v>
      </c>
      <c r="C6" s="1">
        <f>(78+80+81+83+85)/5</f>
        <v>81.400000000000006</v>
      </c>
      <c r="D6" s="1">
        <f>(83+84+85+87+90)/5</f>
        <v>85.8</v>
      </c>
      <c r="E6" s="1">
        <f>(82+85+86+87+89)/5</f>
        <v>85.8</v>
      </c>
      <c r="F6" s="1">
        <v>1</v>
      </c>
    </row>
    <row r="7" spans="1:6" x14ac:dyDescent="0.25">
      <c r="A7" s="2">
        <f>(85+86+82+89+84+85)/6</f>
        <v>85.166666666666671</v>
      </c>
      <c r="B7" s="2">
        <f>(80+80+79+80+88+89)/6</f>
        <v>82.666666666666671</v>
      </c>
      <c r="C7" s="2">
        <f>(79+82+82+80+81+84)/6</f>
        <v>81.333333333333329</v>
      </c>
      <c r="D7" s="2">
        <f>(81+81+83+82+86+90)/6</f>
        <v>83.833333333333329</v>
      </c>
      <c r="E7" s="2">
        <f>(87+84+82+90+83+86)/6</f>
        <v>85.333333333333329</v>
      </c>
      <c r="F7" s="3">
        <v>0</v>
      </c>
    </row>
    <row r="8" spans="1:6" x14ac:dyDescent="0.25">
      <c r="A8" s="3">
        <f>(77+80+73+83+74)/5</f>
        <v>77.400000000000006</v>
      </c>
      <c r="B8" s="3">
        <f>(80+86+74+88+87)/5</f>
        <v>83</v>
      </c>
      <c r="C8" s="3">
        <f>(78+85+84+70+83)/5</f>
        <v>80</v>
      </c>
      <c r="D8" s="3">
        <f>(85+85+75+80+83)/5</f>
        <v>81.599999999999994</v>
      </c>
      <c r="E8" s="3">
        <f>(80+87+84+91+85)/5</f>
        <v>85.4</v>
      </c>
      <c r="F8" s="1">
        <v>2</v>
      </c>
    </row>
    <row r="9" spans="1:6" x14ac:dyDescent="0.25">
      <c r="A9" s="2">
        <f>(84+86+85+88+90+90)/6</f>
        <v>87.166666666666671</v>
      </c>
      <c r="B9" s="2">
        <f>(87+90+94+96+93+93)/6</f>
        <v>92.166666666666671</v>
      </c>
      <c r="C9" s="1">
        <f>(78+86+79+82+87+89)/6</f>
        <v>83.5</v>
      </c>
      <c r="D9" s="1">
        <f>(85+87+84+87+90+92)/6</f>
        <v>87.5</v>
      </c>
      <c r="E9" s="2">
        <f>(76+92+84+87+87+89)/6</f>
        <v>85.833333333333329</v>
      </c>
      <c r="F9" s="3">
        <v>0</v>
      </c>
    </row>
    <row r="10" spans="1:6" x14ac:dyDescent="0.25">
      <c r="A10" s="2">
        <f>(75+69+80+82+74+80+82+80+69+75+74+80)/12</f>
        <v>76.666666666666671</v>
      </c>
      <c r="B10" s="1">
        <f>(88+88+95+95+80+85+95+95+88+88+80+85)/12</f>
        <v>88.5</v>
      </c>
      <c r="C10" s="2">
        <f>(70+75+78+76+80+82+76+78+75+70+80+82)/12</f>
        <v>76.833333333333329</v>
      </c>
      <c r="D10" s="1">
        <f>(85+80+89+95+78+80+95+89+80+85+78+80)/12</f>
        <v>84.5</v>
      </c>
      <c r="E10" s="2">
        <f>(90+88+92+92+85+86+92+92+88+90+85+86)/12</f>
        <v>88.833333333333329</v>
      </c>
      <c r="F10" s="3">
        <v>0</v>
      </c>
    </row>
    <row r="11" spans="1:6" x14ac:dyDescent="0.25">
      <c r="A11" s="1">
        <f>(90+74+77+80+75+78)/6</f>
        <v>79</v>
      </c>
      <c r="B11" s="1">
        <f>(83+87+86+85+83+79)/6</f>
        <v>83.833333333333329</v>
      </c>
      <c r="C11" s="2">
        <f>(90+78+79+89+89+85)/6</f>
        <v>85</v>
      </c>
      <c r="D11" s="1">
        <f>(80+87+84+86+89+84)/6</f>
        <v>85</v>
      </c>
      <c r="E11" s="2">
        <f>(74+88+88+85+80+78)/6</f>
        <v>82.166666666666671</v>
      </c>
      <c r="F11" s="3">
        <v>0</v>
      </c>
    </row>
    <row r="12" spans="1:6" x14ac:dyDescent="0.25">
      <c r="A12" s="3">
        <f>(72+72+65+75+73)/5</f>
        <v>71.400000000000006</v>
      </c>
      <c r="B12" s="3">
        <f>(85+85+75+87+90)/5</f>
        <v>84.4</v>
      </c>
      <c r="C12" s="3">
        <f>(87+87+85+87+87)/5</f>
        <v>86.6</v>
      </c>
      <c r="D12" s="3">
        <f>(85+85+65+85+87)/5</f>
        <v>81.400000000000006</v>
      </c>
      <c r="E12" s="3">
        <f>(80+80+79+66+86)/5</f>
        <v>78.2</v>
      </c>
      <c r="F12" s="1">
        <v>2</v>
      </c>
    </row>
    <row r="13" spans="1:6" x14ac:dyDescent="0.25">
      <c r="A13" s="2">
        <f>(81+82+81+81+84+79)/6</f>
        <v>81.333333333333329</v>
      </c>
      <c r="B13" s="2">
        <f>(82+81+81+81+65+86)/6</f>
        <v>79.333333333333329</v>
      </c>
      <c r="C13" s="2">
        <f>(78+79+80+80+83+84)/6</f>
        <v>80.666666666666671</v>
      </c>
      <c r="D13" s="2">
        <f>(78+79+80+80+83+84)/6</f>
        <v>80.666666666666671</v>
      </c>
      <c r="E13" s="2">
        <f>(78+79+81+81+85+89)/6</f>
        <v>82.166666666666671</v>
      </c>
      <c r="F13" s="3">
        <v>0</v>
      </c>
    </row>
    <row r="14" spans="1:6" x14ac:dyDescent="0.25">
      <c r="A14" s="2">
        <f>(83+73+84+80+84+87)/6</f>
        <v>81.833333333333329</v>
      </c>
      <c r="B14" s="2">
        <f>(83+74+83+83+85+88)/6</f>
        <v>82.666666666666671</v>
      </c>
      <c r="C14" s="1">
        <f>(71+81+84+82+85+85)/6</f>
        <v>81.333333333333329</v>
      </c>
      <c r="D14" s="1">
        <f>(89+80+83+84+86+89)/6</f>
        <v>85.166666666666671</v>
      </c>
      <c r="E14" s="2">
        <f>(82+92+83+81+83+89)/6</f>
        <v>85</v>
      </c>
      <c r="F14" s="3">
        <v>0</v>
      </c>
    </row>
    <row r="15" spans="1:6" x14ac:dyDescent="0.25">
      <c r="A15" s="1">
        <f>(84+84+80+85+86)/5</f>
        <v>83.8</v>
      </c>
      <c r="B15" s="1">
        <f>(84+81+84+85+84)/5</f>
        <v>83.6</v>
      </c>
      <c r="C15" s="1">
        <f>(90+80+78+86+77)/5</f>
        <v>82.2</v>
      </c>
      <c r="D15" s="1">
        <f>(87+87+78+88+84)/5</f>
        <v>84.8</v>
      </c>
      <c r="E15" s="1">
        <f>(84+81+84+87+85)/5</f>
        <v>84.2</v>
      </c>
      <c r="F15" s="3">
        <v>0</v>
      </c>
    </row>
    <row r="16" spans="1:6" x14ac:dyDescent="0.25">
      <c r="A16" s="1">
        <f>(75+76+70+71+70)/5</f>
        <v>72.400000000000006</v>
      </c>
      <c r="B16" s="1">
        <f>(80+81+77+78+82)/5</f>
        <v>79.599999999999994</v>
      </c>
      <c r="C16" s="1">
        <f>(73+74+76+77+79)/5</f>
        <v>75.8</v>
      </c>
      <c r="D16" s="1">
        <f>(80+81+80+81+82)/5</f>
        <v>80.8</v>
      </c>
      <c r="E16" s="1">
        <f>(73+74+79+76+80)/5</f>
        <v>76.400000000000006</v>
      </c>
      <c r="F16" s="3">
        <v>0</v>
      </c>
    </row>
    <row r="17" spans="1:6" x14ac:dyDescent="0.25">
      <c r="A17" s="1">
        <f>(83+85+78+90+83)/5</f>
        <v>83.8</v>
      </c>
      <c r="B17" s="1">
        <f>(80+91+90+93+88)/5</f>
        <v>88.4</v>
      </c>
      <c r="C17" s="1">
        <f>(77+86+78+78+85)/5</f>
        <v>80.8</v>
      </c>
      <c r="D17" s="1">
        <f>(85+89+88+90+82)/5</f>
        <v>86.8</v>
      </c>
      <c r="E17" s="1">
        <f>(84+92+88+91+84)/5</f>
        <v>87.8</v>
      </c>
      <c r="F17" s="3">
        <v>0</v>
      </c>
    </row>
    <row r="18" spans="1:6" x14ac:dyDescent="0.25">
      <c r="A18" s="1">
        <f>(70+70+61+66+50)/5</f>
        <v>63.4</v>
      </c>
      <c r="B18" s="1">
        <f>(80+69+79+90+60)/5</f>
        <v>75.599999999999994</v>
      </c>
      <c r="C18" s="1">
        <f>(69+65+50+80+75)/5</f>
        <v>67.8</v>
      </c>
      <c r="D18" s="1">
        <f>(70+70+70+70+68)/5</f>
        <v>69.599999999999994</v>
      </c>
      <c r="E18" s="1">
        <f>(80+80+80+80+80)/5</f>
        <v>80</v>
      </c>
      <c r="F18" s="3">
        <v>0</v>
      </c>
    </row>
    <row r="19" spans="1:6" x14ac:dyDescent="0.25">
      <c r="A19" s="2">
        <f>(100+82+82+90+85+85)/6</f>
        <v>87.333333333333329</v>
      </c>
      <c r="B19" s="2">
        <f>(83+90+77+79+90+95)/6</f>
        <v>85.666666666666671</v>
      </c>
      <c r="C19" s="2">
        <f>(89+91+87+92+85+95)/6</f>
        <v>89.833333333333329</v>
      </c>
      <c r="D19" s="2">
        <f>(89+89+90+85+94+94)/6</f>
        <v>90.166666666666671</v>
      </c>
      <c r="E19" s="1">
        <f>(80+86+87+88+88+87)/6</f>
        <v>86</v>
      </c>
      <c r="F19" s="3">
        <v>0</v>
      </c>
    </row>
    <row r="20" spans="1:6" x14ac:dyDescent="0.25">
      <c r="A20" s="1">
        <f>(80+87+90+92+89)/5</f>
        <v>87.6</v>
      </c>
      <c r="B20" s="1">
        <f>(75+92+88+85+90)/5</f>
        <v>86</v>
      </c>
      <c r="C20" s="1">
        <f>(89+89+80+93+95)/5</f>
        <v>89.2</v>
      </c>
      <c r="D20" s="1">
        <f>(88+90+96+95+81)/5</f>
        <v>90</v>
      </c>
      <c r="E20" s="1">
        <f>(87+83+92+92+90)/5</f>
        <v>88.8</v>
      </c>
      <c r="F20" s="3">
        <v>0</v>
      </c>
    </row>
    <row r="21" spans="1:6" x14ac:dyDescent="0.25">
      <c r="A21" s="2">
        <f>(73+77+73+78+80+80)/6</f>
        <v>76.833333333333329</v>
      </c>
      <c r="B21" s="2">
        <f>(80+82+72+76+82+90)/6</f>
        <v>80.333333333333329</v>
      </c>
      <c r="C21" s="2">
        <f>(68+76+74+80+80+82)/6</f>
        <v>76.666666666666671</v>
      </c>
      <c r="D21" s="1">
        <f>(66+77+83+88+82+84)/6</f>
        <v>80</v>
      </c>
      <c r="E21" s="1">
        <f>(80+81+73+80+80+86)/6</f>
        <v>80</v>
      </c>
      <c r="F21" s="3">
        <v>0</v>
      </c>
    </row>
    <row r="22" spans="1:6" x14ac:dyDescent="0.25">
      <c r="A22" s="1">
        <v>85</v>
      </c>
      <c r="B22" s="1">
        <v>86</v>
      </c>
      <c r="C22" s="1">
        <v>82</v>
      </c>
      <c r="D22" s="1">
        <v>85</v>
      </c>
      <c r="E22" s="1">
        <v>84</v>
      </c>
      <c r="F22" s="3">
        <v>0</v>
      </c>
    </row>
    <row r="23" spans="1:6" x14ac:dyDescent="0.25">
      <c r="A23" s="2">
        <f>(75+76+61+80+80+85)/6</f>
        <v>76.166666666666671</v>
      </c>
      <c r="B23" s="2">
        <f>(68+80+77+84+94+85)/6</f>
        <v>81.333333333333329</v>
      </c>
      <c r="C23" s="2">
        <f>(73+78+73+78+79+83)/6</f>
        <v>77.333333333333329</v>
      </c>
      <c r="D23" s="2">
        <f>(77+78+78+78+80+79)/6</f>
        <v>78.333333333333329</v>
      </c>
      <c r="E23" s="2">
        <f>(80+80+80+80+86+84)/6</f>
        <v>81.666666666666671</v>
      </c>
      <c r="F23" s="3">
        <v>0</v>
      </c>
    </row>
    <row r="24" spans="1:6" x14ac:dyDescent="0.25">
      <c r="A24" s="2">
        <f>(80+81+87+87+88+89)/6</f>
        <v>85.333333333333329</v>
      </c>
      <c r="B24" s="2">
        <f>(80+86+87+88+90+90)/6</f>
        <v>86.833333333333329</v>
      </c>
      <c r="C24" s="5">
        <f>(80+81+85+86+85+86)/6</f>
        <v>83.833333333333329</v>
      </c>
      <c r="D24" s="1">
        <f>(82+83+87+87+85+86)/6</f>
        <v>85</v>
      </c>
      <c r="E24" s="1">
        <f>(85+85+85+87+84+84)/6</f>
        <v>85</v>
      </c>
      <c r="F24" s="1">
        <v>1</v>
      </c>
    </row>
    <row r="25" spans="1:6" x14ac:dyDescent="0.25">
      <c r="A25" s="3">
        <f>(87+85+86+87)/4</f>
        <v>86.25</v>
      </c>
      <c r="B25" s="3">
        <f>(88+87+83+87)/4</f>
        <v>86.25</v>
      </c>
      <c r="C25" s="3">
        <f>(80+82+80+88)/4</f>
        <v>82.5</v>
      </c>
      <c r="D25" s="3">
        <f>(85+88+89+84)/4</f>
        <v>86.5</v>
      </c>
      <c r="E25" s="3">
        <f>(89+87+85+86)/4</f>
        <v>86.75</v>
      </c>
      <c r="F25" s="1">
        <v>2</v>
      </c>
    </row>
    <row r="26" spans="1:6" x14ac:dyDescent="0.25">
      <c r="A26" s="1">
        <f>(75+74+77+80+75+78)/6</f>
        <v>76.5</v>
      </c>
      <c r="B26" s="1">
        <f>(83+87+86+85+83+89)/6</f>
        <v>85.5</v>
      </c>
      <c r="C26" s="2">
        <f>(79+78+79+89+89+85)/6</f>
        <v>83.166666666666671</v>
      </c>
      <c r="D26" s="1">
        <f>(80+87+84+86+80+84)/6</f>
        <v>83.5</v>
      </c>
      <c r="E26" s="2">
        <f>(84+88+88+85+80+78)/6</f>
        <v>83.833333333333329</v>
      </c>
      <c r="F26" s="3">
        <v>0</v>
      </c>
    </row>
    <row r="27" spans="1:6" x14ac:dyDescent="0.25">
      <c r="A27" s="3">
        <v>78</v>
      </c>
      <c r="B27" s="3">
        <v>79</v>
      </c>
      <c r="C27" s="3">
        <v>77</v>
      </c>
      <c r="D27" s="3">
        <v>79</v>
      </c>
      <c r="E27" s="3">
        <v>79</v>
      </c>
      <c r="F27" s="1">
        <v>2</v>
      </c>
    </row>
    <row r="28" spans="1:6" x14ac:dyDescent="0.25">
      <c r="A28" s="1">
        <f>(75+80+86+86+80)/5</f>
        <v>81.400000000000006</v>
      </c>
      <c r="B28" s="1">
        <f>(78+83+86+82+90)/5</f>
        <v>83.8</v>
      </c>
      <c r="C28" s="1">
        <f>(80+81+82+84+80)/5</f>
        <v>81.400000000000006</v>
      </c>
      <c r="D28" s="1">
        <f>(90+81+84+85+87)/5</f>
        <v>85.4</v>
      </c>
      <c r="E28" s="1">
        <f>(85+85+86+93+85)/5</f>
        <v>86.8</v>
      </c>
      <c r="F28" s="3">
        <v>0</v>
      </c>
    </row>
    <row r="29" spans="1:6" x14ac:dyDescent="0.25">
      <c r="A29" s="2">
        <f>(89+87+86+81+91+80)/6</f>
        <v>85.666666666666671</v>
      </c>
      <c r="B29" s="2">
        <f>(91+90+83+85+86+83)/6</f>
        <v>86.333333333333329</v>
      </c>
      <c r="C29" s="2">
        <f>(95+95+92+92+89+78)/6</f>
        <v>90.166666666666671</v>
      </c>
      <c r="D29" s="1">
        <f>(91+86+91+82+88+84)/6</f>
        <v>87</v>
      </c>
      <c r="E29" s="1">
        <f>(90+87+90+91+90+89)/6</f>
        <v>89.5</v>
      </c>
      <c r="F29" s="3">
        <v>0</v>
      </c>
    </row>
    <row r="30" spans="1:6" x14ac:dyDescent="0.25">
      <c r="A30" s="3">
        <f>(83+86+72+84+78+80)/6</f>
        <v>80.5</v>
      </c>
      <c r="B30" s="6">
        <f>(78+79+83+81+88+88)/6</f>
        <v>82.833333333333329</v>
      </c>
      <c r="C30" s="6">
        <f>(75+75+85+85+83+88)/6</f>
        <v>81.833333333333329</v>
      </c>
      <c r="D30" s="3">
        <f>(78+80+85+85+86+81)/6</f>
        <v>82.5</v>
      </c>
      <c r="E30" s="6">
        <f>(75+77+83+83+85+87)/6</f>
        <v>81.666666666666671</v>
      </c>
      <c r="F30" s="1">
        <v>2</v>
      </c>
    </row>
    <row r="31" spans="1:6" x14ac:dyDescent="0.25">
      <c r="A31" s="2">
        <f>(84+81+85+93+87+87)/6</f>
        <v>86.166666666666671</v>
      </c>
      <c r="B31" s="2">
        <f>(82+85+91+91+85+90)/6</f>
        <v>87.333333333333329</v>
      </c>
      <c r="C31" s="1">
        <f>(77+74+79+87+89+89)/6</f>
        <v>82.5</v>
      </c>
      <c r="D31" s="2">
        <f>(80+80+85+89+83+83)/6</f>
        <v>83.333333333333329</v>
      </c>
      <c r="E31" s="2">
        <f>(84+86+83+90+84+88)/6</f>
        <v>85.833333333333329</v>
      </c>
      <c r="F31" s="3">
        <v>0</v>
      </c>
    </row>
    <row r="32" spans="1:6" x14ac:dyDescent="0.25">
      <c r="A32" s="1">
        <f>(67+61+70+69+89)/5</f>
        <v>71.2</v>
      </c>
      <c r="B32" s="1">
        <f>(67+79+80+73+91)/5</f>
        <v>78</v>
      </c>
      <c r="C32" s="1">
        <f>(80+80+80+70+91)/5</f>
        <v>80.2</v>
      </c>
      <c r="D32" s="1">
        <f>(75+76+85+80+87)/5</f>
        <v>80.599999999999994</v>
      </c>
      <c r="E32" s="1">
        <f>(78+85+90+80+92)/5</f>
        <v>85</v>
      </c>
      <c r="F32" s="3">
        <v>0</v>
      </c>
    </row>
    <row r="33" spans="1:6" x14ac:dyDescent="0.25">
      <c r="A33" s="1">
        <f>(82+82+82+82)/4</f>
        <v>82</v>
      </c>
      <c r="B33" s="1">
        <f>(88+88+88+88)/4</f>
        <v>88</v>
      </c>
      <c r="C33" s="1">
        <f>(80+80+80+80)/4</f>
        <v>80</v>
      </c>
      <c r="D33" s="1">
        <f>(83+83+83+83)/4</f>
        <v>83</v>
      </c>
      <c r="E33" s="1">
        <f>(86+86+86+86)/4</f>
        <v>86</v>
      </c>
      <c r="F33" s="3">
        <v>0</v>
      </c>
    </row>
    <row r="34" spans="1:6" x14ac:dyDescent="0.25">
      <c r="A34" s="1">
        <f>(80+80+86+86+88)/5</f>
        <v>84</v>
      </c>
      <c r="B34" s="1">
        <f>(83+83+86+88+90)/5</f>
        <v>86</v>
      </c>
      <c r="C34" s="1">
        <f>(80+81+82+84+85)/5</f>
        <v>82.4</v>
      </c>
      <c r="D34" s="1">
        <f>(81+81+84+85+87)/5</f>
        <v>83.6</v>
      </c>
      <c r="E34" s="1">
        <f>(85+85+86+85+85)/5</f>
        <v>85.2</v>
      </c>
      <c r="F34" s="3">
        <v>0</v>
      </c>
    </row>
    <row r="35" spans="1:6" x14ac:dyDescent="0.25">
      <c r="A35" s="2">
        <f>(84+86+85+88+90+70)/6</f>
        <v>83.833333333333329</v>
      </c>
      <c r="B35" s="2">
        <f>(87+90+94+96+93+83)/6</f>
        <v>90.5</v>
      </c>
      <c r="C35" s="1">
        <f>(78+86+79+82+77+89)/6</f>
        <v>81.833333333333329</v>
      </c>
      <c r="D35" s="1">
        <f>(85+87+84+87+90+92)/6</f>
        <v>87.5</v>
      </c>
      <c r="E35" s="2">
        <f>(76+92+84+87+87+89)/6</f>
        <v>85.833333333333329</v>
      </c>
      <c r="F35" s="3">
        <v>0</v>
      </c>
    </row>
    <row r="36" spans="1:6" x14ac:dyDescent="0.25">
      <c r="A36" s="2">
        <f>(80+82+82+85+86+88)/6</f>
        <v>83.833333333333329</v>
      </c>
      <c r="B36" s="1">
        <f>(87+88+88+90+91+93)/6</f>
        <v>89.5</v>
      </c>
      <c r="C36" s="2">
        <f>(86+88+88+89+88+90)/6</f>
        <v>88.166666666666671</v>
      </c>
      <c r="D36" s="1">
        <f>(86+87+90+92+90+92)/6</f>
        <v>89.5</v>
      </c>
      <c r="E36" s="2">
        <f>(87+88+90+92+93+86)/6</f>
        <v>89.333333333333329</v>
      </c>
      <c r="F36" s="1">
        <v>1</v>
      </c>
    </row>
    <row r="37" spans="1:6" x14ac:dyDescent="0.25">
      <c r="A37" s="1">
        <f>(89+88+88+90+86)/5</f>
        <v>88.2</v>
      </c>
      <c r="B37" s="1">
        <f>(85+90+84+89+90)/5</f>
        <v>87.6</v>
      </c>
      <c r="C37" s="1">
        <f>(90+88+88+80+85)/5</f>
        <v>86.2</v>
      </c>
      <c r="D37" s="1">
        <f>(84+87+87+88+91)/5</f>
        <v>87.4</v>
      </c>
      <c r="E37" s="1">
        <f>(95+88+90+95+88)/5</f>
        <v>91.2</v>
      </c>
      <c r="F37" s="3">
        <v>0</v>
      </c>
    </row>
    <row r="38" spans="1:6" x14ac:dyDescent="0.25">
      <c r="A38" s="1">
        <f>(76+69+84+87+79)/5</f>
        <v>79</v>
      </c>
      <c r="B38" s="1">
        <f>(93+90+90+95+92)/5</f>
        <v>92</v>
      </c>
      <c r="C38" s="1">
        <f>(90+90+88+85+84)/5</f>
        <v>87.4</v>
      </c>
      <c r="D38" s="1">
        <f>(91+94+85+90+89)/5</f>
        <v>89.8</v>
      </c>
      <c r="E38" s="1">
        <f>(92+92+90+90+89)/5</f>
        <v>90.6</v>
      </c>
      <c r="F38" s="1">
        <v>1</v>
      </c>
    </row>
    <row r="39" spans="1:6" x14ac:dyDescent="0.25">
      <c r="A39" s="3">
        <f>(83+84+87+87+88)/5</f>
        <v>85.8</v>
      </c>
      <c r="B39" s="3">
        <f>(84+85+87+87+88)/5</f>
        <v>86.2</v>
      </c>
      <c r="C39" s="3">
        <f>(83+84+86+86+87)/5</f>
        <v>85.2</v>
      </c>
      <c r="D39" s="3">
        <f>(83+84+87+86+87)/5</f>
        <v>85.4</v>
      </c>
      <c r="E39" s="3">
        <f>(87+88+86+87+88)/5</f>
        <v>87.2</v>
      </c>
      <c r="F39" s="1">
        <v>2</v>
      </c>
    </row>
    <row r="40" spans="1:6" x14ac:dyDescent="0.25">
      <c r="A40" s="1">
        <f>(88+82+81+81+83)/5</f>
        <v>83</v>
      </c>
      <c r="B40" s="1">
        <f>(85+91+83+86+88)/5</f>
        <v>86.6</v>
      </c>
      <c r="C40" s="1">
        <f>(79+80+83+90+80)/5</f>
        <v>82.4</v>
      </c>
      <c r="D40" s="1">
        <f>(82+82+81+82+85)/5</f>
        <v>82.4</v>
      </c>
      <c r="E40" s="1">
        <f>(87+82+88+82+80)/5</f>
        <v>83.8</v>
      </c>
      <c r="F40" s="1">
        <v>2</v>
      </c>
    </row>
    <row r="41" spans="1:6" x14ac:dyDescent="0.25">
      <c r="A41" s="6">
        <f>(79+83+81+85+83+83)/6</f>
        <v>82.333333333333329</v>
      </c>
      <c r="B41" s="3">
        <f>(83+83+81+85+87+85)/6</f>
        <v>84</v>
      </c>
      <c r="C41" s="3">
        <f>(78+81+80+84+85+87)/6</f>
        <v>82.5</v>
      </c>
      <c r="D41" s="6">
        <f>(80+80+90+87+89+89)/6</f>
        <v>85.833333333333329</v>
      </c>
      <c r="E41" s="6">
        <f>(78+86+85+84+87+86)/6</f>
        <v>84.333333333333329</v>
      </c>
      <c r="F41" s="1">
        <v>2</v>
      </c>
    </row>
    <row r="42" spans="1:6" x14ac:dyDescent="0.25">
      <c r="A42" s="2">
        <f>(84+87+84+84+84+82)/6</f>
        <v>84.166666666666671</v>
      </c>
      <c r="B42" s="1">
        <f>(86+84+84+84+84+79)/6</f>
        <v>83.5</v>
      </c>
      <c r="C42" s="2">
        <f>(88+84+87+84+84+79)/6</f>
        <v>84.333333333333329</v>
      </c>
      <c r="D42" s="2">
        <f>(85+85+84+84+87+75)/6</f>
        <v>83.333333333333329</v>
      </c>
      <c r="E42" s="2">
        <f>(84+84+77+84+84+75)/6</f>
        <v>81.333333333333329</v>
      </c>
      <c r="F42" s="3">
        <v>0</v>
      </c>
    </row>
    <row r="43" spans="1:6" x14ac:dyDescent="0.25">
      <c r="A43" s="6">
        <f>(79+83+97+85+83+83)/6</f>
        <v>85</v>
      </c>
      <c r="B43" s="3">
        <f>(83+90+81+85+87+85)/6</f>
        <v>85.166666666666671</v>
      </c>
      <c r="C43" s="3">
        <f>(88+81+80+84+85+87)/6</f>
        <v>84.166666666666671</v>
      </c>
      <c r="D43" s="6">
        <f>(80+80+90+76+89+89)/6</f>
        <v>84</v>
      </c>
      <c r="E43" s="6">
        <f>(78+86+85+84+90+86)/6</f>
        <v>84.833333333333329</v>
      </c>
      <c r="F43" s="1">
        <v>2</v>
      </c>
    </row>
    <row r="44" spans="1:6" x14ac:dyDescent="0.25">
      <c r="A44" s="2">
        <f>(85+95+95+95+90+84)/6</f>
        <v>90.666666666666671</v>
      </c>
      <c r="B44" s="2">
        <f>(86+86+79+89+89+85)/6</f>
        <v>85.666666666666671</v>
      </c>
      <c r="C44" s="1">
        <f>(74+92+86+89+84+84)/6</f>
        <v>84.833333333333329</v>
      </c>
      <c r="D44" s="1">
        <f>(85+85+70+87+84+84)/6</f>
        <v>82.5</v>
      </c>
      <c r="E44" s="1">
        <f>(87+78+77+78+83)/5</f>
        <v>80.599999999999994</v>
      </c>
      <c r="F44" s="1">
        <v>1</v>
      </c>
    </row>
    <row r="45" spans="1:6" x14ac:dyDescent="0.25">
      <c r="A45" s="1">
        <f>(80+91+90+92+89)/5</f>
        <v>88.4</v>
      </c>
      <c r="B45" s="1">
        <f>(92+92+88+85+90)/5</f>
        <v>89.4</v>
      </c>
      <c r="C45" s="1">
        <f>(89+89+90+93+95)/5</f>
        <v>91.2</v>
      </c>
      <c r="D45" s="1">
        <f>(88+90+96+95+91)/5</f>
        <v>92</v>
      </c>
      <c r="E45" s="1">
        <f>(87+93+92+92+90)/5</f>
        <v>90.8</v>
      </c>
      <c r="F45" s="3">
        <v>0</v>
      </c>
    </row>
    <row r="46" spans="1:6" x14ac:dyDescent="0.25">
      <c r="A46" s="2">
        <f>(87+87+90+87+86+96)/6</f>
        <v>88.833333333333329</v>
      </c>
      <c r="B46" s="2">
        <f>(79+89+89+91+90+88)/6</f>
        <v>87.666666666666671</v>
      </c>
      <c r="C46" s="2">
        <f>(86+86+89+89+89+85)/6</f>
        <v>87.333333333333329</v>
      </c>
      <c r="D46" s="1">
        <f>(91+91+89+91+89+92)/6</f>
        <v>90.5</v>
      </c>
      <c r="E46" s="2">
        <f>(89+89+90+88+89+90)/6</f>
        <v>89.166666666666671</v>
      </c>
      <c r="F46" s="1">
        <v>1</v>
      </c>
    </row>
    <row r="47" spans="1:6" x14ac:dyDescent="0.25">
      <c r="A47" s="2">
        <f>(80+81+72+80+85+88)/6</f>
        <v>81</v>
      </c>
      <c r="B47" s="2">
        <f>(87+92+88+88+87+81)/6</f>
        <v>87.166666666666671</v>
      </c>
      <c r="C47" s="1">
        <f>(80+82+80+80+85+81)/6</f>
        <v>81.333333333333329</v>
      </c>
      <c r="D47" s="2">
        <f>(85+95+90+95+90+94)/6</f>
        <v>91.5</v>
      </c>
      <c r="E47" s="1">
        <f>(90+84+85+88+79+82)/6</f>
        <v>84.666666666666671</v>
      </c>
      <c r="F47" s="1">
        <v>2</v>
      </c>
    </row>
    <row r="48" spans="1:6" x14ac:dyDescent="0.25">
      <c r="A48" s="1">
        <f>(85+88+69+74+75)/5</f>
        <v>78.2</v>
      </c>
      <c r="B48" s="1">
        <f>(95+97+88+93+80)/5</f>
        <v>90.6</v>
      </c>
      <c r="C48" s="1">
        <f>(76+80+75+76+70)/5</f>
        <v>75.400000000000006</v>
      </c>
      <c r="D48" s="1">
        <f>(95+95+85+90+85)/5</f>
        <v>90</v>
      </c>
      <c r="E48" s="1">
        <f>(95+95+88+90+80)/5</f>
        <v>89.6</v>
      </c>
      <c r="F48" s="3">
        <v>0</v>
      </c>
    </row>
    <row r="49" spans="1:6" x14ac:dyDescent="0.25">
      <c r="A49" s="1">
        <f>(76+77+69+80+71+77)/6</f>
        <v>75</v>
      </c>
      <c r="B49" s="2">
        <f>(75+78+78+83+79+82)/6</f>
        <v>79.166666666666671</v>
      </c>
      <c r="C49" s="1">
        <f>(77+77+69+80+85+80)/6</f>
        <v>78</v>
      </c>
      <c r="D49" s="1">
        <f>(80+80+75+83+76+80)/6</f>
        <v>79</v>
      </c>
      <c r="E49" s="2">
        <f>(77+81+84+86+84+88)/6</f>
        <v>83.333333333333329</v>
      </c>
      <c r="F49" s="3">
        <v>0</v>
      </c>
    </row>
    <row r="50" spans="1:6" x14ac:dyDescent="0.25">
      <c r="A50" s="1">
        <f>(92+92+90+89+89)/5</f>
        <v>90.4</v>
      </c>
      <c r="B50" s="2">
        <f>(93+86+74+78+72+82)/6</f>
        <v>80.833333333333329</v>
      </c>
      <c r="C50" s="2">
        <f>(80+91+72+80+85+88)/6</f>
        <v>82.666666666666671</v>
      </c>
      <c r="D50" s="2">
        <f>(73+76+74+98+72+82)/6</f>
        <v>79.166666666666671</v>
      </c>
      <c r="E50" s="2">
        <f>(80+91+72+80+85+88)/6</f>
        <v>82.666666666666671</v>
      </c>
      <c r="F50" s="1">
        <v>1</v>
      </c>
    </row>
    <row r="51" spans="1:6" x14ac:dyDescent="0.25">
      <c r="A51" s="2">
        <f>(79+79+73+80+77+81)/6</f>
        <v>78.166666666666671</v>
      </c>
      <c r="B51" s="1">
        <f>(80+75+78+80+83+87)/6</f>
        <v>80.5</v>
      </c>
      <c r="C51" s="2">
        <f>(78+75+76+76+72+72)/6</f>
        <v>74.833333333333329</v>
      </c>
      <c r="D51" s="2">
        <f>(68+75+76+83+80+81)/6</f>
        <v>77.166666666666671</v>
      </c>
      <c r="E51" s="1">
        <f>(80+85+77+85+83+88)/6</f>
        <v>83</v>
      </c>
      <c r="F51" s="3">
        <v>0</v>
      </c>
    </row>
    <row r="52" spans="1:6" x14ac:dyDescent="0.25">
      <c r="A52" s="2">
        <f>(83+83+84+84+84+87)/6</f>
        <v>84.166666666666671</v>
      </c>
      <c r="B52" s="2">
        <f>(83+84+83+83+85+88)/6</f>
        <v>84.333333333333329</v>
      </c>
      <c r="C52" s="1">
        <f>(81+81+84+82+85+85)/6</f>
        <v>83</v>
      </c>
      <c r="D52" s="1">
        <f>(79+80+83+84+86+89)/6</f>
        <v>83.5</v>
      </c>
      <c r="E52" s="2">
        <f>(82+82+83+81+83+89)/6</f>
        <v>83.333333333333329</v>
      </c>
      <c r="F52" s="3">
        <v>0</v>
      </c>
    </row>
    <row r="53" spans="1:6" x14ac:dyDescent="0.25">
      <c r="A53" s="3">
        <f>(79+80+80+80+88)/5</f>
        <v>81.400000000000006</v>
      </c>
      <c r="B53" s="3">
        <f>(85+85+85+85+88)/5</f>
        <v>85.6</v>
      </c>
      <c r="C53" s="3">
        <f>(73+75+75+75+80)/5</f>
        <v>75.599999999999994</v>
      </c>
      <c r="D53" s="3">
        <f>(79+80+80+85+82)/5</f>
        <v>81.2</v>
      </c>
      <c r="E53" s="3">
        <f>(85+85+85+85+87)/5</f>
        <v>85.4</v>
      </c>
      <c r="F53" s="1">
        <v>2</v>
      </c>
    </row>
    <row r="54" spans="1:6" x14ac:dyDescent="0.25">
      <c r="A54" s="2">
        <f>(74+76+82+83+81+82)/6</f>
        <v>79.666666666666671</v>
      </c>
      <c r="B54" s="2">
        <f>(80+74+89+88+80+80)/6</f>
        <v>81.833333333333329</v>
      </c>
      <c r="C54" s="2">
        <f>(74+80+78+78+80+82)/6</f>
        <v>78.666666666666671</v>
      </c>
      <c r="D54" s="2">
        <f>(77+80+82+86+86+86)/6</f>
        <v>82.833333333333329</v>
      </c>
      <c r="E54" s="2">
        <f>(80+81+75+86+86+88)/6</f>
        <v>82.666666666666671</v>
      </c>
      <c r="F54" s="3">
        <v>0</v>
      </c>
    </row>
    <row r="55" spans="1:6" x14ac:dyDescent="0.25">
      <c r="A55" s="6">
        <f>(82+89+86+87+86+87)/6</f>
        <v>86.166666666666671</v>
      </c>
      <c r="B55" s="6">
        <f>(92+93+91+87+85+90)/6</f>
        <v>89.666666666666671</v>
      </c>
      <c r="C55" s="6">
        <f>(83+90+78+87+87+84)/6</f>
        <v>84.833333333333329</v>
      </c>
      <c r="D55" s="6">
        <f>(93+88+85+82+80+87)/6</f>
        <v>85.833333333333329</v>
      </c>
      <c r="E55" s="3">
        <f>(83+83+84+98+84+87)/6</f>
        <v>86.5</v>
      </c>
      <c r="F55" s="1">
        <v>2</v>
      </c>
    </row>
    <row r="56" spans="1:6" x14ac:dyDescent="0.25">
      <c r="A56" s="1">
        <f>(85+90+82+83+90)/5</f>
        <v>86</v>
      </c>
      <c r="B56" s="1">
        <f>(80+91+85+84+89)/5</f>
        <v>85.8</v>
      </c>
      <c r="C56" s="1">
        <f>(90+91+91+90+89)/5</f>
        <v>90.2</v>
      </c>
      <c r="D56" s="1">
        <f>(91+92+87+89+90)/5</f>
        <v>89.8</v>
      </c>
      <c r="E56" s="1">
        <f>(88+85+88+90+92)/5</f>
        <v>88.6</v>
      </c>
      <c r="F56" s="3">
        <v>0</v>
      </c>
    </row>
    <row r="57" spans="1:6" x14ac:dyDescent="0.25">
      <c r="A57" s="1">
        <f>(79+82+77+72+65)/5</f>
        <v>75</v>
      </c>
      <c r="B57" s="1">
        <f>(70+80+80+70+77)/5</f>
        <v>75.400000000000006</v>
      </c>
      <c r="C57" s="1">
        <f>(90+78+77+78+75)/5</f>
        <v>79.599999999999994</v>
      </c>
      <c r="D57" s="1">
        <f>(70+77+74+85+69)/5</f>
        <v>75</v>
      </c>
      <c r="E57" s="1">
        <f>(74+80+67+70+71)/5</f>
        <v>72.400000000000006</v>
      </c>
      <c r="F57" s="3">
        <v>0</v>
      </c>
    </row>
    <row r="58" spans="1:6" x14ac:dyDescent="0.25">
      <c r="A58" s="1">
        <f>(80+90+82+84+90)/5</f>
        <v>85.2</v>
      </c>
      <c r="B58" s="1">
        <f>(93+91+83+84+89)/5</f>
        <v>88</v>
      </c>
      <c r="C58" s="1">
        <f>(87+91+91+90+89)/5</f>
        <v>89.6</v>
      </c>
      <c r="D58" s="1">
        <f>(91+92+87+89+90)/5</f>
        <v>89.8</v>
      </c>
      <c r="E58" s="1">
        <f>(88+85+88+90+92)/5</f>
        <v>88.6</v>
      </c>
      <c r="F58" s="3">
        <v>0</v>
      </c>
    </row>
    <row r="59" spans="1:6" x14ac:dyDescent="0.25">
      <c r="A59" s="2">
        <f>(85+88+84+79+88+85)/6</f>
        <v>84.833333333333329</v>
      </c>
      <c r="B59" s="1">
        <f>(89+91+82+83+88+83)/6</f>
        <v>86</v>
      </c>
      <c r="C59" s="2">
        <f>(90+91+84+81+85+84)/6</f>
        <v>85.833333333333329</v>
      </c>
      <c r="D59" s="2">
        <f>(90+92+90+82+85+88)/6</f>
        <v>87.833333333333329</v>
      </c>
      <c r="E59" s="2">
        <f>(87+87+87+87+86+84)/6</f>
        <v>86.333333333333329</v>
      </c>
      <c r="F59" s="3">
        <v>0</v>
      </c>
    </row>
    <row r="60" spans="1:6" x14ac:dyDescent="0.25">
      <c r="A60" s="1">
        <f>(82+83+87+87+88+89)/6</f>
        <v>86</v>
      </c>
      <c r="B60" s="2">
        <f>(84+85+87+87+88+90)/6</f>
        <v>86.833333333333329</v>
      </c>
      <c r="C60" s="2">
        <f>(83+84+85+85+86+88)/6</f>
        <v>85.166666666666671</v>
      </c>
      <c r="D60" s="2">
        <f>(83+84+87+88+89+90)/6</f>
        <v>86.833333333333329</v>
      </c>
      <c r="E60" s="1">
        <f>(83+85+87+88+89+90)/6</f>
        <v>87</v>
      </c>
      <c r="F60" s="3">
        <v>0</v>
      </c>
    </row>
    <row r="61" spans="1:6" x14ac:dyDescent="0.25">
      <c r="A61" s="1">
        <f>(80+82+87+83+88)/5</f>
        <v>84</v>
      </c>
      <c r="B61" s="1">
        <f>(91+85+81+83+84)/5</f>
        <v>84.8</v>
      </c>
      <c r="C61" s="1">
        <f>(78+88+82+82+80)/5</f>
        <v>82</v>
      </c>
      <c r="D61" s="1">
        <f>(82+84+86+89+84)/5</f>
        <v>85</v>
      </c>
      <c r="E61" s="1">
        <f>(88+87+80+86+86)/5</f>
        <v>85.4</v>
      </c>
      <c r="F61" s="3">
        <v>0</v>
      </c>
    </row>
    <row r="62" spans="1:6" x14ac:dyDescent="0.25">
      <c r="A62" s="1">
        <f>(89+87+87+90+92)/5</f>
        <v>89</v>
      </c>
      <c r="B62" s="1">
        <f>(87+88+87+91+94)/5</f>
        <v>89.4</v>
      </c>
      <c r="C62" s="1">
        <f>(85+86+86+88+89)/5</f>
        <v>86.8</v>
      </c>
      <c r="D62" s="1">
        <f>(90+90+87+91+93)/5</f>
        <v>90.2</v>
      </c>
      <c r="E62" s="1">
        <f>(86+88+87+92+89)/5</f>
        <v>88.4</v>
      </c>
      <c r="F62" s="1">
        <v>1</v>
      </c>
    </row>
    <row r="63" spans="1:6" x14ac:dyDescent="0.25">
      <c r="A63" s="1">
        <f>(85+85+85+85+85)/5</f>
        <v>85</v>
      </c>
      <c r="B63" s="1">
        <f>(80+80+80+80+80)/5</f>
        <v>80</v>
      </c>
      <c r="C63" s="1">
        <f>(85+85+85+85+85)/5</f>
        <v>85</v>
      </c>
      <c r="D63" s="1">
        <f>(80+80+80+80+80)/5</f>
        <v>80</v>
      </c>
      <c r="E63" s="1">
        <f>(80+80+80+80+80)/5</f>
        <v>80</v>
      </c>
      <c r="F63" s="3">
        <v>0</v>
      </c>
    </row>
    <row r="64" spans="1:6" x14ac:dyDescent="0.25">
      <c r="A64" s="1">
        <f>(80+89+85+91+89)/5</f>
        <v>86.8</v>
      </c>
      <c r="B64" s="1">
        <f>(84+94+87+92+91)/5</f>
        <v>89.6</v>
      </c>
      <c r="C64" s="1">
        <f>(89+90+94+94+88)/5</f>
        <v>91</v>
      </c>
      <c r="D64" s="1">
        <f>(85+89+90+92+90)/5</f>
        <v>89.2</v>
      </c>
      <c r="E64" s="1">
        <f>(90+91+86+95+80)/5</f>
        <v>88.4</v>
      </c>
      <c r="F64" s="3">
        <v>0</v>
      </c>
    </row>
    <row r="65" spans="1:6" x14ac:dyDescent="0.25">
      <c r="A65" s="2">
        <f>(80+91+72+80+85+88)/6</f>
        <v>82.666666666666671</v>
      </c>
      <c r="B65" s="2">
        <f>(87+92+88+88+87+91)/6</f>
        <v>88.833333333333329</v>
      </c>
      <c r="C65" s="1">
        <f>(80+82+80+80+80+81)/6</f>
        <v>80.5</v>
      </c>
      <c r="D65" s="2">
        <f>(85+95+95+95+90+94)/6</f>
        <v>92.333333333333329</v>
      </c>
      <c r="E65" s="1">
        <f>(80+84+85+88+79+82)/6</f>
        <v>83</v>
      </c>
      <c r="F65" s="1">
        <v>1</v>
      </c>
    </row>
    <row r="66" spans="1:6" x14ac:dyDescent="0.25">
      <c r="A66" s="1">
        <f>(90+90+90+70+92)/5</f>
        <v>86.4</v>
      </c>
      <c r="B66" s="1">
        <f>(78+90+90+100+92)/5</f>
        <v>90</v>
      </c>
      <c r="C66" s="1">
        <f>(97+88+80+75+92)/5</f>
        <v>86.4</v>
      </c>
      <c r="D66" s="1">
        <f>(84+97+95+100+100)/5</f>
        <v>95.2</v>
      </c>
      <c r="E66" s="1">
        <f>(90+80+90+100+100)/5</f>
        <v>92</v>
      </c>
      <c r="F66" s="1">
        <v>1</v>
      </c>
    </row>
    <row r="67" spans="1:6" x14ac:dyDescent="0.25">
      <c r="A67" s="2">
        <f>(63+80+79+63+77+80)/6</f>
        <v>73.666666666666671</v>
      </c>
      <c r="B67" s="1">
        <f>(71+77+82+75+80+83)/6</f>
        <v>78</v>
      </c>
      <c r="C67" s="2">
        <f>(70+71+81+68+76+80)/6</f>
        <v>74.333333333333329</v>
      </c>
      <c r="D67" s="1">
        <f>(71+75+80+71+72+78)/6</f>
        <v>74.5</v>
      </c>
      <c r="E67" s="2">
        <f>(80+80+84+73+77+84)/6</f>
        <v>79.666666666666671</v>
      </c>
      <c r="F67" s="3">
        <v>0</v>
      </c>
    </row>
    <row r="68" spans="1:6" x14ac:dyDescent="0.25">
      <c r="A68" s="1">
        <f>(78+78+79+80+80)/5</f>
        <v>79</v>
      </c>
      <c r="B68" s="1">
        <f>(79+79+79+78+80)/5</f>
        <v>79</v>
      </c>
      <c r="C68" s="1">
        <f>(79+79+79+79+80)/5</f>
        <v>79.2</v>
      </c>
      <c r="D68" s="1">
        <f>(79+79+79+80+81)/5</f>
        <v>79.599999999999994</v>
      </c>
      <c r="E68" s="1">
        <f>(78+78+79+80+80)/5</f>
        <v>79</v>
      </c>
      <c r="F68" s="3">
        <v>0</v>
      </c>
    </row>
    <row r="69" spans="1:6" x14ac:dyDescent="0.25">
      <c r="A69" s="2">
        <f>(79+82+81+82+84+79)/6</f>
        <v>81.166666666666671</v>
      </c>
      <c r="B69" s="2">
        <f>(79+80+93+85+81+81)/6</f>
        <v>83.166666666666671</v>
      </c>
      <c r="C69" s="2">
        <f>(78+70+80+75+92+78)/6</f>
        <v>78.833333333333329</v>
      </c>
      <c r="D69" s="2">
        <f>(76+76+81+80+84+70)/6</f>
        <v>77.833333333333329</v>
      </c>
      <c r="E69" s="2">
        <f>(82+82+87+83+85+80)/6</f>
        <v>83.166666666666671</v>
      </c>
      <c r="F69" s="3">
        <v>0</v>
      </c>
    </row>
    <row r="70" spans="1:6" x14ac:dyDescent="0.25">
      <c r="A70" s="2">
        <f>(63+80+79+63+87+80)/6</f>
        <v>75.333333333333329</v>
      </c>
      <c r="B70" s="1">
        <f>(71+77+82+85+80+83)/6</f>
        <v>79.666666666666671</v>
      </c>
      <c r="C70" s="2">
        <f>(80+71+81+68+76+80)/6</f>
        <v>76</v>
      </c>
      <c r="D70" s="1">
        <f>(71+75+80+71+82+78)/6</f>
        <v>76.166666666666671</v>
      </c>
      <c r="E70" s="2">
        <f>(80+80+84+73+87+84)/6</f>
        <v>81.333333333333329</v>
      </c>
      <c r="F70" s="1">
        <v>2</v>
      </c>
    </row>
    <row r="71" spans="1:6" x14ac:dyDescent="0.25">
      <c r="A71" s="2">
        <f>(83+83+74+85+86+82)/6</f>
        <v>82.166666666666671</v>
      </c>
      <c r="B71" s="2">
        <f>(84+85+85+83+86+83)/6</f>
        <v>84.333333333333329</v>
      </c>
      <c r="C71" s="2">
        <f>(85+85+83+87+86+88)/6</f>
        <v>85.666666666666671</v>
      </c>
      <c r="D71" s="2">
        <f>(86+85+82+87+88+84)/6</f>
        <v>85.333333333333329</v>
      </c>
      <c r="E71" s="2">
        <f>(83+84+88+94+89+88)/6</f>
        <v>87.666666666666671</v>
      </c>
      <c r="F71" s="3">
        <v>0</v>
      </c>
    </row>
    <row r="72" spans="1:6" x14ac:dyDescent="0.25">
      <c r="A72" s="2">
        <f>(82+81+80+79+82+83)/6</f>
        <v>81.166666666666671</v>
      </c>
      <c r="B72" s="2">
        <f>(77+85+86+84+82+82)/6</f>
        <v>82.666666666666671</v>
      </c>
      <c r="C72" s="2">
        <f>(81+83+82+83+79+79)/6</f>
        <v>81.166666666666671</v>
      </c>
      <c r="D72" s="1">
        <f>(80+94+85+86+79+80)/6</f>
        <v>84</v>
      </c>
      <c r="E72" s="1">
        <f>(81+86+82+84+81+81)/6</f>
        <v>82.5</v>
      </c>
      <c r="F72" s="3">
        <v>0</v>
      </c>
    </row>
    <row r="73" spans="1:6" x14ac:dyDescent="0.25">
      <c r="A73" s="2">
        <f>(85+86+92+89+84+85)/6</f>
        <v>86.833333333333329</v>
      </c>
      <c r="B73" s="2">
        <f>(80+80+85+80+88+89)/6</f>
        <v>83.666666666666671</v>
      </c>
      <c r="C73" s="2">
        <f>(79+82+82+85+81+84)/6</f>
        <v>82.166666666666671</v>
      </c>
      <c r="D73" s="2">
        <f>(81+81+83+82+80+90)/6</f>
        <v>82.833333333333329</v>
      </c>
      <c r="E73" s="2">
        <f>(87+89+82+90+83+86)/6</f>
        <v>86.166666666666671</v>
      </c>
      <c r="F73" s="1">
        <v>2</v>
      </c>
    </row>
    <row r="74" spans="1:6" x14ac:dyDescent="0.25">
      <c r="A74" s="1">
        <f>(70+80+84+84+84)/5</f>
        <v>80.400000000000006</v>
      </c>
      <c r="B74" s="1">
        <f>(65+65+65+81+70)/5</f>
        <v>69.2</v>
      </c>
      <c r="C74" s="1">
        <f>(70+80+74+74+74)/5</f>
        <v>74.400000000000006</v>
      </c>
      <c r="D74" s="1">
        <f>(66+66+66+65+92)/5</f>
        <v>71</v>
      </c>
      <c r="E74" s="1">
        <f>(70+82+65+65+65)/5</f>
        <v>69.400000000000006</v>
      </c>
      <c r="F74" s="1">
        <v>1</v>
      </c>
    </row>
    <row r="75" spans="1:6" x14ac:dyDescent="0.25">
      <c r="A75" s="2">
        <f>(78+79+80+80+83+84)/6</f>
        <v>80.666666666666671</v>
      </c>
      <c r="B75" s="2">
        <f>(84+88+88+85+80+78)/6</f>
        <v>83.833333333333329</v>
      </c>
      <c r="C75" s="2">
        <f>(82+82+83+81+83+89)/6</f>
        <v>83.333333333333329</v>
      </c>
      <c r="D75" s="1">
        <f>(78+80+76+77+85+87)/6</f>
        <v>80.5</v>
      </c>
      <c r="E75" s="1">
        <f>(83+87+86+85+83+89)/6</f>
        <v>85.5</v>
      </c>
      <c r="F75" s="3">
        <v>0</v>
      </c>
    </row>
    <row r="76" spans="1:6" x14ac:dyDescent="0.25">
      <c r="A76" s="3">
        <f>(71+73+69+71+70+72)/6</f>
        <v>71</v>
      </c>
      <c r="B76" s="3">
        <f>(79+79+70+80+75+82)/6</f>
        <v>77.5</v>
      </c>
      <c r="C76" s="6">
        <f>(68+71+72+74+73+75)/6</f>
        <v>72.166666666666671</v>
      </c>
      <c r="D76" s="6">
        <f>(77+73+69+73+77+88)/6</f>
        <v>76.166666666666671</v>
      </c>
      <c r="E76" s="6">
        <f>(79+72+80+72+72+79)/6</f>
        <v>75.666666666666671</v>
      </c>
      <c r="F76" s="1">
        <v>2</v>
      </c>
    </row>
    <row r="77" spans="1:6" x14ac:dyDescent="0.25">
      <c r="A77" s="1">
        <f>(94+92+86+89+84+84)/6</f>
        <v>88.166666666666671</v>
      </c>
      <c r="B77" s="2">
        <f>(86+90+90+93+70+92)/6</f>
        <v>86.833333333333329</v>
      </c>
      <c r="C77" s="2">
        <f>(79+87+80+80+92+80)/6</f>
        <v>83</v>
      </c>
      <c r="D77" s="2">
        <f>(83+92+86+87+90+82)/6</f>
        <v>86.666666666666671</v>
      </c>
      <c r="E77" s="1">
        <f>(72+87+85+88+92+94)/6</f>
        <v>86.333333333333329</v>
      </c>
      <c r="F77" s="1">
        <v>1</v>
      </c>
    </row>
    <row r="78" spans="1:6" x14ac:dyDescent="0.25">
      <c r="A78" s="2">
        <f>(81+85+83+83+85+89)/6</f>
        <v>84.333333333333329</v>
      </c>
      <c r="B78" s="1">
        <f>(85+81+85+90+88+84)/6</f>
        <v>85.5</v>
      </c>
      <c r="C78" s="2">
        <f>(82+83+84+83+85+91)/6</f>
        <v>84.666666666666671</v>
      </c>
      <c r="D78" s="1">
        <f>(87+84+80+80+88+85)/6</f>
        <v>84</v>
      </c>
      <c r="E78" s="2">
        <f>(83+80+80+82+89+86)/6</f>
        <v>83.333333333333329</v>
      </c>
      <c r="F78" s="3">
        <v>0</v>
      </c>
    </row>
    <row r="79" spans="1:6" x14ac:dyDescent="0.25">
      <c r="A79" s="2">
        <f>(82+82+82+87+89+89)/6</f>
        <v>85.166666666666671</v>
      </c>
      <c r="B79" s="2">
        <f>(83+86+85+83+96+85)/6</f>
        <v>86.333333333333329</v>
      </c>
      <c r="C79" s="1">
        <f>(84+90+81+86+91+90)/6</f>
        <v>87</v>
      </c>
      <c r="D79" s="1">
        <f>(83+86+85+88+79+89)/6</f>
        <v>85</v>
      </c>
      <c r="E79" s="2">
        <f>(83+84+80+82+83+84)/6</f>
        <v>82.666666666666671</v>
      </c>
      <c r="F79" s="3">
        <v>0</v>
      </c>
    </row>
    <row r="80" spans="1:6" x14ac:dyDescent="0.25">
      <c r="A80" s="2">
        <f>(79+77+82+84+82+83)/6</f>
        <v>81.166666666666671</v>
      </c>
      <c r="B80" s="2">
        <f>(80+85+79+80+80+81)/6</f>
        <v>80.833333333333329</v>
      </c>
      <c r="C80" s="2">
        <f>(79+80+79+78+81+82)/6</f>
        <v>79.833333333333329</v>
      </c>
      <c r="D80" s="2">
        <f>(79+79+79+81+80+80)/6</f>
        <v>79.666666666666671</v>
      </c>
      <c r="E80" s="1">
        <f>(85+88+81+85+83+82)/6</f>
        <v>84</v>
      </c>
      <c r="F80" s="1">
        <v>1</v>
      </c>
    </row>
    <row r="81" spans="1:6" x14ac:dyDescent="0.25">
      <c r="A81" s="1">
        <f>(75+76+76+86+81+83)/6</f>
        <v>79.5</v>
      </c>
      <c r="B81" s="2">
        <f>(73+80+78+82+C2344+84)/6</f>
        <v>66.166666666666671</v>
      </c>
      <c r="C81" s="2">
        <f>(70+77+80+81+80+81)/6</f>
        <v>78.166666666666671</v>
      </c>
      <c r="D81" s="2">
        <f>(79+76+79+80+82+83)/6</f>
        <v>79.833333333333329</v>
      </c>
      <c r="E81" s="2">
        <f>(73+76+74+78+72+82)/6</f>
        <v>75.833333333333329</v>
      </c>
      <c r="F81" s="1">
        <v>1</v>
      </c>
    </row>
    <row r="82" spans="1:6" x14ac:dyDescent="0.25">
      <c r="A82" s="1">
        <f>(80+84+82+84+90)/5</f>
        <v>84</v>
      </c>
      <c r="B82" s="1">
        <f>(82+91+83+84+89)/5</f>
        <v>85.8</v>
      </c>
      <c r="C82" s="1">
        <f>(87+91+81+90+89)/5</f>
        <v>87.6</v>
      </c>
      <c r="D82" s="1">
        <f>(91+92+87+89+81)/5</f>
        <v>88</v>
      </c>
      <c r="E82" s="1">
        <f>(88+85+88+90+81)/5</f>
        <v>86.4</v>
      </c>
      <c r="F82" s="3">
        <v>0</v>
      </c>
    </row>
    <row r="83" spans="1:6" x14ac:dyDescent="0.25">
      <c r="A83" s="1">
        <f>(74+76+75+82+76)/5</f>
        <v>76.599999999999994</v>
      </c>
      <c r="B83" s="1">
        <f>(75+83+83+81+89)/5</f>
        <v>82.2</v>
      </c>
      <c r="C83" s="1">
        <f>(75+75+85+85+81)/5</f>
        <v>80.2</v>
      </c>
      <c r="D83" s="1">
        <f>(70+76+83+83+81)/5</f>
        <v>78.599999999999994</v>
      </c>
      <c r="E83" s="1">
        <f>(74+80+83+88+84)/5</f>
        <v>81.8</v>
      </c>
      <c r="F83" s="3">
        <v>0</v>
      </c>
    </row>
    <row r="84" spans="1:6" x14ac:dyDescent="0.25">
      <c r="A84" s="1">
        <f>(75+76+76+71+74)/5</f>
        <v>74.400000000000006</v>
      </c>
      <c r="B84" s="1">
        <f>(85+81+80+82+70)/5</f>
        <v>79.599999999999994</v>
      </c>
      <c r="C84" s="1">
        <f>(73+80+76+77+79)/5</f>
        <v>77</v>
      </c>
      <c r="D84" s="1">
        <f>(90+81+80+81+82)/5</f>
        <v>82.8</v>
      </c>
      <c r="E84" s="1">
        <f>(93+74+79+76+80)/5</f>
        <v>80.400000000000006</v>
      </c>
      <c r="F84" s="3">
        <v>0</v>
      </c>
    </row>
    <row r="85" spans="1:6" x14ac:dyDescent="0.25">
      <c r="A85" s="1">
        <f>(80+87+85+91+89)/5</f>
        <v>86.4</v>
      </c>
      <c r="B85" s="1">
        <f>(92+91+84+85+91)/5</f>
        <v>88.6</v>
      </c>
      <c r="C85" s="1">
        <f>(80+90+93+93+90)/5</f>
        <v>89.2</v>
      </c>
      <c r="D85" s="1">
        <f>(83+91+87+91+90)/5</f>
        <v>88.4</v>
      </c>
      <c r="E85" s="1">
        <f>(86+87+89+88+92)/5</f>
        <v>88.4</v>
      </c>
      <c r="F85" s="1">
        <v>1</v>
      </c>
    </row>
    <row r="86" spans="1:6" x14ac:dyDescent="0.25">
      <c r="A86" s="1">
        <f>(84+92+86+89+84+84)/6</f>
        <v>86.5</v>
      </c>
      <c r="B86" s="2">
        <f>(86+90+90+93+90+92)/6</f>
        <v>90.166666666666671</v>
      </c>
      <c r="C86" s="2">
        <f>(79+87+80+90+92+80)/6</f>
        <v>84.666666666666671</v>
      </c>
      <c r="D86" s="2">
        <f>(83+92+86+87+90+92)/6</f>
        <v>88.333333333333329</v>
      </c>
      <c r="E86" s="1">
        <f>(82+87+85+88+92+94)/6</f>
        <v>88</v>
      </c>
      <c r="F86" s="1">
        <v>1</v>
      </c>
    </row>
    <row r="87" spans="1:6" x14ac:dyDescent="0.25">
      <c r="A87" s="2">
        <f>(78+72+74+82+83+77)/6</f>
        <v>77.666666666666671</v>
      </c>
      <c r="B87" s="2">
        <f>(90+92+90+83+79+93)/6</f>
        <v>87.833333333333329</v>
      </c>
      <c r="C87" s="4">
        <f>(78+72+84+79+75+79)/6</f>
        <v>77.833333333333329</v>
      </c>
      <c r="D87" s="2">
        <f>(96+78+84+81+87+89)/6</f>
        <v>85.833333333333329</v>
      </c>
      <c r="E87" s="2">
        <f>(88+79+84+84+85+85)/6</f>
        <v>84.166666666666671</v>
      </c>
      <c r="F87" s="3">
        <v>0</v>
      </c>
    </row>
    <row r="88" spans="1:6" x14ac:dyDescent="0.25">
      <c r="A88" s="1">
        <f>(81+91+85+85+88+89)/6</f>
        <v>86.5</v>
      </c>
      <c r="B88" s="2">
        <f>(94+93+92+86+83+82)/6</f>
        <v>88.333333333333329</v>
      </c>
      <c r="C88" s="2">
        <f>(95+93+90+86+90+87)/6</f>
        <v>90.166666666666671</v>
      </c>
      <c r="D88" s="1">
        <f>(87+88+91+91+87+87)/6</f>
        <v>88.5</v>
      </c>
      <c r="E88" s="1">
        <f>(88+88+85+85+84+86)/6</f>
        <v>86</v>
      </c>
      <c r="F88" s="3">
        <v>0</v>
      </c>
    </row>
    <row r="89" spans="1:6" x14ac:dyDescent="0.25">
      <c r="A89" s="1">
        <f>(84+80+84+87+81)/5</f>
        <v>83.2</v>
      </c>
      <c r="B89" s="1">
        <f>(82+83+85+82+87)/5</f>
        <v>83.8</v>
      </c>
      <c r="C89" s="1">
        <f>(84+81+84+85+83)/5</f>
        <v>83.4</v>
      </c>
      <c r="D89" s="1">
        <f>(80+85+83+87+84)/5</f>
        <v>83.8</v>
      </c>
      <c r="E89" s="1">
        <f>(80+80+85+85+88)/5</f>
        <v>83.6</v>
      </c>
      <c r="F89" s="3">
        <v>0</v>
      </c>
    </row>
    <row r="90" spans="1:6" x14ac:dyDescent="0.25">
      <c r="A90" s="2">
        <f>(89+77+82+84+82+83)/6</f>
        <v>82.833333333333329</v>
      </c>
      <c r="B90" s="2">
        <f>(80+80+79+80+80+81)/6</f>
        <v>80</v>
      </c>
      <c r="C90" s="2">
        <f>(79+90+79+78+81+82)/6</f>
        <v>81.5</v>
      </c>
      <c r="D90" s="2">
        <f>(79+79+79+81+90+80)/6</f>
        <v>81.333333333333329</v>
      </c>
      <c r="E90" s="1">
        <f>(80+88+81+85+83+82)/6</f>
        <v>83.166666666666671</v>
      </c>
      <c r="F90" s="1">
        <v>2</v>
      </c>
    </row>
    <row r="91" spans="1:6" x14ac:dyDescent="0.25">
      <c r="A91" s="2">
        <f>(80+91+72+80+85+88)/6</f>
        <v>82.666666666666671</v>
      </c>
      <c r="B91" s="1">
        <f>(92+92+90+8+89)/5</f>
        <v>74.2</v>
      </c>
      <c r="C91" s="1">
        <f>(85+95+70+87+84+84)/6</f>
        <v>84.166666666666671</v>
      </c>
      <c r="D91" s="1">
        <f>(92+92+90+80+89)/5</f>
        <v>88.6</v>
      </c>
      <c r="E91" s="1">
        <f>(85+85+70+87+84+84)/6</f>
        <v>82.5</v>
      </c>
      <c r="F91" s="1">
        <v>1</v>
      </c>
    </row>
    <row r="92" spans="1:6" x14ac:dyDescent="0.25">
      <c r="A92" s="1">
        <f>(78+80+76+77+85+87)/6</f>
        <v>80.5</v>
      </c>
      <c r="B92" s="2">
        <f>(78+79+77+82+84+84)/6</f>
        <v>80.666666666666671</v>
      </c>
      <c r="C92" s="2">
        <f>(76+80+79+80+84+85)/6</f>
        <v>80.666666666666671</v>
      </c>
      <c r="D92" s="2">
        <f>(76+77+83+85+85+87)/6</f>
        <v>82.166666666666671</v>
      </c>
      <c r="E92" s="2">
        <f>(81+80+84+82+84+85)/6</f>
        <v>82.666666666666671</v>
      </c>
      <c r="F92" s="3">
        <v>0</v>
      </c>
    </row>
    <row r="93" spans="1:6" x14ac:dyDescent="0.25">
      <c r="A93" s="2">
        <f>(80+88+80+80+84+87)/6</f>
        <v>83.166666666666671</v>
      </c>
      <c r="B93" s="2">
        <f>(81+90+84+80+82+82)/6</f>
        <v>83.166666666666671</v>
      </c>
      <c r="C93" s="2">
        <f>(81+85+80+80+85+88)/6</f>
        <v>83.166666666666671</v>
      </c>
      <c r="D93" s="2">
        <f>(84+90+80+83+87+84)/6</f>
        <v>84.666666666666671</v>
      </c>
      <c r="E93" s="2">
        <f>(82+90+88+90+86+88)/6</f>
        <v>87.333333333333329</v>
      </c>
      <c r="F93" s="3">
        <v>0</v>
      </c>
    </row>
    <row r="94" spans="1:6" x14ac:dyDescent="0.25">
      <c r="A94" s="1">
        <f>(89+88+88+80+86)/5</f>
        <v>86.2</v>
      </c>
      <c r="B94" s="1">
        <f>(85+90+84+89+87)/5</f>
        <v>87</v>
      </c>
      <c r="C94" s="1">
        <f>(90+79+88+80+85)/5</f>
        <v>84.4</v>
      </c>
      <c r="D94" s="1">
        <f>(84+87+87+78+91)/5</f>
        <v>85.4</v>
      </c>
      <c r="E94" s="1">
        <f>(95+88+90+85+88)/5</f>
        <v>89.2</v>
      </c>
      <c r="F94" s="3">
        <v>0</v>
      </c>
    </row>
    <row r="95" spans="1:6" x14ac:dyDescent="0.25">
      <c r="A95" s="3">
        <f>(82+84+86+87+91+92)/6</f>
        <v>87</v>
      </c>
      <c r="B95" s="6">
        <f>(81+85+86+87+89+92)/6</f>
        <v>86.666666666666671</v>
      </c>
      <c r="C95" s="6">
        <f>(81+86+83+84+90+90)/6</f>
        <v>85.666666666666671</v>
      </c>
      <c r="D95" s="6">
        <f>(82+85+85+88+89+92)/6</f>
        <v>86.833333333333329</v>
      </c>
      <c r="E95" s="3">
        <f>(82+85+87+88+90+90)/6</f>
        <v>87</v>
      </c>
      <c r="F95" s="1">
        <v>2</v>
      </c>
    </row>
    <row r="96" spans="1:6" x14ac:dyDescent="0.25">
      <c r="A96" s="1">
        <f>(87+70+68+79+89)/5</f>
        <v>78.599999999999994</v>
      </c>
      <c r="B96" s="1">
        <f>(88+75+80+88+85)/5</f>
        <v>83.2</v>
      </c>
      <c r="C96" s="1">
        <f>(84+79+30+82+85)/5</f>
        <v>72</v>
      </c>
      <c r="D96" s="1">
        <f>(85+75+80+84+82)/5</f>
        <v>81.2</v>
      </c>
      <c r="E96" s="1">
        <f>(87+85+84+79+85)/5</f>
        <v>84</v>
      </c>
      <c r="F96" s="3">
        <v>0</v>
      </c>
    </row>
    <row r="97" spans="1:6" x14ac:dyDescent="0.25">
      <c r="A97" s="2">
        <f>(83+87+86+81+91+80)/6</f>
        <v>84.666666666666671</v>
      </c>
      <c r="B97" s="2">
        <f>(91+90+83+85+79+83)/6</f>
        <v>85.166666666666671</v>
      </c>
      <c r="C97" s="2">
        <f>(95+95+92+92+89+88)/6</f>
        <v>91.833333333333329</v>
      </c>
      <c r="D97" s="1">
        <f>(91+93+91+82+88+84)/6</f>
        <v>88.166666666666671</v>
      </c>
      <c r="E97" s="1">
        <f>(90+87+90+91+80+89)/6</f>
        <v>87.833333333333329</v>
      </c>
      <c r="F97" s="1">
        <v>2</v>
      </c>
    </row>
    <row r="98" spans="1:6" x14ac:dyDescent="0.25">
      <c r="A98" s="1">
        <f>(84+82+84+85+85)/5</f>
        <v>84</v>
      </c>
      <c r="B98" s="1">
        <f>(84+84+84+84+89)/5</f>
        <v>85</v>
      </c>
      <c r="C98" s="1">
        <f>(79+87+83+85+86)/5</f>
        <v>84</v>
      </c>
      <c r="D98" s="1">
        <f>(83+86+87+87+83)/5</f>
        <v>85.2</v>
      </c>
      <c r="E98" s="1">
        <f>(88+83+86+85+81)/5</f>
        <v>84.6</v>
      </c>
      <c r="F98" s="3">
        <v>0</v>
      </c>
    </row>
    <row r="99" spans="1:6" x14ac:dyDescent="0.25">
      <c r="A99" s="2">
        <f>(89+89+89+81+90+88)/6</f>
        <v>87.666666666666671</v>
      </c>
      <c r="B99" s="2">
        <f>(73+76+94+78+72+82)/6</f>
        <v>79.166666666666671</v>
      </c>
      <c r="C99" s="2">
        <f>(89+89+89+81+90+88)/6</f>
        <v>87.666666666666671</v>
      </c>
      <c r="D99" s="2">
        <f>(89+89+89+91+80+88)/6</f>
        <v>87.666666666666671</v>
      </c>
      <c r="E99" s="1">
        <f>(85+85+80+87+84+84)/6</f>
        <v>84.166666666666671</v>
      </c>
      <c r="F99" s="1">
        <v>1</v>
      </c>
    </row>
    <row r="100" spans="1:6" x14ac:dyDescent="0.25">
      <c r="A100" s="1">
        <f>(68+70+70+71+78)/5</f>
        <v>71.400000000000006</v>
      </c>
      <c r="B100" s="1">
        <f>(77+78+77+78+83)/5</f>
        <v>78.599999999999994</v>
      </c>
      <c r="C100" s="1">
        <f>(74+75+85+85+79)/5</f>
        <v>79.599999999999994</v>
      </c>
      <c r="D100" s="1">
        <f>(79+80+80+81+82)/5</f>
        <v>80.400000000000006</v>
      </c>
      <c r="E100" s="1">
        <f>(74+75+79+76+78)/5</f>
        <v>76.400000000000006</v>
      </c>
      <c r="F100" s="1">
        <v>1</v>
      </c>
    </row>
    <row r="101" spans="1:6" x14ac:dyDescent="0.25">
      <c r="A101" s="1">
        <f>(78+82+81+81+83)/5</f>
        <v>81</v>
      </c>
      <c r="B101" s="1">
        <f>(85+81+83+86+88)/5</f>
        <v>84.6</v>
      </c>
      <c r="C101" s="1">
        <f>(79+80+83+80+80)/5</f>
        <v>80.400000000000006</v>
      </c>
      <c r="D101" s="1">
        <f>(82+82+81+82+75)/5</f>
        <v>80.400000000000006</v>
      </c>
      <c r="E101" s="1">
        <f>(87+82+78+82+80)/5</f>
        <v>81.8</v>
      </c>
      <c r="F101" s="3">
        <v>0</v>
      </c>
    </row>
    <row r="102" spans="1:6" x14ac:dyDescent="0.25">
      <c r="A102" s="1">
        <f>(83+91+87+91+80)/5</f>
        <v>86.4</v>
      </c>
      <c r="B102" s="2">
        <f>(70+77+80+81+90+81)/6</f>
        <v>79.833333333333329</v>
      </c>
      <c r="C102" s="1">
        <f>(68+70+70+71+88)/5</f>
        <v>73.400000000000006</v>
      </c>
      <c r="D102" s="2">
        <f>(87+82+88+88+87+91)/6</f>
        <v>87.166666666666671</v>
      </c>
      <c r="E102" s="2">
        <f>(89+89+80+88+89+90)/6</f>
        <v>87.5</v>
      </c>
      <c r="F102" s="1">
        <v>1</v>
      </c>
    </row>
  </sheetData>
  <sortState xmlns:xlrd2="http://schemas.microsoft.com/office/spreadsheetml/2017/richdata2" ref="A2:G102">
    <sortCondition ref="G2:G10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NILAI RAPOT SMK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opik</dc:creator>
  <cp:lastModifiedBy>Novit Aryanto Rumbia</cp:lastModifiedBy>
  <dcterms:created xsi:type="dcterms:W3CDTF">2022-11-11T23:45:55Z</dcterms:created>
  <dcterms:modified xsi:type="dcterms:W3CDTF">2023-01-06T07:17:23Z</dcterms:modified>
</cp:coreProperties>
</file>