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commentsmeta11"/>
  <Override ContentType="application/binary" PartName="/xl/commentsmeta12"/>
  <Override ContentType="application/binary" PartName="/xl/commentsmeta10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commentsmeta3"/>
  <Override ContentType="application/binary" PartName="/xl/commentsmeta0"/>
  <Override ContentType="application/binary" PartName="/xl/commentsmeta1"/>
  <Override ContentType="application/binary" PartName="/xl/commentsmeta8"/>
  <Override ContentType="application/binary" PartName="/xl/commentsmeta9"/>
  <Override ContentType="application/binary" PartName="/xl/commentsmeta6"/>
  <Override ContentType="application/binary" PartName="/xl/commentsmeta7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8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Установочные данные" sheetId="1" r:id="rId4"/>
    <sheet state="visible" name="Плотность от температуры" sheetId="2" r:id="rId5"/>
    <sheet state="visible" name="Новая температура по Молье" sheetId="3" r:id="rId6"/>
    <sheet state="visible" name="IX Diagramma" sheetId="4" r:id="rId7"/>
    <sheet state="visible" name="MDC EDGE SITRONICS" sheetId="5" r:id="rId8"/>
    <sheet state="visible" name="ВЫМПЕЛКОМ 275 кВт 302" sheetId="6" r:id="rId9"/>
    <sheet state="visible" name="DC Мегафон 10 МВт СПБ 160922" sheetId="7" r:id="rId10"/>
    <sheet state="visible" name="DC Хабаровск МТС 100" sheetId="8" r:id="rId11"/>
    <sheet state="visible" name="DC Хабаровск МТС 50" sheetId="9" r:id="rId12"/>
    <sheet state="visible" name="DC Irkutsk 1440 KW" sheetId="10" r:id="rId13"/>
    <sheet state="visible" name="DC МТС МЦОД Федоровское " sheetId="11" r:id="rId14"/>
    <sheet state="visible" name="DC Астрахань Демо 430 кВт" sheetId="12" r:id="rId15"/>
    <sheet state="visible" name="HyperDC ER Telecom" sheetId="13" r:id="rId16"/>
    <sheet state="visible" name="ER Telecom 1000" sheetId="14" r:id="rId17"/>
    <sheet state="visible" name="Selectel ЦОД Дуровка - 2 " sheetId="15" r:id="rId18"/>
    <sheet state="visible" name="Селектел ЦОД МТС 17 МВт" sheetId="16" r:id="rId19"/>
    <sheet state="visible" name="Т1 ЦОД МТС 2,5 МВт" sheetId="17" r:id="rId20"/>
  </sheets>
  <definedNames/>
  <calcPr/>
  <extLst>
    <ext uri="GoogleSheetsCustomDataVersion2">
      <go:sheetsCustomData xmlns:go="http://customooxmlschemas.google.com/" r:id="rId21" roundtripDataChecksum="WU4P+jitcCg+WjAnJ/w4maju7RDqmte/AG7ld2jc9oY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131">
      <text>
        <t xml:space="preserve">======
ID#AAABOFhxfWM
Director    (2024-06-06 10:16:17)
Включая 20% перелива</t>
      </text>
    </comment>
  </commentList>
  <extLst>
    <ext uri="GoogleSheetsCustomDataVersion2">
      <go:sheetsCustomData xmlns:go="http://customooxmlschemas.google.com/" r:id="rId1" roundtripDataSignature="AMtx7mh26QjlxhOKcO6Nuam//aoOZ923EQ=="/>
    </ext>
  </extLst>
</comments>
</file>

<file path=xl/comments10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199">
      <text>
        <t xml:space="preserve">======
ID#AAABOFhxfVw
Director    (2024-06-06 10:16:17)
Включая 20% перелива</t>
      </text>
    </comment>
  </commentList>
  <extLst>
    <ext uri="GoogleSheetsCustomDataVersion2">
      <go:sheetsCustomData xmlns:go="http://customooxmlschemas.google.com/" r:id="rId1" roundtripDataSignature="AMtx7mivJFvsA42MXrjRvs+ijtk8cgcYWQ=="/>
    </ext>
  </extLst>
</comments>
</file>

<file path=xl/comments1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131">
      <text>
        <t xml:space="preserve">======
ID#AAABOFhxfWY
Director    (2024-06-06 10:16:17)
Включая 20% перелива</t>
      </text>
    </comment>
  </commentList>
  <extLst>
    <ext uri="GoogleSheetsCustomDataVersion2">
      <go:sheetsCustomData xmlns:go="http://customooxmlschemas.google.com/" r:id="rId1" roundtripDataSignature="AMtx7mghYykXJIBMQZ7ha1B/GxACdjWiug=="/>
    </ext>
  </extLst>
</comments>
</file>

<file path=xl/comments1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131">
      <text>
        <t xml:space="preserve">======
ID#AAABOFhxfWE
Director    (2024-06-06 10:16:17)
Включая 20% перелива</t>
      </text>
    </comment>
  </commentList>
  <extLst>
    <ext uri="GoogleSheetsCustomDataVersion2">
      <go:sheetsCustomData xmlns:go="http://customooxmlschemas.google.com/" r:id="rId1" roundtripDataSignature="AMtx7mhzYLbcA3NycVNjikyWwG2XfCEP2w=="/>
    </ext>
  </extLst>
</comments>
</file>

<file path=xl/comments1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131">
      <text>
        <t xml:space="preserve">======
ID#AAABOFhxfVg
Director    (2024-06-06 10:16:17)
Включая 20% перелива</t>
      </text>
    </comment>
  </commentList>
  <extLst>
    <ext uri="GoogleSheetsCustomDataVersion2">
      <go:sheetsCustomData xmlns:go="http://customooxmlschemas.google.com/" r:id="rId1" roundtripDataSignature="AMtx7mii15lo7Vb+tKxUjTqP4ks2yAcek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147">
      <text>
        <t xml:space="preserve">======
ID#AAABOFhxfV4
Director    (2024-06-06 10:16:17)
Включая 20% перелива</t>
      </text>
    </comment>
  </commentList>
  <extLst>
    <ext uri="GoogleSheetsCustomDataVersion2">
      <go:sheetsCustomData xmlns:go="http://customooxmlschemas.google.com/" r:id="rId1" roundtripDataSignature="AMtx7mgCqkIocSccvvGsHT6UYZmrd+wJag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43">
      <text>
        <t xml:space="preserve">======
ID#AAABOFhxfWI
Director    (2024-06-06 10:16:17)
Включая 20% перелива</t>
      </text>
    </comment>
  </commentList>
  <extLst>
    <ext uri="GoogleSheetsCustomDataVersion2">
      <go:sheetsCustomData xmlns:go="http://customooxmlschemas.google.com/" r:id="rId1" roundtripDataSignature="AMtx7mgkdFZS/5dXN41XEZPF10nMEHhDQA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V28">
      <text>
        <t xml:space="preserve">======
ID#AAABOFhxfV0
Director    (2024-06-06 10:16:17)
Включая 20% перелива</t>
      </text>
    </comment>
    <comment authorId="0" ref="I28">
      <text>
        <t xml:space="preserve">======
ID#AAABOFhxfV8
Director    (2024-06-06 10:16:17)
Включая 20% перелива</t>
      </text>
    </comment>
  </commentList>
  <extLst>
    <ext uri="GoogleSheetsCustomDataVersion2">
      <go:sheetsCustomData xmlns:go="http://customooxmlschemas.google.com/" r:id="rId1" roundtripDataSignature="AMtx7mgb/MKNal2Yz9gU9MBlWi+ePAD/mg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28">
      <text>
        <t xml:space="preserve">======
ID#AAABOFhxfVo
Director    (2024-06-06 10:16:17)
Включая 20% перелива</t>
      </text>
    </comment>
    <comment authorId="0" ref="V28">
      <text>
        <t xml:space="preserve">======
ID#AAABOFhxfVk
Director    (2024-06-06 10:16:17)
Включая 20% перелива</t>
      </text>
    </comment>
  </commentList>
  <extLst>
    <ext uri="GoogleSheetsCustomDataVersion2">
      <go:sheetsCustomData xmlns:go="http://customooxmlschemas.google.com/" r:id="rId1" roundtripDataSignature="AMtx7miylhoJ+iOFVwlxGgp+N3/UVtihhw=="/>
    </ext>
  </extL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28">
      <text>
        <t xml:space="preserve">======
ID#AAABOFhxfVs
Director    (2024-06-06 10:16:17)
Включая 20% перелива</t>
      </text>
    </comment>
  </commentList>
  <extLst>
    <ext uri="GoogleSheetsCustomDataVersion2">
      <go:sheetsCustomData xmlns:go="http://customooxmlschemas.google.com/" r:id="rId1" roundtripDataSignature="AMtx7miNzMdiQH1YKWLDffIpyfJU/NoDIA=="/>
    </ext>
  </extL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28">
      <text>
        <t xml:space="preserve">======
ID#AAABOFhxfWQ
Director    (2024-06-06 10:16:17)
Включая 20% перелива</t>
      </text>
    </comment>
  </commentList>
  <extLst>
    <ext uri="GoogleSheetsCustomDataVersion2">
      <go:sheetsCustomData xmlns:go="http://customooxmlschemas.google.com/" r:id="rId1" roundtripDataSignature="AMtx7mjqgJq+8hXOr7IeRALHoh7kOiMJFQ=="/>
    </ext>
  </extL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28">
      <text>
        <t xml:space="preserve">======
ID#AAABOFhxfWA
Director    (2024-06-06 10:16:17)
Включая 20% перелива</t>
      </text>
    </comment>
  </commentList>
  <extLst>
    <ext uri="GoogleSheetsCustomDataVersion2">
      <go:sheetsCustomData xmlns:go="http://customooxmlschemas.google.com/" r:id="rId1" roundtripDataSignature="AMtx7miZrbLqE2N6jKCD7juHpdlPNUj2pQ=="/>
    </ext>
  </extL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199">
      <text>
        <t xml:space="preserve">======
ID#AAABOFhxfWU
Director    (2024-06-06 10:16:17)
Включая 20% перелива</t>
      </text>
    </comment>
  </commentList>
  <extLst>
    <ext uri="GoogleSheetsCustomDataVersion2">
      <go:sheetsCustomData xmlns:go="http://customooxmlschemas.google.com/" r:id="rId1" roundtripDataSignature="AMtx7mja3mx52RYlVRYcAr2iBuZPzwbA0Q=="/>
    </ext>
  </extLst>
</comments>
</file>

<file path=xl/sharedStrings.xml><?xml version="1.0" encoding="utf-8"?>
<sst xmlns="http://schemas.openxmlformats.org/spreadsheetml/2006/main" count="1456" uniqueCount="148">
  <si>
    <t>м2</t>
  </si>
  <si>
    <t>ВТ Реальная</t>
  </si>
  <si>
    <t>ВТ Алюминий</t>
  </si>
  <si>
    <t>Строительная климатология</t>
  </si>
  <si>
    <t>Трубка 1 метр  =</t>
  </si>
  <si>
    <t>https://www.vo-da.ru/tool/cp-info#!45.040216/38.975996</t>
  </si>
  <si>
    <t>Трубка 2 метра =</t>
  </si>
  <si>
    <t>Трубка 3 метра</t>
  </si>
  <si>
    <t>Расчет электрического теплообменника</t>
  </si>
  <si>
    <t xml:space="preserve">Алюминий </t>
  </si>
  <si>
    <t>вт мм*С</t>
  </si>
  <si>
    <t>Энергия</t>
  </si>
  <si>
    <t>Вода</t>
  </si>
  <si>
    <t>Наша трубка</t>
  </si>
  <si>
    <t>кВт</t>
  </si>
  <si>
    <t>кг/ч</t>
  </si>
  <si>
    <t>Размеры теплообменника</t>
  </si>
  <si>
    <t xml:space="preserve">Наружная часть </t>
  </si>
  <si>
    <t>Контур Рециркуляции</t>
  </si>
  <si>
    <t>Холодопроизводительность</t>
  </si>
  <si>
    <t>Объем Воздуха</t>
  </si>
  <si>
    <t>Кол-Во трубок</t>
  </si>
  <si>
    <t>1 метр трубка</t>
  </si>
  <si>
    <t>2 метра</t>
  </si>
  <si>
    <t>3 метра</t>
  </si>
  <si>
    <t xml:space="preserve">теплоемкость </t>
  </si>
  <si>
    <t xml:space="preserve">ЭРА 100 </t>
  </si>
  <si>
    <t>плотность</t>
  </si>
  <si>
    <t>ЭРА 200</t>
  </si>
  <si>
    <t>улиная темп</t>
  </si>
  <si>
    <t>Холодный коридор</t>
  </si>
  <si>
    <t>ЭРА 300</t>
  </si>
  <si>
    <t>на выходе из системы</t>
  </si>
  <si>
    <t>Горячий коридор</t>
  </si>
  <si>
    <t>ЭРА 400</t>
  </si>
  <si>
    <t>дельта Т</t>
  </si>
  <si>
    <t xml:space="preserve">Анализ расчета базового использования ЭРА  в косвенном методе расчета и формата Fresh unit air supply. </t>
  </si>
  <si>
    <t>при температуре 10С</t>
  </si>
  <si>
    <t xml:space="preserve">Косвенный тим охлаждения </t>
  </si>
  <si>
    <t>при температуре 20С</t>
  </si>
  <si>
    <t xml:space="preserve">Тепловая нагрузка </t>
  </si>
  <si>
    <t xml:space="preserve">расчет через электрический теплообменник </t>
  </si>
  <si>
    <t xml:space="preserve">  </t>
  </si>
  <si>
    <t>Абсолютное давление</t>
  </si>
  <si>
    <t>Молярная масса сухого воздуха</t>
  </si>
  <si>
    <t>Универсальная газовая постоянная</t>
  </si>
  <si>
    <t>Абсолютная температура в Кельвинах</t>
  </si>
  <si>
    <t>Температура</t>
  </si>
  <si>
    <t>Плотность</t>
  </si>
  <si>
    <t>Точка 1</t>
  </si>
  <si>
    <t>Точка 2</t>
  </si>
  <si>
    <t>Влажность</t>
  </si>
  <si>
    <t>Влагосодержание</t>
  </si>
  <si>
    <t>Энтальпия</t>
  </si>
  <si>
    <t>Насышенное давление водяного пара</t>
  </si>
  <si>
    <t>действительное давление водяного пара:</t>
  </si>
  <si>
    <t>W</t>
  </si>
  <si>
    <t>Наружная часть Сухой режим</t>
  </si>
  <si>
    <t>Программа расчета Экономайзеров ЭРА</t>
  </si>
  <si>
    <t>Влагосодержание In</t>
  </si>
  <si>
    <t>Влагосодержание Out</t>
  </si>
  <si>
    <t>Режим Адиабатики</t>
  </si>
  <si>
    <t>при температуре 15С</t>
  </si>
  <si>
    <t xml:space="preserve">Перво источник </t>
  </si>
  <si>
    <t>DC EDGE SITRONICS</t>
  </si>
  <si>
    <t>АЙТИ нагрузка</t>
  </si>
  <si>
    <t>ИБП тепловая нагрузка</t>
  </si>
  <si>
    <t>МЦОД</t>
  </si>
  <si>
    <t xml:space="preserve">Дилер </t>
  </si>
  <si>
    <t>Розница</t>
  </si>
  <si>
    <t>кВт*ч</t>
  </si>
  <si>
    <t>ЭРА 100</t>
  </si>
  <si>
    <t>единиц</t>
  </si>
  <si>
    <t>Зимний режим</t>
  </si>
  <si>
    <t xml:space="preserve">Летний режим </t>
  </si>
  <si>
    <t>Пиковая нагрузка</t>
  </si>
  <si>
    <t>л*ч</t>
  </si>
  <si>
    <t>https://aboutdc.ru/page/1720.php</t>
  </si>
  <si>
    <t>л/ч</t>
  </si>
  <si>
    <t>ч/год</t>
  </si>
  <si>
    <t xml:space="preserve">резервуар на 12 часов </t>
  </si>
  <si>
    <t>m3/h</t>
  </si>
  <si>
    <t>кВт*час</t>
  </si>
  <si>
    <t>кДж</t>
  </si>
  <si>
    <t>кг воды</t>
  </si>
  <si>
    <t>м3*ч</t>
  </si>
  <si>
    <t xml:space="preserve">часов в году </t>
  </si>
  <si>
    <t>тепла</t>
  </si>
  <si>
    <t>pPUE</t>
  </si>
  <si>
    <t>Программа расчета Экономайзеров ЭРА Сухой режим</t>
  </si>
  <si>
    <t>Программа расчета Экономайзеров ЭРА Мокрый режим</t>
  </si>
  <si>
    <t>АЙТИ нагрузка+ИБП</t>
  </si>
  <si>
    <t>Освещение тепловая нагрузка</t>
  </si>
  <si>
    <t>Вентиляторы</t>
  </si>
  <si>
    <t>Доп теплопритоки</t>
  </si>
  <si>
    <t>℃</t>
  </si>
  <si>
    <t>м3/ч</t>
  </si>
  <si>
    <t>4-5,9</t>
  </si>
  <si>
    <t>6-7,9</t>
  </si>
  <si>
    <t>8-9,9</t>
  </si>
  <si>
    <t xml:space="preserve">Расчет подбор Цод Мегафон/Талмер </t>
  </si>
  <si>
    <t>Высоконагруженная стоика</t>
  </si>
  <si>
    <t>Важность распределния воздуха по серверной стойке</t>
  </si>
  <si>
    <t>стоек</t>
  </si>
  <si>
    <t xml:space="preserve">Машзалов </t>
  </si>
  <si>
    <t>освещение</t>
  </si>
  <si>
    <t>(N+1)</t>
  </si>
  <si>
    <t>м3</t>
  </si>
  <si>
    <t>Расчет подбор Цод Иркутск ООО Клоуд Солюшенс</t>
  </si>
  <si>
    <t>МТС Ситроникс</t>
  </si>
  <si>
    <t>ЭРА 50</t>
  </si>
  <si>
    <t>НАГ Павел Анисимов</t>
  </si>
  <si>
    <t>ЭРА 330</t>
  </si>
  <si>
    <t xml:space="preserve">Расчет подбор Цод МЦОД МТС Федоровское Поселение </t>
  </si>
  <si>
    <t>Ситроникс Москва Роман Цветаев</t>
  </si>
  <si>
    <t>???</t>
  </si>
  <si>
    <t>Расчет подбор Цод Астрахань Демо</t>
  </si>
  <si>
    <t>40℃</t>
  </si>
  <si>
    <r>
      <rPr>
        <rFont val="Calibri"/>
        <color theme="1"/>
        <sz val="11.0"/>
      </rPr>
      <t>39</t>
    </r>
    <r>
      <rPr>
        <rFont val="Times New Roman"/>
        <color theme="1"/>
        <sz val="11.0"/>
      </rPr>
      <t>℃</t>
    </r>
  </si>
  <si>
    <t>DX module KW</t>
  </si>
  <si>
    <t>Total MAX DX cooling KW</t>
  </si>
  <si>
    <t>Energy consamption</t>
  </si>
  <si>
    <t>fans int</t>
  </si>
  <si>
    <t>fans ext</t>
  </si>
  <si>
    <t>Pump</t>
  </si>
  <si>
    <t>Cabinet</t>
  </si>
  <si>
    <t>Nominal capacity</t>
  </si>
  <si>
    <t>Full capacity</t>
  </si>
  <si>
    <t>Real capacity</t>
  </si>
  <si>
    <t>Peak</t>
  </si>
  <si>
    <t>normal summer</t>
  </si>
  <si>
    <t>Normal winter</t>
  </si>
  <si>
    <t xml:space="preserve">Low winter </t>
  </si>
  <si>
    <r>
      <rPr>
        <rFont val="Calibri"/>
        <color theme="1"/>
        <sz val="11.0"/>
      </rPr>
      <t>39</t>
    </r>
    <r>
      <rPr>
        <rFont val="Times New Roman"/>
        <color theme="1"/>
        <sz val="11.0"/>
      </rPr>
      <t>℃</t>
    </r>
  </si>
  <si>
    <t>Low winter mode</t>
  </si>
  <si>
    <t>электричество</t>
  </si>
  <si>
    <t>вода</t>
  </si>
  <si>
    <t>Итого</t>
  </si>
  <si>
    <r>
      <rPr>
        <rFont val="Calibri"/>
        <color theme="1"/>
        <sz val="11.0"/>
      </rPr>
      <t>36</t>
    </r>
    <r>
      <rPr>
        <rFont val="Times New Roman"/>
        <color theme="1"/>
        <sz val="11.0"/>
      </rPr>
      <t>℃</t>
    </r>
  </si>
  <si>
    <t>Чиллер</t>
  </si>
  <si>
    <t>Экономайзер</t>
  </si>
  <si>
    <t>Высота воздуховода</t>
  </si>
  <si>
    <t>Ширина воздуховода</t>
  </si>
  <si>
    <t>Selectel</t>
  </si>
  <si>
    <t>Освещение</t>
  </si>
  <si>
    <t>ECF(K)8D630-PLHDAJ1</t>
  </si>
  <si>
    <t>Лицевая скорость  м/с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</si>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</sst>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0000"/>
    <numFmt numFmtId="165" formatCode="0.0000"/>
    <numFmt numFmtId="166" formatCode="0.000"/>
    <numFmt numFmtId="167" formatCode="_-* #,##0.00\ &quot;₽&quot;_-;\-* #,##0.00\ &quot;₽&quot;_-;_-* &quot;-&quot;??\ &quot;₽&quot;_-;_-@"/>
    <numFmt numFmtId="168" formatCode="0.000000"/>
    <numFmt numFmtId="169" formatCode="0.0"/>
    <numFmt numFmtId="170" formatCode="_-* #,##0.00\ [$₽-419]_-;\-* #,##0.00\ [$₽-419]_-;_-* &quot;-&quot;??\ [$₽-419]_-;_-@"/>
  </numFmts>
  <fonts count="11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b/>
      <u/>
      <sz val="11.0"/>
      <color theme="1"/>
      <name val="Calibri"/>
    </font>
    <font>
      <sz val="11.0"/>
      <color theme="1"/>
      <name val="Calibri"/>
    </font>
    <font/>
    <font>
      <b/>
      <u/>
      <sz val="11.0"/>
      <color theme="1"/>
      <name val="Calibri"/>
    </font>
    <font>
      <sz val="11.0"/>
      <color rgb="FFFF0000"/>
      <name val="Calibri"/>
    </font>
    <font>
      <sz val="11.0"/>
      <color theme="1"/>
      <name val="Times New Roman"/>
    </font>
    <font>
      <sz val="10.0"/>
      <color rgb="FF000000"/>
      <name val="Times New Roman"/>
    </font>
    <font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7">
    <border/>
    <border>
      <left style="thick">
        <color rgb="FF38761D"/>
      </left>
      <right style="thick">
        <color rgb="FF38761D"/>
      </right>
      <top style="thick">
        <color rgb="FF38761D"/>
      </top>
      <bottom style="thick">
        <color rgb="FF38761D"/>
      </bottom>
    </border>
    <border>
      <bottom style="thick">
        <color rgb="FF0000FF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2" fillId="0" fontId="1" numFmtId="165" xfId="0" applyBorder="1" applyFont="1" applyNumberFormat="1"/>
    <xf borderId="0" fillId="0" fontId="1" numFmtId="166" xfId="0" applyFont="1" applyNumberForma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shrinkToFit="0" wrapText="1"/>
    </xf>
    <xf borderId="0" fillId="0" fontId="3" numFmtId="0" xfId="0" applyFont="1"/>
    <xf borderId="0" fillId="0" fontId="2" numFmtId="1" xfId="0" applyFont="1" applyNumberFormat="1"/>
    <xf borderId="3" fillId="0" fontId="4" numFmtId="0" xfId="0" applyAlignment="1" applyBorder="1" applyFont="1">
      <alignment horizontal="center"/>
    </xf>
    <xf borderId="4" fillId="0" fontId="5" numFmtId="0" xfId="0" applyBorder="1" applyFont="1"/>
    <xf borderId="5" fillId="0" fontId="5" numFmtId="0" xfId="0" applyBorder="1" applyFont="1"/>
    <xf borderId="6" fillId="0" fontId="6" numFmtId="0" xfId="0" applyBorder="1" applyFont="1"/>
    <xf borderId="7" fillId="0" fontId="4" numFmtId="0" xfId="0" applyBorder="1" applyFont="1"/>
    <xf borderId="6" fillId="0" fontId="4" numFmtId="0" xfId="0" applyBorder="1" applyFont="1"/>
    <xf borderId="8" fillId="0" fontId="2" numFmtId="1" xfId="0" applyBorder="1" applyFont="1" applyNumberFormat="1"/>
    <xf borderId="8" fillId="0" fontId="2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1" xfId="0" applyBorder="1" applyFont="1" applyNumberFormat="1"/>
    <xf borderId="11" fillId="0" fontId="4" numFmtId="0" xfId="0" applyBorder="1" applyFont="1"/>
    <xf borderId="10" fillId="0" fontId="4" numFmtId="0" xfId="0" applyBorder="1" applyFont="1"/>
    <xf borderId="12" fillId="0" fontId="4" numFmtId="0" xfId="0" applyBorder="1" applyFont="1"/>
    <xf borderId="0" fillId="0" fontId="4" numFmtId="167" xfId="0" applyFont="1" applyNumberFormat="1"/>
    <xf borderId="0" fillId="0" fontId="4" numFmtId="2" xfId="0" applyFont="1" applyNumberFormat="1"/>
    <xf borderId="0" fillId="0" fontId="7" numFmtId="0" xfId="0" applyFont="1"/>
    <xf borderId="12" fillId="0" fontId="7" numFmtId="0" xfId="0" applyBorder="1" applyFont="1"/>
    <xf borderId="0" fillId="0" fontId="4" numFmtId="1" xfId="0" applyFont="1" applyNumberFormat="1"/>
    <xf borderId="0" fillId="0" fontId="7" numFmtId="2" xfId="0" applyFont="1" applyNumberFormat="1"/>
    <xf borderId="0" fillId="0" fontId="8" numFmtId="0" xfId="0" applyFont="1"/>
    <xf borderId="13" fillId="2" fontId="9" numFmtId="0" xfId="0" applyAlignment="1" applyBorder="1" applyFill="1" applyFont="1">
      <alignment horizontal="center" shrinkToFit="0" vertical="center" wrapText="1"/>
    </xf>
    <xf borderId="14" fillId="2" fontId="9" numFmtId="0" xfId="0" applyAlignment="1" applyBorder="1" applyFont="1">
      <alignment horizontal="center" shrinkToFit="0" vertical="center" wrapText="1"/>
    </xf>
    <xf borderId="15" fillId="2" fontId="9" numFmtId="0" xfId="0" applyAlignment="1" applyBorder="1" applyFont="1">
      <alignment horizontal="center" shrinkToFit="0" vertical="center" wrapText="1"/>
    </xf>
    <xf borderId="16" fillId="2" fontId="9" numFmtId="0" xfId="0" applyAlignment="1" applyBorder="1" applyFont="1">
      <alignment horizontal="center" shrinkToFit="0" vertical="center" wrapText="1"/>
    </xf>
    <xf borderId="0" fillId="0" fontId="10" numFmtId="0" xfId="0" applyFont="1"/>
    <xf borderId="0" fillId="0" fontId="7" numFmtId="168" xfId="0" applyFont="1" applyNumberFormat="1"/>
    <xf borderId="0" fillId="0" fontId="4" numFmtId="169" xfId="0" applyFont="1" applyNumberFormat="1"/>
    <xf borderId="7" fillId="0" fontId="8" numFmtId="0" xfId="0" applyBorder="1" applyFont="1"/>
    <xf borderId="0" fillId="0" fontId="1" numFmtId="1" xfId="0" applyFont="1" applyNumberFormat="1"/>
    <xf borderId="0" fillId="0" fontId="4" numFmtId="170" xfId="0" applyFont="1" applyNumberFormat="1"/>
    <xf borderId="8" fillId="0" fontId="4" numFmtId="2" xfId="0" applyBorder="1" applyFont="1" applyNumberFormat="1"/>
    <xf borderId="8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8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<Relationships xmlns="http://schemas.openxmlformats.org/package/2006/relationships"><Relationship Id="rId1" Type="http://customschemas.google.com/relationships/workbookmetadata" Target="commentsmeta9"/></Relationships>
</file>

<file path=xl/_rels/comments11.xml.rels><?xml version="1.0" encoding="UTF-8" standalone="yes"?><Relationships xmlns="http://schemas.openxmlformats.org/package/2006/relationships"><Relationship Id="rId1" Type="http://customschemas.google.com/relationships/workbookmetadata" Target="commentsmeta10"/></Relationships>
</file>

<file path=xl/_rels/comments12.xml.rels><?xml version="1.0" encoding="UTF-8" standalone="yes"?><Relationships xmlns="http://schemas.openxmlformats.org/package/2006/relationships"><Relationship Id="rId1" Type="http://customschemas.google.com/relationships/workbookmetadata" Target="commentsmeta11"/></Relationships>
</file>

<file path=xl/_rels/comments13.xml.rels><?xml version="1.0" encoding="UTF-8" standalone="yes"?><Relationships xmlns="http://schemas.openxmlformats.org/package/2006/relationships"><Relationship Id="rId1" Type="http://customschemas.google.com/relationships/workbookmetadata" Target="commentsmeta12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4.jpg"/><Relationship Id="rId3" Type="http://schemas.openxmlformats.org/officeDocument/2006/relationships/image" Target="../media/image6.jp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4.jpg"/><Relationship Id="rId3" Type="http://schemas.openxmlformats.org/officeDocument/2006/relationships/image" Target="../media/image6.jp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4.jpg"/><Relationship Id="rId3" Type="http://schemas.openxmlformats.org/officeDocument/2006/relationships/image" Target="../media/image6.jp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4.jpg"/><Relationship Id="rId3" Type="http://schemas.openxmlformats.org/officeDocument/2006/relationships/image" Target="../media/image6.jp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4.jpg"/><Relationship Id="rId3" Type="http://schemas.openxmlformats.org/officeDocument/2006/relationships/image" Target="../media/image6.jp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4.jpg"/><Relationship Id="rId3" Type="http://schemas.openxmlformats.org/officeDocument/2006/relationships/image" Target="../media/image6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4.jpg"/><Relationship Id="rId3" Type="http://schemas.openxmlformats.org/officeDocument/2006/relationships/image" Target="../media/image6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4.jpg"/><Relationship Id="rId3" Type="http://schemas.openxmlformats.org/officeDocument/2006/relationships/image" Target="../media/image6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4.jpg"/><Relationship Id="rId3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31</xdr:row>
      <xdr:rowOff>76200</xdr:rowOff>
    </xdr:from>
    <xdr:ext cx="10629900" cy="451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190500</xdr:colOff>
      <xdr:row>30</xdr:row>
      <xdr:rowOff>19050</xdr:rowOff>
    </xdr:from>
    <xdr:ext cx="5600700" cy="8458200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361950</xdr:colOff>
      <xdr:row>57</xdr:row>
      <xdr:rowOff>152400</xdr:rowOff>
    </xdr:from>
    <xdr:ext cx="7400925" cy="5514975"/>
    <xdr:pic>
      <xdr:nvPicPr>
        <xdr:cNvPr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32</xdr:row>
      <xdr:rowOff>57150</xdr:rowOff>
    </xdr:from>
    <xdr:ext cx="11487150" cy="4857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581025</xdr:colOff>
      <xdr:row>16</xdr:row>
      <xdr:rowOff>38100</xdr:rowOff>
    </xdr:from>
    <xdr:ext cx="5457825" cy="8191500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56</xdr:row>
      <xdr:rowOff>152400</xdr:rowOff>
    </xdr:from>
    <xdr:ext cx="12849225" cy="7724775"/>
    <xdr:pic>
      <xdr:nvPicPr>
        <xdr:cNvPr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32</xdr:row>
      <xdr:rowOff>57150</xdr:rowOff>
    </xdr:from>
    <xdr:ext cx="11487150" cy="48863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581025</xdr:colOff>
      <xdr:row>16</xdr:row>
      <xdr:rowOff>38100</xdr:rowOff>
    </xdr:from>
    <xdr:ext cx="5467350" cy="8220075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56</xdr:row>
      <xdr:rowOff>152400</xdr:rowOff>
    </xdr:from>
    <xdr:ext cx="12839700" cy="7724775"/>
    <xdr:pic>
      <xdr:nvPicPr>
        <xdr:cNvPr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32</xdr:row>
      <xdr:rowOff>57150</xdr:rowOff>
    </xdr:from>
    <xdr:ext cx="11468100" cy="48863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15</xdr:row>
      <xdr:rowOff>28575</xdr:rowOff>
    </xdr:from>
    <xdr:ext cx="5610225" cy="8448675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56</xdr:row>
      <xdr:rowOff>152400</xdr:rowOff>
    </xdr:from>
    <xdr:ext cx="12858750" cy="7724775"/>
    <xdr:pic>
      <xdr:nvPicPr>
        <xdr:cNvPr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32</xdr:row>
      <xdr:rowOff>57150</xdr:rowOff>
    </xdr:from>
    <xdr:ext cx="11477625" cy="48863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15</xdr:row>
      <xdr:rowOff>28575</xdr:rowOff>
    </xdr:from>
    <xdr:ext cx="5619750" cy="8439150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56</xdr:row>
      <xdr:rowOff>152400</xdr:rowOff>
    </xdr:from>
    <xdr:ext cx="12849225" cy="7724775"/>
    <xdr:pic>
      <xdr:nvPicPr>
        <xdr:cNvPr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32</xdr:row>
      <xdr:rowOff>57150</xdr:rowOff>
    </xdr:from>
    <xdr:ext cx="11477625" cy="48863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15</xdr:row>
      <xdr:rowOff>28575</xdr:rowOff>
    </xdr:from>
    <xdr:ext cx="5619750" cy="8439150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56</xdr:row>
      <xdr:rowOff>152400</xdr:rowOff>
    </xdr:from>
    <xdr:ext cx="12849225" cy="7724775"/>
    <xdr:pic>
      <xdr:nvPicPr>
        <xdr:cNvPr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7</xdr:row>
      <xdr:rowOff>19050</xdr:rowOff>
    </xdr:from>
    <xdr:ext cx="10629900" cy="451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323850</xdr:colOff>
      <xdr:row>6</xdr:row>
      <xdr:rowOff>85725</xdr:rowOff>
    </xdr:from>
    <xdr:ext cx="5667375" cy="611505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628650</xdr:colOff>
      <xdr:row>2</xdr:row>
      <xdr:rowOff>66675</xdr:rowOff>
    </xdr:from>
    <xdr:ext cx="5238750" cy="48291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5</xdr:row>
      <xdr:rowOff>47625</xdr:rowOff>
    </xdr:from>
    <xdr:ext cx="4038600" cy="20002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29</xdr:row>
      <xdr:rowOff>161925</xdr:rowOff>
    </xdr:from>
    <xdr:ext cx="11487150" cy="48768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19050</xdr:colOff>
      <xdr:row>23</xdr:row>
      <xdr:rowOff>19050</xdr:rowOff>
    </xdr:from>
    <xdr:ext cx="5629275" cy="8458200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352425</xdr:colOff>
      <xdr:row>57</xdr:row>
      <xdr:rowOff>0</xdr:rowOff>
    </xdr:from>
    <xdr:ext cx="12877800" cy="7715250"/>
    <xdr:pic>
      <xdr:nvPicPr>
        <xdr:cNvPr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32</xdr:row>
      <xdr:rowOff>57150</xdr:rowOff>
    </xdr:from>
    <xdr:ext cx="11468100" cy="48863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15</xdr:row>
      <xdr:rowOff>28575</xdr:rowOff>
    </xdr:from>
    <xdr:ext cx="5610225" cy="8448675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56</xdr:row>
      <xdr:rowOff>152400</xdr:rowOff>
    </xdr:from>
    <xdr:ext cx="12858750" cy="7724775"/>
    <xdr:pic>
      <xdr:nvPicPr>
        <xdr:cNvPr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32</xdr:row>
      <xdr:rowOff>57150</xdr:rowOff>
    </xdr:from>
    <xdr:ext cx="11468100" cy="48863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15</xdr:row>
      <xdr:rowOff>28575</xdr:rowOff>
    </xdr:from>
    <xdr:ext cx="5610225" cy="8448675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56</xdr:row>
      <xdr:rowOff>152400</xdr:rowOff>
    </xdr:from>
    <xdr:ext cx="12858750" cy="7724775"/>
    <xdr:pic>
      <xdr:nvPicPr>
        <xdr:cNvPr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hyperlink" Target="https://aboutdc.ru/page/1720.php" TargetMode="External"/><Relationship Id="rId3" Type="http://schemas.openxmlformats.org/officeDocument/2006/relationships/drawing" Target="../drawings/drawing11.xml"/><Relationship Id="rId4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hyperlink" Target="https://aboutdc.ru/page/1720.php" TargetMode="External"/><Relationship Id="rId3" Type="http://schemas.openxmlformats.org/officeDocument/2006/relationships/drawing" Target="../drawings/drawing12.xml"/><Relationship Id="rId4" Type="http://schemas.openxmlformats.org/officeDocument/2006/relationships/vmlDrawing" Target="../drawings/vmlDrawing8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9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0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1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2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aboutdc.ru/page/1720.php" TargetMode="External"/><Relationship Id="rId3" Type="http://schemas.openxmlformats.org/officeDocument/2006/relationships/drawing" Target="../drawings/drawing7.xml"/><Relationship Id="rId4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14"/>
    <col customWidth="1" min="3" max="4" width="8.71"/>
    <col customWidth="1" min="5" max="5" width="13.57"/>
    <col customWidth="1" min="6" max="6" width="13.71"/>
    <col customWidth="1" min="7" max="7" width="13.43"/>
    <col customWidth="1" min="8" max="8" width="13.14"/>
    <col customWidth="1" min="9" max="12" width="8.71"/>
    <col customWidth="1" min="13" max="13" width="26.14"/>
    <col customWidth="1" min="14" max="14" width="8.71"/>
    <col customWidth="1" min="15" max="15" width="25.43"/>
    <col customWidth="1" min="16" max="16" width="8.86"/>
    <col customWidth="1" min="17" max="26" width="8.71"/>
  </cols>
  <sheetData>
    <row r="1" ht="14.25" customHeight="1"/>
    <row r="2" ht="14.25" customHeight="1">
      <c r="D2" s="1" t="s">
        <v>0</v>
      </c>
      <c r="E2" s="1" t="s">
        <v>1</v>
      </c>
      <c r="F2" s="1" t="s">
        <v>2</v>
      </c>
      <c r="J2" s="1" t="s">
        <v>3</v>
      </c>
    </row>
    <row r="3" ht="14.25" customHeight="1">
      <c r="B3" s="1" t="s">
        <v>4</v>
      </c>
      <c r="C3" s="1">
        <v>1.0</v>
      </c>
      <c r="D3" s="1">
        <v>0.4</v>
      </c>
      <c r="E3" s="1">
        <v>124.0</v>
      </c>
      <c r="F3" s="1">
        <v>94.4</v>
      </c>
      <c r="J3" s="1" t="s">
        <v>5</v>
      </c>
    </row>
    <row r="4" ht="14.25" customHeight="1">
      <c r="B4" s="1" t="s">
        <v>6</v>
      </c>
      <c r="C4" s="1">
        <v>1.0</v>
      </c>
      <c r="D4" s="1">
        <v>0.8</v>
      </c>
      <c r="E4" s="1">
        <v>248.0</v>
      </c>
      <c r="F4" s="1">
        <v>188.0</v>
      </c>
    </row>
    <row r="5" ht="14.25" customHeight="1">
      <c r="B5" s="1" t="s">
        <v>7</v>
      </c>
      <c r="C5" s="1">
        <v>1.0</v>
      </c>
      <c r="D5" s="1">
        <v>1.2</v>
      </c>
      <c r="E5" s="1">
        <v>372.0</v>
      </c>
      <c r="F5" s="1">
        <v>283.0</v>
      </c>
      <c r="J5" s="1" t="s">
        <v>8</v>
      </c>
    </row>
    <row r="6" ht="14.25" customHeight="1"/>
    <row r="7" ht="14.25" customHeight="1">
      <c r="B7" s="1" t="s">
        <v>9</v>
      </c>
      <c r="E7" s="1">
        <v>236.0</v>
      </c>
      <c r="F7" s="1" t="s">
        <v>10</v>
      </c>
      <c r="J7" s="1" t="s">
        <v>11</v>
      </c>
      <c r="L7" s="1" t="s">
        <v>12</v>
      </c>
    </row>
    <row r="8" ht="14.25" customHeight="1">
      <c r="B8" s="1" t="s">
        <v>13</v>
      </c>
      <c r="E8" s="1">
        <v>310.0</v>
      </c>
      <c r="F8" s="1" t="s">
        <v>10</v>
      </c>
      <c r="J8" s="1">
        <v>0.7</v>
      </c>
      <c r="K8" s="1" t="s">
        <v>14</v>
      </c>
      <c r="L8" s="1">
        <v>1.0</v>
      </c>
      <c r="M8" s="1" t="s">
        <v>15</v>
      </c>
    </row>
    <row r="9" ht="14.25" customHeight="1"/>
    <row r="10" ht="14.25" customHeight="1"/>
    <row r="11" ht="14.25" customHeight="1"/>
    <row r="12" ht="14.25" customHeight="1">
      <c r="B12" s="1" t="s">
        <v>16</v>
      </c>
    </row>
    <row r="13" ht="14.25" customHeight="1">
      <c r="C13" s="1">
        <v>17.0</v>
      </c>
      <c r="D13" s="1">
        <v>3.0</v>
      </c>
      <c r="E13" s="1">
        <f>C13*D13</f>
        <v>51</v>
      </c>
      <c r="F13" s="1">
        <v>600.0</v>
      </c>
      <c r="G13" s="1">
        <v>600.0</v>
      </c>
    </row>
    <row r="14" ht="14.25" customHeight="1">
      <c r="C14" s="1">
        <v>17.0</v>
      </c>
      <c r="D14" s="1">
        <v>9.0</v>
      </c>
      <c r="E14" s="1">
        <v>153.0</v>
      </c>
      <c r="F14" s="1">
        <v>600.0</v>
      </c>
      <c r="G14" s="1">
        <v>1800.0</v>
      </c>
    </row>
    <row r="15" ht="14.25" customHeight="1">
      <c r="C15" s="1">
        <v>17.0</v>
      </c>
      <c r="D15" s="1">
        <v>12.0</v>
      </c>
      <c r="E15" s="1">
        <f t="shared" ref="E15:E16" si="1">C15*D15</f>
        <v>204</v>
      </c>
      <c r="F15" s="1">
        <v>600.0</v>
      </c>
      <c r="G15" s="1">
        <v>2400.0</v>
      </c>
      <c r="K15" s="1">
        <f>(20+2)*4</f>
        <v>88</v>
      </c>
      <c r="M15" s="1" t="s">
        <v>17</v>
      </c>
      <c r="O15" s="1" t="s">
        <v>18</v>
      </c>
    </row>
    <row r="16" ht="14.25" customHeight="1">
      <c r="C16" s="1">
        <v>17.0</v>
      </c>
      <c r="D16" s="1">
        <v>18.0</v>
      </c>
      <c r="E16" s="1">
        <f t="shared" si="1"/>
        <v>306</v>
      </c>
      <c r="F16" s="1">
        <v>600.0</v>
      </c>
      <c r="G16" s="1">
        <v>3600.0</v>
      </c>
      <c r="H16" s="1">
        <f>E16*4</f>
        <v>1224</v>
      </c>
      <c r="J16" s="1">
        <f>L24-E20</f>
        <v>234</v>
      </c>
      <c r="M16" s="1" t="s">
        <v>19</v>
      </c>
      <c r="N16" s="2">
        <f>(N17*N18*N19*N22)/3600</f>
        <v>182</v>
      </c>
      <c r="O16" s="1" t="s">
        <v>19</v>
      </c>
      <c r="P16" s="2">
        <f>(P17*P18*P19*P22)/3600</f>
        <v>182</v>
      </c>
    </row>
    <row r="17" ht="14.25" customHeight="1">
      <c r="J17" s="1">
        <f>J16/(C15*4)</f>
        <v>3.441176471</v>
      </c>
      <c r="M17" s="1" t="s">
        <v>20</v>
      </c>
      <c r="N17" s="2">
        <v>40000.0</v>
      </c>
      <c r="O17" s="1" t="s">
        <v>20</v>
      </c>
      <c r="P17" s="2">
        <v>40000.0</v>
      </c>
    </row>
    <row r="18" ht="14.25" customHeight="1">
      <c r="E18" s="1" t="s">
        <v>21</v>
      </c>
      <c r="F18" s="1" t="s">
        <v>22</v>
      </c>
      <c r="G18" s="1" t="s">
        <v>23</v>
      </c>
      <c r="H18" s="1" t="s">
        <v>24</v>
      </c>
      <c r="M18" s="1" t="s">
        <v>25</v>
      </c>
      <c r="N18" s="2">
        <v>1.17</v>
      </c>
      <c r="O18" s="1" t="s">
        <v>25</v>
      </c>
      <c r="P18" s="2">
        <v>1.17</v>
      </c>
    </row>
    <row r="19" ht="14.25" customHeight="1">
      <c r="B19" s="1" t="s">
        <v>26</v>
      </c>
      <c r="E19" s="1">
        <v>408.0</v>
      </c>
      <c r="F19" s="1">
        <f>($E$19*$E$3)/1000</f>
        <v>50.592</v>
      </c>
      <c r="G19" s="1">
        <f>($E$4*$E$19)/1000</f>
        <v>101.184</v>
      </c>
      <c r="H19" s="1">
        <f>($E$5*$E$19)/1000</f>
        <v>151.776</v>
      </c>
      <c r="M19" s="1" t="s">
        <v>27</v>
      </c>
      <c r="N19" s="2">
        <v>1.0</v>
      </c>
      <c r="O19" s="1" t="s">
        <v>27</v>
      </c>
      <c r="P19" s="2">
        <v>1.0</v>
      </c>
    </row>
    <row r="20" ht="14.25" customHeight="1">
      <c r="B20" s="1" t="s">
        <v>28</v>
      </c>
      <c r="E20" s="1">
        <v>816.0</v>
      </c>
      <c r="F20" s="1">
        <f>($E$20*$E$3)/1000</f>
        <v>101.184</v>
      </c>
      <c r="G20" s="1">
        <f>($E$4*$E$20)/1000</f>
        <v>202.368</v>
      </c>
      <c r="H20" s="1">
        <f>($E$5*$E$20)/1000</f>
        <v>303.552</v>
      </c>
      <c r="M20" s="1" t="s">
        <v>29</v>
      </c>
      <c r="N20" s="1">
        <v>20.0</v>
      </c>
      <c r="O20" s="1" t="s">
        <v>30</v>
      </c>
      <c r="P20" s="1">
        <v>24.0</v>
      </c>
    </row>
    <row r="21" ht="14.25" customHeight="1">
      <c r="B21" s="1" t="s">
        <v>31</v>
      </c>
      <c r="E21" s="1">
        <v>1224.0</v>
      </c>
      <c r="F21" s="1">
        <f>($E$21*$E$3)/1000</f>
        <v>151.776</v>
      </c>
      <c r="G21" s="1">
        <f>($E$4*$E$21)/1000</f>
        <v>303.552</v>
      </c>
      <c r="H21" s="1">
        <f>($E$5*$E$21)/1000</f>
        <v>455.328</v>
      </c>
      <c r="K21" s="1">
        <f>(E21*100)/1000</f>
        <v>122.4</v>
      </c>
      <c r="M21" s="1" t="s">
        <v>32</v>
      </c>
      <c r="N21" s="1">
        <v>34.0</v>
      </c>
      <c r="O21" s="1" t="s">
        <v>33</v>
      </c>
      <c r="P21" s="1">
        <v>38.0</v>
      </c>
    </row>
    <row r="22" ht="14.25" customHeight="1">
      <c r="B22" s="1" t="s">
        <v>34</v>
      </c>
      <c r="E22" s="1">
        <v>1632.0</v>
      </c>
      <c r="F22" s="1">
        <f>($E$22*$E$3)/1000</f>
        <v>202.368</v>
      </c>
      <c r="G22" s="1">
        <f>($E$4*$E$22)/1000</f>
        <v>404.736</v>
      </c>
      <c r="H22" s="1">
        <f>($E$5*$E$22)/1000</f>
        <v>607.104</v>
      </c>
      <c r="M22" s="1" t="s">
        <v>35</v>
      </c>
      <c r="N22" s="2">
        <f>N21-N20</f>
        <v>14</v>
      </c>
      <c r="O22" s="1" t="s">
        <v>35</v>
      </c>
      <c r="P22" s="2">
        <f>P21-P20</f>
        <v>14</v>
      </c>
    </row>
    <row r="23" ht="14.25" customHeight="1"/>
    <row r="24" ht="14.25" customHeight="1">
      <c r="K24" s="1">
        <v>0.2</v>
      </c>
      <c r="L24" s="1">
        <v>1050.0</v>
      </c>
      <c r="M24" s="1">
        <f>K24*L24</f>
        <v>210</v>
      </c>
    </row>
    <row r="25" ht="14.25" customHeight="1">
      <c r="B25" s="1" t="s">
        <v>36</v>
      </c>
      <c r="K25" s="1">
        <v>0.02</v>
      </c>
    </row>
    <row r="26" ht="14.25" customHeight="1">
      <c r="K26" s="1">
        <f>K24*K25</f>
        <v>0.004</v>
      </c>
      <c r="L26" s="1">
        <f>K26*L24</f>
        <v>4.2</v>
      </c>
      <c r="N26" s="2">
        <v>1.247</v>
      </c>
      <c r="O26" s="1" t="s">
        <v>37</v>
      </c>
    </row>
    <row r="27" ht="14.25" customHeight="1">
      <c r="B27" s="1" t="s">
        <v>38</v>
      </c>
      <c r="N27" s="2">
        <v>1.17</v>
      </c>
      <c r="O27" s="1" t="s">
        <v>39</v>
      </c>
    </row>
    <row r="28" ht="14.25" customHeight="1"/>
    <row r="29" ht="14.25" customHeight="1">
      <c r="B29" s="1" t="s">
        <v>40</v>
      </c>
      <c r="C29" s="1" t="s">
        <v>41</v>
      </c>
    </row>
    <row r="30" ht="14.25" customHeight="1">
      <c r="C30" s="1" t="s">
        <v>42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14"/>
    <col customWidth="1" min="4" max="5" width="8.71"/>
    <col customWidth="1" min="6" max="6" width="11.57"/>
    <col customWidth="1" min="7" max="7" width="11.14"/>
    <col customWidth="1" min="8" max="8" width="8.71"/>
    <col customWidth="1" min="9" max="9" width="9.29"/>
    <col customWidth="1" min="10" max="10" width="17.57"/>
    <col customWidth="1" min="11" max="11" width="17.14"/>
    <col customWidth="1" min="12" max="12" width="11.29"/>
    <col customWidth="1" min="13" max="26" width="8.71"/>
  </cols>
  <sheetData>
    <row r="1" ht="14.25" customHeight="1">
      <c r="B1" s="1" t="s">
        <v>108</v>
      </c>
    </row>
    <row r="2" ht="14.25" customHeight="1">
      <c r="B2" s="1" t="s">
        <v>63</v>
      </c>
      <c r="D2" s="1" t="s">
        <v>111</v>
      </c>
    </row>
    <row r="3" ht="14.25" customHeight="1">
      <c r="B3" s="1">
        <f>32*1440</f>
        <v>46080</v>
      </c>
      <c r="C3" s="1" t="s">
        <v>14</v>
      </c>
      <c r="D3" s="1" t="s">
        <v>65</v>
      </c>
    </row>
    <row r="4" ht="14.25" customHeight="1">
      <c r="B4" s="1">
        <v>32.0</v>
      </c>
      <c r="C4" s="1" t="s">
        <v>14</v>
      </c>
      <c r="D4" s="1" t="s">
        <v>101</v>
      </c>
      <c r="G4" s="1" t="s">
        <v>102</v>
      </c>
    </row>
    <row r="5" ht="14.25" customHeight="1">
      <c r="B5" s="1">
        <v>1440.0</v>
      </c>
      <c r="C5" s="1" t="s">
        <v>103</v>
      </c>
    </row>
    <row r="6" ht="14.25" customHeight="1">
      <c r="B6" s="1">
        <v>7.0</v>
      </c>
      <c r="C6" s="1" t="s">
        <v>104</v>
      </c>
      <c r="D6" s="1">
        <f>206*32</f>
        <v>6592</v>
      </c>
      <c r="E6" s="1" t="s">
        <v>14</v>
      </c>
      <c r="F6" s="1">
        <f>D6*B6</f>
        <v>46144</v>
      </c>
      <c r="G6" s="1" t="s">
        <v>105</v>
      </c>
      <c r="H6" s="1">
        <v>46200.0</v>
      </c>
      <c r="I6" s="1" t="s">
        <v>14</v>
      </c>
    </row>
    <row r="7" ht="14.25" customHeight="1">
      <c r="J7" s="1" t="s">
        <v>69</v>
      </c>
      <c r="K7" s="1" t="s">
        <v>68</v>
      </c>
    </row>
    <row r="8" ht="14.25" customHeight="1">
      <c r="B8" s="1">
        <v>330.0</v>
      </c>
      <c r="C8" s="1" t="s">
        <v>70</v>
      </c>
      <c r="D8" s="1" t="s">
        <v>112</v>
      </c>
      <c r="E8" s="1">
        <f>H6/B8</f>
        <v>140</v>
      </c>
      <c r="F8" s="1" t="s">
        <v>72</v>
      </c>
      <c r="G8" s="1">
        <v>7.0</v>
      </c>
      <c r="H8" s="1" t="s">
        <v>72</v>
      </c>
      <c r="I8" s="1" t="s">
        <v>106</v>
      </c>
      <c r="J8" s="26">
        <v>1.52E7</v>
      </c>
      <c r="K8" s="26">
        <f>J8*(1-25%)</f>
        <v>11400000</v>
      </c>
    </row>
    <row r="9" ht="14.25" customHeight="1">
      <c r="B9" s="1">
        <v>23.0</v>
      </c>
      <c r="C9" s="1" t="s">
        <v>70</v>
      </c>
      <c r="D9" s="1" t="s">
        <v>73</v>
      </c>
    </row>
    <row r="10" ht="14.25" customHeight="1">
      <c r="B10" s="1">
        <v>27.0</v>
      </c>
      <c r="C10" s="1" t="s">
        <v>70</v>
      </c>
      <c r="D10" s="1" t="s">
        <v>74</v>
      </c>
      <c r="J10" s="26">
        <f t="shared" ref="J10:K10" si="1">J8*147</f>
        <v>2234400000</v>
      </c>
      <c r="K10" s="26">
        <f t="shared" si="1"/>
        <v>1675800000</v>
      </c>
    </row>
    <row r="11" ht="14.25" customHeight="1">
      <c r="B11" s="1">
        <v>56.0</v>
      </c>
      <c r="C11" s="1" t="s">
        <v>70</v>
      </c>
      <c r="D11" s="1" t="s">
        <v>75</v>
      </c>
    </row>
    <row r="12" ht="14.25" customHeight="1">
      <c r="B12" s="1">
        <v>898.0</v>
      </c>
      <c r="C12" s="1" t="s">
        <v>76</v>
      </c>
    </row>
    <row r="13" ht="14.25" customHeight="1"/>
    <row r="14" ht="14.25" customHeight="1">
      <c r="F14" s="1" t="s">
        <v>77</v>
      </c>
    </row>
    <row r="15" ht="14.25" customHeight="1"/>
    <row r="16" ht="14.25" customHeight="1"/>
    <row r="17" ht="14.25" customHeight="1"/>
    <row r="18" ht="14.25" customHeight="1">
      <c r="D18" s="1" t="s">
        <v>70</v>
      </c>
      <c r="E18" s="1" t="s">
        <v>96</v>
      </c>
      <c r="F18" s="1" t="s">
        <v>79</v>
      </c>
      <c r="G18" s="1" t="s">
        <v>70</v>
      </c>
      <c r="K18" s="1" t="s">
        <v>80</v>
      </c>
    </row>
    <row r="19" ht="14.25" customHeight="1">
      <c r="B19" s="1">
        <v>37.0</v>
      </c>
      <c r="D19" s="1">
        <v>56.0</v>
      </c>
      <c r="E19" s="1">
        <f t="shared" ref="E19:E23" si="2">330*1.6</f>
        <v>528</v>
      </c>
      <c r="F19" s="1">
        <v>35.0</v>
      </c>
      <c r="G19" s="1">
        <f t="shared" ref="G19:G27" si="3">D19*F19</f>
        <v>1960</v>
      </c>
      <c r="I19" s="1">
        <f t="shared" ref="I19:I23" si="4">E19*F19</f>
        <v>18480</v>
      </c>
      <c r="K19" s="27">
        <f>(E19*12)/1000</f>
        <v>6.336</v>
      </c>
      <c r="L19" s="1" t="s">
        <v>81</v>
      </c>
    </row>
    <row r="20" ht="14.25" customHeight="1">
      <c r="B20" s="1">
        <v>26.0</v>
      </c>
      <c r="D20" s="1">
        <v>27.0</v>
      </c>
      <c r="E20" s="1">
        <f t="shared" si="2"/>
        <v>528</v>
      </c>
      <c r="F20" s="1">
        <v>171.0</v>
      </c>
      <c r="G20" s="1">
        <f t="shared" si="3"/>
        <v>4617</v>
      </c>
      <c r="I20" s="1">
        <f t="shared" si="4"/>
        <v>90288</v>
      </c>
    </row>
    <row r="21" ht="14.25" customHeight="1">
      <c r="B21" s="1">
        <v>22.0</v>
      </c>
      <c r="D21" s="1">
        <v>25.0</v>
      </c>
      <c r="E21" s="1">
        <f t="shared" si="2"/>
        <v>528</v>
      </c>
      <c r="F21" s="1">
        <v>422.0</v>
      </c>
      <c r="G21" s="1">
        <f t="shared" si="3"/>
        <v>10550</v>
      </c>
      <c r="I21" s="1">
        <f t="shared" si="4"/>
        <v>222816</v>
      </c>
    </row>
    <row r="22" ht="14.25" customHeight="1">
      <c r="B22" s="1">
        <v>15.0</v>
      </c>
      <c r="D22" s="1">
        <v>24.0</v>
      </c>
      <c r="E22" s="1">
        <f t="shared" si="2"/>
        <v>528</v>
      </c>
      <c r="F22" s="1">
        <v>700.0</v>
      </c>
      <c r="G22" s="1">
        <f t="shared" si="3"/>
        <v>16800</v>
      </c>
      <c r="I22" s="1">
        <f t="shared" si="4"/>
        <v>369600</v>
      </c>
    </row>
    <row r="23" ht="14.25" customHeight="1">
      <c r="B23" s="1">
        <v>10.0</v>
      </c>
      <c r="D23" s="1">
        <v>24.0</v>
      </c>
      <c r="E23" s="1">
        <f t="shared" si="2"/>
        <v>528</v>
      </c>
      <c r="F23" s="1">
        <v>850.0</v>
      </c>
      <c r="G23" s="1">
        <f t="shared" si="3"/>
        <v>20400</v>
      </c>
      <c r="I23" s="1">
        <f t="shared" si="4"/>
        <v>448800</v>
      </c>
    </row>
    <row r="24" ht="14.25" customHeight="1">
      <c r="B24" s="1">
        <v>-6.5</v>
      </c>
      <c r="D24" s="1">
        <v>23.0</v>
      </c>
      <c r="F24" s="1">
        <v>5000.0</v>
      </c>
      <c r="G24" s="1">
        <f t="shared" si="3"/>
        <v>115000</v>
      </c>
    </row>
    <row r="25" ht="14.25" customHeight="1">
      <c r="B25" s="1">
        <v>-23.0</v>
      </c>
      <c r="D25" s="1">
        <v>23.0</v>
      </c>
      <c r="F25" s="1">
        <v>512.0</v>
      </c>
      <c r="G25" s="1">
        <f t="shared" si="3"/>
        <v>11776</v>
      </c>
      <c r="K25" s="28">
        <v>3600.0</v>
      </c>
      <c r="L25" s="28" t="s">
        <v>83</v>
      </c>
      <c r="M25" s="28">
        <v>1.0</v>
      </c>
      <c r="N25" s="28" t="s">
        <v>82</v>
      </c>
    </row>
    <row r="26" ht="14.25" customHeight="1">
      <c r="B26" s="1">
        <v>-37.0</v>
      </c>
      <c r="D26" s="1">
        <v>23.0</v>
      </c>
      <c r="F26" s="1">
        <v>683.0</v>
      </c>
      <c r="G26" s="1">
        <f t="shared" si="3"/>
        <v>15709</v>
      </c>
    </row>
    <row r="27" ht="14.25" customHeight="1">
      <c r="B27" s="1">
        <v>-38.0</v>
      </c>
      <c r="D27" s="1">
        <v>23.0</v>
      </c>
      <c r="F27" s="1">
        <v>171.0</v>
      </c>
      <c r="G27" s="1">
        <f t="shared" si="3"/>
        <v>3933</v>
      </c>
      <c r="K27" s="28">
        <v>2256.0</v>
      </c>
      <c r="L27" s="28" t="s">
        <v>83</v>
      </c>
      <c r="M27" s="28">
        <v>1.0</v>
      </c>
      <c r="N27" s="28" t="s">
        <v>84</v>
      </c>
    </row>
    <row r="28" ht="14.25" customHeight="1">
      <c r="F28" s="1">
        <f t="shared" ref="F28:G28" si="5">SUM(F19:F27)</f>
        <v>8544</v>
      </c>
      <c r="G28" s="1">
        <f t="shared" si="5"/>
        <v>200745</v>
      </c>
      <c r="H28" s="1" t="s">
        <v>70</v>
      </c>
      <c r="I28" s="30">
        <f>(SUM(I19:I27)/1000)/0.9</f>
        <v>1277.76</v>
      </c>
      <c r="J28" s="1" t="s">
        <v>85</v>
      </c>
    </row>
    <row r="29" ht="14.25" customHeight="1">
      <c r="K29" s="1">
        <f>K25/K27</f>
        <v>1.595744681</v>
      </c>
      <c r="L29" s="1" t="s">
        <v>84</v>
      </c>
    </row>
    <row r="30" ht="14.25" customHeight="1">
      <c r="F30" s="1" t="s">
        <v>86</v>
      </c>
      <c r="G30" s="1" t="s">
        <v>87</v>
      </c>
    </row>
    <row r="31" ht="14.25" customHeight="1">
      <c r="F31" s="1">
        <v>8544.0</v>
      </c>
      <c r="G31" s="1">
        <v>330.0</v>
      </c>
      <c r="H31" s="1">
        <f>F31*G31</f>
        <v>2819520</v>
      </c>
      <c r="I31" s="1" t="s">
        <v>70</v>
      </c>
      <c r="K31" s="1" t="s">
        <v>88</v>
      </c>
      <c r="L31" s="31">
        <f>(1-(H31/(H31+G28))*100%)+1</f>
        <v>1.066466022</v>
      </c>
    </row>
    <row r="32" ht="14.25" customHeight="1"/>
    <row r="33" ht="14.25" customHeight="1">
      <c r="F33" s="1">
        <f>G31*140</f>
        <v>46200</v>
      </c>
      <c r="G33" s="1">
        <f>F33*F31</f>
        <v>394732800</v>
      </c>
      <c r="H33" s="1">
        <f>G28*140</f>
        <v>28104300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14"/>
    <col customWidth="1" min="4" max="5" width="8.71"/>
    <col customWidth="1" min="6" max="6" width="11.57"/>
    <col customWidth="1" min="7" max="7" width="11.14"/>
    <col customWidth="1" min="8" max="8" width="8.71"/>
    <col customWidth="1" min="9" max="9" width="9.29"/>
    <col customWidth="1" min="10" max="10" width="17.57"/>
    <col customWidth="1" min="11" max="11" width="17.14"/>
    <col customWidth="1" min="12" max="12" width="11.29"/>
    <col customWidth="1" min="13" max="26" width="8.71"/>
  </cols>
  <sheetData>
    <row r="1" ht="14.25" customHeight="1">
      <c r="B1" s="1" t="s">
        <v>113</v>
      </c>
    </row>
    <row r="2" ht="14.25" customHeight="1">
      <c r="B2" s="1" t="s">
        <v>63</v>
      </c>
      <c r="D2" s="1" t="s">
        <v>114</v>
      </c>
      <c r="H2" s="37" t="s">
        <v>77</v>
      </c>
    </row>
    <row r="3" ht="14.25" customHeight="1">
      <c r="B3" s="1">
        <v>640.0</v>
      </c>
      <c r="C3" s="1" t="s">
        <v>14</v>
      </c>
      <c r="D3" s="1" t="s">
        <v>65</v>
      </c>
    </row>
    <row r="4" ht="14.25" customHeight="1">
      <c r="B4" s="1">
        <v>15.0</v>
      </c>
      <c r="C4" s="1" t="s">
        <v>14</v>
      </c>
      <c r="D4" s="1" t="s">
        <v>101</v>
      </c>
      <c r="G4" s="1" t="s">
        <v>102</v>
      </c>
    </row>
    <row r="5" ht="14.25" customHeight="1">
      <c r="B5" s="1" t="s">
        <v>115</v>
      </c>
      <c r="C5" s="1" t="s">
        <v>103</v>
      </c>
    </row>
    <row r="6" ht="14.25" customHeight="1">
      <c r="B6" s="1">
        <v>4.0</v>
      </c>
      <c r="C6" s="1" t="s">
        <v>104</v>
      </c>
      <c r="D6" s="1">
        <v>160.0</v>
      </c>
      <c r="E6" s="1" t="s">
        <v>14</v>
      </c>
      <c r="F6" s="1">
        <f>D6*B6</f>
        <v>640</v>
      </c>
      <c r="G6" s="1" t="s">
        <v>105</v>
      </c>
      <c r="H6" s="1">
        <v>650.0</v>
      </c>
      <c r="I6" s="1" t="s">
        <v>14</v>
      </c>
    </row>
    <row r="7" ht="14.25" customHeight="1"/>
    <row r="8" ht="14.25" customHeight="1">
      <c r="B8" s="1">
        <v>160.0</v>
      </c>
      <c r="C8" s="1" t="s">
        <v>70</v>
      </c>
      <c r="D8" s="1" t="s">
        <v>28</v>
      </c>
      <c r="E8" s="1">
        <f>H6/B8</f>
        <v>4.0625</v>
      </c>
      <c r="F8" s="1" t="s">
        <v>72</v>
      </c>
      <c r="G8" s="1">
        <v>7.0</v>
      </c>
      <c r="H8" s="1" t="s">
        <v>72</v>
      </c>
      <c r="I8" s="1" t="s">
        <v>106</v>
      </c>
      <c r="J8" s="26"/>
      <c r="K8" s="26"/>
    </row>
    <row r="9" ht="14.25" customHeight="1">
      <c r="B9" s="1">
        <v>14.0</v>
      </c>
      <c r="C9" s="1" t="s">
        <v>70</v>
      </c>
      <c r="D9" s="1" t="s">
        <v>73</v>
      </c>
    </row>
    <row r="10" ht="14.25" customHeight="1">
      <c r="B10" s="1">
        <v>23.0</v>
      </c>
      <c r="C10" s="1" t="s">
        <v>70</v>
      </c>
      <c r="D10" s="1" t="s">
        <v>74</v>
      </c>
      <c r="J10" s="26"/>
      <c r="K10" s="26"/>
    </row>
    <row r="11" ht="14.25" customHeight="1">
      <c r="B11" s="1">
        <v>23.0</v>
      </c>
      <c r="C11" s="1" t="s">
        <v>70</v>
      </c>
      <c r="D11" s="1" t="s">
        <v>75</v>
      </c>
    </row>
    <row r="12" ht="14.25" customHeight="1">
      <c r="B12" s="1">
        <v>898.0</v>
      </c>
      <c r="C12" s="1" t="s">
        <v>76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>
      <c r="D18" s="1" t="s">
        <v>70</v>
      </c>
      <c r="E18" s="1" t="s">
        <v>78</v>
      </c>
      <c r="F18" s="1" t="s">
        <v>79</v>
      </c>
      <c r="G18" s="1" t="s">
        <v>70</v>
      </c>
      <c r="K18" s="1" t="s">
        <v>80</v>
      </c>
    </row>
    <row r="19" ht="14.25" customHeight="1">
      <c r="B19" s="1">
        <v>38.0</v>
      </c>
      <c r="D19" s="1">
        <v>23.0</v>
      </c>
      <c r="E19" s="1">
        <v>274.0</v>
      </c>
      <c r="F19" s="1">
        <v>120.0</v>
      </c>
      <c r="G19" s="1">
        <f t="shared" ref="G19:G27" si="1">D19*F19</f>
        <v>2760</v>
      </c>
      <c r="I19" s="1">
        <f t="shared" ref="I19:I23" si="2">E19*F19</f>
        <v>32880</v>
      </c>
      <c r="K19" s="27">
        <f>(E19*12)/1000</f>
        <v>3.288</v>
      </c>
      <c r="L19" s="1" t="s">
        <v>81</v>
      </c>
    </row>
    <row r="20" ht="14.25" customHeight="1">
      <c r="B20" s="1">
        <v>26.0</v>
      </c>
      <c r="D20" s="1">
        <v>23.0</v>
      </c>
      <c r="E20" s="1">
        <v>110.0</v>
      </c>
      <c r="F20" s="1">
        <v>171.0</v>
      </c>
      <c r="G20" s="1">
        <f t="shared" si="1"/>
        <v>3933</v>
      </c>
      <c r="I20" s="1">
        <f t="shared" si="2"/>
        <v>18810</v>
      </c>
    </row>
    <row r="21" ht="14.25" customHeight="1">
      <c r="B21" s="1">
        <v>22.0</v>
      </c>
      <c r="D21" s="1">
        <v>22.0</v>
      </c>
      <c r="E21" s="1">
        <v>100.0</v>
      </c>
      <c r="F21" s="1">
        <v>422.0</v>
      </c>
      <c r="G21" s="1">
        <f t="shared" si="1"/>
        <v>9284</v>
      </c>
      <c r="I21" s="1">
        <f t="shared" si="2"/>
        <v>42200</v>
      </c>
    </row>
    <row r="22" ht="14.25" customHeight="1">
      <c r="B22" s="1">
        <v>15.0</v>
      </c>
      <c r="D22" s="1">
        <v>19.0</v>
      </c>
      <c r="E22" s="1">
        <v>90.0</v>
      </c>
      <c r="F22" s="1">
        <v>700.0</v>
      </c>
      <c r="G22" s="1">
        <f t="shared" si="1"/>
        <v>13300</v>
      </c>
      <c r="I22" s="1">
        <f t="shared" si="2"/>
        <v>63000</v>
      </c>
    </row>
    <row r="23" ht="14.25" customHeight="1">
      <c r="B23" s="1">
        <v>10.0</v>
      </c>
      <c r="D23" s="1">
        <v>17.0</v>
      </c>
      <c r="E23" s="1">
        <v>50.0</v>
      </c>
      <c r="F23" s="1">
        <v>850.0</v>
      </c>
      <c r="G23" s="1">
        <f t="shared" si="1"/>
        <v>14450</v>
      </c>
      <c r="I23" s="1">
        <f t="shared" si="2"/>
        <v>42500</v>
      </c>
    </row>
    <row r="24" ht="14.25" customHeight="1">
      <c r="B24" s="1">
        <v>-6.5</v>
      </c>
      <c r="D24" s="1">
        <v>13.0</v>
      </c>
      <c r="F24" s="1">
        <v>4900.0</v>
      </c>
      <c r="G24" s="1">
        <f t="shared" si="1"/>
        <v>63700</v>
      </c>
    </row>
    <row r="25" ht="14.25" customHeight="1">
      <c r="B25" s="1">
        <v>-23.0</v>
      </c>
      <c r="D25" s="1">
        <v>12.0</v>
      </c>
      <c r="F25" s="1">
        <v>610.0</v>
      </c>
      <c r="G25" s="1">
        <f t="shared" si="1"/>
        <v>7320</v>
      </c>
      <c r="K25" s="28">
        <v>3600.0</v>
      </c>
      <c r="L25" s="28" t="s">
        <v>83</v>
      </c>
      <c r="M25" s="28">
        <v>1.0</v>
      </c>
      <c r="N25" s="28" t="s">
        <v>82</v>
      </c>
    </row>
    <row r="26" ht="14.25" customHeight="1">
      <c r="B26" s="1">
        <v>-37.0</v>
      </c>
      <c r="D26" s="1">
        <v>11.0</v>
      </c>
      <c r="F26" s="1">
        <v>679.0</v>
      </c>
      <c r="G26" s="1">
        <f t="shared" si="1"/>
        <v>7469</v>
      </c>
    </row>
    <row r="27" ht="14.25" customHeight="1">
      <c r="B27" s="1">
        <v>-38.0</v>
      </c>
      <c r="D27" s="1">
        <v>10.0</v>
      </c>
      <c r="F27" s="1">
        <v>92.0</v>
      </c>
      <c r="G27" s="1">
        <f t="shared" si="1"/>
        <v>920</v>
      </c>
      <c r="K27" s="28">
        <v>2256.0</v>
      </c>
      <c r="L27" s="28" t="s">
        <v>83</v>
      </c>
      <c r="M27" s="28">
        <v>1.0</v>
      </c>
      <c r="N27" s="28" t="s">
        <v>84</v>
      </c>
    </row>
    <row r="28" ht="14.25" customHeight="1">
      <c r="F28" s="1">
        <f t="shared" ref="F28:G28" si="3">SUM(F19:F27)</f>
        <v>8544</v>
      </c>
      <c r="G28" s="1">
        <f t="shared" si="3"/>
        <v>123136</v>
      </c>
      <c r="H28" s="1" t="s">
        <v>70</v>
      </c>
      <c r="I28" s="30">
        <f>(SUM(I19:I27)/1000)/0.9</f>
        <v>221.5444444</v>
      </c>
      <c r="J28" s="1" t="s">
        <v>107</v>
      </c>
    </row>
    <row r="29" ht="14.25" customHeight="1">
      <c r="K29" s="1">
        <f>K25/K27</f>
        <v>1.595744681</v>
      </c>
      <c r="L29" s="1" t="s">
        <v>84</v>
      </c>
      <c r="N29" s="1">
        <f>5*1.6</f>
        <v>8</v>
      </c>
    </row>
    <row r="30" ht="14.25" customHeight="1">
      <c r="F30" s="1" t="s">
        <v>86</v>
      </c>
      <c r="G30" s="1" t="s">
        <v>87</v>
      </c>
      <c r="J30" s="1">
        <f>G28*4*5</f>
        <v>2462720</v>
      </c>
    </row>
    <row r="31" ht="14.25" customHeight="1">
      <c r="F31" s="1">
        <v>8544.0</v>
      </c>
      <c r="G31" s="1">
        <v>160.0</v>
      </c>
      <c r="H31" s="1">
        <f>F31*G31</f>
        <v>1367040</v>
      </c>
      <c r="I31" s="1" t="s">
        <v>70</v>
      </c>
      <c r="K31" s="1" t="s">
        <v>88</v>
      </c>
      <c r="L31" s="31">
        <f>(1-(H31/(H31+G28))*100%)+1</f>
        <v>1.08263185</v>
      </c>
    </row>
    <row r="32" ht="14.25" customHeight="1"/>
    <row r="33" ht="14.25" customHeight="1">
      <c r="F33" s="1">
        <f>G31*4</f>
        <v>640</v>
      </c>
      <c r="G33" s="1">
        <f>F33*F31</f>
        <v>5468160</v>
      </c>
      <c r="H33" s="1">
        <f>G28*4</f>
        <v>492544</v>
      </c>
      <c r="K33" s="1">
        <f>2000*60</f>
        <v>120000</v>
      </c>
    </row>
    <row r="34" ht="14.25" customHeight="1"/>
    <row r="35" ht="14.25" customHeight="1"/>
    <row r="36" ht="14.25" customHeight="1"/>
    <row r="37" ht="14.25" customHeight="1"/>
    <row r="38" ht="14.25" customHeight="1">
      <c r="E38" s="1" t="s">
        <v>77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2" ref="H2"/>
  </hyperlinks>
  <printOptions/>
  <pageMargins bottom="0.75" footer="0.0" header="0.0" left="0.7" right="0.7" top="0.75"/>
  <pageSetup orientation="portrait"/>
  <drawing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14"/>
    <col customWidth="1" min="4" max="5" width="8.71"/>
    <col customWidth="1" min="6" max="6" width="11.57"/>
    <col customWidth="1" min="7" max="7" width="11.14"/>
    <col customWidth="1" min="8" max="8" width="8.71"/>
    <col customWidth="1" min="9" max="9" width="9.29"/>
    <col customWidth="1" min="10" max="10" width="17.57"/>
    <col customWidth="1" min="11" max="11" width="17.14"/>
    <col customWidth="1" min="12" max="12" width="11.29"/>
    <col customWidth="1" min="13" max="26" width="8.71"/>
  </cols>
  <sheetData>
    <row r="1" ht="14.25" customHeight="1">
      <c r="B1" s="1" t="s">
        <v>116</v>
      </c>
    </row>
    <row r="2" ht="14.25" customHeight="1">
      <c r="B2" s="1" t="s">
        <v>63</v>
      </c>
      <c r="H2" s="37" t="s">
        <v>77</v>
      </c>
    </row>
    <row r="3" ht="14.25" customHeight="1">
      <c r="B3" s="1">
        <v>430.0</v>
      </c>
      <c r="C3" s="1" t="s">
        <v>14</v>
      </c>
      <c r="D3" s="1" t="s">
        <v>65</v>
      </c>
    </row>
    <row r="4" ht="14.25" customHeight="1">
      <c r="B4" s="1">
        <v>10.0</v>
      </c>
      <c r="C4" s="1" t="s">
        <v>14</v>
      </c>
      <c r="D4" s="1" t="s">
        <v>101</v>
      </c>
      <c r="G4" s="1" t="s">
        <v>102</v>
      </c>
    </row>
    <row r="5" ht="14.25" customHeight="1">
      <c r="B5" s="1">
        <v>43.0</v>
      </c>
      <c r="C5" s="1" t="s">
        <v>103</v>
      </c>
    </row>
    <row r="6" ht="14.25" customHeight="1">
      <c r="B6" s="1">
        <v>1.0</v>
      </c>
      <c r="C6" s="1" t="s">
        <v>104</v>
      </c>
      <c r="D6" s="1">
        <v>430.0</v>
      </c>
      <c r="E6" s="1" t="s">
        <v>14</v>
      </c>
      <c r="F6" s="1">
        <v>8.0</v>
      </c>
      <c r="G6" s="1" t="s">
        <v>105</v>
      </c>
      <c r="H6" s="1">
        <f>D6+F6</f>
        <v>438</v>
      </c>
      <c r="I6" s="1" t="s">
        <v>14</v>
      </c>
    </row>
    <row r="7" ht="14.25" customHeight="1"/>
    <row r="8" ht="14.25" customHeight="1">
      <c r="B8" s="1">
        <v>225.0</v>
      </c>
      <c r="C8" s="1" t="s">
        <v>70</v>
      </c>
      <c r="D8" s="1" t="s">
        <v>28</v>
      </c>
      <c r="E8" s="30">
        <f>H6/B8</f>
        <v>1.946666667</v>
      </c>
      <c r="F8" s="1" t="s">
        <v>72</v>
      </c>
      <c r="G8" s="30">
        <f>E8+1</f>
        <v>2.946666667</v>
      </c>
      <c r="H8" s="1" t="s">
        <v>72</v>
      </c>
      <c r="I8" s="1" t="s">
        <v>106</v>
      </c>
      <c r="J8" s="26"/>
      <c r="K8" s="26"/>
    </row>
    <row r="9" ht="14.25" customHeight="1">
      <c r="B9" s="1">
        <v>15.0</v>
      </c>
      <c r="C9" s="1" t="s">
        <v>70</v>
      </c>
      <c r="D9" s="1" t="s">
        <v>73</v>
      </c>
    </row>
    <row r="10" ht="14.25" customHeight="1">
      <c r="B10" s="1">
        <v>22.0</v>
      </c>
      <c r="C10" s="1" t="s">
        <v>70</v>
      </c>
      <c r="D10" s="1" t="s">
        <v>74</v>
      </c>
      <c r="J10" s="26"/>
      <c r="K10" s="26"/>
    </row>
    <row r="11" ht="14.25" customHeight="1">
      <c r="C11" s="1" t="s">
        <v>70</v>
      </c>
      <c r="D11" s="1" t="s">
        <v>75</v>
      </c>
    </row>
    <row r="12" ht="14.25" customHeight="1">
      <c r="B12" s="30">
        <f>B3*K29</f>
        <v>686.1702128</v>
      </c>
      <c r="C12" s="1" t="s">
        <v>76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>
      <c r="D18" s="1" t="s">
        <v>70</v>
      </c>
      <c r="E18" s="1" t="s">
        <v>78</v>
      </c>
      <c r="F18" s="1" t="s">
        <v>79</v>
      </c>
      <c r="G18" s="1" t="s">
        <v>70</v>
      </c>
      <c r="K18" s="1" t="s">
        <v>80</v>
      </c>
    </row>
    <row r="19" ht="14.25" customHeight="1">
      <c r="B19" s="1">
        <v>38.0</v>
      </c>
      <c r="D19" s="1">
        <v>23.0</v>
      </c>
      <c r="E19" s="30">
        <f>B8*K29</f>
        <v>359.0425532</v>
      </c>
      <c r="F19" s="1">
        <v>120.0</v>
      </c>
      <c r="G19" s="1">
        <f t="shared" ref="G19:G27" si="1">D19*F19</f>
        <v>2760</v>
      </c>
      <c r="I19" s="1">
        <f t="shared" ref="I19:I23" si="2">E19*F19</f>
        <v>43085.10638</v>
      </c>
      <c r="K19" s="27">
        <f>(E19*12)/1000</f>
        <v>4.308510638</v>
      </c>
      <c r="L19" s="1" t="s">
        <v>81</v>
      </c>
    </row>
    <row r="20" ht="14.25" customHeight="1">
      <c r="B20" s="1">
        <v>26.0</v>
      </c>
      <c r="D20" s="1">
        <v>23.0</v>
      </c>
      <c r="E20" s="1">
        <v>110.0</v>
      </c>
      <c r="F20" s="1">
        <v>171.0</v>
      </c>
      <c r="G20" s="1">
        <f t="shared" si="1"/>
        <v>3933</v>
      </c>
      <c r="I20" s="1">
        <f t="shared" si="2"/>
        <v>18810</v>
      </c>
    </row>
    <row r="21" ht="14.25" customHeight="1">
      <c r="B21" s="1">
        <v>22.0</v>
      </c>
      <c r="D21" s="1">
        <v>22.0</v>
      </c>
      <c r="E21" s="1">
        <v>100.0</v>
      </c>
      <c r="F21" s="1">
        <v>422.0</v>
      </c>
      <c r="G21" s="1">
        <f t="shared" si="1"/>
        <v>9284</v>
      </c>
      <c r="I21" s="1">
        <f t="shared" si="2"/>
        <v>42200</v>
      </c>
    </row>
    <row r="22" ht="14.25" customHeight="1">
      <c r="B22" s="1">
        <v>15.0</v>
      </c>
      <c r="D22" s="1">
        <v>19.0</v>
      </c>
      <c r="E22" s="1">
        <v>90.0</v>
      </c>
      <c r="F22" s="1">
        <v>700.0</v>
      </c>
      <c r="G22" s="1">
        <f t="shared" si="1"/>
        <v>13300</v>
      </c>
      <c r="I22" s="1">
        <f t="shared" si="2"/>
        <v>63000</v>
      </c>
    </row>
    <row r="23" ht="14.25" customHeight="1">
      <c r="B23" s="1">
        <v>10.0</v>
      </c>
      <c r="D23" s="1">
        <v>17.0</v>
      </c>
      <c r="E23" s="1">
        <v>50.0</v>
      </c>
      <c r="F23" s="1">
        <v>850.0</v>
      </c>
      <c r="G23" s="1">
        <f t="shared" si="1"/>
        <v>14450</v>
      </c>
      <c r="I23" s="1">
        <f t="shared" si="2"/>
        <v>42500</v>
      </c>
    </row>
    <row r="24" ht="14.25" customHeight="1">
      <c r="B24" s="1">
        <v>-6.5</v>
      </c>
      <c r="D24" s="1">
        <v>13.0</v>
      </c>
      <c r="F24" s="1">
        <v>4900.0</v>
      </c>
      <c r="G24" s="1">
        <f t="shared" si="1"/>
        <v>63700</v>
      </c>
    </row>
    <row r="25" ht="14.25" customHeight="1">
      <c r="B25" s="1">
        <v>-23.0</v>
      </c>
      <c r="D25" s="1">
        <v>12.0</v>
      </c>
      <c r="F25" s="1">
        <v>610.0</v>
      </c>
      <c r="G25" s="1">
        <f t="shared" si="1"/>
        <v>7320</v>
      </c>
      <c r="K25" s="28">
        <v>3600.0</v>
      </c>
      <c r="L25" s="28" t="s">
        <v>83</v>
      </c>
      <c r="M25" s="28">
        <v>1.0</v>
      </c>
      <c r="N25" s="28" t="s">
        <v>82</v>
      </c>
    </row>
    <row r="26" ht="14.25" customHeight="1">
      <c r="B26" s="1">
        <v>-37.0</v>
      </c>
      <c r="D26" s="1">
        <v>11.0</v>
      </c>
      <c r="F26" s="1">
        <v>679.0</v>
      </c>
      <c r="G26" s="1">
        <f t="shared" si="1"/>
        <v>7469</v>
      </c>
    </row>
    <row r="27" ht="14.25" customHeight="1">
      <c r="B27" s="1">
        <v>-38.0</v>
      </c>
      <c r="D27" s="1">
        <v>10.0</v>
      </c>
      <c r="F27" s="1">
        <v>92.0</v>
      </c>
      <c r="G27" s="1">
        <f t="shared" si="1"/>
        <v>920</v>
      </c>
      <c r="K27" s="28">
        <v>2256.0</v>
      </c>
      <c r="L27" s="28" t="s">
        <v>83</v>
      </c>
      <c r="M27" s="28">
        <v>1.0</v>
      </c>
      <c r="N27" s="28" t="s">
        <v>84</v>
      </c>
    </row>
    <row r="28" ht="14.25" customHeight="1">
      <c r="F28" s="1">
        <f t="shared" ref="F28:G28" si="3">SUM(F19:F27)</f>
        <v>8544</v>
      </c>
      <c r="G28" s="1">
        <f t="shared" si="3"/>
        <v>123136</v>
      </c>
      <c r="H28" s="1" t="s">
        <v>70</v>
      </c>
      <c r="I28" s="30">
        <f>(SUM(I19:I27)/1000)/0.9</f>
        <v>232.8834515</v>
      </c>
      <c r="J28" s="1" t="s">
        <v>107</v>
      </c>
    </row>
    <row r="29" ht="14.25" customHeight="1">
      <c r="K29" s="1">
        <f>K25/K27</f>
        <v>1.595744681</v>
      </c>
      <c r="L29" s="1" t="s">
        <v>84</v>
      </c>
      <c r="N29" s="1">
        <f>5*1.6</f>
        <v>8</v>
      </c>
    </row>
    <row r="30" ht="14.25" customHeight="1">
      <c r="F30" s="1" t="s">
        <v>86</v>
      </c>
      <c r="G30" s="1" t="s">
        <v>87</v>
      </c>
      <c r="J30" s="1">
        <f>G28*4*5</f>
        <v>2462720</v>
      </c>
    </row>
    <row r="31" ht="14.25" customHeight="1">
      <c r="F31" s="1">
        <v>8544.0</v>
      </c>
      <c r="G31" s="1">
        <v>160.0</v>
      </c>
      <c r="H31" s="1">
        <f>F31*G31</f>
        <v>1367040</v>
      </c>
      <c r="I31" s="1" t="s">
        <v>70</v>
      </c>
      <c r="K31" s="1" t="s">
        <v>88</v>
      </c>
      <c r="L31" s="31">
        <f>(1-(H31/(H31+G28))*100%)+1</f>
        <v>1.08263185</v>
      </c>
    </row>
    <row r="32" ht="14.25" customHeight="1"/>
    <row r="33" ht="14.25" customHeight="1">
      <c r="F33" s="1">
        <f>G31*4</f>
        <v>640</v>
      </c>
      <c r="G33" s="1">
        <f>F33*F31</f>
        <v>5468160</v>
      </c>
      <c r="H33" s="1">
        <f>G28*4</f>
        <v>492544</v>
      </c>
      <c r="K33" s="1">
        <f>2000*60</f>
        <v>120000</v>
      </c>
    </row>
    <row r="34" ht="14.25" customHeight="1"/>
    <row r="35" ht="14.25" customHeight="1"/>
    <row r="36" ht="14.25" customHeight="1"/>
    <row r="37" ht="14.25" customHeight="1"/>
    <row r="38" ht="14.25" customHeight="1">
      <c r="E38" s="1" t="s">
        <v>77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2" ref="H2"/>
  </hyperlinks>
  <printOptions/>
  <pageMargins bottom="0.75" footer="0.0" header="0.0" left="0.7" right="0.7" top="0.75"/>
  <pageSetup orientation="portrait"/>
  <drawing r:id="rId3"/>
  <legacy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14"/>
    <col customWidth="1" min="3" max="4" width="8.71"/>
    <col customWidth="1" min="5" max="5" width="13.57"/>
    <col customWidth="1" min="6" max="6" width="13.71"/>
    <col customWidth="1" min="7" max="7" width="13.43"/>
    <col customWidth="1" min="8" max="8" width="13.14"/>
    <col customWidth="1" min="9" max="9" width="14.0"/>
    <col customWidth="1" min="10" max="11" width="8.71"/>
    <col customWidth="1" min="12" max="12" width="15.0"/>
    <col customWidth="1" min="13" max="13" width="27.14"/>
    <col customWidth="1" min="14" max="14" width="8.71"/>
    <col customWidth="1" min="15" max="15" width="25.43"/>
    <col customWidth="1" min="16" max="16" width="8.86"/>
    <col customWidth="1" min="17" max="17" width="8.71"/>
    <col customWidth="1" min="18" max="18" width="27.86"/>
    <col customWidth="1" min="19" max="19" width="8.71"/>
    <col customWidth="1" min="20" max="20" width="28.14"/>
    <col customWidth="1" min="21" max="22" width="8.71"/>
    <col customWidth="1" min="23" max="23" width="31.43"/>
    <col customWidth="1" min="24" max="24" width="11.57"/>
    <col customWidth="1" min="25" max="25" width="29.57"/>
    <col customWidth="1" min="26" max="26" width="8.86"/>
  </cols>
  <sheetData>
    <row r="1" ht="14.25" customHeight="1"/>
    <row r="2" ht="14.25" customHeight="1">
      <c r="D2" s="1" t="s">
        <v>0</v>
      </c>
      <c r="E2" s="1" t="s">
        <v>1</v>
      </c>
      <c r="F2" s="1" t="s">
        <v>2</v>
      </c>
      <c r="J2" s="1" t="s">
        <v>3</v>
      </c>
      <c r="R2" s="12" t="s">
        <v>58</v>
      </c>
      <c r="S2" s="13"/>
      <c r="T2" s="13"/>
      <c r="U2" s="14"/>
      <c r="W2" s="12" t="s">
        <v>58</v>
      </c>
      <c r="X2" s="13"/>
      <c r="Y2" s="13"/>
      <c r="Z2" s="14"/>
    </row>
    <row r="3" ht="14.25" customHeight="1">
      <c r="B3" s="1" t="s">
        <v>4</v>
      </c>
      <c r="C3" s="1">
        <v>1.0</v>
      </c>
      <c r="D3" s="1">
        <v>0.4</v>
      </c>
      <c r="E3" s="1">
        <v>124.0</v>
      </c>
      <c r="F3" s="1">
        <v>94.4</v>
      </c>
      <c r="J3" s="1" t="s">
        <v>5</v>
      </c>
      <c r="R3" s="15" t="s">
        <v>57</v>
      </c>
      <c r="S3" s="16"/>
      <c r="T3" s="10" t="s">
        <v>18</v>
      </c>
      <c r="U3" s="16"/>
      <c r="W3" s="15" t="s">
        <v>57</v>
      </c>
      <c r="X3" s="40" t="s">
        <v>117</v>
      </c>
      <c r="Y3" s="10" t="s">
        <v>18</v>
      </c>
      <c r="Z3" s="16"/>
    </row>
    <row r="4" ht="14.25" customHeight="1">
      <c r="B4" s="1" t="s">
        <v>6</v>
      </c>
      <c r="C4" s="1">
        <v>1.0</v>
      </c>
      <c r="D4" s="1">
        <v>0.8</v>
      </c>
      <c r="E4" s="1">
        <v>248.0</v>
      </c>
      <c r="F4" s="1">
        <v>188.0</v>
      </c>
      <c r="R4" s="17" t="s">
        <v>19</v>
      </c>
      <c r="S4" s="18">
        <f>(S5*S6*S7*S10)/3600</f>
        <v>36.37133333</v>
      </c>
      <c r="T4" s="1" t="s">
        <v>19</v>
      </c>
      <c r="U4" s="18">
        <f>(U5*U6*U7*U10)/3600</f>
        <v>216.125</v>
      </c>
      <c r="W4" s="17" t="s">
        <v>19</v>
      </c>
      <c r="X4" s="18">
        <f>(X5*X6*X7*X10)/3600</f>
        <v>23.05875</v>
      </c>
      <c r="Y4" s="1" t="s">
        <v>19</v>
      </c>
      <c r="Z4" s="18">
        <f>(Z5*Z6*Z7*Z10)/3600</f>
        <v>216.125</v>
      </c>
    </row>
    <row r="5" ht="14.25" customHeight="1">
      <c r="B5" s="1" t="s">
        <v>7</v>
      </c>
      <c r="C5" s="1">
        <v>1.0</v>
      </c>
      <c r="D5" s="1">
        <v>1.2</v>
      </c>
      <c r="E5" s="1">
        <v>372.0</v>
      </c>
      <c r="F5" s="1">
        <v>283.0</v>
      </c>
      <c r="J5" s="1" t="s">
        <v>8</v>
      </c>
      <c r="R5" s="17" t="s">
        <v>20</v>
      </c>
      <c r="S5" s="19">
        <v>8000.0</v>
      </c>
      <c r="T5" s="1" t="s">
        <v>20</v>
      </c>
      <c r="U5" s="19">
        <v>47500.0</v>
      </c>
      <c r="W5" s="17" t="s">
        <v>20</v>
      </c>
      <c r="X5" s="19">
        <v>47300.0</v>
      </c>
      <c r="Y5" s="1" t="s">
        <v>20</v>
      </c>
      <c r="Z5" s="19">
        <v>47500.0</v>
      </c>
    </row>
    <row r="6" ht="14.25" customHeight="1">
      <c r="R6" s="17" t="s">
        <v>25</v>
      </c>
      <c r="S6" s="2">
        <v>1.226</v>
      </c>
      <c r="T6" s="1" t="s">
        <v>25</v>
      </c>
      <c r="U6" s="19">
        <v>1.17</v>
      </c>
      <c r="W6" s="17" t="s">
        <v>25</v>
      </c>
      <c r="X6" s="2">
        <v>1.17</v>
      </c>
      <c r="Y6" s="1" t="s">
        <v>25</v>
      </c>
      <c r="Z6" s="19">
        <v>1.17</v>
      </c>
    </row>
    <row r="7" ht="14.25" customHeight="1">
      <c r="B7" s="1" t="s">
        <v>9</v>
      </c>
      <c r="E7" s="1">
        <v>236.0</v>
      </c>
      <c r="F7" s="1" t="s">
        <v>10</v>
      </c>
      <c r="J7" s="1" t="s">
        <v>11</v>
      </c>
      <c r="L7" s="1" t="s">
        <v>12</v>
      </c>
      <c r="R7" s="17" t="s">
        <v>27</v>
      </c>
      <c r="S7" s="19">
        <v>1.0</v>
      </c>
      <c r="T7" s="1" t="s">
        <v>27</v>
      </c>
      <c r="U7" s="19">
        <v>1.0</v>
      </c>
      <c r="W7" s="17" t="s">
        <v>27</v>
      </c>
      <c r="X7" s="19">
        <v>1.0</v>
      </c>
      <c r="Y7" s="1" t="s">
        <v>27</v>
      </c>
      <c r="Z7" s="19">
        <v>1.0</v>
      </c>
    </row>
    <row r="8" ht="14.25" customHeight="1">
      <c r="B8" s="1" t="s">
        <v>13</v>
      </c>
      <c r="E8" s="1">
        <v>310.0</v>
      </c>
      <c r="F8" s="1" t="s">
        <v>10</v>
      </c>
      <c r="J8" s="1">
        <v>0.7</v>
      </c>
      <c r="K8" s="1" t="s">
        <v>14</v>
      </c>
      <c r="L8" s="1">
        <v>1.0</v>
      </c>
      <c r="M8" s="1" t="s">
        <v>15</v>
      </c>
      <c r="R8" s="17" t="s">
        <v>29</v>
      </c>
      <c r="S8" s="20">
        <v>15.0</v>
      </c>
      <c r="T8" s="1" t="s">
        <v>30</v>
      </c>
      <c r="U8" s="20">
        <v>24.0</v>
      </c>
      <c r="W8" s="17" t="s">
        <v>29</v>
      </c>
      <c r="X8" s="20">
        <v>25.0</v>
      </c>
      <c r="Y8" s="1" t="s">
        <v>30</v>
      </c>
      <c r="Z8" s="20">
        <v>24.0</v>
      </c>
    </row>
    <row r="9" ht="14.25" customHeight="1">
      <c r="R9" s="17" t="s">
        <v>32</v>
      </c>
      <c r="S9" s="20">
        <v>28.35</v>
      </c>
      <c r="T9" s="1" t="s">
        <v>33</v>
      </c>
      <c r="U9" s="20">
        <v>38.0</v>
      </c>
      <c r="W9" s="17" t="s">
        <v>32</v>
      </c>
      <c r="X9" s="20">
        <v>26.5</v>
      </c>
      <c r="Y9" s="1" t="s">
        <v>33</v>
      </c>
      <c r="Z9" s="20">
        <v>38.0</v>
      </c>
    </row>
    <row r="10" ht="14.25" customHeight="1">
      <c r="R10" s="17" t="s">
        <v>35</v>
      </c>
      <c r="S10" s="19">
        <f>S9-S8</f>
        <v>13.35</v>
      </c>
      <c r="T10" s="1" t="s">
        <v>35</v>
      </c>
      <c r="U10" s="19">
        <f>U9-U8</f>
        <v>14</v>
      </c>
      <c r="W10" s="17" t="s">
        <v>35</v>
      </c>
      <c r="X10" s="19">
        <f>X9-X8</f>
        <v>1.5</v>
      </c>
      <c r="Y10" s="1" t="s">
        <v>35</v>
      </c>
      <c r="Z10" s="19">
        <f>Z9-Z8</f>
        <v>14</v>
      </c>
    </row>
    <row r="11" ht="14.25" customHeight="1">
      <c r="R11" s="17" t="s">
        <v>59</v>
      </c>
      <c r="S11" s="19"/>
      <c r="U11" s="20"/>
      <c r="W11" s="17" t="s">
        <v>59</v>
      </c>
      <c r="X11" s="19">
        <v>12.7</v>
      </c>
      <c r="Z11" s="20"/>
    </row>
    <row r="12" ht="14.25" customHeight="1">
      <c r="B12" s="1" t="s">
        <v>16</v>
      </c>
      <c r="R12" s="17" t="s">
        <v>60</v>
      </c>
      <c r="S12" s="19"/>
      <c r="U12" s="20"/>
      <c r="W12" s="17" t="s">
        <v>60</v>
      </c>
      <c r="X12" s="19">
        <v>18.54</v>
      </c>
      <c r="Z12" s="20"/>
    </row>
    <row r="13" ht="14.25" customHeight="1">
      <c r="C13" s="1">
        <v>17.0</v>
      </c>
      <c r="D13" s="1">
        <v>3.0</v>
      </c>
      <c r="E13" s="1">
        <f>C13*D13</f>
        <v>51</v>
      </c>
      <c r="F13" s="1">
        <v>600.0</v>
      </c>
      <c r="G13" s="1">
        <v>600.0</v>
      </c>
      <c r="R13" s="17" t="s">
        <v>19</v>
      </c>
      <c r="S13" s="20"/>
      <c r="U13" s="20"/>
      <c r="W13" s="17" t="s">
        <v>19</v>
      </c>
      <c r="X13" s="20">
        <f>(((X12-X11)*X5)/1000)*0.7</f>
        <v>193.3624</v>
      </c>
      <c r="Z13" s="20"/>
    </row>
    <row r="14" ht="14.25" customHeight="1">
      <c r="C14" s="1">
        <v>17.0</v>
      </c>
      <c r="D14" s="1">
        <v>9.0</v>
      </c>
      <c r="E14" s="1">
        <v>153.0</v>
      </c>
      <c r="F14" s="1">
        <v>600.0</v>
      </c>
      <c r="G14" s="1">
        <v>1800.0</v>
      </c>
      <c r="M14" s="12" t="s">
        <v>58</v>
      </c>
      <c r="N14" s="13"/>
      <c r="O14" s="13"/>
      <c r="P14" s="14"/>
      <c r="R14" s="21" t="s">
        <v>61</v>
      </c>
      <c r="S14" s="22"/>
      <c r="T14" s="23"/>
      <c r="U14" s="24"/>
      <c r="W14" s="21" t="s">
        <v>61</v>
      </c>
      <c r="X14" s="22">
        <f>X13+X4</f>
        <v>216.42115</v>
      </c>
      <c r="Y14" s="23"/>
      <c r="Z14" s="24"/>
    </row>
    <row r="15" ht="14.25" customHeight="1">
      <c r="C15" s="1">
        <v>17.0</v>
      </c>
      <c r="D15" s="1">
        <v>12.0</v>
      </c>
      <c r="E15" s="1">
        <v>204.0</v>
      </c>
      <c r="F15" s="1">
        <v>600.0</v>
      </c>
      <c r="G15" s="1">
        <v>2400.0</v>
      </c>
      <c r="M15" s="15" t="s">
        <v>57</v>
      </c>
      <c r="N15" s="16" t="s">
        <v>118</v>
      </c>
      <c r="O15" s="10" t="s">
        <v>18</v>
      </c>
      <c r="P15" s="16"/>
    </row>
    <row r="16" ht="14.25" customHeight="1">
      <c r="M16" s="17" t="s">
        <v>19</v>
      </c>
      <c r="N16" s="18">
        <f>(N17*N18*N19*N22)/3600</f>
        <v>19.93444444</v>
      </c>
      <c r="O16" s="1" t="s">
        <v>19</v>
      </c>
      <c r="P16" s="18">
        <f>(P17*P18*P19*P22)/3600</f>
        <v>30.93333333</v>
      </c>
      <c r="W16" s="1" t="s">
        <v>119</v>
      </c>
      <c r="X16" s="30">
        <f>((Z4-X14)+(Z5*Z6*Z7*(Y16-24)))/3600</f>
        <v>48.99720034</v>
      </c>
      <c r="Y16" s="1">
        <f>X8/0.92</f>
        <v>27.17391304</v>
      </c>
    </row>
    <row r="17" ht="14.25" customHeight="1">
      <c r="M17" s="17" t="s">
        <v>20</v>
      </c>
      <c r="N17" s="19">
        <v>8000.0</v>
      </c>
      <c r="O17" s="1" t="s">
        <v>20</v>
      </c>
      <c r="P17" s="19">
        <v>8000.0</v>
      </c>
    </row>
    <row r="18" ht="14.25" customHeight="1">
      <c r="E18" s="1" t="s">
        <v>21</v>
      </c>
      <c r="F18" s="1" t="s">
        <v>22</v>
      </c>
      <c r="G18" s="1" t="s">
        <v>23</v>
      </c>
      <c r="H18" s="1" t="s">
        <v>24</v>
      </c>
      <c r="M18" s="17" t="s">
        <v>25</v>
      </c>
      <c r="N18" s="2">
        <v>1.165</v>
      </c>
      <c r="O18" s="1" t="s">
        <v>25</v>
      </c>
      <c r="P18" s="19">
        <v>1.16</v>
      </c>
      <c r="W18" s="1" t="s">
        <v>120</v>
      </c>
      <c r="X18" s="1">
        <v>50.0</v>
      </c>
    </row>
    <row r="19" ht="14.25" customHeight="1">
      <c r="B19" s="1" t="s">
        <v>26</v>
      </c>
      <c r="E19" s="1">
        <v>408.0</v>
      </c>
      <c r="F19" s="1">
        <f>($E$19*$E$3)/1000</f>
        <v>50.592</v>
      </c>
      <c r="G19" s="1">
        <f>($E$4*$E$19)/1000</f>
        <v>101.184</v>
      </c>
      <c r="H19" s="1">
        <f>($E$5*$E$19)/1000</f>
        <v>151.776</v>
      </c>
      <c r="M19" s="17" t="s">
        <v>27</v>
      </c>
      <c r="N19" s="19">
        <v>1.0</v>
      </c>
      <c r="O19" s="1" t="s">
        <v>27</v>
      </c>
      <c r="P19" s="19">
        <v>1.0</v>
      </c>
      <c r="W19" s="1" t="s">
        <v>121</v>
      </c>
      <c r="X19" s="1">
        <f>X18/3.3</f>
        <v>15.15151515</v>
      </c>
      <c r="Y19" s="1">
        <v>1.0</v>
      </c>
      <c r="Z19" s="1">
        <f t="shared" ref="Z19:Z23" si="1">Y19*X19</f>
        <v>15.15151515</v>
      </c>
    </row>
    <row r="20" ht="14.25" customHeight="1">
      <c r="B20" s="1" t="s">
        <v>28</v>
      </c>
      <c r="E20" s="1">
        <v>816.0</v>
      </c>
      <c r="F20" s="1">
        <f>($E$20*$E$3)/1000</f>
        <v>101.184</v>
      </c>
      <c r="G20" s="1">
        <f>($E$4*$E$20)/1000</f>
        <v>202.368</v>
      </c>
      <c r="H20" s="1">
        <f>($E$5*$E$20)/1000</f>
        <v>303.552</v>
      </c>
      <c r="M20" s="17" t="s">
        <v>29</v>
      </c>
      <c r="N20" s="20">
        <v>21.3</v>
      </c>
      <c r="O20" s="1" t="s">
        <v>30</v>
      </c>
      <c r="P20" s="20">
        <v>24.0</v>
      </c>
      <c r="W20" s="1" t="s">
        <v>122</v>
      </c>
      <c r="X20" s="1">
        <v>2.8</v>
      </c>
      <c r="Y20" s="1">
        <v>4.0</v>
      </c>
      <c r="Z20" s="1">
        <f t="shared" si="1"/>
        <v>11.2</v>
      </c>
    </row>
    <row r="21" ht="14.25" customHeight="1">
      <c r="B21" s="1" t="s">
        <v>31</v>
      </c>
      <c r="E21" s="1">
        <v>1224.0</v>
      </c>
      <c r="F21" s="1">
        <f>($E$21*$E$3)/1000</f>
        <v>151.776</v>
      </c>
      <c r="G21" s="1">
        <f>($E$4*$E$21)/1000</f>
        <v>303.552</v>
      </c>
      <c r="H21" s="1">
        <f>($E$5*$E$21)/1000</f>
        <v>455.328</v>
      </c>
      <c r="K21" s="1">
        <f>(E21*100)/1000</f>
        <v>122.4</v>
      </c>
      <c r="M21" s="17" t="s">
        <v>32</v>
      </c>
      <c r="N21" s="20">
        <v>29.0</v>
      </c>
      <c r="O21" s="1" t="s">
        <v>33</v>
      </c>
      <c r="P21" s="20">
        <v>36.0</v>
      </c>
      <c r="W21" s="1" t="s">
        <v>123</v>
      </c>
      <c r="X21" s="1">
        <v>2.8</v>
      </c>
      <c r="Y21" s="1">
        <v>4.0</v>
      </c>
      <c r="Z21" s="1">
        <f t="shared" si="1"/>
        <v>11.2</v>
      </c>
    </row>
    <row r="22" ht="14.25" customHeight="1">
      <c r="B22" s="1" t="s">
        <v>34</v>
      </c>
      <c r="E22" s="1">
        <v>1632.0</v>
      </c>
      <c r="F22" s="1">
        <f>($E$22*$E$3)/1000</f>
        <v>202.368</v>
      </c>
      <c r="G22" s="1">
        <f>($E$4*$E$22)/1000</f>
        <v>404.736</v>
      </c>
      <c r="H22" s="1">
        <f>($E$5*$E$22)/1000</f>
        <v>607.104</v>
      </c>
      <c r="M22" s="17" t="s">
        <v>35</v>
      </c>
      <c r="N22" s="19">
        <f>N21-N20</f>
        <v>7.7</v>
      </c>
      <c r="O22" s="1" t="s">
        <v>35</v>
      </c>
      <c r="P22" s="19">
        <f>P21-P20</f>
        <v>12</v>
      </c>
      <c r="W22" s="1" t="s">
        <v>124</v>
      </c>
      <c r="X22" s="1">
        <v>1.0</v>
      </c>
      <c r="Y22" s="1">
        <v>1.0</v>
      </c>
      <c r="Z22" s="1">
        <f t="shared" si="1"/>
        <v>1</v>
      </c>
    </row>
    <row r="23" ht="14.25" customHeight="1">
      <c r="M23" s="17" t="s">
        <v>59</v>
      </c>
      <c r="N23" s="19">
        <v>14.0</v>
      </c>
      <c r="P23" s="20"/>
      <c r="W23" s="1" t="s">
        <v>125</v>
      </c>
      <c r="X23" s="1">
        <v>0.3</v>
      </c>
      <c r="Y23" s="1">
        <v>1.0</v>
      </c>
      <c r="Z23" s="1">
        <f t="shared" si="1"/>
        <v>0.3</v>
      </c>
    </row>
    <row r="24" ht="14.25" customHeight="1">
      <c r="M24" s="17" t="s">
        <v>60</v>
      </c>
      <c r="N24" s="19">
        <v>20.62</v>
      </c>
      <c r="P24" s="20"/>
    </row>
    <row r="25" ht="14.25" customHeight="1">
      <c r="B25" s="1" t="s">
        <v>36</v>
      </c>
      <c r="M25" s="17" t="s">
        <v>19</v>
      </c>
      <c r="N25" s="20">
        <f>(((N24-N23)*N17)/1000)*0.7</f>
        <v>37.072</v>
      </c>
      <c r="P25" s="20"/>
      <c r="W25" s="1" t="s">
        <v>126</v>
      </c>
      <c r="X25" s="1">
        <v>200.0</v>
      </c>
    </row>
    <row r="26" ht="14.25" customHeight="1">
      <c r="M26" s="21" t="s">
        <v>61</v>
      </c>
      <c r="N26" s="22">
        <f>N25+N16</f>
        <v>57.00644444</v>
      </c>
      <c r="O26" s="23"/>
      <c r="P26" s="24"/>
      <c r="W26" s="1" t="s">
        <v>127</v>
      </c>
      <c r="X26" s="1">
        <v>216.0</v>
      </c>
    </row>
    <row r="27" ht="14.25" customHeight="1">
      <c r="B27" s="1" t="s">
        <v>38</v>
      </c>
      <c r="W27" s="1" t="s">
        <v>128</v>
      </c>
      <c r="X27" s="1">
        <v>208.0</v>
      </c>
    </row>
    <row r="28" ht="14.25" customHeight="1">
      <c r="M28" s="1" t="s">
        <v>119</v>
      </c>
      <c r="N28" s="30">
        <f>((P16-N26)+(P17*P18*P19*(O28-24)))/3600</f>
        <v>-2.192749777</v>
      </c>
      <c r="O28" s="1">
        <f>N20/0.92</f>
        <v>23.15217391</v>
      </c>
    </row>
    <row r="29" ht="14.25" customHeight="1">
      <c r="B29" s="1" t="s">
        <v>40</v>
      </c>
      <c r="C29" s="1" t="s">
        <v>41</v>
      </c>
      <c r="W29" s="1" t="s">
        <v>129</v>
      </c>
      <c r="X29" s="39">
        <f>SUM(Z19:Z23)</f>
        <v>38.85151515</v>
      </c>
    </row>
    <row r="30" ht="14.25" customHeight="1">
      <c r="C30" s="1" t="s">
        <v>42</v>
      </c>
      <c r="N30" s="2">
        <v>1.247</v>
      </c>
      <c r="O30" s="1" t="s">
        <v>37</v>
      </c>
      <c r="W30" s="1" t="s">
        <v>130</v>
      </c>
      <c r="X30" s="1">
        <f>Z20+Z21+Z22+Z23</f>
        <v>23.7</v>
      </c>
    </row>
    <row r="31" ht="14.25" customHeight="1">
      <c r="N31" s="2">
        <v>1.226</v>
      </c>
      <c r="O31" s="1" t="s">
        <v>62</v>
      </c>
      <c r="W31" s="1" t="s">
        <v>131</v>
      </c>
      <c r="X31" s="1">
        <f>Z20+2.8+2.8+1.5+0.5</f>
        <v>18.8</v>
      </c>
    </row>
    <row r="32" ht="14.25" customHeight="1">
      <c r="N32" s="2">
        <v>1.17</v>
      </c>
      <c r="O32" s="1" t="s">
        <v>39</v>
      </c>
      <c r="W32" s="1" t="s">
        <v>132</v>
      </c>
      <c r="X32" s="1">
        <f>Z20+2+1.6</f>
        <v>14.8</v>
      </c>
    </row>
    <row r="33" ht="14.25" customHeight="1"/>
    <row r="34" ht="14.25" customHeight="1"/>
    <row r="35" ht="14.25" customHeight="1"/>
    <row r="36" ht="14.25" customHeight="1"/>
    <row r="37" ht="14.25" customHeight="1">
      <c r="W37" s="12" t="s">
        <v>58</v>
      </c>
      <c r="X37" s="13"/>
      <c r="Y37" s="13"/>
      <c r="Z37" s="14"/>
    </row>
    <row r="38" ht="14.25" customHeight="1">
      <c r="W38" s="15" t="s">
        <v>57</v>
      </c>
      <c r="X38" s="16" t="s">
        <v>133</v>
      </c>
      <c r="Y38" s="10" t="s">
        <v>18</v>
      </c>
      <c r="Z38" s="16"/>
    </row>
    <row r="39" ht="14.25" customHeight="1">
      <c r="W39" s="17" t="s">
        <v>19</v>
      </c>
      <c r="X39" s="18">
        <f>(X40*X41*X42*X45)/3600</f>
        <v>52.88888889</v>
      </c>
      <c r="Y39" s="1" t="s">
        <v>19</v>
      </c>
      <c r="Z39" s="18">
        <f>(Z40*Z41*Z42*Z45)/3600</f>
        <v>214.2133333</v>
      </c>
    </row>
    <row r="40" ht="14.25" customHeight="1">
      <c r="W40" s="17" t="s">
        <v>20</v>
      </c>
      <c r="X40" s="19">
        <v>40000.0</v>
      </c>
      <c r="Y40" s="1" t="s">
        <v>20</v>
      </c>
      <c r="Z40" s="19">
        <v>55400.0</v>
      </c>
    </row>
    <row r="41" ht="14.25" customHeight="1">
      <c r="W41" s="17" t="s">
        <v>25</v>
      </c>
      <c r="X41" s="2">
        <v>1.7</v>
      </c>
      <c r="Y41" s="1" t="s">
        <v>25</v>
      </c>
      <c r="Z41" s="19">
        <v>1.16</v>
      </c>
    </row>
    <row r="42" ht="14.25" customHeight="1">
      <c r="W42" s="17" t="s">
        <v>27</v>
      </c>
      <c r="X42" s="19">
        <v>1.0</v>
      </c>
      <c r="Y42" s="1" t="s">
        <v>27</v>
      </c>
      <c r="Z42" s="19">
        <v>1.0</v>
      </c>
    </row>
    <row r="43" ht="14.25" customHeight="1">
      <c r="W43" s="17" t="s">
        <v>29</v>
      </c>
      <c r="X43" s="20">
        <v>21.7</v>
      </c>
      <c r="Y43" s="1" t="s">
        <v>30</v>
      </c>
      <c r="Z43" s="20">
        <v>24.0</v>
      </c>
    </row>
    <row r="44" ht="14.25" customHeight="1">
      <c r="W44" s="17" t="s">
        <v>32</v>
      </c>
      <c r="X44" s="20">
        <v>24.5</v>
      </c>
      <c r="Y44" s="1" t="s">
        <v>33</v>
      </c>
      <c r="Z44" s="20">
        <v>36.0</v>
      </c>
    </row>
    <row r="45" ht="14.25" customHeight="1">
      <c r="W45" s="17" t="s">
        <v>35</v>
      </c>
      <c r="X45" s="19">
        <f>X44-X43</f>
        <v>2.8</v>
      </c>
      <c r="Y45" s="1" t="s">
        <v>35</v>
      </c>
      <c r="Z45" s="19">
        <f>Z44-Z43</f>
        <v>12</v>
      </c>
    </row>
    <row r="46" ht="14.25" customHeight="1">
      <c r="W46" s="17" t="s">
        <v>59</v>
      </c>
      <c r="X46" s="19">
        <v>9.26</v>
      </c>
      <c r="Z46" s="20"/>
    </row>
    <row r="47" ht="14.25" customHeight="1">
      <c r="W47" s="17" t="s">
        <v>60</v>
      </c>
      <c r="X47" s="19">
        <v>15.0</v>
      </c>
      <c r="Z47" s="20"/>
    </row>
    <row r="48" ht="14.25" customHeight="1">
      <c r="W48" s="17" t="s">
        <v>19</v>
      </c>
      <c r="X48" s="20">
        <f>(((X47-X46)*X40)/1000)*0.7</f>
        <v>160.72</v>
      </c>
      <c r="Z48" s="20"/>
    </row>
    <row r="49" ht="14.25" customHeight="1">
      <c r="W49" s="21" t="s">
        <v>61</v>
      </c>
      <c r="X49" s="22">
        <f>X48+X39</f>
        <v>213.6088889</v>
      </c>
      <c r="Y49" s="23"/>
      <c r="Z49" s="24"/>
    </row>
    <row r="50" ht="14.25" customHeight="1"/>
    <row r="51" ht="14.25" customHeight="1">
      <c r="W51" s="1" t="s">
        <v>119</v>
      </c>
      <c r="X51" s="30">
        <f>((Z39-X49)+(Z40*Z41*Z42*(Y51-24)))/3600</f>
        <v>-7.373117123</v>
      </c>
      <c r="Y51" s="1">
        <f>X43/0.92</f>
        <v>23.58695652</v>
      </c>
    </row>
    <row r="52" ht="14.25" customHeight="1"/>
    <row r="53" ht="14.25" customHeight="1">
      <c r="X53" s="2">
        <v>1.247</v>
      </c>
      <c r="Y53" s="1" t="s">
        <v>37</v>
      </c>
    </row>
    <row r="54" ht="14.25" customHeight="1">
      <c r="X54" s="2">
        <v>1.226</v>
      </c>
      <c r="Y54" s="1" t="s">
        <v>62</v>
      </c>
    </row>
    <row r="55" ht="14.25" customHeight="1">
      <c r="X55" s="2">
        <v>1.17</v>
      </c>
      <c r="Y55" s="1" t="s">
        <v>39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>
      <c r="C105" s="25"/>
      <c r="D105" s="1" t="s">
        <v>63</v>
      </c>
      <c r="F105" s="1" t="s">
        <v>64</v>
      </c>
      <c r="P105" s="25"/>
    </row>
    <row r="106" ht="14.25" customHeight="1">
      <c r="C106" s="25"/>
      <c r="D106" s="1">
        <v>1000.0</v>
      </c>
      <c r="E106" s="1" t="s">
        <v>14</v>
      </c>
      <c r="F106" s="1" t="s">
        <v>65</v>
      </c>
      <c r="P106" s="25"/>
    </row>
    <row r="107" ht="14.25" customHeight="1">
      <c r="C107" s="25"/>
      <c r="D107" s="1">
        <v>11.0</v>
      </c>
      <c r="E107" s="1" t="s">
        <v>14</v>
      </c>
      <c r="F107" s="1" t="s">
        <v>66</v>
      </c>
      <c r="P107" s="25"/>
    </row>
    <row r="108" ht="14.25" customHeight="1">
      <c r="C108" s="25"/>
      <c r="P108" s="25"/>
    </row>
    <row r="109" ht="14.25" customHeight="1">
      <c r="C109" s="25"/>
      <c r="D109" s="1" t="s">
        <v>67</v>
      </c>
      <c r="P109" s="25"/>
    </row>
    <row r="110" ht="14.25" customHeight="1">
      <c r="C110" s="25"/>
      <c r="M110" s="1" t="s">
        <v>68</v>
      </c>
      <c r="O110" s="1" t="s">
        <v>69</v>
      </c>
      <c r="P110" s="25"/>
    </row>
    <row r="111" ht="14.25" customHeight="1">
      <c r="C111" s="25"/>
      <c r="D111" s="1">
        <v>208.0</v>
      </c>
      <c r="E111" s="1" t="s">
        <v>70</v>
      </c>
      <c r="F111" s="1" t="s">
        <v>71</v>
      </c>
      <c r="G111" s="1">
        <v>3.0</v>
      </c>
      <c r="H111" s="1" t="s">
        <v>72</v>
      </c>
      <c r="L111" s="26"/>
      <c r="M111" s="26">
        <v>3845750.0</v>
      </c>
      <c r="O111" s="26">
        <v>6406250.0</v>
      </c>
      <c r="P111" s="25"/>
    </row>
    <row r="112" ht="14.25" customHeight="1">
      <c r="C112" s="25"/>
      <c r="D112" s="1">
        <v>12.7</v>
      </c>
      <c r="E112" s="1" t="s">
        <v>70</v>
      </c>
      <c r="F112" s="1" t="s">
        <v>134</v>
      </c>
      <c r="M112" s="26">
        <v>5125000.0</v>
      </c>
      <c r="P112" s="25"/>
    </row>
    <row r="113" ht="14.25" customHeight="1">
      <c r="C113" s="25"/>
      <c r="D113" s="1">
        <f>X31</f>
        <v>18.8</v>
      </c>
      <c r="E113" s="1" t="s">
        <v>70</v>
      </c>
      <c r="F113" s="1" t="s">
        <v>73</v>
      </c>
      <c r="M113" s="26">
        <f>M111*G111</f>
        <v>11537250</v>
      </c>
      <c r="P113" s="25"/>
    </row>
    <row r="114" ht="14.25" customHeight="1">
      <c r="C114" s="25"/>
      <c r="D114" s="1">
        <v>22.5</v>
      </c>
      <c r="E114" s="1" t="s">
        <v>70</v>
      </c>
      <c r="F114" s="1" t="s">
        <v>74</v>
      </c>
      <c r="P114" s="25"/>
    </row>
    <row r="115" ht="14.25" customHeight="1">
      <c r="C115" s="25"/>
      <c r="D115" s="39">
        <f>X29</f>
        <v>38.85151515</v>
      </c>
      <c r="E115" s="1" t="s">
        <v>70</v>
      </c>
      <c r="F115" s="1" t="s">
        <v>75</v>
      </c>
      <c r="P115" s="25"/>
    </row>
    <row r="116" ht="14.25" customHeight="1">
      <c r="C116" s="25"/>
      <c r="D116" s="30">
        <f>D111*M132</f>
        <v>331.9148936</v>
      </c>
      <c r="E116" s="1" t="s">
        <v>76</v>
      </c>
      <c r="P116" s="25"/>
    </row>
    <row r="117" ht="14.25" customHeight="1">
      <c r="C117" s="25"/>
      <c r="F117" s="1" t="s">
        <v>77</v>
      </c>
      <c r="P117" s="25"/>
    </row>
    <row r="118" ht="14.25" customHeight="1">
      <c r="C118" s="25"/>
      <c r="P118" s="25"/>
    </row>
    <row r="119" ht="14.25" customHeight="1">
      <c r="C119" s="25"/>
      <c r="P119" s="25"/>
    </row>
    <row r="120" ht="14.25" customHeight="1">
      <c r="C120" s="25"/>
      <c r="P120" s="25"/>
    </row>
    <row r="121" ht="14.25" customHeight="1">
      <c r="C121" s="25"/>
      <c r="D121" s="1" t="s">
        <v>70</v>
      </c>
      <c r="F121" s="1" t="s">
        <v>79</v>
      </c>
      <c r="G121" s="1" t="s">
        <v>78</v>
      </c>
      <c r="I121" s="1" t="s">
        <v>70</v>
      </c>
      <c r="M121" s="1" t="s">
        <v>80</v>
      </c>
      <c r="P121" s="25"/>
    </row>
    <row r="122" ht="14.25" customHeight="1">
      <c r="C122" s="25"/>
      <c r="D122" s="39">
        <v>22.0</v>
      </c>
      <c r="E122" s="1">
        <v>36.0</v>
      </c>
      <c r="F122" s="1">
        <v>0.454314431</v>
      </c>
      <c r="G122" s="30">
        <f>$D$111*M132</f>
        <v>331.9148936</v>
      </c>
      <c r="I122" s="30">
        <f t="shared" ref="I122:I198" si="2">F122*D122</f>
        <v>9.994917482</v>
      </c>
      <c r="K122" s="1">
        <f t="shared" ref="K122:K151" si="3">G122*F122</f>
        <v>150.793726</v>
      </c>
      <c r="M122" s="27">
        <f>(G122*12)/1000</f>
        <v>3.982978723</v>
      </c>
      <c r="N122" s="1" t="s">
        <v>81</v>
      </c>
      <c r="P122" s="25"/>
    </row>
    <row r="123" ht="14.25" customHeight="1">
      <c r="C123" s="25"/>
      <c r="D123" s="39">
        <v>22.0</v>
      </c>
      <c r="E123" s="1">
        <v>35.0</v>
      </c>
      <c r="F123" s="1">
        <v>0.363451545</v>
      </c>
      <c r="G123" s="1">
        <v>330.0</v>
      </c>
      <c r="I123" s="30">
        <f t="shared" si="2"/>
        <v>7.99593399</v>
      </c>
      <c r="K123" s="1">
        <f t="shared" si="3"/>
        <v>119.9390099</v>
      </c>
      <c r="P123" s="25"/>
    </row>
    <row r="124" ht="14.25" customHeight="1">
      <c r="C124" s="25"/>
      <c r="D124" s="39">
        <v>22.0</v>
      </c>
      <c r="E124" s="1">
        <v>34.0</v>
      </c>
      <c r="F124" s="1">
        <v>3.361926791</v>
      </c>
      <c r="G124" s="1">
        <v>325.0</v>
      </c>
      <c r="I124" s="30">
        <f t="shared" si="2"/>
        <v>73.9623894</v>
      </c>
      <c r="K124" s="1">
        <f t="shared" si="3"/>
        <v>1092.626207</v>
      </c>
      <c r="P124" s="25"/>
    </row>
    <row r="125" ht="14.25" customHeight="1">
      <c r="C125" s="25"/>
      <c r="D125" s="39">
        <v>22.0</v>
      </c>
      <c r="E125" s="1">
        <v>33.0</v>
      </c>
      <c r="F125" s="1">
        <v>3.725378336</v>
      </c>
      <c r="G125" s="1">
        <v>320.0</v>
      </c>
      <c r="I125" s="30">
        <f t="shared" si="2"/>
        <v>81.95832339</v>
      </c>
      <c r="K125" s="1">
        <f t="shared" si="3"/>
        <v>1192.121068</v>
      </c>
      <c r="P125" s="25"/>
    </row>
    <row r="126" ht="14.25" customHeight="1">
      <c r="C126" s="25"/>
      <c r="D126" s="39">
        <v>20.0</v>
      </c>
      <c r="E126" s="1">
        <v>32.0</v>
      </c>
      <c r="F126" s="1">
        <v>9.722328828</v>
      </c>
      <c r="G126" s="1">
        <v>315.0</v>
      </c>
      <c r="I126" s="30">
        <f t="shared" si="2"/>
        <v>194.4465766</v>
      </c>
      <c r="K126" s="1">
        <f t="shared" si="3"/>
        <v>3062.533581</v>
      </c>
      <c r="P126" s="25"/>
    </row>
    <row r="127" ht="14.25" customHeight="1">
      <c r="C127" s="25"/>
      <c r="D127" s="39">
        <v>20.0</v>
      </c>
      <c r="E127" s="1">
        <v>31.0</v>
      </c>
      <c r="F127" s="1">
        <v>13.99288448</v>
      </c>
      <c r="G127" s="1">
        <v>310.0</v>
      </c>
      <c r="I127" s="30">
        <f t="shared" si="2"/>
        <v>279.8576896</v>
      </c>
      <c r="K127" s="1">
        <f t="shared" si="3"/>
        <v>4337.794189</v>
      </c>
      <c r="P127" s="25"/>
    </row>
    <row r="128" ht="14.25" customHeight="1">
      <c r="B128" s="28">
        <v>1.0</v>
      </c>
      <c r="C128" s="29" t="s">
        <v>82</v>
      </c>
      <c r="D128" s="39">
        <v>19.0</v>
      </c>
      <c r="E128" s="1">
        <v>30.0</v>
      </c>
      <c r="F128" s="1">
        <v>19.8081092</v>
      </c>
      <c r="G128" s="1">
        <v>305.0</v>
      </c>
      <c r="I128" s="30">
        <f t="shared" si="2"/>
        <v>376.3540748</v>
      </c>
      <c r="K128" s="1">
        <f t="shared" si="3"/>
        <v>6041.473306</v>
      </c>
      <c r="M128" s="28">
        <v>3600.0</v>
      </c>
      <c r="N128" s="28" t="s">
        <v>83</v>
      </c>
      <c r="O128" s="28">
        <v>1.0</v>
      </c>
      <c r="P128" s="29" t="s">
        <v>82</v>
      </c>
    </row>
    <row r="129" ht="14.25" customHeight="1">
      <c r="C129" s="25"/>
      <c r="D129" s="39">
        <v>19.0</v>
      </c>
      <c r="E129" s="1">
        <v>29.0</v>
      </c>
      <c r="F129" s="1">
        <v>31.25683287</v>
      </c>
      <c r="G129" s="1">
        <v>300.0</v>
      </c>
      <c r="I129" s="30">
        <f t="shared" si="2"/>
        <v>593.8798245</v>
      </c>
      <c r="K129" s="1">
        <f t="shared" si="3"/>
        <v>9377.049861</v>
      </c>
      <c r="P129" s="25"/>
    </row>
    <row r="130" ht="14.25" customHeight="1">
      <c r="B130" s="28">
        <v>1.0</v>
      </c>
      <c r="C130" s="29" t="s">
        <v>84</v>
      </c>
      <c r="D130" s="39">
        <v>19.0</v>
      </c>
      <c r="E130" s="1">
        <v>28.0</v>
      </c>
      <c r="F130" s="1">
        <v>40.34312149</v>
      </c>
      <c r="G130" s="1">
        <v>295.0</v>
      </c>
      <c r="I130" s="30">
        <f t="shared" si="2"/>
        <v>766.5193083</v>
      </c>
      <c r="K130" s="1">
        <f t="shared" si="3"/>
        <v>11901.22084</v>
      </c>
      <c r="M130" s="28">
        <v>2256.0</v>
      </c>
      <c r="N130" s="28" t="s">
        <v>83</v>
      </c>
      <c r="O130" s="28">
        <v>1.0</v>
      </c>
      <c r="P130" s="29" t="s">
        <v>84</v>
      </c>
    </row>
    <row r="131" ht="14.25" customHeight="1">
      <c r="C131" s="25"/>
      <c r="D131" s="39">
        <v>18.0</v>
      </c>
      <c r="E131" s="1">
        <v>27.0</v>
      </c>
      <c r="F131" s="1">
        <v>52.1552967</v>
      </c>
      <c r="G131" s="1">
        <v>290.0</v>
      </c>
      <c r="I131" s="30">
        <f t="shared" si="2"/>
        <v>938.7953406</v>
      </c>
      <c r="K131" s="1">
        <f t="shared" si="3"/>
        <v>15125.03604</v>
      </c>
      <c r="P131" s="25"/>
    </row>
    <row r="132" ht="14.25" customHeight="1">
      <c r="C132" s="25"/>
      <c r="D132" s="39">
        <v>18.0</v>
      </c>
      <c r="E132" s="1">
        <v>26.0</v>
      </c>
      <c r="F132" s="1">
        <v>66.51163273</v>
      </c>
      <c r="G132" s="1">
        <v>280.0</v>
      </c>
      <c r="I132" s="30">
        <f t="shared" si="2"/>
        <v>1197.209389</v>
      </c>
      <c r="K132" s="1">
        <f t="shared" si="3"/>
        <v>18623.25716</v>
      </c>
      <c r="M132" s="1">
        <f>M128/M130</f>
        <v>1.595744681</v>
      </c>
      <c r="N132" s="1" t="s">
        <v>84</v>
      </c>
      <c r="P132" s="25"/>
    </row>
    <row r="133" ht="14.25" customHeight="1">
      <c r="C133" s="25"/>
      <c r="D133" s="39">
        <v>18.0</v>
      </c>
      <c r="E133" s="1">
        <v>25.0</v>
      </c>
      <c r="F133" s="1">
        <v>71.96340591</v>
      </c>
      <c r="G133" s="1">
        <v>275.0</v>
      </c>
      <c r="I133" s="30">
        <f t="shared" si="2"/>
        <v>1295.341306</v>
      </c>
      <c r="K133" s="1">
        <f t="shared" si="3"/>
        <v>19789.93663</v>
      </c>
      <c r="P133" s="25"/>
    </row>
    <row r="134" ht="14.25" customHeight="1">
      <c r="C134" s="25"/>
      <c r="D134" s="39">
        <v>18.0</v>
      </c>
      <c r="E134" s="1">
        <v>24.0</v>
      </c>
      <c r="F134" s="1">
        <v>84.59334709</v>
      </c>
      <c r="G134" s="1">
        <v>265.0</v>
      </c>
      <c r="I134" s="30">
        <f t="shared" si="2"/>
        <v>1522.680248</v>
      </c>
      <c r="K134" s="1">
        <f t="shared" si="3"/>
        <v>22417.23698</v>
      </c>
      <c r="M134" s="1" t="s">
        <v>88</v>
      </c>
      <c r="N134" s="31">
        <f>(1-(H201/(H201+I199))*100%)+1</f>
        <v>1.069457748</v>
      </c>
      <c r="P134" s="25"/>
    </row>
    <row r="135" ht="14.25" customHeight="1">
      <c r="C135" s="25"/>
      <c r="D135" s="39">
        <v>18.0</v>
      </c>
      <c r="E135" s="1">
        <v>23.0</v>
      </c>
      <c r="F135" s="1">
        <v>105.1283594</v>
      </c>
      <c r="G135" s="1">
        <v>240.0</v>
      </c>
      <c r="I135" s="30">
        <f t="shared" si="2"/>
        <v>1892.310469</v>
      </c>
      <c r="K135" s="1">
        <f t="shared" si="3"/>
        <v>25230.80626</v>
      </c>
      <c r="P135" s="25"/>
    </row>
    <row r="136" ht="14.25" customHeight="1">
      <c r="C136" s="25"/>
      <c r="D136" s="39">
        <v>17.0</v>
      </c>
      <c r="E136" s="1">
        <v>22.0</v>
      </c>
      <c r="F136" s="1">
        <v>121.0293645</v>
      </c>
      <c r="G136" s="1">
        <v>230.0</v>
      </c>
      <c r="I136" s="30">
        <f t="shared" si="2"/>
        <v>2057.499197</v>
      </c>
      <c r="K136" s="1">
        <f t="shared" si="3"/>
        <v>27836.75384</v>
      </c>
      <c r="M136" s="28" t="s">
        <v>88</v>
      </c>
      <c r="N136" s="31">
        <f>(N134+A134)/2</f>
        <v>0.5347288741</v>
      </c>
      <c r="P136" s="25"/>
    </row>
    <row r="137" ht="14.25" customHeight="1">
      <c r="C137" s="25"/>
      <c r="D137" s="39">
        <v>17.0</v>
      </c>
      <c r="E137" s="1">
        <v>21.0</v>
      </c>
      <c r="F137" s="1">
        <v>133.2049912</v>
      </c>
      <c r="G137" s="1">
        <v>220.0</v>
      </c>
      <c r="I137" s="30">
        <f t="shared" si="2"/>
        <v>2264.48485</v>
      </c>
      <c r="K137" s="1">
        <f t="shared" si="3"/>
        <v>29305.09806</v>
      </c>
    </row>
    <row r="138" ht="14.25" customHeight="1">
      <c r="C138" s="25"/>
      <c r="D138" s="39">
        <v>17.0</v>
      </c>
      <c r="E138" s="1">
        <v>20.0</v>
      </c>
      <c r="F138" s="1">
        <v>143.8359489</v>
      </c>
      <c r="G138" s="1">
        <v>210.0</v>
      </c>
      <c r="I138" s="30">
        <f t="shared" si="2"/>
        <v>2445.211131</v>
      </c>
      <c r="K138" s="1">
        <f t="shared" si="3"/>
        <v>30205.54927</v>
      </c>
    </row>
    <row r="139" ht="14.25" customHeight="1">
      <c r="D139" s="39">
        <v>17.0</v>
      </c>
      <c r="E139" s="1">
        <v>19.0</v>
      </c>
      <c r="F139" s="1">
        <v>178.4547086</v>
      </c>
      <c r="G139" s="1">
        <v>180.0</v>
      </c>
      <c r="I139" s="30">
        <f t="shared" si="2"/>
        <v>3033.730046</v>
      </c>
      <c r="K139" s="1">
        <f t="shared" si="3"/>
        <v>32121.84755</v>
      </c>
    </row>
    <row r="140" ht="14.25" customHeight="1">
      <c r="D140" s="39">
        <v>16.0</v>
      </c>
      <c r="E140" s="1">
        <v>18.0</v>
      </c>
      <c r="F140" s="1">
        <v>199.5348982</v>
      </c>
      <c r="G140" s="1">
        <v>165.0</v>
      </c>
      <c r="I140" s="30">
        <f t="shared" si="2"/>
        <v>3192.558371</v>
      </c>
      <c r="K140" s="1">
        <f t="shared" si="3"/>
        <v>32923.2582</v>
      </c>
    </row>
    <row r="141" ht="14.25" customHeight="1">
      <c r="D141" s="39">
        <v>16.0</v>
      </c>
      <c r="E141" s="1">
        <v>17.0</v>
      </c>
      <c r="F141" s="1">
        <v>219.5247332</v>
      </c>
      <c r="G141" s="1">
        <v>150.0</v>
      </c>
      <c r="I141" s="30">
        <f t="shared" si="2"/>
        <v>3512.395731</v>
      </c>
      <c r="K141" s="1">
        <f t="shared" si="3"/>
        <v>32928.70998</v>
      </c>
    </row>
    <row r="142" ht="14.25" customHeight="1">
      <c r="D142" s="39">
        <v>16.0</v>
      </c>
      <c r="E142" s="1">
        <v>16.0</v>
      </c>
      <c r="F142" s="1">
        <v>221.1602651</v>
      </c>
      <c r="G142" s="1">
        <v>140.0</v>
      </c>
      <c r="I142" s="30">
        <f t="shared" si="2"/>
        <v>3538.564242</v>
      </c>
      <c r="K142" s="1">
        <f t="shared" si="3"/>
        <v>30962.43711</v>
      </c>
    </row>
    <row r="143" ht="14.25" customHeight="1">
      <c r="D143" s="39">
        <v>16.0</v>
      </c>
      <c r="E143" s="1">
        <v>15.0</v>
      </c>
      <c r="F143" s="1">
        <v>227.0663527</v>
      </c>
      <c r="G143" s="1">
        <v>120.0</v>
      </c>
      <c r="I143" s="30">
        <f t="shared" si="2"/>
        <v>3633.061643</v>
      </c>
      <c r="K143" s="1">
        <f t="shared" si="3"/>
        <v>27247.96232</v>
      </c>
    </row>
    <row r="144" ht="14.25" customHeight="1">
      <c r="D144" s="39">
        <v>16.0</v>
      </c>
      <c r="E144" s="1">
        <v>14.0</v>
      </c>
      <c r="F144" s="1">
        <v>241.4226888</v>
      </c>
      <c r="G144" s="1">
        <v>110.0</v>
      </c>
      <c r="I144" s="30">
        <f t="shared" si="2"/>
        <v>3862.763021</v>
      </c>
      <c r="K144" s="1">
        <f t="shared" si="3"/>
        <v>26556.49577</v>
      </c>
    </row>
    <row r="145" ht="14.25" customHeight="1">
      <c r="D145" s="39">
        <v>16.0</v>
      </c>
      <c r="E145" s="1">
        <v>13.0</v>
      </c>
      <c r="F145" s="1">
        <v>245.6023815</v>
      </c>
      <c r="G145" s="1">
        <v>100.0</v>
      </c>
      <c r="I145" s="30">
        <f t="shared" si="2"/>
        <v>3929.638104</v>
      </c>
      <c r="K145" s="1">
        <f t="shared" si="3"/>
        <v>24560.23815</v>
      </c>
    </row>
    <row r="146" ht="14.25" customHeight="1">
      <c r="D146" s="39">
        <v>16.0</v>
      </c>
      <c r="E146" s="1">
        <v>12.0</v>
      </c>
      <c r="F146" s="1">
        <v>236.7886816</v>
      </c>
      <c r="G146" s="1">
        <v>100.0</v>
      </c>
      <c r="I146" s="30">
        <f t="shared" si="2"/>
        <v>3788.618906</v>
      </c>
      <c r="K146" s="1">
        <f t="shared" si="3"/>
        <v>23678.86816</v>
      </c>
    </row>
    <row r="147" ht="14.25" customHeight="1">
      <c r="D147" s="39">
        <v>16.0</v>
      </c>
      <c r="E147" s="1">
        <v>11.0</v>
      </c>
      <c r="F147" s="1">
        <v>245.6932444</v>
      </c>
      <c r="G147" s="1">
        <v>100.0</v>
      </c>
      <c r="I147" s="30">
        <f t="shared" si="2"/>
        <v>3931.09191</v>
      </c>
      <c r="K147" s="1">
        <f t="shared" si="3"/>
        <v>24569.32444</v>
      </c>
    </row>
    <row r="148" ht="14.25" customHeight="1">
      <c r="D148" s="39">
        <v>19.0</v>
      </c>
      <c r="E148" s="1">
        <v>10.0</v>
      </c>
      <c r="F148" s="1">
        <v>233.1541661</v>
      </c>
      <c r="G148" s="1">
        <v>100.0</v>
      </c>
      <c r="I148" s="30">
        <f t="shared" si="2"/>
        <v>4429.929156</v>
      </c>
      <c r="K148" s="1">
        <f t="shared" si="3"/>
        <v>23315.41661</v>
      </c>
    </row>
    <row r="149" ht="14.25" customHeight="1">
      <c r="D149" s="39">
        <v>19.0</v>
      </c>
      <c r="E149" s="1">
        <v>9.0</v>
      </c>
      <c r="F149" s="1">
        <v>213.9820971</v>
      </c>
      <c r="G149" s="1">
        <v>100.0</v>
      </c>
      <c r="I149" s="30">
        <f t="shared" si="2"/>
        <v>4065.659845</v>
      </c>
      <c r="K149" s="1">
        <f t="shared" si="3"/>
        <v>21398.20971</v>
      </c>
    </row>
    <row r="150" ht="14.25" customHeight="1">
      <c r="D150" s="39">
        <v>19.0</v>
      </c>
      <c r="E150" s="1">
        <v>8.0</v>
      </c>
      <c r="F150" s="1">
        <v>205.6227116</v>
      </c>
      <c r="G150" s="1">
        <v>100.0</v>
      </c>
      <c r="I150" s="30">
        <f t="shared" si="2"/>
        <v>3906.83152</v>
      </c>
      <c r="K150" s="1">
        <f t="shared" si="3"/>
        <v>20562.27116</v>
      </c>
    </row>
    <row r="151" ht="14.25" customHeight="1">
      <c r="D151" s="39">
        <v>19.0</v>
      </c>
      <c r="E151" s="1">
        <v>7.0</v>
      </c>
      <c r="F151" s="1">
        <v>195.718657</v>
      </c>
      <c r="G151" s="1">
        <v>100.0</v>
      </c>
      <c r="I151" s="30">
        <f t="shared" si="2"/>
        <v>3718.654483</v>
      </c>
      <c r="K151" s="1">
        <f t="shared" si="3"/>
        <v>19571.8657</v>
      </c>
    </row>
    <row r="152" ht="14.25" customHeight="1">
      <c r="D152" s="39">
        <v>18.0</v>
      </c>
      <c r="E152" s="1">
        <v>6.0</v>
      </c>
      <c r="F152" s="1">
        <v>186.9958199</v>
      </c>
      <c r="I152" s="30">
        <f t="shared" si="2"/>
        <v>3365.924758</v>
      </c>
    </row>
    <row r="153" ht="14.25" customHeight="1">
      <c r="D153" s="39">
        <v>17.0</v>
      </c>
      <c r="E153" s="1">
        <v>5.0</v>
      </c>
      <c r="F153" s="1">
        <v>190.9937869</v>
      </c>
      <c r="I153" s="30">
        <f t="shared" si="2"/>
        <v>3246.894377</v>
      </c>
    </row>
    <row r="154" ht="14.25" customHeight="1">
      <c r="D154" s="39">
        <v>17.0</v>
      </c>
      <c r="E154" s="1">
        <v>4.0</v>
      </c>
      <c r="F154" s="1">
        <v>198.9897209</v>
      </c>
      <c r="I154" s="30">
        <f t="shared" si="2"/>
        <v>3382.825255</v>
      </c>
    </row>
    <row r="155" ht="14.25" customHeight="1">
      <c r="D155" s="39">
        <v>17.0</v>
      </c>
      <c r="E155" s="1">
        <v>3.0</v>
      </c>
      <c r="F155" s="1">
        <v>212.1648394</v>
      </c>
      <c r="I155" s="30">
        <f t="shared" si="2"/>
        <v>3606.80227</v>
      </c>
    </row>
    <row r="156" ht="14.25" customHeight="1">
      <c r="D156" s="39">
        <v>16.0</v>
      </c>
      <c r="E156" s="1">
        <v>2.0</v>
      </c>
      <c r="F156" s="1">
        <v>270.8622639</v>
      </c>
      <c r="I156" s="30">
        <f t="shared" si="2"/>
        <v>4333.796222</v>
      </c>
    </row>
    <row r="157" ht="14.25" customHeight="1">
      <c r="D157" s="39">
        <v>16.0</v>
      </c>
      <c r="E157" s="1">
        <v>1.0</v>
      </c>
      <c r="F157" s="1">
        <v>314.2947235</v>
      </c>
      <c r="I157" s="30">
        <f t="shared" si="2"/>
        <v>5028.715576</v>
      </c>
    </row>
    <row r="158" ht="14.25" customHeight="1">
      <c r="D158" s="39">
        <v>16.0</v>
      </c>
      <c r="E158" s="1">
        <v>0.0</v>
      </c>
      <c r="F158" s="1">
        <v>298.4845813</v>
      </c>
      <c r="I158" s="30">
        <f t="shared" si="2"/>
        <v>4775.753301</v>
      </c>
    </row>
    <row r="159" ht="14.25" customHeight="1">
      <c r="D159" s="39">
        <v>15.0</v>
      </c>
      <c r="E159" s="1">
        <v>-1.0</v>
      </c>
      <c r="F159" s="1">
        <v>249.6003485</v>
      </c>
      <c r="I159" s="30">
        <f t="shared" si="2"/>
        <v>3744.005228</v>
      </c>
    </row>
    <row r="160" ht="14.25" customHeight="1">
      <c r="D160" s="39">
        <v>15.0</v>
      </c>
      <c r="E160" s="1">
        <v>-2.0</v>
      </c>
      <c r="F160" s="1">
        <v>221.1602651</v>
      </c>
      <c r="I160" s="30">
        <f t="shared" si="2"/>
        <v>3317.403977</v>
      </c>
    </row>
    <row r="161" ht="14.25" customHeight="1">
      <c r="D161" s="39">
        <v>15.0</v>
      </c>
      <c r="E161" s="1">
        <v>-3.0</v>
      </c>
      <c r="F161" s="1">
        <v>218.888693</v>
      </c>
      <c r="I161" s="30">
        <f t="shared" si="2"/>
        <v>3283.330395</v>
      </c>
    </row>
    <row r="162" ht="14.25" customHeight="1">
      <c r="D162" s="39">
        <v>14.0</v>
      </c>
      <c r="E162" s="1">
        <v>-4.0</v>
      </c>
      <c r="F162" s="1">
        <v>218.1617899</v>
      </c>
      <c r="I162" s="30">
        <f t="shared" si="2"/>
        <v>3054.265059</v>
      </c>
    </row>
    <row r="163" ht="14.25" customHeight="1">
      <c r="D163" s="39">
        <v>13.0</v>
      </c>
      <c r="E163" s="1">
        <v>-5.0</v>
      </c>
      <c r="F163" s="1">
        <v>200.1709384</v>
      </c>
      <c r="I163" s="30">
        <f t="shared" si="2"/>
        <v>2602.222199</v>
      </c>
    </row>
    <row r="164" ht="14.25" customHeight="1">
      <c r="D164" s="39">
        <v>13.0</v>
      </c>
      <c r="E164" s="1">
        <v>-6.0</v>
      </c>
      <c r="F164" s="1">
        <v>194.2648508</v>
      </c>
      <c r="I164" s="30">
        <f t="shared" si="2"/>
        <v>2525.44306</v>
      </c>
    </row>
    <row r="165" ht="14.25" customHeight="1">
      <c r="D165" s="39">
        <v>13.0</v>
      </c>
      <c r="E165" s="1">
        <v>-7.0</v>
      </c>
      <c r="F165" s="1">
        <v>177.0009024</v>
      </c>
      <c r="I165" s="30">
        <f t="shared" si="2"/>
        <v>2301.011731</v>
      </c>
    </row>
    <row r="166" ht="14.25" customHeight="1">
      <c r="D166" s="39">
        <v>13.0</v>
      </c>
      <c r="E166" s="1">
        <v>-8.0</v>
      </c>
      <c r="F166" s="1">
        <v>169.36842</v>
      </c>
      <c r="I166" s="30">
        <f t="shared" si="2"/>
        <v>2201.78946</v>
      </c>
    </row>
    <row r="167" ht="14.25" customHeight="1">
      <c r="D167" s="39">
        <v>13.0</v>
      </c>
      <c r="E167" s="1">
        <v>-9.0</v>
      </c>
      <c r="F167" s="1">
        <v>153.8308664</v>
      </c>
      <c r="I167" s="30">
        <f t="shared" si="2"/>
        <v>1999.801263</v>
      </c>
    </row>
    <row r="168" ht="14.25" customHeight="1">
      <c r="D168" s="39">
        <v>13.0</v>
      </c>
      <c r="E168" s="1">
        <v>-10.0</v>
      </c>
      <c r="F168" s="1">
        <v>139.747119</v>
      </c>
      <c r="I168" s="30">
        <f t="shared" si="2"/>
        <v>1816.712547</v>
      </c>
    </row>
    <row r="169" ht="14.25" customHeight="1">
      <c r="D169" s="39">
        <v>12.0</v>
      </c>
      <c r="E169" s="1">
        <v>-11.0</v>
      </c>
      <c r="F169" s="1">
        <v>118.0308892</v>
      </c>
      <c r="I169" s="30">
        <f t="shared" si="2"/>
        <v>1416.37067</v>
      </c>
    </row>
    <row r="170" ht="14.25" customHeight="1">
      <c r="D170" s="39">
        <v>12.0</v>
      </c>
      <c r="E170" s="1">
        <v>-12.0</v>
      </c>
      <c r="F170" s="1">
        <v>114.6689624</v>
      </c>
      <c r="I170" s="30">
        <f t="shared" si="2"/>
        <v>1376.027549</v>
      </c>
    </row>
    <row r="171" ht="14.25" customHeight="1">
      <c r="D171" s="39">
        <v>12.0</v>
      </c>
      <c r="E171" s="1">
        <v>-13.0</v>
      </c>
      <c r="F171" s="1">
        <v>112.3973903</v>
      </c>
      <c r="I171" s="30">
        <f t="shared" si="2"/>
        <v>1348.768684</v>
      </c>
    </row>
    <row r="172" ht="14.25" customHeight="1">
      <c r="D172" s="39">
        <v>12.0</v>
      </c>
      <c r="E172" s="1">
        <v>-14.0</v>
      </c>
      <c r="F172" s="1">
        <v>112.3973903</v>
      </c>
      <c r="I172" s="30">
        <f t="shared" si="2"/>
        <v>1348.768684</v>
      </c>
    </row>
    <row r="173" ht="14.25" customHeight="1">
      <c r="D173" s="39">
        <v>12.0</v>
      </c>
      <c r="E173" s="1">
        <v>-15.0</v>
      </c>
      <c r="F173" s="1">
        <v>100.5852151</v>
      </c>
      <c r="I173" s="30">
        <f t="shared" si="2"/>
        <v>1207.022581</v>
      </c>
    </row>
    <row r="174" ht="14.25" customHeight="1">
      <c r="D174" s="39">
        <v>12.0</v>
      </c>
      <c r="E174" s="1">
        <v>-16.0</v>
      </c>
      <c r="F174" s="1">
        <v>96.58724808</v>
      </c>
      <c r="I174" s="30">
        <f t="shared" si="2"/>
        <v>1159.046977</v>
      </c>
    </row>
    <row r="175" ht="14.25" customHeight="1">
      <c r="D175" s="39">
        <v>11.0</v>
      </c>
      <c r="E175" s="1">
        <v>-17.0</v>
      </c>
      <c r="F175" s="1">
        <v>88.31872543</v>
      </c>
      <c r="I175" s="30">
        <f t="shared" si="2"/>
        <v>971.5059797</v>
      </c>
    </row>
    <row r="176" ht="14.25" customHeight="1">
      <c r="D176" s="39">
        <v>11.0</v>
      </c>
      <c r="E176" s="1">
        <v>-18.0</v>
      </c>
      <c r="F176" s="1">
        <v>85.32025018</v>
      </c>
      <c r="I176" s="30">
        <f t="shared" si="2"/>
        <v>938.522752</v>
      </c>
    </row>
    <row r="177" ht="14.25" customHeight="1">
      <c r="D177" s="39">
        <v>13.0</v>
      </c>
      <c r="E177" s="1">
        <v>-19.0</v>
      </c>
      <c r="F177" s="1">
        <v>74.68929249</v>
      </c>
      <c r="I177" s="30">
        <f t="shared" si="2"/>
        <v>970.9608024</v>
      </c>
    </row>
    <row r="178" ht="14.25" customHeight="1">
      <c r="D178" s="39">
        <v>13.0</v>
      </c>
      <c r="E178" s="1">
        <v>-20.0</v>
      </c>
      <c r="F178" s="1">
        <v>69.23751932</v>
      </c>
      <c r="I178" s="30">
        <f t="shared" si="2"/>
        <v>900.0877512</v>
      </c>
    </row>
    <row r="179" ht="14.25" customHeight="1">
      <c r="D179" s="39">
        <v>13.0</v>
      </c>
      <c r="E179" s="1">
        <v>-21.0</v>
      </c>
      <c r="F179" s="1">
        <v>61.78676265</v>
      </c>
      <c r="I179" s="30">
        <f t="shared" si="2"/>
        <v>803.2279145</v>
      </c>
    </row>
    <row r="180" ht="14.25" customHeight="1">
      <c r="D180" s="39">
        <v>13.0</v>
      </c>
      <c r="E180" s="1">
        <v>-22.0</v>
      </c>
      <c r="F180" s="1">
        <v>52.88219979</v>
      </c>
      <c r="I180" s="30">
        <f t="shared" si="2"/>
        <v>687.4685973</v>
      </c>
    </row>
    <row r="181" ht="14.25" customHeight="1">
      <c r="D181" s="39">
        <v>13.0</v>
      </c>
      <c r="E181" s="1">
        <v>-23.0</v>
      </c>
      <c r="F181" s="1">
        <v>52.60961114</v>
      </c>
      <c r="I181" s="30">
        <f t="shared" si="2"/>
        <v>683.9249448</v>
      </c>
    </row>
    <row r="182" ht="14.25" customHeight="1">
      <c r="D182" s="39">
        <v>13.0</v>
      </c>
      <c r="E182" s="1">
        <v>-24.0</v>
      </c>
      <c r="F182" s="1">
        <v>47.52128951</v>
      </c>
      <c r="I182" s="30">
        <f t="shared" si="2"/>
        <v>617.7767636</v>
      </c>
    </row>
    <row r="183" ht="14.25" customHeight="1">
      <c r="D183" s="39">
        <v>13.0</v>
      </c>
      <c r="E183" s="1">
        <v>-25.0</v>
      </c>
      <c r="F183" s="1">
        <v>42.16037922</v>
      </c>
      <c r="I183" s="30">
        <f t="shared" si="2"/>
        <v>548.0849299</v>
      </c>
    </row>
    <row r="184" ht="14.25" customHeight="1">
      <c r="D184" s="39">
        <v>13.0</v>
      </c>
      <c r="E184" s="1">
        <v>-26.0</v>
      </c>
      <c r="F184" s="1">
        <v>33.98271946</v>
      </c>
      <c r="I184" s="30">
        <f t="shared" si="2"/>
        <v>441.775353</v>
      </c>
    </row>
    <row r="185" ht="14.25" customHeight="1">
      <c r="D185" s="39">
        <v>13.0</v>
      </c>
      <c r="E185" s="1">
        <v>-27.0</v>
      </c>
      <c r="F185" s="1">
        <v>30.25734112</v>
      </c>
      <c r="I185" s="30">
        <f t="shared" si="2"/>
        <v>393.3454346</v>
      </c>
    </row>
    <row r="186" ht="14.25" customHeight="1">
      <c r="D186" s="39">
        <v>13.0</v>
      </c>
      <c r="E186" s="1">
        <v>-28.0</v>
      </c>
      <c r="F186" s="1">
        <v>25.80505969</v>
      </c>
      <c r="I186" s="30">
        <f t="shared" si="2"/>
        <v>335.465776</v>
      </c>
    </row>
    <row r="187" ht="14.25" customHeight="1">
      <c r="D187" s="39">
        <v>12.0</v>
      </c>
      <c r="E187" s="1">
        <v>-29.0</v>
      </c>
      <c r="F187" s="1">
        <v>14.81065046</v>
      </c>
      <c r="I187" s="30">
        <f t="shared" si="2"/>
        <v>177.7278055</v>
      </c>
    </row>
    <row r="188" ht="14.25" customHeight="1">
      <c r="D188" s="39">
        <v>12.0</v>
      </c>
      <c r="E188" s="1">
        <v>-30.0</v>
      </c>
      <c r="F188" s="1">
        <v>10.5400948</v>
      </c>
      <c r="I188" s="30">
        <f t="shared" si="2"/>
        <v>126.4811376</v>
      </c>
    </row>
    <row r="189" ht="14.25" customHeight="1">
      <c r="D189" s="39">
        <v>12.0</v>
      </c>
      <c r="E189" s="1">
        <v>-31.0</v>
      </c>
      <c r="F189" s="1">
        <v>7.450756672</v>
      </c>
      <c r="I189" s="30">
        <f t="shared" si="2"/>
        <v>89.40908006</v>
      </c>
    </row>
    <row r="190" ht="14.25" customHeight="1">
      <c r="D190" s="39">
        <v>12.0</v>
      </c>
      <c r="E190" s="1">
        <v>-32.0</v>
      </c>
      <c r="F190" s="1">
        <v>6.087813378</v>
      </c>
      <c r="I190" s="30">
        <f t="shared" si="2"/>
        <v>73.05376054</v>
      </c>
    </row>
    <row r="191" ht="14.25" customHeight="1">
      <c r="D191" s="39">
        <v>12.0</v>
      </c>
      <c r="E191" s="1">
        <v>-33.0</v>
      </c>
      <c r="F191" s="1">
        <v>5.633498947</v>
      </c>
      <c r="I191" s="30">
        <f t="shared" si="2"/>
        <v>67.60198736</v>
      </c>
    </row>
    <row r="192" ht="14.25" customHeight="1">
      <c r="D192" s="39">
        <v>12.0</v>
      </c>
      <c r="E192" s="1">
        <v>-34.0</v>
      </c>
      <c r="F192" s="1">
        <v>3.816241222</v>
      </c>
      <c r="I192" s="30">
        <f t="shared" si="2"/>
        <v>45.79489466</v>
      </c>
    </row>
    <row r="193" ht="14.25" customHeight="1">
      <c r="D193" s="39">
        <v>12.0</v>
      </c>
      <c r="E193" s="1">
        <v>-35.0</v>
      </c>
      <c r="F193" s="1">
        <v>3.452789677</v>
      </c>
      <c r="I193" s="30">
        <f t="shared" si="2"/>
        <v>41.43347612</v>
      </c>
    </row>
    <row r="194" ht="14.25" customHeight="1">
      <c r="D194" s="39">
        <v>12.0</v>
      </c>
      <c r="E194" s="1">
        <v>-36.0</v>
      </c>
      <c r="F194" s="1">
        <v>4.088829881</v>
      </c>
      <c r="I194" s="30">
        <f t="shared" si="2"/>
        <v>49.06595857</v>
      </c>
    </row>
    <row r="195" ht="14.25" customHeight="1">
      <c r="D195" s="39">
        <v>12.0</v>
      </c>
      <c r="E195" s="1">
        <v>-37.0</v>
      </c>
      <c r="F195" s="1">
        <v>2.18070927</v>
      </c>
      <c r="I195" s="30">
        <f t="shared" si="2"/>
        <v>26.16851124</v>
      </c>
    </row>
    <row r="196" ht="14.25" customHeight="1">
      <c r="D196" s="39">
        <v>12.0</v>
      </c>
      <c r="E196" s="1">
        <v>-38.0</v>
      </c>
      <c r="F196" s="1">
        <v>1.45380618</v>
      </c>
      <c r="I196" s="30">
        <f t="shared" si="2"/>
        <v>17.44567416</v>
      </c>
    </row>
    <row r="197" ht="14.25" customHeight="1">
      <c r="D197" s="39">
        <v>12.0</v>
      </c>
      <c r="E197" s="1">
        <v>-39.0</v>
      </c>
      <c r="F197" s="1">
        <v>0.817765976</v>
      </c>
      <c r="I197" s="30">
        <f t="shared" si="2"/>
        <v>9.813191712</v>
      </c>
    </row>
    <row r="198" ht="14.25" customHeight="1">
      <c r="D198" s="39">
        <v>12.0</v>
      </c>
      <c r="E198" s="1">
        <v>-40.0</v>
      </c>
      <c r="F198" s="1">
        <v>0.272588659</v>
      </c>
      <c r="I198" s="30">
        <f t="shared" si="2"/>
        <v>3.271063908</v>
      </c>
    </row>
    <row r="199" ht="14.25" customHeight="1">
      <c r="F199" s="1">
        <f>SUM(F122:F198)</f>
        <v>8760</v>
      </c>
      <c r="I199" s="30">
        <f>SUM(I122:I198)</f>
        <v>136004.1133</v>
      </c>
      <c r="J199" s="1" t="s">
        <v>70</v>
      </c>
      <c r="K199" s="30">
        <f>(SUM(K122:K151)/1000)/0.9</f>
        <v>629.1179232</v>
      </c>
      <c r="L199" s="1" t="s">
        <v>85</v>
      </c>
    </row>
    <row r="200" ht="14.25" customHeight="1">
      <c r="F200" s="1" t="s">
        <v>86</v>
      </c>
      <c r="G200" s="1" t="s">
        <v>87</v>
      </c>
    </row>
    <row r="201" ht="14.25" customHeight="1">
      <c r="F201" s="1">
        <f>SUM(F122:F198)</f>
        <v>8760</v>
      </c>
      <c r="G201" s="1">
        <v>208.0</v>
      </c>
      <c r="H201" s="1">
        <f>F201*G201</f>
        <v>1822080</v>
      </c>
      <c r="I201" s="1" t="s">
        <v>70</v>
      </c>
    </row>
    <row r="202" ht="14.25" customHeight="1"/>
    <row r="203" ht="14.25" customHeight="1">
      <c r="F203" s="1">
        <f>G201</f>
        <v>208</v>
      </c>
      <c r="G203" s="1">
        <f>F203*F201</f>
        <v>1822080</v>
      </c>
      <c r="H203" s="41">
        <f>I199</f>
        <v>136004.1133</v>
      </c>
      <c r="K203" s="1">
        <f>I199/F201</f>
        <v>15.52558371</v>
      </c>
    </row>
    <row r="204" ht="14.25" customHeight="1"/>
    <row r="205" ht="14.25" customHeight="1">
      <c r="H205" s="1">
        <f>I199*2</f>
        <v>272008.2266</v>
      </c>
    </row>
    <row r="206" ht="14.25" customHeight="1"/>
    <row r="207" ht="14.25" customHeight="1">
      <c r="H207" s="1" t="s">
        <v>70</v>
      </c>
    </row>
    <row r="208" ht="14.25" customHeight="1">
      <c r="G208" s="1" t="s">
        <v>135</v>
      </c>
      <c r="H208" s="30">
        <f>H201/3.3</f>
        <v>552145.4546</v>
      </c>
      <c r="I208" s="26">
        <f>H208*5</f>
        <v>2760727.273</v>
      </c>
    </row>
    <row r="209" ht="14.25" customHeight="1">
      <c r="L209" s="26">
        <f>I208-I212</f>
        <v>2024086.093</v>
      </c>
      <c r="M209" s="26">
        <f>L209*60</f>
        <v>121445165.6</v>
      </c>
    </row>
    <row r="210" ht="14.25" customHeight="1">
      <c r="G210" s="1" t="s">
        <v>135</v>
      </c>
      <c r="H210" s="30">
        <f>I199</f>
        <v>136004.1133</v>
      </c>
      <c r="I210" s="42">
        <f>H210*5</f>
        <v>680020.5666</v>
      </c>
    </row>
    <row r="211" ht="14.25" customHeight="1">
      <c r="G211" s="1" t="s">
        <v>136</v>
      </c>
      <c r="H211" s="30">
        <f>K199</f>
        <v>629.1179232</v>
      </c>
      <c r="I211" s="26">
        <f>H211*90</f>
        <v>56620.61309</v>
      </c>
      <c r="L211" s="26">
        <v>8500000.0</v>
      </c>
      <c r="M211" s="26">
        <f>L211*60</f>
        <v>510000000</v>
      </c>
      <c r="O211" s="1">
        <f>M211/M209</f>
        <v>4.199426116</v>
      </c>
    </row>
    <row r="212" ht="14.25" customHeight="1">
      <c r="H212" s="1" t="s">
        <v>137</v>
      </c>
      <c r="I212" s="42">
        <f>I210+I211</f>
        <v>736641.1796</v>
      </c>
    </row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R2:U2"/>
    <mergeCell ref="W2:Z2"/>
    <mergeCell ref="M14:P14"/>
    <mergeCell ref="W37:Z37"/>
  </mergeCells>
  <printOptions/>
  <pageMargins bottom="0.75" footer="0.0" header="0.0" left="0.7" right="0.7" top="0.75"/>
  <pageSetup orientation="portrait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14"/>
    <col customWidth="1" min="3" max="4" width="8.71"/>
    <col customWidth="1" min="5" max="5" width="13.57"/>
    <col customWidth="1" min="6" max="6" width="13.71"/>
    <col customWidth="1" min="7" max="7" width="13.43"/>
    <col customWidth="1" min="8" max="8" width="13.14"/>
    <col customWidth="1" min="9" max="9" width="14.0"/>
    <col customWidth="1" min="10" max="11" width="8.71"/>
    <col customWidth="1" min="12" max="12" width="15.0"/>
    <col customWidth="1" min="13" max="13" width="27.14"/>
    <col customWidth="1" min="14" max="14" width="8.71"/>
    <col customWidth="1" min="15" max="15" width="25.43"/>
    <col customWidth="1" min="16" max="16" width="8.86"/>
    <col customWidth="1" min="17" max="17" width="8.71"/>
    <col customWidth="1" min="18" max="18" width="27.86"/>
    <col customWidth="1" min="19" max="19" width="8.71"/>
    <col customWidth="1" min="20" max="20" width="28.14"/>
    <col customWidth="1" min="21" max="22" width="8.71"/>
    <col customWidth="1" min="23" max="23" width="31.43"/>
    <col customWidth="1" min="24" max="24" width="11.57"/>
    <col customWidth="1" min="25" max="25" width="29.57"/>
    <col customWidth="1" min="26" max="26" width="8.86"/>
  </cols>
  <sheetData>
    <row r="1" ht="14.25" customHeight="1"/>
    <row r="2" ht="14.25" customHeight="1">
      <c r="D2" s="1" t="s">
        <v>0</v>
      </c>
      <c r="E2" s="1" t="s">
        <v>1</v>
      </c>
      <c r="F2" s="1" t="s">
        <v>2</v>
      </c>
      <c r="J2" s="1" t="s">
        <v>3</v>
      </c>
      <c r="R2" s="12" t="s">
        <v>58</v>
      </c>
      <c r="S2" s="13"/>
      <c r="T2" s="13"/>
      <c r="U2" s="14"/>
      <c r="W2" s="12" t="s">
        <v>58</v>
      </c>
      <c r="X2" s="13"/>
      <c r="Y2" s="13"/>
      <c r="Z2" s="14"/>
    </row>
    <row r="3" ht="14.25" customHeight="1">
      <c r="B3" s="1" t="s">
        <v>4</v>
      </c>
      <c r="C3" s="1">
        <v>1.0</v>
      </c>
      <c r="D3" s="1">
        <v>0.4</v>
      </c>
      <c r="E3" s="1">
        <v>124.0</v>
      </c>
      <c r="F3" s="1">
        <v>94.4</v>
      </c>
      <c r="J3" s="1" t="s">
        <v>5</v>
      </c>
      <c r="R3" s="15" t="s">
        <v>57</v>
      </c>
      <c r="S3" s="16"/>
      <c r="T3" s="10" t="s">
        <v>18</v>
      </c>
      <c r="U3" s="16"/>
      <c r="W3" s="15" t="s">
        <v>57</v>
      </c>
      <c r="X3" s="40" t="s">
        <v>117</v>
      </c>
      <c r="Y3" s="10" t="s">
        <v>18</v>
      </c>
      <c r="Z3" s="16"/>
    </row>
    <row r="4" ht="14.25" customHeight="1">
      <c r="B4" s="1" t="s">
        <v>6</v>
      </c>
      <c r="C4" s="1">
        <v>1.0</v>
      </c>
      <c r="D4" s="1">
        <v>0.8</v>
      </c>
      <c r="E4" s="1">
        <v>248.0</v>
      </c>
      <c r="F4" s="1">
        <v>188.0</v>
      </c>
      <c r="R4" s="17" t="s">
        <v>19</v>
      </c>
      <c r="S4" s="18">
        <f>(S5*S6*S7*S10)/3600</f>
        <v>215.9547917</v>
      </c>
      <c r="T4" s="1" t="s">
        <v>19</v>
      </c>
      <c r="U4" s="18">
        <f>(U5*U6*U7*U10)/3600</f>
        <v>216.125</v>
      </c>
      <c r="W4" s="17" t="s">
        <v>19</v>
      </c>
      <c r="X4" s="18">
        <f>(X5*X6*X7*X10)/3600</f>
        <v>23.05875</v>
      </c>
      <c r="Y4" s="1" t="s">
        <v>19</v>
      </c>
      <c r="Z4" s="18">
        <f>(Z5*Z6*Z7*Z10)/3600</f>
        <v>250.25</v>
      </c>
    </row>
    <row r="5" ht="14.25" customHeight="1">
      <c r="B5" s="1" t="s">
        <v>7</v>
      </c>
      <c r="C5" s="1">
        <v>1.0</v>
      </c>
      <c r="D5" s="1">
        <v>1.2</v>
      </c>
      <c r="E5" s="1">
        <v>372.0</v>
      </c>
      <c r="F5" s="1">
        <v>283.0</v>
      </c>
      <c r="J5" s="1" t="s">
        <v>8</v>
      </c>
      <c r="R5" s="17" t="s">
        <v>20</v>
      </c>
      <c r="S5" s="19">
        <v>47500.0</v>
      </c>
      <c r="T5" s="1" t="s">
        <v>20</v>
      </c>
      <c r="U5" s="19">
        <v>47500.0</v>
      </c>
      <c r="W5" s="17" t="s">
        <v>20</v>
      </c>
      <c r="X5" s="19">
        <v>47300.0</v>
      </c>
      <c r="Y5" s="1" t="s">
        <v>20</v>
      </c>
      <c r="Z5" s="19">
        <v>55000.0</v>
      </c>
    </row>
    <row r="6" ht="14.25" customHeight="1">
      <c r="R6" s="17" t="s">
        <v>25</v>
      </c>
      <c r="S6" s="2">
        <v>1.226</v>
      </c>
      <c r="T6" s="1" t="s">
        <v>25</v>
      </c>
      <c r="U6" s="19">
        <v>1.17</v>
      </c>
      <c r="W6" s="17" t="s">
        <v>25</v>
      </c>
      <c r="X6" s="2">
        <v>1.17</v>
      </c>
      <c r="Y6" s="1" t="s">
        <v>25</v>
      </c>
      <c r="Z6" s="19">
        <v>1.17</v>
      </c>
    </row>
    <row r="7" ht="14.25" customHeight="1">
      <c r="B7" s="1" t="s">
        <v>9</v>
      </c>
      <c r="E7" s="1">
        <v>236.0</v>
      </c>
      <c r="F7" s="1" t="s">
        <v>10</v>
      </c>
      <c r="J7" s="1" t="s">
        <v>11</v>
      </c>
      <c r="L7" s="1" t="s">
        <v>12</v>
      </c>
      <c r="R7" s="17" t="s">
        <v>27</v>
      </c>
      <c r="S7" s="19">
        <v>1.0</v>
      </c>
      <c r="T7" s="1" t="s">
        <v>27</v>
      </c>
      <c r="U7" s="19">
        <v>1.0</v>
      </c>
      <c r="W7" s="17" t="s">
        <v>27</v>
      </c>
      <c r="X7" s="19">
        <v>1.0</v>
      </c>
      <c r="Y7" s="1" t="s">
        <v>27</v>
      </c>
      <c r="Z7" s="19">
        <v>1.0</v>
      </c>
    </row>
    <row r="8" ht="14.25" customHeight="1">
      <c r="B8" s="1" t="s">
        <v>13</v>
      </c>
      <c r="E8" s="1">
        <v>310.0</v>
      </c>
      <c r="F8" s="1" t="s">
        <v>10</v>
      </c>
      <c r="J8" s="1">
        <v>0.7</v>
      </c>
      <c r="K8" s="1" t="s">
        <v>14</v>
      </c>
      <c r="L8" s="1">
        <v>1.0</v>
      </c>
      <c r="M8" s="1" t="s">
        <v>15</v>
      </c>
      <c r="R8" s="17" t="s">
        <v>29</v>
      </c>
      <c r="S8" s="20">
        <v>15.0</v>
      </c>
      <c r="T8" s="1" t="s">
        <v>30</v>
      </c>
      <c r="U8" s="20">
        <v>24.0</v>
      </c>
      <c r="W8" s="17" t="s">
        <v>29</v>
      </c>
      <c r="X8" s="20">
        <v>25.0</v>
      </c>
      <c r="Y8" s="1" t="s">
        <v>30</v>
      </c>
      <c r="Z8" s="20">
        <v>24.0</v>
      </c>
    </row>
    <row r="9" ht="14.25" customHeight="1">
      <c r="R9" s="17" t="s">
        <v>32</v>
      </c>
      <c r="S9" s="20">
        <v>28.35</v>
      </c>
      <c r="T9" s="1" t="s">
        <v>33</v>
      </c>
      <c r="U9" s="20">
        <v>38.0</v>
      </c>
      <c r="W9" s="17" t="s">
        <v>32</v>
      </c>
      <c r="X9" s="20">
        <v>26.5</v>
      </c>
      <c r="Y9" s="1" t="s">
        <v>33</v>
      </c>
      <c r="Z9" s="20">
        <v>38.0</v>
      </c>
    </row>
    <row r="10" ht="14.25" customHeight="1">
      <c r="R10" s="17" t="s">
        <v>35</v>
      </c>
      <c r="S10" s="19">
        <f>S9-S8</f>
        <v>13.35</v>
      </c>
      <c r="T10" s="1" t="s">
        <v>35</v>
      </c>
      <c r="U10" s="19">
        <f>U9-U8</f>
        <v>14</v>
      </c>
      <c r="W10" s="17" t="s">
        <v>35</v>
      </c>
      <c r="X10" s="19">
        <f>X9-X8</f>
        <v>1.5</v>
      </c>
      <c r="Y10" s="1" t="s">
        <v>35</v>
      </c>
      <c r="Z10" s="19">
        <f>Z9-Z8</f>
        <v>14</v>
      </c>
    </row>
    <row r="11" ht="14.25" customHeight="1">
      <c r="R11" s="17" t="s">
        <v>59</v>
      </c>
      <c r="S11" s="19"/>
      <c r="U11" s="20"/>
      <c r="W11" s="17" t="s">
        <v>59</v>
      </c>
      <c r="X11" s="19">
        <v>12.7</v>
      </c>
      <c r="Z11" s="20"/>
    </row>
    <row r="12" ht="14.25" customHeight="1">
      <c r="B12" s="1" t="s">
        <v>16</v>
      </c>
      <c r="R12" s="17" t="s">
        <v>60</v>
      </c>
      <c r="S12" s="19"/>
      <c r="U12" s="20"/>
      <c r="W12" s="17" t="s">
        <v>60</v>
      </c>
      <c r="X12" s="19">
        <v>18.54</v>
      </c>
      <c r="Z12" s="20"/>
    </row>
    <row r="13" ht="14.25" customHeight="1">
      <c r="C13" s="1">
        <v>17.0</v>
      </c>
      <c r="D13" s="1">
        <v>3.0</v>
      </c>
      <c r="E13" s="1">
        <f>C13*D13</f>
        <v>51</v>
      </c>
      <c r="F13" s="1">
        <v>600.0</v>
      </c>
      <c r="G13" s="1">
        <v>600.0</v>
      </c>
      <c r="R13" s="17" t="s">
        <v>19</v>
      </c>
      <c r="S13" s="20"/>
      <c r="U13" s="20"/>
      <c r="W13" s="17" t="s">
        <v>19</v>
      </c>
      <c r="X13" s="20">
        <f>(((X12-X11)*X5)/1000)*0.7</f>
        <v>193.3624</v>
      </c>
      <c r="Z13" s="20"/>
    </row>
    <row r="14" ht="14.25" customHeight="1">
      <c r="C14" s="1">
        <v>17.0</v>
      </c>
      <c r="D14" s="1">
        <v>9.0</v>
      </c>
      <c r="E14" s="1">
        <v>153.0</v>
      </c>
      <c r="F14" s="1">
        <v>600.0</v>
      </c>
      <c r="G14" s="1">
        <v>1800.0</v>
      </c>
      <c r="M14" s="12" t="s">
        <v>58</v>
      </c>
      <c r="N14" s="13"/>
      <c r="O14" s="13"/>
      <c r="P14" s="14"/>
      <c r="R14" s="21" t="s">
        <v>61</v>
      </c>
      <c r="S14" s="22"/>
      <c r="T14" s="23"/>
      <c r="U14" s="24"/>
      <c r="W14" s="21" t="s">
        <v>61</v>
      </c>
      <c r="X14" s="22">
        <f>X13+X4</f>
        <v>216.42115</v>
      </c>
      <c r="Y14" s="23"/>
      <c r="Z14" s="24"/>
    </row>
    <row r="15" ht="14.25" customHeight="1">
      <c r="C15" s="1">
        <v>17.0</v>
      </c>
      <c r="D15" s="1">
        <v>12.0</v>
      </c>
      <c r="E15" s="1">
        <v>204.0</v>
      </c>
      <c r="F15" s="1">
        <v>600.0</v>
      </c>
      <c r="G15" s="1">
        <v>2400.0</v>
      </c>
      <c r="M15" s="15" t="s">
        <v>57</v>
      </c>
      <c r="N15" s="16" t="s">
        <v>138</v>
      </c>
      <c r="O15" s="10" t="s">
        <v>18</v>
      </c>
      <c r="P15" s="16"/>
    </row>
    <row r="16" ht="14.25" customHeight="1">
      <c r="M16" s="17" t="s">
        <v>19</v>
      </c>
      <c r="N16" s="18">
        <f>(N17*N18*N19*N22)/3600</f>
        <v>51.4605</v>
      </c>
      <c r="O16" s="1" t="s">
        <v>19</v>
      </c>
      <c r="P16" s="18">
        <f>(P17*P18*P19*P22)/3600</f>
        <v>256.62</v>
      </c>
      <c r="W16" s="1" t="s">
        <v>119</v>
      </c>
      <c r="X16" s="30">
        <f>((Z4-X14)+(Z5*Z6*Z7*(Y16-24)))/3600</f>
        <v>56.74309255</v>
      </c>
      <c r="Y16" s="1">
        <f>X8/0.92</f>
        <v>27.17391304</v>
      </c>
    </row>
    <row r="17" ht="14.25" customHeight="1">
      <c r="M17" s="17" t="s">
        <v>20</v>
      </c>
      <c r="N17" s="19">
        <v>40600.0</v>
      </c>
      <c r="O17" s="1" t="s">
        <v>20</v>
      </c>
      <c r="P17" s="19">
        <v>56400.0</v>
      </c>
    </row>
    <row r="18" ht="14.25" customHeight="1">
      <c r="E18" s="1" t="s">
        <v>21</v>
      </c>
      <c r="F18" s="1" t="s">
        <v>22</v>
      </c>
      <c r="G18" s="1" t="s">
        <v>23</v>
      </c>
      <c r="H18" s="1" t="s">
        <v>24</v>
      </c>
      <c r="M18" s="17" t="s">
        <v>25</v>
      </c>
      <c r="N18" s="2">
        <v>1.17</v>
      </c>
      <c r="O18" s="1" t="s">
        <v>25</v>
      </c>
      <c r="P18" s="19">
        <v>1.17</v>
      </c>
      <c r="W18" s="1" t="s">
        <v>120</v>
      </c>
      <c r="X18" s="1">
        <v>50.0</v>
      </c>
    </row>
    <row r="19" ht="14.25" customHeight="1">
      <c r="B19" s="1" t="s">
        <v>26</v>
      </c>
      <c r="E19" s="1">
        <v>408.0</v>
      </c>
      <c r="F19" s="1">
        <f>($E$19*$E$3)/1000</f>
        <v>50.592</v>
      </c>
      <c r="G19" s="1">
        <f>($E$4*$E$19)/1000</f>
        <v>101.184</v>
      </c>
      <c r="H19" s="1">
        <f>($E$5*$E$19)/1000</f>
        <v>151.776</v>
      </c>
      <c r="M19" s="17" t="s">
        <v>27</v>
      </c>
      <c r="N19" s="19">
        <v>1.0</v>
      </c>
      <c r="O19" s="1" t="s">
        <v>27</v>
      </c>
      <c r="P19" s="19">
        <v>1.0</v>
      </c>
      <c r="W19" s="1" t="s">
        <v>121</v>
      </c>
      <c r="X19" s="1">
        <f>X18/3.3</f>
        <v>15.15151515</v>
      </c>
      <c r="Y19" s="1">
        <v>1.0</v>
      </c>
      <c r="Z19" s="1">
        <f t="shared" ref="Z19:Z23" si="1">Y19*X19</f>
        <v>15.15151515</v>
      </c>
    </row>
    <row r="20" ht="14.25" customHeight="1">
      <c r="B20" s="1" t="s">
        <v>28</v>
      </c>
      <c r="E20" s="1">
        <v>816.0</v>
      </c>
      <c r="F20" s="1">
        <f>($E$20*$E$3)/1000</f>
        <v>101.184</v>
      </c>
      <c r="G20" s="1">
        <f>($E$4*$E$20)/1000</f>
        <v>202.368</v>
      </c>
      <c r="H20" s="1">
        <f>($E$5*$E$20)/1000</f>
        <v>303.552</v>
      </c>
      <c r="M20" s="17" t="s">
        <v>29</v>
      </c>
      <c r="N20" s="20">
        <v>21.7</v>
      </c>
      <c r="O20" s="1" t="s">
        <v>30</v>
      </c>
      <c r="P20" s="20">
        <v>24.0</v>
      </c>
      <c r="W20" s="1" t="s">
        <v>122</v>
      </c>
      <c r="X20" s="1">
        <v>2.8</v>
      </c>
      <c r="Y20" s="1">
        <v>4.0</v>
      </c>
      <c r="Z20" s="1">
        <f t="shared" si="1"/>
        <v>11.2</v>
      </c>
    </row>
    <row r="21" ht="14.25" customHeight="1">
      <c r="B21" s="1" t="s">
        <v>31</v>
      </c>
      <c r="E21" s="1">
        <v>1224.0</v>
      </c>
      <c r="F21" s="1">
        <f>($E$21*$E$3)/1000</f>
        <v>151.776</v>
      </c>
      <c r="G21" s="1">
        <f>($E$4*$E$21)/1000</f>
        <v>303.552</v>
      </c>
      <c r="H21" s="1">
        <f>($E$5*$E$21)/1000</f>
        <v>455.328</v>
      </c>
      <c r="K21" s="1">
        <f>(E21*100)/1000</f>
        <v>122.4</v>
      </c>
      <c r="M21" s="17" t="s">
        <v>32</v>
      </c>
      <c r="N21" s="20">
        <v>25.6</v>
      </c>
      <c r="O21" s="1" t="s">
        <v>33</v>
      </c>
      <c r="P21" s="20">
        <v>38.0</v>
      </c>
      <c r="W21" s="1" t="s">
        <v>123</v>
      </c>
      <c r="X21" s="1">
        <v>2.8</v>
      </c>
      <c r="Y21" s="1">
        <v>4.0</v>
      </c>
      <c r="Z21" s="1">
        <f t="shared" si="1"/>
        <v>11.2</v>
      </c>
    </row>
    <row r="22" ht="14.25" customHeight="1">
      <c r="B22" s="1" t="s">
        <v>34</v>
      </c>
      <c r="E22" s="1">
        <v>1632.0</v>
      </c>
      <c r="F22" s="1">
        <f>($E$22*$E$3)/1000</f>
        <v>202.368</v>
      </c>
      <c r="G22" s="1">
        <f>($E$4*$E$22)/1000</f>
        <v>404.736</v>
      </c>
      <c r="H22" s="1">
        <f>($E$5*$E$22)/1000</f>
        <v>607.104</v>
      </c>
      <c r="M22" s="17" t="s">
        <v>35</v>
      </c>
      <c r="N22" s="19">
        <f>N21-N20</f>
        <v>3.9</v>
      </c>
      <c r="O22" s="1" t="s">
        <v>35</v>
      </c>
      <c r="P22" s="19">
        <f>P21-P20</f>
        <v>14</v>
      </c>
      <c r="W22" s="1" t="s">
        <v>124</v>
      </c>
      <c r="X22" s="1">
        <v>1.0</v>
      </c>
      <c r="Y22" s="1">
        <v>1.0</v>
      </c>
      <c r="Z22" s="1">
        <f t="shared" si="1"/>
        <v>1</v>
      </c>
    </row>
    <row r="23" ht="14.25" customHeight="1">
      <c r="M23" s="17" t="s">
        <v>59</v>
      </c>
      <c r="N23" s="19">
        <v>9.26</v>
      </c>
      <c r="P23" s="20"/>
      <c r="W23" s="1" t="s">
        <v>125</v>
      </c>
      <c r="X23" s="1">
        <v>0.3</v>
      </c>
      <c r="Y23" s="1">
        <v>1.0</v>
      </c>
      <c r="Z23" s="1">
        <f t="shared" si="1"/>
        <v>0.3</v>
      </c>
    </row>
    <row r="24" ht="14.25" customHeight="1">
      <c r="M24" s="17" t="s">
        <v>60</v>
      </c>
      <c r="N24" s="19">
        <v>16.5</v>
      </c>
      <c r="P24" s="20"/>
    </row>
    <row r="25" ht="14.25" customHeight="1">
      <c r="B25" s="1" t="s">
        <v>36</v>
      </c>
      <c r="M25" s="17" t="s">
        <v>19</v>
      </c>
      <c r="N25" s="20">
        <f>(((N24-N23)*N17)/1000)*0.7</f>
        <v>205.7608</v>
      </c>
      <c r="P25" s="20"/>
      <c r="W25" s="1" t="s">
        <v>126</v>
      </c>
      <c r="X25" s="1">
        <v>200.0</v>
      </c>
    </row>
    <row r="26" ht="14.25" customHeight="1">
      <c r="M26" s="21" t="s">
        <v>61</v>
      </c>
      <c r="N26" s="22">
        <f>N25+N16</f>
        <v>257.2213</v>
      </c>
      <c r="O26" s="23"/>
      <c r="P26" s="24"/>
      <c r="W26" s="1" t="s">
        <v>127</v>
      </c>
      <c r="X26" s="1">
        <v>216.0</v>
      </c>
    </row>
    <row r="27" ht="14.25" customHeight="1">
      <c r="B27" s="1" t="s">
        <v>38</v>
      </c>
      <c r="W27" s="1" t="s">
        <v>128</v>
      </c>
      <c r="X27" s="1">
        <v>208.0</v>
      </c>
    </row>
    <row r="28" ht="14.25" customHeight="1">
      <c r="M28" s="1" t="s">
        <v>119</v>
      </c>
      <c r="N28" s="30">
        <f>((P16-N26)+(P17*P18*P19*(O28-24)))/3600</f>
        <v>-7.571253984</v>
      </c>
      <c r="O28" s="1">
        <f>N20/0.92</f>
        <v>23.58695652</v>
      </c>
    </row>
    <row r="29" ht="14.25" customHeight="1">
      <c r="B29" s="1" t="s">
        <v>40</v>
      </c>
      <c r="C29" s="1" t="s">
        <v>41</v>
      </c>
      <c r="W29" s="1" t="s">
        <v>129</v>
      </c>
      <c r="X29" s="39">
        <f>SUM(Z19:Z23)</f>
        <v>38.85151515</v>
      </c>
    </row>
    <row r="30" ht="14.25" customHeight="1">
      <c r="C30" s="1" t="s">
        <v>42</v>
      </c>
      <c r="N30" s="2">
        <v>1.247</v>
      </c>
      <c r="O30" s="1" t="s">
        <v>37</v>
      </c>
      <c r="W30" s="1" t="s">
        <v>130</v>
      </c>
      <c r="X30" s="1">
        <f>Z20+Z21+Z22+Z23</f>
        <v>23.7</v>
      </c>
    </row>
    <row r="31" ht="14.25" customHeight="1">
      <c r="N31" s="2">
        <v>1.226</v>
      </c>
      <c r="O31" s="1" t="s">
        <v>62</v>
      </c>
      <c r="W31" s="1" t="s">
        <v>131</v>
      </c>
      <c r="X31" s="1">
        <f>Z20+2.8+2.8+1.5+0.5</f>
        <v>18.8</v>
      </c>
    </row>
    <row r="32" ht="14.25" customHeight="1">
      <c r="N32" s="2">
        <v>1.17</v>
      </c>
      <c r="O32" s="1" t="s">
        <v>39</v>
      </c>
      <c r="W32" s="1" t="s">
        <v>132</v>
      </c>
      <c r="X32" s="1">
        <f>Z20+2+1.6</f>
        <v>14.8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>
      <c r="C105" s="25"/>
      <c r="D105" s="1" t="s">
        <v>63</v>
      </c>
      <c r="F105" s="1" t="s">
        <v>64</v>
      </c>
      <c r="P105" s="25"/>
    </row>
    <row r="106" ht="14.25" customHeight="1">
      <c r="C106" s="25"/>
      <c r="D106" s="1">
        <v>1000.0</v>
      </c>
      <c r="E106" s="1" t="s">
        <v>14</v>
      </c>
      <c r="F106" s="1" t="s">
        <v>65</v>
      </c>
      <c r="P106" s="25"/>
    </row>
    <row r="107" ht="14.25" customHeight="1">
      <c r="C107" s="25"/>
      <c r="D107" s="1">
        <v>10.0</v>
      </c>
      <c r="E107" s="1" t="s">
        <v>14</v>
      </c>
      <c r="F107" s="1" t="s">
        <v>92</v>
      </c>
      <c r="P107" s="25"/>
    </row>
    <row r="108" ht="14.25" customHeight="1">
      <c r="C108" s="25"/>
      <c r="P108" s="25"/>
    </row>
    <row r="109" ht="14.25" customHeight="1">
      <c r="C109" s="25"/>
      <c r="D109" s="1" t="s">
        <v>67</v>
      </c>
      <c r="P109" s="25"/>
    </row>
    <row r="110" ht="14.25" customHeight="1">
      <c r="C110" s="25"/>
      <c r="M110" s="1" t="s">
        <v>68</v>
      </c>
      <c r="O110" s="1" t="s">
        <v>69</v>
      </c>
      <c r="P110" s="25"/>
    </row>
    <row r="111" ht="14.25" customHeight="1">
      <c r="C111" s="25"/>
      <c r="D111" s="1">
        <v>250.0</v>
      </c>
      <c r="E111" s="1" t="s">
        <v>70</v>
      </c>
      <c r="F111" s="1" t="s">
        <v>31</v>
      </c>
      <c r="G111" s="1">
        <v>5.0</v>
      </c>
      <c r="H111" s="1" t="s">
        <v>72</v>
      </c>
      <c r="L111" s="26"/>
      <c r="M111" s="26">
        <v>3845750.0</v>
      </c>
      <c r="O111" s="26">
        <v>6406250.0</v>
      </c>
      <c r="P111" s="25"/>
    </row>
    <row r="112" ht="14.25" customHeight="1">
      <c r="C112" s="25"/>
      <c r="D112" s="1">
        <v>16.8</v>
      </c>
      <c r="E112" s="1" t="s">
        <v>70</v>
      </c>
      <c r="F112" s="1" t="s">
        <v>134</v>
      </c>
      <c r="M112" s="26">
        <v>5125000.0</v>
      </c>
      <c r="P112" s="25"/>
    </row>
    <row r="113" ht="14.25" customHeight="1">
      <c r="C113" s="25"/>
      <c r="D113" s="1">
        <f>X31</f>
        <v>18.8</v>
      </c>
      <c r="E113" s="1" t="s">
        <v>70</v>
      </c>
      <c r="F113" s="1" t="s">
        <v>73</v>
      </c>
      <c r="M113" s="26">
        <f>M111*G111</f>
        <v>19228750</v>
      </c>
      <c r="P113" s="25"/>
    </row>
    <row r="114" ht="14.25" customHeight="1">
      <c r="C114" s="25"/>
      <c r="D114" s="1">
        <v>32.5</v>
      </c>
      <c r="E114" s="1" t="s">
        <v>70</v>
      </c>
      <c r="F114" s="1" t="s">
        <v>74</v>
      </c>
      <c r="P114" s="25"/>
    </row>
    <row r="115" ht="14.25" customHeight="1">
      <c r="C115" s="25"/>
      <c r="D115" s="39">
        <v>35.5</v>
      </c>
      <c r="E115" s="1" t="s">
        <v>70</v>
      </c>
      <c r="F115" s="1" t="s">
        <v>75</v>
      </c>
      <c r="P115" s="25"/>
    </row>
    <row r="116" ht="14.25" customHeight="1">
      <c r="C116" s="25"/>
      <c r="D116" s="30">
        <f>D111*M132</f>
        <v>398.9361702</v>
      </c>
      <c r="E116" s="1" t="s">
        <v>76</v>
      </c>
      <c r="P116" s="25"/>
    </row>
    <row r="117" ht="14.25" customHeight="1">
      <c r="C117" s="25"/>
      <c r="F117" s="1" t="s">
        <v>77</v>
      </c>
      <c r="P117" s="25"/>
    </row>
    <row r="118" ht="14.25" customHeight="1">
      <c r="C118" s="25"/>
      <c r="P118" s="25"/>
    </row>
    <row r="119" ht="14.25" customHeight="1">
      <c r="C119" s="25"/>
      <c r="P119" s="25"/>
    </row>
    <row r="120" ht="14.25" customHeight="1">
      <c r="C120" s="25"/>
      <c r="P120" s="25"/>
    </row>
    <row r="121" ht="14.25" customHeight="1">
      <c r="C121" s="25"/>
      <c r="D121" s="1" t="s">
        <v>70</v>
      </c>
      <c r="F121" s="1" t="s">
        <v>79</v>
      </c>
      <c r="G121" s="1" t="s">
        <v>78</v>
      </c>
      <c r="I121" s="1" t="s">
        <v>70</v>
      </c>
      <c r="M121" s="1" t="s">
        <v>80</v>
      </c>
      <c r="P121" s="25"/>
    </row>
    <row r="122" ht="14.25" customHeight="1">
      <c r="C122" s="25"/>
      <c r="D122" s="39">
        <f>D115</f>
        <v>35.5</v>
      </c>
      <c r="E122" s="1">
        <v>36.0</v>
      </c>
      <c r="F122" s="1">
        <v>0.454314431</v>
      </c>
      <c r="G122" s="30">
        <f>$D$111*M132</f>
        <v>398.9361702</v>
      </c>
      <c r="I122" s="30">
        <f t="shared" ref="I122:I198" si="2">F122*D122</f>
        <v>16.1281623</v>
      </c>
      <c r="K122" s="1">
        <f t="shared" ref="K122:K151" si="3">G122*F122</f>
        <v>181.2424592</v>
      </c>
      <c r="M122" s="27">
        <f>(G122*12)/1000</f>
        <v>4.787234043</v>
      </c>
      <c r="N122" s="1" t="s">
        <v>81</v>
      </c>
      <c r="P122" s="25"/>
    </row>
    <row r="123" ht="14.25" customHeight="1">
      <c r="C123" s="25"/>
      <c r="D123" s="39">
        <f>D115</f>
        <v>35.5</v>
      </c>
      <c r="E123" s="1">
        <v>35.0</v>
      </c>
      <c r="F123" s="1">
        <v>0.363451545</v>
      </c>
      <c r="G123" s="1">
        <v>399.0</v>
      </c>
      <c r="I123" s="30">
        <f t="shared" si="2"/>
        <v>12.90252985</v>
      </c>
      <c r="K123" s="1">
        <f t="shared" si="3"/>
        <v>145.0171665</v>
      </c>
      <c r="P123" s="25"/>
    </row>
    <row r="124" ht="14.25" customHeight="1">
      <c r="C124" s="25"/>
      <c r="D124" s="39">
        <f>D115</f>
        <v>35.5</v>
      </c>
      <c r="E124" s="1">
        <v>34.0</v>
      </c>
      <c r="F124" s="1">
        <v>3.361926791</v>
      </c>
      <c r="G124" s="1">
        <v>399.0</v>
      </c>
      <c r="I124" s="30">
        <f t="shared" si="2"/>
        <v>119.3484011</v>
      </c>
      <c r="K124" s="1">
        <f t="shared" si="3"/>
        <v>1341.40879</v>
      </c>
      <c r="P124" s="25"/>
    </row>
    <row r="125" ht="14.25" customHeight="1">
      <c r="C125" s="25"/>
      <c r="D125" s="39">
        <f>D115</f>
        <v>35.5</v>
      </c>
      <c r="E125" s="1">
        <v>33.0</v>
      </c>
      <c r="F125" s="1">
        <v>3.725378336</v>
      </c>
      <c r="G125" s="1">
        <v>399.0</v>
      </c>
      <c r="I125" s="30">
        <f t="shared" si="2"/>
        <v>132.2509309</v>
      </c>
      <c r="K125" s="1">
        <f t="shared" si="3"/>
        <v>1486.425956</v>
      </c>
      <c r="P125" s="25"/>
    </row>
    <row r="126" ht="14.25" customHeight="1">
      <c r="C126" s="25"/>
      <c r="D126" s="39">
        <f>D115</f>
        <v>35.5</v>
      </c>
      <c r="E126" s="1">
        <v>32.0</v>
      </c>
      <c r="F126" s="1">
        <v>9.722328828</v>
      </c>
      <c r="G126" s="1">
        <v>380.0</v>
      </c>
      <c r="I126" s="30">
        <f t="shared" si="2"/>
        <v>345.1426734</v>
      </c>
      <c r="K126" s="1">
        <f t="shared" si="3"/>
        <v>3694.484955</v>
      </c>
      <c r="P126" s="25"/>
    </row>
    <row r="127" ht="14.25" customHeight="1">
      <c r="C127" s="25"/>
      <c r="D127" s="39">
        <f>D114</f>
        <v>32.5</v>
      </c>
      <c r="E127" s="1">
        <v>31.0</v>
      </c>
      <c r="F127" s="1">
        <v>13.99288448</v>
      </c>
      <c r="G127" s="1">
        <v>380.0</v>
      </c>
      <c r="I127" s="30">
        <f t="shared" si="2"/>
        <v>454.7687456</v>
      </c>
      <c r="K127" s="1">
        <f t="shared" si="3"/>
        <v>5317.296102</v>
      </c>
      <c r="P127" s="25"/>
    </row>
    <row r="128" ht="14.25" customHeight="1">
      <c r="B128" s="28">
        <v>1.0</v>
      </c>
      <c r="C128" s="29" t="s">
        <v>82</v>
      </c>
      <c r="D128" s="39">
        <f>D114</f>
        <v>32.5</v>
      </c>
      <c r="E128" s="1">
        <v>30.0</v>
      </c>
      <c r="F128" s="1">
        <v>19.8081092</v>
      </c>
      <c r="G128" s="1">
        <v>360.0</v>
      </c>
      <c r="I128" s="30">
        <f t="shared" si="2"/>
        <v>643.763549</v>
      </c>
      <c r="K128" s="1">
        <f t="shared" si="3"/>
        <v>7130.919312</v>
      </c>
      <c r="M128" s="28">
        <v>3600.0</v>
      </c>
      <c r="N128" s="28" t="s">
        <v>83</v>
      </c>
      <c r="O128" s="28">
        <v>1.0</v>
      </c>
      <c r="P128" s="29" t="s">
        <v>82</v>
      </c>
    </row>
    <row r="129" ht="14.25" customHeight="1">
      <c r="C129" s="25"/>
      <c r="D129" s="39">
        <f>D114</f>
        <v>32.5</v>
      </c>
      <c r="E129" s="1">
        <v>29.0</v>
      </c>
      <c r="F129" s="1">
        <v>31.25683287</v>
      </c>
      <c r="G129" s="1">
        <v>360.0</v>
      </c>
      <c r="I129" s="30">
        <f t="shared" si="2"/>
        <v>1015.847068</v>
      </c>
      <c r="K129" s="1">
        <f t="shared" si="3"/>
        <v>11252.45983</v>
      </c>
      <c r="P129" s="25"/>
    </row>
    <row r="130" ht="14.25" customHeight="1">
      <c r="B130" s="28">
        <v>1.0</v>
      </c>
      <c r="C130" s="29" t="s">
        <v>84</v>
      </c>
      <c r="D130" s="39">
        <v>30.0</v>
      </c>
      <c r="E130" s="1">
        <v>28.0</v>
      </c>
      <c r="F130" s="1">
        <v>40.34312149</v>
      </c>
      <c r="G130" s="1">
        <v>340.0</v>
      </c>
      <c r="I130" s="30">
        <f t="shared" si="2"/>
        <v>1210.293645</v>
      </c>
      <c r="K130" s="1">
        <f t="shared" si="3"/>
        <v>13716.66131</v>
      </c>
      <c r="M130" s="28">
        <v>2256.0</v>
      </c>
      <c r="N130" s="28" t="s">
        <v>83</v>
      </c>
      <c r="O130" s="28">
        <v>1.0</v>
      </c>
      <c r="P130" s="29" t="s">
        <v>84</v>
      </c>
    </row>
    <row r="131" ht="14.25" customHeight="1">
      <c r="C131" s="25"/>
      <c r="D131" s="39">
        <v>30.0</v>
      </c>
      <c r="E131" s="1">
        <v>27.0</v>
      </c>
      <c r="F131" s="1">
        <v>52.1552967</v>
      </c>
      <c r="G131" s="1">
        <v>340.0</v>
      </c>
      <c r="I131" s="30">
        <f t="shared" si="2"/>
        <v>1564.658901</v>
      </c>
      <c r="K131" s="1">
        <f t="shared" si="3"/>
        <v>17732.80088</v>
      </c>
      <c r="P131" s="25"/>
    </row>
    <row r="132" ht="14.25" customHeight="1">
      <c r="C132" s="25"/>
      <c r="D132" s="39">
        <v>28.0</v>
      </c>
      <c r="E132" s="1">
        <v>26.0</v>
      </c>
      <c r="F132" s="1">
        <v>66.51163273</v>
      </c>
      <c r="G132" s="1">
        <v>340.0</v>
      </c>
      <c r="I132" s="30">
        <f t="shared" si="2"/>
        <v>1862.325716</v>
      </c>
      <c r="K132" s="1">
        <f t="shared" si="3"/>
        <v>22613.95513</v>
      </c>
      <c r="M132" s="1">
        <f>M128/M130</f>
        <v>1.595744681</v>
      </c>
      <c r="N132" s="1" t="s">
        <v>84</v>
      </c>
      <c r="P132" s="25"/>
    </row>
    <row r="133" ht="14.25" customHeight="1">
      <c r="C133" s="25"/>
      <c r="D133" s="39">
        <v>28.0</v>
      </c>
      <c r="E133" s="1">
        <v>25.0</v>
      </c>
      <c r="F133" s="1">
        <v>71.96340591</v>
      </c>
      <c r="G133" s="1">
        <v>300.0</v>
      </c>
      <c r="I133" s="30">
        <f t="shared" si="2"/>
        <v>2014.975365</v>
      </c>
      <c r="K133" s="1">
        <f t="shared" si="3"/>
        <v>21589.02177</v>
      </c>
      <c r="P133" s="25"/>
    </row>
    <row r="134" ht="14.25" customHeight="1">
      <c r="C134" s="25"/>
      <c r="D134" s="39">
        <v>28.0</v>
      </c>
      <c r="E134" s="1">
        <v>24.0</v>
      </c>
      <c r="F134" s="1">
        <v>84.59334709</v>
      </c>
      <c r="G134" s="1">
        <v>300.0</v>
      </c>
      <c r="I134" s="30">
        <f t="shared" si="2"/>
        <v>2368.613719</v>
      </c>
      <c r="K134" s="1">
        <f t="shared" si="3"/>
        <v>25378.00413</v>
      </c>
      <c r="M134" s="1" t="s">
        <v>88</v>
      </c>
      <c r="N134" s="31">
        <f>(1-(H201/(H201+I199))*100%)+1</f>
        <v>1.075202039</v>
      </c>
      <c r="P134" s="25"/>
    </row>
    <row r="135" ht="14.25" customHeight="1">
      <c r="C135" s="25"/>
      <c r="D135" s="39">
        <v>28.0</v>
      </c>
      <c r="E135" s="1">
        <v>23.0</v>
      </c>
      <c r="F135" s="1">
        <v>105.1283594</v>
      </c>
      <c r="G135" s="1">
        <v>280.0</v>
      </c>
      <c r="I135" s="30">
        <f t="shared" si="2"/>
        <v>2943.594063</v>
      </c>
      <c r="K135" s="1">
        <f t="shared" si="3"/>
        <v>29435.94063</v>
      </c>
      <c r="P135" s="25"/>
    </row>
    <row r="136" ht="14.25" customHeight="1">
      <c r="C136" s="25"/>
      <c r="D136" s="39">
        <v>28.0</v>
      </c>
      <c r="E136" s="1">
        <v>22.0</v>
      </c>
      <c r="F136" s="1">
        <v>121.0293645</v>
      </c>
      <c r="G136" s="1">
        <v>280.0</v>
      </c>
      <c r="I136" s="30">
        <f t="shared" si="2"/>
        <v>3388.822206</v>
      </c>
      <c r="K136" s="1">
        <f t="shared" si="3"/>
        <v>33888.22206</v>
      </c>
      <c r="M136" s="28" t="s">
        <v>88</v>
      </c>
      <c r="N136" s="31">
        <f>(N134+A134)/2</f>
        <v>0.5376010195</v>
      </c>
      <c r="P136" s="25"/>
    </row>
    <row r="137" ht="14.25" customHeight="1">
      <c r="C137" s="25"/>
      <c r="D137" s="39">
        <v>28.0</v>
      </c>
      <c r="E137" s="1">
        <v>21.0</v>
      </c>
      <c r="F137" s="1">
        <v>133.2049912</v>
      </c>
      <c r="G137" s="1">
        <v>280.0</v>
      </c>
      <c r="I137" s="30">
        <f t="shared" si="2"/>
        <v>3729.739754</v>
      </c>
      <c r="K137" s="1">
        <f t="shared" si="3"/>
        <v>37297.39754</v>
      </c>
    </row>
    <row r="138" ht="14.25" customHeight="1">
      <c r="C138" s="25"/>
      <c r="D138" s="39">
        <v>26.0</v>
      </c>
      <c r="E138" s="1">
        <v>20.0</v>
      </c>
      <c r="F138" s="1">
        <v>143.8359489</v>
      </c>
      <c r="G138" s="1">
        <v>260.0</v>
      </c>
      <c r="I138" s="30">
        <f t="shared" si="2"/>
        <v>3739.734671</v>
      </c>
      <c r="K138" s="1">
        <f t="shared" si="3"/>
        <v>37397.34671</v>
      </c>
    </row>
    <row r="139" ht="14.25" customHeight="1">
      <c r="D139" s="39">
        <v>26.0</v>
      </c>
      <c r="E139" s="1">
        <v>19.0</v>
      </c>
      <c r="F139" s="1">
        <v>178.4547086</v>
      </c>
      <c r="G139" s="1">
        <v>260.0</v>
      </c>
      <c r="I139" s="30">
        <f t="shared" si="2"/>
        <v>4639.822424</v>
      </c>
      <c r="K139" s="1">
        <f t="shared" si="3"/>
        <v>46398.22424</v>
      </c>
    </row>
    <row r="140" ht="14.25" customHeight="1">
      <c r="D140" s="1">
        <v>26.0</v>
      </c>
      <c r="E140" s="1">
        <v>18.0</v>
      </c>
      <c r="F140" s="1">
        <v>199.5348982</v>
      </c>
      <c r="G140" s="1">
        <v>260.0</v>
      </c>
      <c r="I140" s="30">
        <f t="shared" si="2"/>
        <v>5187.907353</v>
      </c>
      <c r="K140" s="1">
        <f t="shared" si="3"/>
        <v>51879.07353</v>
      </c>
    </row>
    <row r="141" ht="14.25" customHeight="1">
      <c r="D141" s="1">
        <v>26.0</v>
      </c>
      <c r="E141" s="1">
        <v>17.0</v>
      </c>
      <c r="F141" s="1">
        <v>219.5247332</v>
      </c>
      <c r="G141" s="1">
        <v>240.0</v>
      </c>
      <c r="I141" s="30">
        <f t="shared" si="2"/>
        <v>5707.643063</v>
      </c>
      <c r="K141" s="1">
        <f t="shared" si="3"/>
        <v>52685.93597</v>
      </c>
    </row>
    <row r="142" ht="14.25" customHeight="1">
      <c r="D142" s="1">
        <v>24.0</v>
      </c>
      <c r="E142" s="1">
        <v>16.0</v>
      </c>
      <c r="F142" s="1">
        <v>221.1602651</v>
      </c>
      <c r="G142" s="1">
        <v>240.0</v>
      </c>
      <c r="I142" s="30">
        <f t="shared" si="2"/>
        <v>5307.846362</v>
      </c>
      <c r="K142" s="1">
        <f t="shared" si="3"/>
        <v>53078.46362</v>
      </c>
    </row>
    <row r="143" ht="14.25" customHeight="1">
      <c r="D143" s="1">
        <v>24.0</v>
      </c>
      <c r="E143" s="1">
        <v>15.0</v>
      </c>
      <c r="F143" s="1">
        <v>227.0663527</v>
      </c>
      <c r="G143" s="1">
        <v>150.0</v>
      </c>
      <c r="I143" s="30">
        <f t="shared" si="2"/>
        <v>5449.592465</v>
      </c>
      <c r="K143" s="1">
        <f t="shared" si="3"/>
        <v>34059.95291</v>
      </c>
    </row>
    <row r="144" ht="14.25" customHeight="1">
      <c r="D144" s="1">
        <v>24.0</v>
      </c>
      <c r="E144" s="1">
        <v>14.0</v>
      </c>
      <c r="F144" s="1">
        <v>241.4226888</v>
      </c>
      <c r="G144" s="1">
        <v>150.0</v>
      </c>
      <c r="I144" s="30">
        <f t="shared" si="2"/>
        <v>5794.144531</v>
      </c>
      <c r="K144" s="1">
        <f t="shared" si="3"/>
        <v>36213.40332</v>
      </c>
    </row>
    <row r="145" ht="14.25" customHeight="1">
      <c r="D145" s="1">
        <v>24.0</v>
      </c>
      <c r="E145" s="1">
        <v>13.0</v>
      </c>
      <c r="F145" s="1">
        <v>245.6023815</v>
      </c>
      <c r="G145" s="1">
        <v>150.0</v>
      </c>
      <c r="I145" s="30">
        <f t="shared" si="2"/>
        <v>5894.457156</v>
      </c>
      <c r="K145" s="1">
        <f t="shared" si="3"/>
        <v>36840.35723</v>
      </c>
    </row>
    <row r="146" ht="14.25" customHeight="1">
      <c r="D146" s="1">
        <v>24.0</v>
      </c>
      <c r="E146" s="1">
        <v>12.0</v>
      </c>
      <c r="F146" s="1">
        <v>236.7886816</v>
      </c>
      <c r="G146" s="1">
        <v>150.0</v>
      </c>
      <c r="I146" s="30">
        <f t="shared" si="2"/>
        <v>5682.928358</v>
      </c>
      <c r="K146" s="1">
        <f t="shared" si="3"/>
        <v>35518.30224</v>
      </c>
    </row>
    <row r="147" ht="14.25" customHeight="1">
      <c r="D147" s="1">
        <v>24.0</v>
      </c>
      <c r="E147" s="1">
        <v>11.0</v>
      </c>
      <c r="F147" s="1">
        <v>245.6932444</v>
      </c>
      <c r="G147" s="1">
        <v>100.0</v>
      </c>
      <c r="I147" s="30">
        <f t="shared" si="2"/>
        <v>5896.637866</v>
      </c>
      <c r="K147" s="1">
        <f t="shared" si="3"/>
        <v>24569.32444</v>
      </c>
    </row>
    <row r="148" ht="14.25" customHeight="1">
      <c r="D148" s="1">
        <v>22.0</v>
      </c>
      <c r="E148" s="1">
        <v>10.0</v>
      </c>
      <c r="F148" s="1">
        <v>233.1541661</v>
      </c>
      <c r="G148" s="1">
        <v>100.0</v>
      </c>
      <c r="I148" s="30">
        <f t="shared" si="2"/>
        <v>5129.391654</v>
      </c>
      <c r="K148" s="1">
        <f t="shared" si="3"/>
        <v>23315.41661</v>
      </c>
    </row>
    <row r="149" ht="14.25" customHeight="1">
      <c r="D149" s="1">
        <v>22.0</v>
      </c>
      <c r="E149" s="1">
        <v>9.0</v>
      </c>
      <c r="F149" s="1">
        <v>213.9820971</v>
      </c>
      <c r="G149" s="1">
        <v>80.0</v>
      </c>
      <c r="I149" s="30">
        <f t="shared" si="2"/>
        <v>4707.606136</v>
      </c>
      <c r="K149" s="1">
        <f t="shared" si="3"/>
        <v>17118.56777</v>
      </c>
    </row>
    <row r="150" ht="14.25" customHeight="1">
      <c r="D150" s="1">
        <v>22.0</v>
      </c>
      <c r="E150" s="1">
        <v>8.0</v>
      </c>
      <c r="F150" s="1">
        <v>205.6227116</v>
      </c>
      <c r="G150" s="1">
        <v>70.0</v>
      </c>
      <c r="I150" s="30">
        <f t="shared" si="2"/>
        <v>4523.699655</v>
      </c>
      <c r="K150" s="1">
        <f t="shared" si="3"/>
        <v>14393.58981</v>
      </c>
    </row>
    <row r="151" ht="14.25" customHeight="1">
      <c r="D151" s="1">
        <v>22.0</v>
      </c>
      <c r="E151" s="1">
        <v>7.0</v>
      </c>
      <c r="F151" s="1">
        <v>195.718657</v>
      </c>
      <c r="G151" s="1">
        <v>60.0</v>
      </c>
      <c r="I151" s="30">
        <f t="shared" si="2"/>
        <v>4305.810454</v>
      </c>
      <c r="K151" s="1">
        <f t="shared" si="3"/>
        <v>11743.11942</v>
      </c>
    </row>
    <row r="152" ht="14.25" customHeight="1">
      <c r="D152" s="1">
        <v>20.0</v>
      </c>
      <c r="E152" s="1">
        <v>6.0</v>
      </c>
      <c r="F152" s="1">
        <v>186.9958199</v>
      </c>
      <c r="I152" s="30">
        <f t="shared" si="2"/>
        <v>3739.916398</v>
      </c>
    </row>
    <row r="153" ht="14.25" customHeight="1">
      <c r="D153" s="1">
        <v>20.0</v>
      </c>
      <c r="E153" s="1">
        <v>5.0</v>
      </c>
      <c r="F153" s="1">
        <v>190.9937869</v>
      </c>
      <c r="I153" s="30">
        <f t="shared" si="2"/>
        <v>3819.875738</v>
      </c>
    </row>
    <row r="154" ht="14.25" customHeight="1">
      <c r="D154" s="1">
        <v>18.0</v>
      </c>
      <c r="E154" s="1">
        <v>4.0</v>
      </c>
      <c r="F154" s="1">
        <v>198.9897209</v>
      </c>
      <c r="I154" s="30">
        <f t="shared" si="2"/>
        <v>3581.814976</v>
      </c>
    </row>
    <row r="155" ht="14.25" customHeight="1">
      <c r="D155" s="1">
        <v>18.0</v>
      </c>
      <c r="E155" s="1">
        <v>3.0</v>
      </c>
      <c r="F155" s="1">
        <v>212.1648394</v>
      </c>
      <c r="I155" s="30">
        <f t="shared" si="2"/>
        <v>3818.967109</v>
      </c>
    </row>
    <row r="156" ht="14.25" customHeight="1">
      <c r="D156" s="1">
        <v>18.0</v>
      </c>
      <c r="E156" s="1">
        <v>2.0</v>
      </c>
      <c r="F156" s="1">
        <v>270.8622639</v>
      </c>
      <c r="I156" s="30">
        <f t="shared" si="2"/>
        <v>4875.52075</v>
      </c>
    </row>
    <row r="157" ht="14.25" customHeight="1">
      <c r="D157" s="1">
        <v>18.0</v>
      </c>
      <c r="E157" s="1">
        <v>1.0</v>
      </c>
      <c r="F157" s="1">
        <v>314.2947235</v>
      </c>
      <c r="I157" s="30">
        <f t="shared" si="2"/>
        <v>5657.305023</v>
      </c>
    </row>
    <row r="158" ht="14.25" customHeight="1">
      <c r="D158" s="1">
        <v>18.0</v>
      </c>
      <c r="E158" s="1">
        <v>0.0</v>
      </c>
      <c r="F158" s="1">
        <v>298.4845813</v>
      </c>
      <c r="I158" s="30">
        <f t="shared" si="2"/>
        <v>5372.722463</v>
      </c>
    </row>
    <row r="159" ht="14.25" customHeight="1">
      <c r="D159" s="1">
        <v>18.0</v>
      </c>
      <c r="E159" s="1">
        <v>-1.0</v>
      </c>
      <c r="F159" s="1">
        <v>249.6003485</v>
      </c>
      <c r="I159" s="30">
        <f t="shared" si="2"/>
        <v>4492.806273</v>
      </c>
    </row>
    <row r="160" ht="14.25" customHeight="1">
      <c r="D160" s="1">
        <v>18.0</v>
      </c>
      <c r="E160" s="1">
        <v>-2.0</v>
      </c>
      <c r="F160" s="1">
        <v>221.1602651</v>
      </c>
      <c r="I160" s="30">
        <f t="shared" si="2"/>
        <v>3980.884772</v>
      </c>
    </row>
    <row r="161" ht="14.25" customHeight="1">
      <c r="D161" s="1">
        <v>18.0</v>
      </c>
      <c r="E161" s="1">
        <v>-3.0</v>
      </c>
      <c r="F161" s="1">
        <v>218.888693</v>
      </c>
      <c r="I161" s="30">
        <f t="shared" si="2"/>
        <v>3939.996474</v>
      </c>
    </row>
    <row r="162" ht="14.25" customHeight="1">
      <c r="D162" s="1">
        <v>18.0</v>
      </c>
      <c r="E162" s="1">
        <v>-4.0</v>
      </c>
      <c r="F162" s="1">
        <v>218.1617899</v>
      </c>
      <c r="I162" s="30">
        <f t="shared" si="2"/>
        <v>3926.912218</v>
      </c>
    </row>
    <row r="163" ht="14.25" customHeight="1">
      <c r="D163" s="1">
        <v>17.0</v>
      </c>
      <c r="E163" s="1">
        <v>-5.0</v>
      </c>
      <c r="F163" s="1">
        <v>200.1709384</v>
      </c>
      <c r="I163" s="30">
        <f t="shared" si="2"/>
        <v>3402.905953</v>
      </c>
    </row>
    <row r="164" ht="14.25" customHeight="1">
      <c r="D164" s="1">
        <v>17.0</v>
      </c>
      <c r="E164" s="1">
        <v>-6.0</v>
      </c>
      <c r="F164" s="1">
        <v>194.2648508</v>
      </c>
      <c r="I164" s="30">
        <f t="shared" si="2"/>
        <v>3302.502464</v>
      </c>
    </row>
    <row r="165" ht="14.25" customHeight="1">
      <c r="D165" s="1">
        <v>17.0</v>
      </c>
      <c r="E165" s="1">
        <v>-7.0</v>
      </c>
      <c r="F165" s="1">
        <v>177.0009024</v>
      </c>
      <c r="I165" s="30">
        <f t="shared" si="2"/>
        <v>3009.015341</v>
      </c>
    </row>
    <row r="166" ht="14.25" customHeight="1">
      <c r="D166" s="1">
        <v>17.0</v>
      </c>
      <c r="E166" s="1">
        <v>-8.0</v>
      </c>
      <c r="F166" s="1">
        <v>169.36842</v>
      </c>
      <c r="I166" s="30">
        <f t="shared" si="2"/>
        <v>2879.26314</v>
      </c>
    </row>
    <row r="167" ht="14.25" customHeight="1">
      <c r="D167" s="1">
        <v>17.0</v>
      </c>
      <c r="E167" s="1">
        <v>-9.0</v>
      </c>
      <c r="F167" s="1">
        <v>153.8308664</v>
      </c>
      <c r="I167" s="30">
        <f t="shared" si="2"/>
        <v>2615.124729</v>
      </c>
    </row>
    <row r="168" ht="14.25" customHeight="1">
      <c r="D168" s="1">
        <v>17.0</v>
      </c>
      <c r="E168" s="1">
        <v>-10.0</v>
      </c>
      <c r="F168" s="1">
        <v>139.747119</v>
      </c>
      <c r="I168" s="30">
        <f t="shared" si="2"/>
        <v>2375.701023</v>
      </c>
    </row>
    <row r="169" ht="14.25" customHeight="1">
      <c r="D169" s="1">
        <v>17.0</v>
      </c>
      <c r="E169" s="1">
        <v>-11.0</v>
      </c>
      <c r="F169" s="1">
        <v>118.0308892</v>
      </c>
      <c r="I169" s="30">
        <f t="shared" si="2"/>
        <v>2006.525116</v>
      </c>
    </row>
    <row r="170" ht="14.25" customHeight="1">
      <c r="D170" s="1">
        <v>15.0</v>
      </c>
      <c r="E170" s="1">
        <v>-12.0</v>
      </c>
      <c r="F170" s="1">
        <v>114.6689624</v>
      </c>
      <c r="I170" s="30">
        <f t="shared" si="2"/>
        <v>1720.034436</v>
      </c>
    </row>
    <row r="171" ht="14.25" customHeight="1">
      <c r="D171" s="1">
        <v>15.0</v>
      </c>
      <c r="E171" s="1">
        <v>-13.0</v>
      </c>
      <c r="F171" s="1">
        <v>112.3973903</v>
      </c>
      <c r="I171" s="30">
        <f t="shared" si="2"/>
        <v>1685.960855</v>
      </c>
    </row>
    <row r="172" ht="14.25" customHeight="1">
      <c r="D172" s="1">
        <v>15.0</v>
      </c>
      <c r="E172" s="1">
        <v>-14.0</v>
      </c>
      <c r="F172" s="1">
        <v>112.3973903</v>
      </c>
      <c r="I172" s="30">
        <f t="shared" si="2"/>
        <v>1685.960855</v>
      </c>
    </row>
    <row r="173" ht="14.25" customHeight="1">
      <c r="D173" s="1">
        <v>15.0</v>
      </c>
      <c r="E173" s="1">
        <v>-15.0</v>
      </c>
      <c r="F173" s="1">
        <v>100.5852151</v>
      </c>
      <c r="I173" s="30">
        <f t="shared" si="2"/>
        <v>1508.778227</v>
      </c>
    </row>
    <row r="174" ht="14.25" customHeight="1">
      <c r="D174" s="1">
        <v>15.0</v>
      </c>
      <c r="E174" s="1">
        <v>-16.0</v>
      </c>
      <c r="F174" s="1">
        <v>96.58724808</v>
      </c>
      <c r="I174" s="30">
        <f t="shared" si="2"/>
        <v>1448.808721</v>
      </c>
    </row>
    <row r="175" ht="14.25" customHeight="1">
      <c r="D175" s="1">
        <v>15.0</v>
      </c>
      <c r="E175" s="1">
        <v>-17.0</v>
      </c>
      <c r="F175" s="1">
        <v>88.31872543</v>
      </c>
      <c r="I175" s="30">
        <f t="shared" si="2"/>
        <v>1324.780881</v>
      </c>
    </row>
    <row r="176" ht="14.25" customHeight="1">
      <c r="D176" s="1">
        <v>15.0</v>
      </c>
      <c r="E176" s="1">
        <v>-18.0</v>
      </c>
      <c r="F176" s="1">
        <v>85.32025018</v>
      </c>
      <c r="I176" s="30">
        <f t="shared" si="2"/>
        <v>1279.803753</v>
      </c>
    </row>
    <row r="177" ht="14.25" customHeight="1">
      <c r="D177" s="1">
        <v>15.0</v>
      </c>
      <c r="E177" s="1">
        <v>-19.0</v>
      </c>
      <c r="F177" s="1">
        <v>74.68929249</v>
      </c>
      <c r="I177" s="30">
        <f t="shared" si="2"/>
        <v>1120.339387</v>
      </c>
    </row>
    <row r="178" ht="14.25" customHeight="1">
      <c r="D178" s="1">
        <v>12.0</v>
      </c>
      <c r="E178" s="1">
        <v>-20.0</v>
      </c>
      <c r="F178" s="1">
        <v>69.23751932</v>
      </c>
      <c r="I178" s="30">
        <f t="shared" si="2"/>
        <v>830.8502318</v>
      </c>
    </row>
    <row r="179" ht="14.25" customHeight="1">
      <c r="D179" s="1">
        <v>12.0</v>
      </c>
      <c r="E179" s="1">
        <v>-21.0</v>
      </c>
      <c r="F179" s="1">
        <v>61.78676265</v>
      </c>
      <c r="I179" s="30">
        <f t="shared" si="2"/>
        <v>741.4411518</v>
      </c>
    </row>
    <row r="180" ht="14.25" customHeight="1">
      <c r="D180" s="1">
        <v>12.0</v>
      </c>
      <c r="E180" s="1">
        <v>-22.0</v>
      </c>
      <c r="F180" s="1">
        <v>52.88219979</v>
      </c>
      <c r="I180" s="30">
        <f t="shared" si="2"/>
        <v>634.5863975</v>
      </c>
    </row>
    <row r="181" ht="14.25" customHeight="1">
      <c r="D181" s="1">
        <v>12.0</v>
      </c>
      <c r="E181" s="1">
        <v>-23.0</v>
      </c>
      <c r="F181" s="1">
        <v>52.60961114</v>
      </c>
      <c r="I181" s="30">
        <f t="shared" si="2"/>
        <v>631.3153337</v>
      </c>
    </row>
    <row r="182" ht="14.25" customHeight="1">
      <c r="D182" s="1">
        <v>12.0</v>
      </c>
      <c r="E182" s="1">
        <v>-24.0</v>
      </c>
      <c r="F182" s="1">
        <v>47.52128951</v>
      </c>
      <c r="I182" s="30">
        <f t="shared" si="2"/>
        <v>570.2554741</v>
      </c>
    </row>
    <row r="183" ht="14.25" customHeight="1">
      <c r="D183" s="1">
        <v>12.0</v>
      </c>
      <c r="E183" s="1">
        <v>-25.0</v>
      </c>
      <c r="F183" s="1">
        <v>42.16037922</v>
      </c>
      <c r="I183" s="30">
        <f t="shared" si="2"/>
        <v>505.9245506</v>
      </c>
    </row>
    <row r="184" ht="14.25" customHeight="1">
      <c r="D184" s="1">
        <v>12.0</v>
      </c>
      <c r="E184" s="1">
        <v>-26.0</v>
      </c>
      <c r="F184" s="1">
        <v>33.98271946</v>
      </c>
      <c r="I184" s="30">
        <f t="shared" si="2"/>
        <v>407.7926335</v>
      </c>
    </row>
    <row r="185" ht="14.25" customHeight="1">
      <c r="D185" s="1">
        <v>12.0</v>
      </c>
      <c r="E185" s="1">
        <v>-27.0</v>
      </c>
      <c r="F185" s="1">
        <v>30.25734112</v>
      </c>
      <c r="I185" s="30">
        <f t="shared" si="2"/>
        <v>363.0880934</v>
      </c>
    </row>
    <row r="186" ht="14.25" customHeight="1">
      <c r="D186" s="1">
        <v>12.0</v>
      </c>
      <c r="E186" s="1">
        <v>-28.0</v>
      </c>
      <c r="F186" s="1">
        <v>25.80505969</v>
      </c>
      <c r="I186" s="30">
        <f t="shared" si="2"/>
        <v>309.6607163</v>
      </c>
    </row>
    <row r="187" ht="14.25" customHeight="1">
      <c r="D187" s="1">
        <v>12.0</v>
      </c>
      <c r="E187" s="1">
        <v>-29.0</v>
      </c>
      <c r="F187" s="1">
        <v>14.81065046</v>
      </c>
      <c r="I187" s="30">
        <f t="shared" si="2"/>
        <v>177.7278055</v>
      </c>
    </row>
    <row r="188" ht="14.25" customHeight="1">
      <c r="D188" s="1">
        <v>12.0</v>
      </c>
      <c r="E188" s="1">
        <v>-30.0</v>
      </c>
      <c r="F188" s="1">
        <v>10.5400948</v>
      </c>
      <c r="I188" s="30">
        <f t="shared" si="2"/>
        <v>126.4811376</v>
      </c>
    </row>
    <row r="189" ht="14.25" customHeight="1">
      <c r="D189" s="1">
        <v>12.0</v>
      </c>
      <c r="E189" s="1">
        <v>-31.0</v>
      </c>
      <c r="F189" s="1">
        <v>7.450756672</v>
      </c>
      <c r="I189" s="30">
        <f t="shared" si="2"/>
        <v>89.40908006</v>
      </c>
    </row>
    <row r="190" ht="14.25" customHeight="1">
      <c r="D190" s="1">
        <v>12.0</v>
      </c>
      <c r="E190" s="1">
        <v>-32.0</v>
      </c>
      <c r="F190" s="1">
        <v>6.087813378</v>
      </c>
      <c r="I190" s="30">
        <f t="shared" si="2"/>
        <v>73.05376054</v>
      </c>
    </row>
    <row r="191" ht="14.25" customHeight="1">
      <c r="D191" s="1">
        <v>12.0</v>
      </c>
      <c r="E191" s="1">
        <v>-33.0</v>
      </c>
      <c r="F191" s="1">
        <v>5.633498947</v>
      </c>
      <c r="I191" s="30">
        <f t="shared" si="2"/>
        <v>67.60198736</v>
      </c>
    </row>
    <row r="192" ht="14.25" customHeight="1">
      <c r="D192" s="1">
        <v>12.0</v>
      </c>
      <c r="E192" s="1">
        <v>-34.0</v>
      </c>
      <c r="F192" s="1">
        <v>3.816241222</v>
      </c>
      <c r="I192" s="30">
        <f t="shared" si="2"/>
        <v>45.79489466</v>
      </c>
    </row>
    <row r="193" ht="14.25" customHeight="1">
      <c r="D193" s="1">
        <v>12.0</v>
      </c>
      <c r="E193" s="1">
        <v>-35.0</v>
      </c>
      <c r="F193" s="1">
        <v>3.452789677</v>
      </c>
      <c r="I193" s="30">
        <f t="shared" si="2"/>
        <v>41.43347612</v>
      </c>
    </row>
    <row r="194" ht="14.25" customHeight="1">
      <c r="D194" s="1">
        <v>12.0</v>
      </c>
      <c r="E194" s="1">
        <v>-36.0</v>
      </c>
      <c r="F194" s="1">
        <v>4.088829881</v>
      </c>
      <c r="I194" s="30">
        <f t="shared" si="2"/>
        <v>49.06595857</v>
      </c>
    </row>
    <row r="195" ht="14.25" customHeight="1">
      <c r="D195" s="1">
        <v>12.0</v>
      </c>
      <c r="E195" s="1">
        <v>-37.0</v>
      </c>
      <c r="F195" s="1">
        <v>2.18070927</v>
      </c>
      <c r="I195" s="30">
        <f t="shared" si="2"/>
        <v>26.16851124</v>
      </c>
    </row>
    <row r="196" ht="14.25" customHeight="1">
      <c r="D196" s="1">
        <v>12.0</v>
      </c>
      <c r="E196" s="1">
        <v>-38.0</v>
      </c>
      <c r="F196" s="1">
        <v>1.45380618</v>
      </c>
      <c r="I196" s="30">
        <f t="shared" si="2"/>
        <v>17.44567416</v>
      </c>
    </row>
    <row r="197" ht="14.25" customHeight="1">
      <c r="D197" s="1">
        <v>12.0</v>
      </c>
      <c r="E197" s="1">
        <v>-39.0</v>
      </c>
      <c r="F197" s="1">
        <v>0.817765976</v>
      </c>
      <c r="I197" s="30">
        <f t="shared" si="2"/>
        <v>9.813191712</v>
      </c>
    </row>
    <row r="198" ht="14.25" customHeight="1">
      <c r="D198" s="1">
        <v>12.0</v>
      </c>
      <c r="E198" s="1">
        <v>-40.0</v>
      </c>
      <c r="F198" s="1">
        <v>0.272588659</v>
      </c>
      <c r="I198" s="30">
        <f t="shared" si="2"/>
        <v>3.271063908</v>
      </c>
    </row>
    <row r="199" ht="14.25" customHeight="1">
      <c r="F199" s="1">
        <f>SUM(F122:F198)</f>
        <v>8760</v>
      </c>
      <c r="I199" s="30">
        <f>SUM(I122:I198)</f>
        <v>178084.8058</v>
      </c>
      <c r="J199" s="1" t="s">
        <v>70</v>
      </c>
      <c r="K199" s="30">
        <f>(SUM(K122:K151)/1000)/0.9</f>
        <v>786.0137065</v>
      </c>
      <c r="L199" s="1" t="s">
        <v>85</v>
      </c>
    </row>
    <row r="200" ht="14.25" customHeight="1">
      <c r="F200" s="1" t="s">
        <v>86</v>
      </c>
      <c r="G200" s="1" t="s">
        <v>87</v>
      </c>
    </row>
    <row r="201" ht="14.25" customHeight="1">
      <c r="F201" s="1">
        <f>SUM(F122:F198)</f>
        <v>8760</v>
      </c>
      <c r="G201" s="1">
        <v>250.0</v>
      </c>
      <c r="H201" s="1">
        <f>F201*G201</f>
        <v>2190000</v>
      </c>
      <c r="I201" s="1" t="s">
        <v>70</v>
      </c>
    </row>
    <row r="202" ht="14.25" customHeight="1"/>
    <row r="203" ht="14.25" customHeight="1">
      <c r="F203" s="1">
        <f>G201</f>
        <v>250</v>
      </c>
      <c r="G203" s="1">
        <f>F203*F201</f>
        <v>2190000</v>
      </c>
      <c r="H203" s="41">
        <f>I199</f>
        <v>178084.8058</v>
      </c>
      <c r="K203" s="1">
        <f>I199/F201</f>
        <v>20.32931573</v>
      </c>
    </row>
    <row r="204" ht="14.25" customHeight="1"/>
    <row r="205" ht="14.25" customHeight="1">
      <c r="H205" s="1">
        <f>I199*2</f>
        <v>356169.6116</v>
      </c>
    </row>
    <row r="206" ht="14.25" customHeight="1"/>
    <row r="207" ht="14.25" customHeight="1">
      <c r="G207" s="1" t="s">
        <v>139</v>
      </c>
      <c r="H207" s="1" t="s">
        <v>70</v>
      </c>
    </row>
    <row r="208" ht="14.25" customHeight="1">
      <c r="G208" s="1" t="s">
        <v>135</v>
      </c>
      <c r="H208" s="30">
        <f>H201/3.3</f>
        <v>663636.3636</v>
      </c>
      <c r="I208" s="26">
        <f>H208*5</f>
        <v>3318181.818</v>
      </c>
    </row>
    <row r="209" ht="14.25" customHeight="1">
      <c r="G209" s="1" t="s">
        <v>140</v>
      </c>
      <c r="L209" s="26">
        <f>I208-I212</f>
        <v>2357016.556</v>
      </c>
      <c r="M209" s="26">
        <f>L209*60</f>
        <v>141420993.3</v>
      </c>
    </row>
    <row r="210" ht="14.25" customHeight="1">
      <c r="G210" s="1" t="s">
        <v>135</v>
      </c>
      <c r="H210" s="30">
        <f>I199</f>
        <v>178084.8058</v>
      </c>
      <c r="I210" s="42">
        <f>H210*5</f>
        <v>890424.0289</v>
      </c>
    </row>
    <row r="211" ht="14.25" customHeight="1">
      <c r="G211" s="1" t="s">
        <v>136</v>
      </c>
      <c r="H211" s="30">
        <f>K199</f>
        <v>786.0137065</v>
      </c>
      <c r="I211" s="26">
        <f>H211*90</f>
        <v>70741.23358</v>
      </c>
      <c r="L211" s="26">
        <v>8500000.0</v>
      </c>
      <c r="M211" s="26">
        <f>L211*60</f>
        <v>510000000</v>
      </c>
      <c r="O211" s="1">
        <f>M211/M209</f>
        <v>3.606253838</v>
      </c>
    </row>
    <row r="212" ht="14.25" customHeight="1">
      <c r="H212" s="1" t="s">
        <v>137</v>
      </c>
      <c r="I212" s="42">
        <f>I210+I211</f>
        <v>961165.2625</v>
      </c>
    </row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R2:U2"/>
    <mergeCell ref="W2:Z2"/>
    <mergeCell ref="M14:P14"/>
  </mergeCells>
  <printOptions/>
  <pageMargins bottom="0.75" footer="0.0" header="0.0" left="0.7" right="0.7" top="0.75"/>
  <pageSetup orientation="portrait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14"/>
    <col customWidth="1" min="3" max="4" width="8.71"/>
    <col customWidth="1" min="5" max="5" width="13.57"/>
    <col customWidth="1" min="6" max="6" width="13.71"/>
    <col customWidth="1" min="7" max="7" width="13.43"/>
    <col customWidth="1" min="8" max="8" width="13.14"/>
    <col customWidth="1" min="9" max="11" width="8.71"/>
    <col customWidth="1" min="12" max="12" width="15.0"/>
    <col customWidth="1" min="13" max="13" width="27.14"/>
    <col customWidth="1" min="14" max="14" width="8.71"/>
    <col customWidth="1" min="15" max="15" width="25.43"/>
    <col customWidth="1" min="16" max="16" width="8.86"/>
    <col customWidth="1" min="17" max="17" width="8.71"/>
    <col customWidth="1" min="18" max="18" width="27.86"/>
    <col customWidth="1" min="19" max="19" width="8.71"/>
    <col customWidth="1" min="20" max="20" width="28.14"/>
    <col customWidth="1" min="21" max="22" width="8.71"/>
    <col customWidth="1" min="23" max="23" width="27.14"/>
    <col customWidth="1" min="24" max="24" width="11.86"/>
    <col customWidth="1" min="25" max="25" width="25.43"/>
    <col customWidth="1" min="26" max="26" width="9.86"/>
  </cols>
  <sheetData>
    <row r="1" ht="14.25" customHeight="1"/>
    <row r="2" ht="14.25" customHeight="1">
      <c r="D2" s="1" t="s">
        <v>0</v>
      </c>
      <c r="E2" s="1" t="s">
        <v>1</v>
      </c>
      <c r="F2" s="1" t="s">
        <v>2</v>
      </c>
      <c r="J2" s="1" t="s">
        <v>3</v>
      </c>
      <c r="R2" s="12" t="s">
        <v>58</v>
      </c>
      <c r="S2" s="13"/>
      <c r="T2" s="13"/>
      <c r="U2" s="14"/>
      <c r="W2" s="12" t="s">
        <v>58</v>
      </c>
      <c r="X2" s="13"/>
      <c r="Y2" s="13"/>
      <c r="Z2" s="14"/>
    </row>
    <row r="3" ht="14.25" customHeight="1">
      <c r="B3" s="1" t="s">
        <v>4</v>
      </c>
      <c r="C3" s="1">
        <v>1.0</v>
      </c>
      <c r="D3" s="1">
        <v>0.4</v>
      </c>
      <c r="E3" s="1">
        <v>124.0</v>
      </c>
      <c r="F3" s="1">
        <v>94.4</v>
      </c>
      <c r="J3" s="1" t="s">
        <v>5</v>
      </c>
      <c r="R3" s="15" t="s">
        <v>57</v>
      </c>
      <c r="S3" s="16"/>
      <c r="T3" s="10" t="s">
        <v>18</v>
      </c>
      <c r="U3" s="16"/>
      <c r="W3" s="15" t="s">
        <v>57</v>
      </c>
      <c r="X3" s="16"/>
      <c r="Y3" s="10" t="s">
        <v>18</v>
      </c>
      <c r="Z3" s="16"/>
    </row>
    <row r="4" ht="14.25" customHeight="1">
      <c r="B4" s="1" t="s">
        <v>6</v>
      </c>
      <c r="C4" s="1">
        <v>1.0</v>
      </c>
      <c r="D4" s="1">
        <v>0.8</v>
      </c>
      <c r="E4" s="1">
        <v>248.0</v>
      </c>
      <c r="F4" s="1">
        <v>188.0</v>
      </c>
      <c r="R4" s="17" t="s">
        <v>19</v>
      </c>
      <c r="S4" s="18">
        <f>(S5*S6*S7*S10)/3600</f>
        <v>213.3755556</v>
      </c>
      <c r="T4" s="1" t="s">
        <v>19</v>
      </c>
      <c r="U4" s="18">
        <f>(U5*U6*U7*U10)/3600</f>
        <v>212.6666667</v>
      </c>
      <c r="W4" s="17" t="s">
        <v>19</v>
      </c>
      <c r="X4" s="18">
        <f>(X5*X6*X7*X10)/3600</f>
        <v>212.7791111</v>
      </c>
      <c r="Y4" s="1" t="s">
        <v>19</v>
      </c>
      <c r="Z4" s="18">
        <f>(Z5*Z6*Z7*Z10)/3600</f>
        <v>231.8</v>
      </c>
    </row>
    <row r="5" ht="14.25" customHeight="1">
      <c r="B5" s="1" t="s">
        <v>7</v>
      </c>
      <c r="C5" s="1">
        <v>1.0</v>
      </c>
      <c r="D5" s="1">
        <v>1.2</v>
      </c>
      <c r="E5" s="1">
        <v>372.0</v>
      </c>
      <c r="F5" s="1">
        <v>283.0</v>
      </c>
      <c r="J5" s="1" t="s">
        <v>8</v>
      </c>
      <c r="R5" s="17" t="s">
        <v>20</v>
      </c>
      <c r="S5" s="19">
        <v>44000.0</v>
      </c>
      <c r="T5" s="1" t="s">
        <v>20</v>
      </c>
      <c r="U5" s="19">
        <v>55000.0</v>
      </c>
      <c r="W5" s="17" t="s">
        <v>20</v>
      </c>
      <c r="X5" s="19">
        <v>56800.0</v>
      </c>
      <c r="Y5" s="1" t="s">
        <v>20</v>
      </c>
      <c r="Z5" s="19">
        <v>61000.0</v>
      </c>
    </row>
    <row r="6" ht="14.25" customHeight="1">
      <c r="R6" s="17" t="s">
        <v>25</v>
      </c>
      <c r="S6" s="2">
        <v>1.247</v>
      </c>
      <c r="T6" s="1" t="s">
        <v>25</v>
      </c>
      <c r="U6" s="19">
        <v>1.16</v>
      </c>
      <c r="W6" s="17" t="s">
        <v>25</v>
      </c>
      <c r="X6" s="2">
        <v>1.226</v>
      </c>
      <c r="Y6" s="1" t="s">
        <v>25</v>
      </c>
      <c r="Z6" s="19">
        <v>1.14</v>
      </c>
    </row>
    <row r="7" ht="14.25" customHeight="1">
      <c r="B7" s="1" t="s">
        <v>9</v>
      </c>
      <c r="E7" s="1">
        <v>236.0</v>
      </c>
      <c r="F7" s="1" t="s">
        <v>10</v>
      </c>
      <c r="J7" s="1" t="s">
        <v>11</v>
      </c>
      <c r="L7" s="1" t="s">
        <v>12</v>
      </c>
      <c r="R7" s="17" t="s">
        <v>27</v>
      </c>
      <c r="S7" s="19">
        <v>1.0</v>
      </c>
      <c r="T7" s="1" t="s">
        <v>27</v>
      </c>
      <c r="U7" s="19">
        <v>1.0</v>
      </c>
      <c r="W7" s="17" t="s">
        <v>27</v>
      </c>
      <c r="X7" s="19">
        <v>1.0</v>
      </c>
      <c r="Y7" s="1" t="s">
        <v>27</v>
      </c>
      <c r="Z7" s="19">
        <v>1.0</v>
      </c>
    </row>
    <row r="8" ht="14.25" customHeight="1">
      <c r="B8" s="1" t="s">
        <v>13</v>
      </c>
      <c r="E8" s="1">
        <v>310.0</v>
      </c>
      <c r="F8" s="1" t="s">
        <v>10</v>
      </c>
      <c r="J8" s="1">
        <v>0.7</v>
      </c>
      <c r="K8" s="1" t="s">
        <v>14</v>
      </c>
      <c r="L8" s="1">
        <v>1.0</v>
      </c>
      <c r="M8" s="1" t="s">
        <v>15</v>
      </c>
      <c r="R8" s="17" t="s">
        <v>29</v>
      </c>
      <c r="S8" s="20">
        <v>10.0</v>
      </c>
      <c r="T8" s="1" t="s">
        <v>30</v>
      </c>
      <c r="U8" s="20">
        <v>24.0</v>
      </c>
      <c r="W8" s="17" t="s">
        <v>29</v>
      </c>
      <c r="X8" s="20">
        <v>15.0</v>
      </c>
      <c r="Y8" s="1" t="s">
        <v>30</v>
      </c>
      <c r="Z8" s="20">
        <v>24.0</v>
      </c>
    </row>
    <row r="9" ht="14.25" customHeight="1">
      <c r="R9" s="17" t="s">
        <v>32</v>
      </c>
      <c r="S9" s="20">
        <v>24.0</v>
      </c>
      <c r="T9" s="1" t="s">
        <v>33</v>
      </c>
      <c r="U9" s="20">
        <v>36.0</v>
      </c>
      <c r="W9" s="17" t="s">
        <v>32</v>
      </c>
      <c r="X9" s="20">
        <v>26.0</v>
      </c>
      <c r="Y9" s="1" t="s">
        <v>33</v>
      </c>
      <c r="Z9" s="20">
        <v>36.0</v>
      </c>
    </row>
    <row r="10" ht="14.25" customHeight="1">
      <c r="R10" s="17" t="s">
        <v>35</v>
      </c>
      <c r="S10" s="19">
        <f>S9-S8</f>
        <v>14</v>
      </c>
      <c r="T10" s="1" t="s">
        <v>35</v>
      </c>
      <c r="U10" s="19">
        <f>U9-U8</f>
        <v>12</v>
      </c>
      <c r="W10" s="17" t="s">
        <v>35</v>
      </c>
      <c r="X10" s="19">
        <f>X9-X8</f>
        <v>11</v>
      </c>
      <c r="Y10" s="1" t="s">
        <v>35</v>
      </c>
      <c r="Z10" s="19">
        <f>Z9-Z8</f>
        <v>12</v>
      </c>
    </row>
    <row r="11" ht="14.25" customHeight="1">
      <c r="R11" s="17" t="s">
        <v>59</v>
      </c>
      <c r="S11" s="19"/>
      <c r="U11" s="20"/>
      <c r="W11" s="17" t="s">
        <v>59</v>
      </c>
      <c r="X11" s="19"/>
      <c r="Y11" s="1" t="s">
        <v>141</v>
      </c>
      <c r="Z11" s="20"/>
    </row>
    <row r="12" ht="14.25" customHeight="1">
      <c r="B12" s="1" t="s">
        <v>16</v>
      </c>
      <c r="R12" s="17" t="s">
        <v>60</v>
      </c>
      <c r="S12" s="19"/>
      <c r="U12" s="20"/>
      <c r="W12" s="17" t="s">
        <v>60</v>
      </c>
      <c r="X12" s="19"/>
      <c r="Y12" s="1" t="s">
        <v>142</v>
      </c>
      <c r="Z12" s="20"/>
    </row>
    <row r="13" ht="14.25" customHeight="1">
      <c r="C13" s="1">
        <v>17.0</v>
      </c>
      <c r="D13" s="1">
        <v>3.0</v>
      </c>
      <c r="E13" s="1">
        <f>C13*D13</f>
        <v>51</v>
      </c>
      <c r="F13" s="1">
        <v>600.0</v>
      </c>
      <c r="G13" s="1">
        <v>600.0</v>
      </c>
      <c r="R13" s="17" t="s">
        <v>19</v>
      </c>
      <c r="S13" s="20"/>
      <c r="U13" s="20"/>
      <c r="W13" s="17" t="s">
        <v>19</v>
      </c>
      <c r="X13" s="20"/>
      <c r="Z13" s="20"/>
    </row>
    <row r="14" ht="14.25" customHeight="1">
      <c r="C14" s="1">
        <v>17.0</v>
      </c>
      <c r="D14" s="1">
        <v>9.0</v>
      </c>
      <c r="E14" s="1">
        <v>153.0</v>
      </c>
      <c r="F14" s="1">
        <v>600.0</v>
      </c>
      <c r="G14" s="1">
        <v>1800.0</v>
      </c>
      <c r="M14" s="12" t="s">
        <v>58</v>
      </c>
      <c r="N14" s="13"/>
      <c r="O14" s="13"/>
      <c r="P14" s="14"/>
      <c r="R14" s="21" t="s">
        <v>61</v>
      </c>
      <c r="S14" s="22"/>
      <c r="T14" s="23"/>
      <c r="U14" s="24"/>
      <c r="W14" s="21" t="s">
        <v>61</v>
      </c>
      <c r="X14" s="22"/>
      <c r="Y14" s="23"/>
      <c r="Z14" s="24"/>
    </row>
    <row r="15" ht="14.25" customHeight="1">
      <c r="C15" s="1">
        <v>17.0</v>
      </c>
      <c r="D15" s="1">
        <v>12.0</v>
      </c>
      <c r="E15" s="1">
        <v>204.0</v>
      </c>
      <c r="F15" s="1">
        <v>600.0</v>
      </c>
      <c r="G15" s="1">
        <v>2400.0</v>
      </c>
      <c r="M15" s="15" t="s">
        <v>57</v>
      </c>
      <c r="N15" s="16"/>
      <c r="O15" s="10" t="s">
        <v>18</v>
      </c>
      <c r="P15" s="16"/>
    </row>
    <row r="16" ht="14.25" customHeight="1">
      <c r="M16" s="17" t="s">
        <v>19</v>
      </c>
      <c r="N16" s="18">
        <f>(N17*N18*N19*N22)/3600</f>
        <v>56.49694444</v>
      </c>
      <c r="O16" s="1" t="s">
        <v>19</v>
      </c>
      <c r="P16" s="18">
        <f>(P17*P18*P19*P22)/3600</f>
        <v>212.6575</v>
      </c>
      <c r="X16" s="1">
        <f>2.4*2</f>
        <v>4.8</v>
      </c>
    </row>
    <row r="17" ht="14.25" customHeight="1">
      <c r="M17" s="17" t="s">
        <v>20</v>
      </c>
      <c r="N17" s="19">
        <v>47800.0</v>
      </c>
      <c r="O17" s="1" t="s">
        <v>20</v>
      </c>
      <c r="P17" s="19">
        <v>55500.0</v>
      </c>
    </row>
    <row r="18" ht="14.25" customHeight="1">
      <c r="E18" s="1" t="s">
        <v>21</v>
      </c>
      <c r="F18" s="1" t="s">
        <v>22</v>
      </c>
      <c r="G18" s="1" t="s">
        <v>23</v>
      </c>
      <c r="H18" s="1" t="s">
        <v>24</v>
      </c>
      <c r="M18" s="17" t="s">
        <v>25</v>
      </c>
      <c r="N18" s="2">
        <v>1.15</v>
      </c>
      <c r="O18" s="1" t="s">
        <v>25</v>
      </c>
      <c r="P18" s="19">
        <v>1.14</v>
      </c>
    </row>
    <row r="19" ht="14.25" customHeight="1">
      <c r="B19" s="1" t="s">
        <v>26</v>
      </c>
      <c r="E19" s="1">
        <v>408.0</v>
      </c>
      <c r="F19" s="1">
        <f>($E$19*$E$3)/1000</f>
        <v>50.592</v>
      </c>
      <c r="G19" s="1">
        <f>($E$4*$E$19)/1000</f>
        <v>101.184</v>
      </c>
      <c r="H19" s="1">
        <f>($E$5*$E$19)/1000</f>
        <v>151.776</v>
      </c>
      <c r="M19" s="17" t="s">
        <v>27</v>
      </c>
      <c r="N19" s="19">
        <v>1.0</v>
      </c>
      <c r="O19" s="1" t="s">
        <v>27</v>
      </c>
      <c r="P19" s="19">
        <v>1.0</v>
      </c>
      <c r="Y19" s="1" t="str">
        <f>Y20*1000000/(3600*Y21*Y22)</f>
        <v>#DIV/0!</v>
      </c>
    </row>
    <row r="20" ht="14.25" customHeight="1">
      <c r="B20" s="1" t="s">
        <v>28</v>
      </c>
      <c r="E20" s="1">
        <v>816.0</v>
      </c>
      <c r="F20" s="1">
        <f>($E$20*$E$3)/1000</f>
        <v>101.184</v>
      </c>
      <c r="G20" s="1">
        <f>($E$4*$E$20)/1000</f>
        <v>202.368</v>
      </c>
      <c r="H20" s="1">
        <f>($E$5*$E$20)/1000</f>
        <v>303.552</v>
      </c>
      <c r="M20" s="17" t="s">
        <v>29</v>
      </c>
      <c r="N20" s="20">
        <v>23.3</v>
      </c>
      <c r="O20" s="1" t="s">
        <v>30</v>
      </c>
      <c r="P20" s="20">
        <v>25.5</v>
      </c>
      <c r="Y20" s="1">
        <f>Z5</f>
        <v>61000</v>
      </c>
    </row>
    <row r="21" ht="14.25" customHeight="1">
      <c r="B21" s="1" t="s">
        <v>31</v>
      </c>
      <c r="E21" s="1">
        <v>1224.0</v>
      </c>
      <c r="F21" s="1">
        <f>($E$21*$E$3)/1000</f>
        <v>151.776</v>
      </c>
      <c r="G21" s="1">
        <f>($E$4*$E$21)/1000</f>
        <v>303.552</v>
      </c>
      <c r="H21" s="1">
        <f>($E$5*$E$21)/1000</f>
        <v>455.328</v>
      </c>
      <c r="K21" s="1">
        <f>(E21*100)/1000</f>
        <v>122.4</v>
      </c>
      <c r="M21" s="17" t="s">
        <v>32</v>
      </c>
      <c r="N21" s="20">
        <v>27.0</v>
      </c>
      <c r="O21" s="1" t="s">
        <v>33</v>
      </c>
      <c r="P21" s="20">
        <v>37.6</v>
      </c>
    </row>
    <row r="22" ht="14.25" customHeight="1">
      <c r="B22" s="1" t="s">
        <v>34</v>
      </c>
      <c r="E22" s="1">
        <v>1632.0</v>
      </c>
      <c r="F22" s="1">
        <f>($E$22*$E$3)/1000</f>
        <v>202.368</v>
      </c>
      <c r="G22" s="1">
        <f>($E$4*$E$22)/1000</f>
        <v>404.736</v>
      </c>
      <c r="H22" s="1">
        <f>($E$5*$E$22)/1000</f>
        <v>607.104</v>
      </c>
      <c r="M22" s="17" t="s">
        <v>35</v>
      </c>
      <c r="N22" s="19">
        <f>N21-N20</f>
        <v>3.7</v>
      </c>
      <c r="O22" s="1" t="s">
        <v>35</v>
      </c>
      <c r="P22" s="19">
        <f>P21-P20</f>
        <v>12.1</v>
      </c>
    </row>
    <row r="23" ht="14.25" customHeight="1">
      <c r="M23" s="17" t="s">
        <v>59</v>
      </c>
      <c r="N23" s="19">
        <v>12.33</v>
      </c>
      <c r="P23" s="20"/>
    </row>
    <row r="24" ht="14.25" customHeight="1">
      <c r="M24" s="17" t="s">
        <v>60</v>
      </c>
      <c r="N24" s="19">
        <v>17.0</v>
      </c>
      <c r="P24" s="20"/>
    </row>
    <row r="25" ht="14.25" customHeight="1">
      <c r="B25" s="1" t="s">
        <v>36</v>
      </c>
      <c r="M25" s="17" t="s">
        <v>19</v>
      </c>
      <c r="N25" s="20">
        <f>(((N24-N23)*N17)/1000)*0.7</f>
        <v>156.2582</v>
      </c>
      <c r="P25" s="20"/>
    </row>
    <row r="26" ht="14.25" customHeight="1">
      <c r="M26" s="21" t="s">
        <v>61</v>
      </c>
      <c r="N26" s="22">
        <f>N25+N16</f>
        <v>212.7551444</v>
      </c>
      <c r="O26" s="23"/>
      <c r="P26" s="24"/>
    </row>
    <row r="27" ht="14.25" customHeight="1">
      <c r="B27" s="1" t="s">
        <v>38</v>
      </c>
    </row>
    <row r="28" ht="14.25" customHeight="1"/>
    <row r="29" ht="14.25" customHeight="1">
      <c r="B29" s="1" t="s">
        <v>40</v>
      </c>
      <c r="C29" s="1" t="s">
        <v>41</v>
      </c>
    </row>
    <row r="30" ht="14.25" customHeight="1">
      <c r="C30" s="1" t="s">
        <v>42</v>
      </c>
      <c r="N30" s="2">
        <v>1.247</v>
      </c>
      <c r="O30" s="1" t="s">
        <v>37</v>
      </c>
    </row>
    <row r="31" ht="14.25" customHeight="1">
      <c r="N31" s="2">
        <v>1.226</v>
      </c>
      <c r="O31" s="1" t="s">
        <v>62</v>
      </c>
    </row>
    <row r="32" ht="14.25" customHeight="1">
      <c r="N32" s="2">
        <v>1.17</v>
      </c>
      <c r="O32" s="1" t="s">
        <v>39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>
      <c r="C105" s="25"/>
      <c r="D105" s="1" t="s">
        <v>63</v>
      </c>
      <c r="F105" s="1" t="s">
        <v>143</v>
      </c>
      <c r="P105" s="25"/>
    </row>
    <row r="106" ht="14.25" customHeight="1">
      <c r="C106" s="25"/>
      <c r="D106" s="1">
        <v>200.0</v>
      </c>
      <c r="E106" s="1" t="s">
        <v>14</v>
      </c>
      <c r="F106" s="1" t="s">
        <v>65</v>
      </c>
      <c r="P106" s="25"/>
    </row>
    <row r="107" ht="14.25" customHeight="1">
      <c r="C107" s="25"/>
      <c r="D107" s="1">
        <v>17.0</v>
      </c>
      <c r="E107" s="1" t="s">
        <v>14</v>
      </c>
      <c r="F107" s="1" t="s">
        <v>144</v>
      </c>
      <c r="P107" s="25"/>
    </row>
    <row r="108" ht="14.25" customHeight="1">
      <c r="C108" s="25"/>
      <c r="P108" s="25"/>
    </row>
    <row r="109" ht="14.25" customHeight="1">
      <c r="C109" s="25"/>
      <c r="D109" s="1" t="s">
        <v>67</v>
      </c>
      <c r="P109" s="25"/>
    </row>
    <row r="110" ht="14.25" customHeight="1">
      <c r="C110" s="25"/>
      <c r="M110" s="1" t="s">
        <v>68</v>
      </c>
      <c r="O110" s="1" t="s">
        <v>69</v>
      </c>
      <c r="P110" s="25"/>
    </row>
    <row r="111" ht="14.25" customHeight="1">
      <c r="A111" s="1">
        <f t="shared" ref="A111:A112" si="1">B111*C111</f>
        <v>12.5</v>
      </c>
      <c r="B111" s="1">
        <v>5.0</v>
      </c>
      <c r="C111" s="25">
        <v>2.5</v>
      </c>
      <c r="D111" s="1">
        <f>D106+D107</f>
        <v>217</v>
      </c>
      <c r="E111" s="1" t="s">
        <v>70</v>
      </c>
      <c r="F111" s="1" t="s">
        <v>28</v>
      </c>
      <c r="G111" s="1">
        <v>3.0</v>
      </c>
      <c r="H111" s="1" t="s">
        <v>72</v>
      </c>
      <c r="L111" s="26"/>
      <c r="M111" s="26">
        <v>3845750.0</v>
      </c>
      <c r="O111" s="26">
        <v>6406250.0</v>
      </c>
      <c r="P111" s="25"/>
    </row>
    <row r="112" ht="14.25" customHeight="1">
      <c r="A112" s="1">
        <f t="shared" si="1"/>
        <v>12.5</v>
      </c>
      <c r="B112" s="1">
        <v>5.0</v>
      </c>
      <c r="C112" s="25">
        <v>2.5</v>
      </c>
      <c r="D112" s="1">
        <v>10.0</v>
      </c>
      <c r="E112" s="1" t="s">
        <v>70</v>
      </c>
      <c r="F112" s="1" t="s">
        <v>73</v>
      </c>
      <c r="M112" s="26">
        <v>5125000.0</v>
      </c>
      <c r="P112" s="25"/>
    </row>
    <row r="113" ht="14.25" customHeight="1">
      <c r="A113" s="1">
        <f>A111+A112</f>
        <v>25</v>
      </c>
      <c r="C113" s="25"/>
      <c r="D113" s="1">
        <v>20.0</v>
      </c>
      <c r="E113" s="1" t="s">
        <v>70</v>
      </c>
      <c r="F113" s="1" t="s">
        <v>74</v>
      </c>
      <c r="M113" s="26">
        <f>M111*G111</f>
        <v>11537250</v>
      </c>
      <c r="P113" s="25"/>
    </row>
    <row r="114" ht="14.25" customHeight="1">
      <c r="B114" s="1">
        <f>55000/14200</f>
        <v>3.873239437</v>
      </c>
      <c r="C114" s="25"/>
      <c r="D114" s="1">
        <v>25.0</v>
      </c>
      <c r="E114" s="1" t="s">
        <v>70</v>
      </c>
      <c r="F114" s="1" t="s">
        <v>75</v>
      </c>
      <c r="P114" s="25"/>
    </row>
    <row r="115" ht="14.25" customHeight="1">
      <c r="B115" s="1" t="s">
        <v>145</v>
      </c>
      <c r="C115" s="25"/>
      <c r="D115" s="1">
        <v>898.0</v>
      </c>
      <c r="E115" s="1" t="s">
        <v>76</v>
      </c>
      <c r="P115" s="25"/>
    </row>
    <row r="116" ht="14.25" customHeight="1">
      <c r="B116" s="1">
        <v>14200.0</v>
      </c>
      <c r="C116" s="25" t="s">
        <v>96</v>
      </c>
      <c r="P116" s="25"/>
    </row>
    <row r="117" ht="14.25" customHeight="1">
      <c r="C117" s="25"/>
      <c r="F117" s="1" t="s">
        <v>77</v>
      </c>
      <c r="P117" s="25"/>
    </row>
    <row r="118" ht="14.25" customHeight="1">
      <c r="C118" s="25"/>
      <c r="P118" s="25"/>
    </row>
    <row r="119" ht="14.25" customHeight="1">
      <c r="C119" s="25"/>
      <c r="P119" s="25"/>
    </row>
    <row r="120" ht="14.25" customHeight="1">
      <c r="C120" s="25"/>
      <c r="P120" s="25"/>
    </row>
    <row r="121" ht="14.25" customHeight="1">
      <c r="C121" s="25"/>
      <c r="F121" s="1" t="s">
        <v>70</v>
      </c>
      <c r="G121" s="1" t="s">
        <v>78</v>
      </c>
      <c r="H121" s="1" t="s">
        <v>79</v>
      </c>
      <c r="I121" s="1" t="s">
        <v>70</v>
      </c>
      <c r="M121" s="1" t="s">
        <v>80</v>
      </c>
      <c r="P121" s="25"/>
    </row>
    <row r="122" ht="14.25" customHeight="1">
      <c r="C122" s="25"/>
      <c r="D122" s="1">
        <v>37.0</v>
      </c>
      <c r="F122" s="1">
        <v>21.0</v>
      </c>
      <c r="G122" s="1">
        <f>D111/0.7</f>
        <v>310</v>
      </c>
      <c r="H122" s="1">
        <v>120.0</v>
      </c>
      <c r="I122" s="1">
        <f t="shared" ref="I122:I129" si="2">F122*H122</f>
        <v>2520</v>
      </c>
      <c r="K122" s="1">
        <f t="shared" ref="K122:K126" si="3">G122*H122</f>
        <v>37200</v>
      </c>
      <c r="M122" s="27">
        <f>(G122*12)/1000</f>
        <v>3.72</v>
      </c>
      <c r="N122" s="1" t="s">
        <v>81</v>
      </c>
      <c r="P122" s="25"/>
    </row>
    <row r="123" ht="14.25" customHeight="1">
      <c r="C123" s="25"/>
      <c r="D123" s="1">
        <v>26.0</v>
      </c>
      <c r="F123" s="1">
        <v>20.0</v>
      </c>
      <c r="G123" s="1">
        <v>280.0</v>
      </c>
      <c r="H123" s="1">
        <v>450.0</v>
      </c>
      <c r="I123" s="1">
        <f t="shared" si="2"/>
        <v>9000</v>
      </c>
      <c r="K123" s="1">
        <f t="shared" si="3"/>
        <v>126000</v>
      </c>
      <c r="P123" s="25"/>
    </row>
    <row r="124" ht="14.25" customHeight="1">
      <c r="C124" s="25"/>
      <c r="D124" s="1">
        <v>22.0</v>
      </c>
      <c r="F124" s="1">
        <v>18.0</v>
      </c>
      <c r="G124" s="1">
        <v>250.0</v>
      </c>
      <c r="H124" s="1">
        <v>890.0</v>
      </c>
      <c r="I124" s="1">
        <f t="shared" si="2"/>
        <v>16020</v>
      </c>
      <c r="K124" s="1">
        <f t="shared" si="3"/>
        <v>222500</v>
      </c>
      <c r="P124" s="25"/>
    </row>
    <row r="125" ht="14.25" customHeight="1">
      <c r="C125" s="25"/>
      <c r="D125" s="1">
        <v>15.0</v>
      </c>
      <c r="F125" s="1">
        <v>16.0</v>
      </c>
      <c r="G125" s="1">
        <v>200.0</v>
      </c>
      <c r="H125" s="1">
        <v>1200.0</v>
      </c>
      <c r="I125" s="1">
        <f t="shared" si="2"/>
        <v>19200</v>
      </c>
      <c r="K125" s="1">
        <f t="shared" si="3"/>
        <v>240000</v>
      </c>
      <c r="M125" s="1">
        <f>8760*55%</f>
        <v>4818</v>
      </c>
      <c r="P125" s="25"/>
    </row>
    <row r="126" ht="14.25" customHeight="1">
      <c r="C126" s="25"/>
      <c r="D126" s="1">
        <v>10.0</v>
      </c>
      <c r="F126" s="1">
        <v>15.0</v>
      </c>
      <c r="G126" s="1">
        <v>170.0</v>
      </c>
      <c r="H126" s="1">
        <v>1600.0</v>
      </c>
      <c r="I126" s="1">
        <f t="shared" si="2"/>
        <v>24000</v>
      </c>
      <c r="K126" s="1">
        <f t="shared" si="3"/>
        <v>272000</v>
      </c>
      <c r="P126" s="25"/>
    </row>
    <row r="127" ht="14.25" customHeight="1">
      <c r="C127" s="25"/>
      <c r="D127" s="1">
        <v>-6.5</v>
      </c>
      <c r="F127" s="1">
        <v>12.0</v>
      </c>
      <c r="H127" s="1">
        <v>3000.0</v>
      </c>
      <c r="I127" s="1">
        <f t="shared" si="2"/>
        <v>36000</v>
      </c>
      <c r="P127" s="25"/>
    </row>
    <row r="128" ht="14.25" customHeight="1">
      <c r="B128" s="28">
        <v>1.0</v>
      </c>
      <c r="C128" s="29" t="s">
        <v>82</v>
      </c>
      <c r="D128" s="1">
        <v>-23.0</v>
      </c>
      <c r="F128" s="1">
        <v>12.0</v>
      </c>
      <c r="H128" s="1">
        <v>850.0</v>
      </c>
      <c r="I128" s="1">
        <f t="shared" si="2"/>
        <v>10200</v>
      </c>
      <c r="M128" s="28">
        <v>3600.0</v>
      </c>
      <c r="N128" s="28" t="s">
        <v>83</v>
      </c>
      <c r="O128" s="28">
        <v>1.0</v>
      </c>
      <c r="P128" s="29" t="s">
        <v>82</v>
      </c>
    </row>
    <row r="129" ht="14.25" customHeight="1">
      <c r="C129" s="25"/>
      <c r="D129" s="1">
        <v>-37.0</v>
      </c>
      <c r="F129" s="1">
        <v>10.0</v>
      </c>
      <c r="H129" s="1">
        <v>650.0</v>
      </c>
      <c r="I129" s="1">
        <f t="shared" si="2"/>
        <v>6500</v>
      </c>
      <c r="P129" s="25"/>
    </row>
    <row r="130" ht="14.25" customHeight="1">
      <c r="B130" s="28">
        <v>1.0</v>
      </c>
      <c r="C130" s="29" t="s">
        <v>84</v>
      </c>
      <c r="M130" s="28">
        <v>2256.0</v>
      </c>
      <c r="N130" s="28" t="s">
        <v>83</v>
      </c>
      <c r="O130" s="28">
        <v>1.0</v>
      </c>
      <c r="P130" s="29" t="s">
        <v>84</v>
      </c>
    </row>
    <row r="131" ht="14.25" customHeight="1">
      <c r="C131" s="25"/>
      <c r="H131" s="1">
        <f t="shared" ref="H131:I131" si="4">SUM(H122:H130)</f>
        <v>8760</v>
      </c>
      <c r="I131" s="1">
        <f t="shared" si="4"/>
        <v>123440</v>
      </c>
      <c r="J131" s="1" t="s">
        <v>70</v>
      </c>
      <c r="K131" s="30">
        <f>(SUM(K122:K130)/1000)/0.9</f>
        <v>997.4444444</v>
      </c>
      <c r="L131" s="1" t="s">
        <v>85</v>
      </c>
      <c r="P131" s="25"/>
    </row>
    <row r="132" ht="14.25" customHeight="1">
      <c r="C132" s="25"/>
      <c r="M132" s="1">
        <f>M128/M130</f>
        <v>1.595744681</v>
      </c>
      <c r="N132" s="1" t="s">
        <v>84</v>
      </c>
      <c r="P132" s="25"/>
    </row>
    <row r="133" ht="14.25" customHeight="1">
      <c r="C133" s="25"/>
      <c r="H133" s="1" t="s">
        <v>86</v>
      </c>
      <c r="I133" s="1" t="s">
        <v>87</v>
      </c>
      <c r="P133" s="25"/>
    </row>
    <row r="134" ht="14.25" customHeight="1">
      <c r="C134" s="25"/>
      <c r="G134" s="1">
        <f>H134-H131</f>
        <v>0</v>
      </c>
      <c r="H134" s="1">
        <v>8760.0</v>
      </c>
      <c r="I134" s="1">
        <f>D106+D107</f>
        <v>217</v>
      </c>
      <c r="J134" s="1">
        <f>H134*I134</f>
        <v>1900920</v>
      </c>
      <c r="K134" s="1" t="s">
        <v>70</v>
      </c>
      <c r="M134" s="1" t="s">
        <v>88</v>
      </c>
      <c r="N134" s="31">
        <f>(1-(J134/(J134+I131))*100%)+1</f>
        <v>1.060977297</v>
      </c>
      <c r="P134" s="25"/>
    </row>
    <row r="135" ht="14.25" customHeight="1">
      <c r="C135" s="25"/>
      <c r="P135" s="25"/>
    </row>
    <row r="136" ht="14.25" customHeight="1">
      <c r="C136" s="25"/>
      <c r="H136" s="1">
        <f>I134</f>
        <v>217</v>
      </c>
      <c r="I136" s="1">
        <f>H136*H134</f>
        <v>1900920</v>
      </c>
      <c r="J136" s="1">
        <f>I131</f>
        <v>123440</v>
      </c>
      <c r="M136" s="28" t="s">
        <v>88</v>
      </c>
      <c r="N136" s="31">
        <f>(N134+A134)/2</f>
        <v>0.5304886483</v>
      </c>
      <c r="P136" s="25"/>
    </row>
    <row r="137" ht="14.25" customHeight="1">
      <c r="C137" s="25"/>
    </row>
    <row r="138" ht="14.25" customHeight="1">
      <c r="C138" s="25"/>
      <c r="J138" s="1">
        <f>I131*2</f>
        <v>246880</v>
      </c>
    </row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R2:U2"/>
    <mergeCell ref="W2:Z2"/>
    <mergeCell ref="M14:P14"/>
  </mergeCells>
  <printOptions/>
  <pageMargins bottom="0.75" footer="0.0" header="0.0" left="0.7" right="0.7" top="0.75"/>
  <pageSetup orientation="portrait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14"/>
    <col customWidth="1" min="3" max="4" width="8.71"/>
    <col customWidth="1" min="5" max="5" width="13.57"/>
    <col customWidth="1" min="6" max="6" width="13.71"/>
    <col customWidth="1" min="7" max="7" width="13.43"/>
    <col customWidth="1" min="8" max="8" width="13.14"/>
    <col customWidth="1" min="9" max="11" width="8.71"/>
    <col customWidth="1" min="12" max="12" width="15.0"/>
    <col customWidth="1" min="13" max="13" width="27.14"/>
    <col customWidth="1" min="14" max="14" width="8.71"/>
    <col customWidth="1" min="15" max="15" width="25.43"/>
    <col customWidth="1" min="16" max="16" width="8.86"/>
    <col customWidth="1" min="17" max="17" width="8.71"/>
    <col customWidth="1" min="18" max="18" width="27.86"/>
    <col customWidth="1" min="19" max="19" width="8.71"/>
    <col customWidth="1" min="20" max="20" width="28.14"/>
    <col customWidth="1" min="21" max="22" width="8.71"/>
    <col customWidth="1" min="23" max="23" width="27.14"/>
    <col customWidth="1" min="24" max="24" width="11.86"/>
    <col customWidth="1" min="25" max="25" width="25.43"/>
    <col customWidth="1" min="26" max="26" width="9.86"/>
  </cols>
  <sheetData>
    <row r="1" ht="14.25" customHeight="1"/>
    <row r="2" ht="14.25" customHeight="1">
      <c r="D2" s="1" t="s">
        <v>0</v>
      </c>
      <c r="E2" s="1" t="s">
        <v>1</v>
      </c>
      <c r="F2" s="1" t="s">
        <v>2</v>
      </c>
      <c r="J2" s="1" t="s">
        <v>3</v>
      </c>
      <c r="R2" s="12" t="s">
        <v>58</v>
      </c>
      <c r="S2" s="13"/>
      <c r="T2" s="13"/>
      <c r="U2" s="14"/>
      <c r="W2" s="12" t="s">
        <v>58</v>
      </c>
      <c r="X2" s="13"/>
      <c r="Y2" s="13"/>
      <c r="Z2" s="14"/>
    </row>
    <row r="3" ht="14.25" customHeight="1">
      <c r="B3" s="1" t="s">
        <v>4</v>
      </c>
      <c r="C3" s="1">
        <v>1.0</v>
      </c>
      <c r="D3" s="1">
        <v>0.4</v>
      </c>
      <c r="E3" s="1">
        <v>124.0</v>
      </c>
      <c r="F3" s="1">
        <v>94.4</v>
      </c>
      <c r="J3" s="1" t="s">
        <v>5</v>
      </c>
      <c r="R3" s="15" t="s">
        <v>57</v>
      </c>
      <c r="S3" s="16"/>
      <c r="T3" s="10" t="s">
        <v>18</v>
      </c>
      <c r="U3" s="16"/>
      <c r="W3" s="15" t="s">
        <v>57</v>
      </c>
      <c r="X3" s="16"/>
      <c r="Y3" s="10" t="s">
        <v>18</v>
      </c>
      <c r="Z3" s="16"/>
    </row>
    <row r="4" ht="14.25" customHeight="1">
      <c r="B4" s="1" t="s">
        <v>6</v>
      </c>
      <c r="C4" s="1">
        <v>1.0</v>
      </c>
      <c r="D4" s="1">
        <v>0.8</v>
      </c>
      <c r="E4" s="1">
        <v>248.0</v>
      </c>
      <c r="F4" s="1">
        <v>188.0</v>
      </c>
      <c r="R4" s="17" t="s">
        <v>19</v>
      </c>
      <c r="S4" s="18">
        <f>(S5*S6*S7*S10)/3600</f>
        <v>207.5</v>
      </c>
      <c r="T4" s="1" t="s">
        <v>19</v>
      </c>
      <c r="U4" s="18">
        <f>(U5*U6*U7*U10)/3600</f>
        <v>193.3333333</v>
      </c>
      <c r="W4" s="17" t="s">
        <v>19</v>
      </c>
      <c r="X4" s="18">
        <f>(X5*X6*X7*X10)/3600</f>
        <v>270.096</v>
      </c>
      <c r="Y4" s="1" t="s">
        <v>19</v>
      </c>
      <c r="Z4" s="18">
        <f>(Z5*Z6*Z7*Z10)/3600</f>
        <v>269.5066667</v>
      </c>
    </row>
    <row r="5" ht="14.25" customHeight="1">
      <c r="B5" s="1" t="s">
        <v>7</v>
      </c>
      <c r="C5" s="1">
        <v>1.0</v>
      </c>
      <c r="D5" s="1">
        <v>1.2</v>
      </c>
      <c r="E5" s="1">
        <v>372.0</v>
      </c>
      <c r="F5" s="1">
        <v>283.0</v>
      </c>
      <c r="J5" s="1" t="s">
        <v>8</v>
      </c>
      <c r="R5" s="17" t="s">
        <v>20</v>
      </c>
      <c r="S5" s="19">
        <v>50000.0</v>
      </c>
      <c r="T5" s="1" t="s">
        <v>20</v>
      </c>
      <c r="U5" s="19">
        <v>50000.0</v>
      </c>
      <c r="W5" s="17" t="s">
        <v>20</v>
      </c>
      <c r="X5" s="19">
        <v>66200.0</v>
      </c>
      <c r="Y5" s="1" t="s">
        <v>20</v>
      </c>
      <c r="Z5" s="19">
        <v>69700.0</v>
      </c>
    </row>
    <row r="6" ht="14.25" customHeight="1">
      <c r="R6" s="17" t="s">
        <v>25</v>
      </c>
      <c r="S6" s="2">
        <v>1.245</v>
      </c>
      <c r="T6" s="1" t="s">
        <v>25</v>
      </c>
      <c r="U6" s="19">
        <v>1.16</v>
      </c>
      <c r="W6" s="17" t="s">
        <v>25</v>
      </c>
      <c r="X6" s="2">
        <v>1.224</v>
      </c>
      <c r="Y6" s="1" t="s">
        <v>25</v>
      </c>
      <c r="Z6" s="19">
        <v>1.16</v>
      </c>
    </row>
    <row r="7" ht="14.25" customHeight="1">
      <c r="B7" s="1" t="s">
        <v>9</v>
      </c>
      <c r="E7" s="1">
        <v>236.0</v>
      </c>
      <c r="F7" s="1" t="s">
        <v>10</v>
      </c>
      <c r="J7" s="1" t="s">
        <v>11</v>
      </c>
      <c r="L7" s="1" t="s">
        <v>12</v>
      </c>
      <c r="R7" s="17" t="s">
        <v>27</v>
      </c>
      <c r="S7" s="19">
        <v>1.0</v>
      </c>
      <c r="T7" s="1" t="s">
        <v>27</v>
      </c>
      <c r="U7" s="19">
        <v>1.0</v>
      </c>
      <c r="W7" s="17" t="s">
        <v>27</v>
      </c>
      <c r="X7" s="19">
        <v>1.0</v>
      </c>
      <c r="Y7" s="1" t="s">
        <v>27</v>
      </c>
      <c r="Z7" s="19">
        <v>1.0</v>
      </c>
    </row>
    <row r="8" ht="14.25" customHeight="1">
      <c r="B8" s="1" t="s">
        <v>13</v>
      </c>
      <c r="E8" s="1">
        <v>310.0</v>
      </c>
      <c r="F8" s="1" t="s">
        <v>10</v>
      </c>
      <c r="J8" s="1">
        <v>0.7</v>
      </c>
      <c r="K8" s="1" t="s">
        <v>14</v>
      </c>
      <c r="L8" s="1">
        <v>1.0</v>
      </c>
      <c r="M8" s="1" t="s">
        <v>15</v>
      </c>
      <c r="R8" s="17" t="s">
        <v>29</v>
      </c>
      <c r="S8" s="20">
        <v>10.0</v>
      </c>
      <c r="T8" s="1" t="s">
        <v>30</v>
      </c>
      <c r="U8" s="20">
        <v>24.0</v>
      </c>
      <c r="W8" s="17" t="s">
        <v>29</v>
      </c>
      <c r="X8" s="20">
        <v>15.0</v>
      </c>
      <c r="Y8" s="1" t="s">
        <v>30</v>
      </c>
      <c r="Z8" s="20">
        <v>24.0</v>
      </c>
    </row>
    <row r="9" ht="14.25" customHeight="1">
      <c r="R9" s="17" t="s">
        <v>32</v>
      </c>
      <c r="S9" s="20">
        <v>22.0</v>
      </c>
      <c r="T9" s="1" t="s">
        <v>33</v>
      </c>
      <c r="U9" s="20">
        <v>36.0</v>
      </c>
      <c r="W9" s="17" t="s">
        <v>32</v>
      </c>
      <c r="X9" s="20">
        <v>27.0</v>
      </c>
      <c r="Y9" s="1" t="s">
        <v>33</v>
      </c>
      <c r="Z9" s="20">
        <v>36.0</v>
      </c>
    </row>
    <row r="10" ht="14.25" customHeight="1">
      <c r="R10" s="17" t="s">
        <v>35</v>
      </c>
      <c r="S10" s="19">
        <f>S9-S8</f>
        <v>12</v>
      </c>
      <c r="T10" s="1" t="s">
        <v>35</v>
      </c>
      <c r="U10" s="19">
        <f>U9-U8</f>
        <v>12</v>
      </c>
      <c r="W10" s="17" t="s">
        <v>35</v>
      </c>
      <c r="X10" s="19">
        <f>X9-X8</f>
        <v>12</v>
      </c>
      <c r="Y10" s="1" t="s">
        <v>35</v>
      </c>
      <c r="Z10" s="19">
        <f>Z9-Z8</f>
        <v>12</v>
      </c>
    </row>
    <row r="11" ht="14.25" customHeight="1">
      <c r="R11" s="17" t="s">
        <v>59</v>
      </c>
      <c r="S11" s="19"/>
      <c r="U11" s="20"/>
      <c r="W11" s="17" t="s">
        <v>59</v>
      </c>
      <c r="X11" s="19"/>
      <c r="Y11" s="1" t="s">
        <v>141</v>
      </c>
      <c r="Z11" s="20">
        <v>3700.0</v>
      </c>
    </row>
    <row r="12" ht="14.25" customHeight="1">
      <c r="B12" s="1" t="s">
        <v>16</v>
      </c>
      <c r="R12" s="17" t="s">
        <v>60</v>
      </c>
      <c r="S12" s="19"/>
      <c r="U12" s="20"/>
      <c r="W12" s="17" t="s">
        <v>60</v>
      </c>
      <c r="X12" s="19"/>
      <c r="Y12" s="1" t="s">
        <v>142</v>
      </c>
      <c r="Z12" s="20">
        <v>1300.0</v>
      </c>
    </row>
    <row r="13" ht="14.25" customHeight="1">
      <c r="C13" s="1">
        <v>17.0</v>
      </c>
      <c r="D13" s="1">
        <v>3.0</v>
      </c>
      <c r="E13" s="1">
        <f>C13*D13</f>
        <v>51</v>
      </c>
      <c r="F13" s="1">
        <v>600.0</v>
      </c>
      <c r="G13" s="1">
        <v>600.0</v>
      </c>
      <c r="R13" s="17" t="s">
        <v>19</v>
      </c>
      <c r="S13" s="20"/>
      <c r="U13" s="20"/>
      <c r="W13" s="17" t="s">
        <v>19</v>
      </c>
      <c r="X13" s="20"/>
      <c r="Y13" s="1" t="s">
        <v>146</v>
      </c>
      <c r="Z13" s="43">
        <f>Y19</f>
        <v>4.025179025</v>
      </c>
    </row>
    <row r="14" ht="14.25" customHeight="1">
      <c r="C14" s="1">
        <v>17.0</v>
      </c>
      <c r="D14" s="1">
        <v>9.0</v>
      </c>
      <c r="E14" s="1">
        <v>153.0</v>
      </c>
      <c r="F14" s="1">
        <v>600.0</v>
      </c>
      <c r="G14" s="1">
        <v>1800.0</v>
      </c>
      <c r="M14" s="12" t="s">
        <v>58</v>
      </c>
      <c r="N14" s="13"/>
      <c r="O14" s="13"/>
      <c r="P14" s="14"/>
      <c r="R14" s="21" t="s">
        <v>61</v>
      </c>
      <c r="S14" s="22"/>
      <c r="T14" s="23"/>
      <c r="U14" s="24"/>
      <c r="W14" s="21" t="s">
        <v>61</v>
      </c>
      <c r="X14" s="22"/>
      <c r="Y14" s="23"/>
      <c r="Z14" s="24"/>
    </row>
    <row r="15" ht="14.25" customHeight="1">
      <c r="C15" s="1">
        <v>17.0</v>
      </c>
      <c r="D15" s="1">
        <v>12.0</v>
      </c>
      <c r="E15" s="1">
        <v>204.0</v>
      </c>
      <c r="F15" s="1">
        <v>600.0</v>
      </c>
      <c r="G15" s="1">
        <v>2400.0</v>
      </c>
      <c r="M15" s="15" t="s">
        <v>57</v>
      </c>
      <c r="N15" s="16"/>
      <c r="O15" s="10" t="s">
        <v>18</v>
      </c>
      <c r="P15" s="16"/>
    </row>
    <row r="16" ht="14.25" customHeight="1">
      <c r="M16" s="17" t="s">
        <v>19</v>
      </c>
      <c r="N16" s="18">
        <f>(N17*N18*N19*N22)/1000</f>
        <v>25.531848</v>
      </c>
      <c r="O16" s="1" t="s">
        <v>19</v>
      </c>
      <c r="P16" s="18">
        <f>(P17*P18*P19*P22)/1000</f>
        <v>100.240794</v>
      </c>
      <c r="X16" s="1">
        <f>2.4*2</f>
        <v>4.8</v>
      </c>
    </row>
    <row r="17" ht="14.25" customHeight="1">
      <c r="M17" s="17" t="s">
        <v>20</v>
      </c>
      <c r="N17" s="44">
        <v>16400.0</v>
      </c>
      <c r="O17" s="1" t="s">
        <v>20</v>
      </c>
      <c r="P17" s="44">
        <v>25700.0</v>
      </c>
    </row>
    <row r="18" ht="14.25" customHeight="1">
      <c r="E18" s="1" t="s">
        <v>21</v>
      </c>
      <c r="F18" s="1" t="s">
        <v>22</v>
      </c>
      <c r="G18" s="1" t="s">
        <v>23</v>
      </c>
      <c r="H18" s="1" t="s">
        <v>24</v>
      </c>
      <c r="M18" s="17" t="s">
        <v>25</v>
      </c>
      <c r="N18" s="45">
        <v>0.279</v>
      </c>
      <c r="O18" s="1" t="s">
        <v>25</v>
      </c>
      <c r="P18" s="44">
        <v>0.279</v>
      </c>
      <c r="Y18" s="1" t="s">
        <v>146</v>
      </c>
    </row>
    <row r="19" ht="14.25" customHeight="1">
      <c r="B19" s="1" t="s">
        <v>26</v>
      </c>
      <c r="E19" s="1">
        <v>408.0</v>
      </c>
      <c r="F19" s="1">
        <f>($E$19*$E$3)/1000</f>
        <v>50.592</v>
      </c>
      <c r="G19" s="1">
        <f>($E$4*$E$19)/1000</f>
        <v>101.184</v>
      </c>
      <c r="H19" s="1">
        <f>($E$5*$E$19)/1000</f>
        <v>151.776</v>
      </c>
      <c r="M19" s="17" t="s">
        <v>27</v>
      </c>
      <c r="N19" s="44">
        <v>1.24</v>
      </c>
      <c r="O19" s="1" t="s">
        <v>27</v>
      </c>
      <c r="P19" s="44">
        <v>1.165</v>
      </c>
      <c r="Y19" s="1">
        <f>Y20*1000000/(3600*Y21*Y22)</f>
        <v>4.025179025</v>
      </c>
    </row>
    <row r="20" ht="14.25" customHeight="1">
      <c r="B20" s="1" t="s">
        <v>28</v>
      </c>
      <c r="E20" s="1">
        <v>816.0</v>
      </c>
      <c r="F20" s="1">
        <f>($E$20*$E$3)/1000</f>
        <v>101.184</v>
      </c>
      <c r="G20" s="1">
        <f>($E$4*$E$20)/1000</f>
        <v>202.368</v>
      </c>
      <c r="H20" s="1">
        <f>($E$5*$E$20)/1000</f>
        <v>303.552</v>
      </c>
      <c r="M20" s="17" t="s">
        <v>29</v>
      </c>
      <c r="N20" s="46">
        <v>21.5</v>
      </c>
      <c r="O20" s="1" t="s">
        <v>30</v>
      </c>
      <c r="P20" s="46">
        <v>24.0</v>
      </c>
      <c r="X20" s="3" t="s">
        <v>147</v>
      </c>
      <c r="Y20" s="1">
        <f>Z5</f>
        <v>69700</v>
      </c>
    </row>
    <row r="21" ht="14.25" customHeight="1">
      <c r="B21" s="1" t="s">
        <v>31</v>
      </c>
      <c r="E21" s="1">
        <v>1224.0</v>
      </c>
      <c r="F21" s="1">
        <f>($E$21*$E$3)/1000</f>
        <v>151.776</v>
      </c>
      <c r="G21" s="1">
        <f>($E$4*$E$21)/1000</f>
        <v>303.552</v>
      </c>
      <c r="H21" s="1">
        <f>($E$5*$E$21)/1000</f>
        <v>455.328</v>
      </c>
      <c r="K21" s="1">
        <f>(E21*100)/1000</f>
        <v>122.4</v>
      </c>
      <c r="M21" s="17" t="s">
        <v>32</v>
      </c>
      <c r="N21" s="20">
        <v>26.0</v>
      </c>
      <c r="O21" s="1" t="s">
        <v>33</v>
      </c>
      <c r="P21" s="46">
        <v>36.0</v>
      </c>
      <c r="Y21" s="1">
        <f t="shared" ref="Y21:Y22" si="1">Z11</f>
        <v>3700</v>
      </c>
    </row>
    <row r="22" ht="14.25" customHeight="1">
      <c r="B22" s="1" t="s">
        <v>34</v>
      </c>
      <c r="E22" s="1">
        <v>1632.0</v>
      </c>
      <c r="F22" s="1">
        <f>($E$22*$E$3)/1000</f>
        <v>202.368</v>
      </c>
      <c r="G22" s="1">
        <f>($E$4*$E$22)/1000</f>
        <v>404.736</v>
      </c>
      <c r="H22" s="1">
        <f>($E$5*$E$22)/1000</f>
        <v>607.104</v>
      </c>
      <c r="M22" s="17" t="s">
        <v>35</v>
      </c>
      <c r="N22" s="19">
        <f>N21-N20</f>
        <v>4.5</v>
      </c>
      <c r="O22" s="1" t="s">
        <v>35</v>
      </c>
      <c r="P22" s="19">
        <f>P21-P20</f>
        <v>12</v>
      </c>
      <c r="Y22" s="1">
        <f t="shared" si="1"/>
        <v>1300</v>
      </c>
    </row>
    <row r="23" ht="14.25" customHeight="1">
      <c r="M23" s="17" t="s">
        <v>59</v>
      </c>
      <c r="N23" s="44">
        <v>8.25</v>
      </c>
      <c r="P23" s="20"/>
    </row>
    <row r="24" ht="14.25" customHeight="1">
      <c r="M24" s="17" t="s">
        <v>60</v>
      </c>
      <c r="N24" s="44">
        <v>14.8</v>
      </c>
      <c r="P24" s="20"/>
    </row>
    <row r="25" ht="14.25" customHeight="1">
      <c r="B25" s="1" t="s">
        <v>36</v>
      </c>
      <c r="M25" s="17" t="s">
        <v>19</v>
      </c>
      <c r="N25" s="20">
        <f>(((N24-N23)*N17)/1000)*0.7</f>
        <v>75.194</v>
      </c>
      <c r="P25" s="20"/>
      <c r="X25" s="1">
        <f>(U4*3600)/(U6*U7*U10)</f>
        <v>50000</v>
      </c>
    </row>
    <row r="26" ht="14.25" customHeight="1">
      <c r="M26" s="21" t="s">
        <v>61</v>
      </c>
      <c r="N26" s="22">
        <f>N25+N16</f>
        <v>100.725848</v>
      </c>
      <c r="O26" s="23"/>
      <c r="P26" s="24"/>
    </row>
    <row r="27" ht="14.25" customHeight="1">
      <c r="B27" s="1" t="s">
        <v>38</v>
      </c>
    </row>
    <row r="28" ht="14.25" customHeight="1"/>
    <row r="29" ht="14.25" customHeight="1">
      <c r="B29" s="1" t="s">
        <v>40</v>
      </c>
      <c r="C29" s="1" t="s">
        <v>41</v>
      </c>
    </row>
    <row r="30" ht="14.25" customHeight="1">
      <c r="C30" s="1" t="s">
        <v>42</v>
      </c>
      <c r="N30" s="2">
        <v>1.247</v>
      </c>
      <c r="O30" s="1" t="s">
        <v>37</v>
      </c>
    </row>
    <row r="31" ht="14.25" customHeight="1">
      <c r="N31" s="2">
        <v>1.226</v>
      </c>
      <c r="O31" s="1" t="s">
        <v>62</v>
      </c>
    </row>
    <row r="32" ht="14.25" customHeight="1">
      <c r="N32" s="2">
        <v>1.17</v>
      </c>
      <c r="O32" s="1" t="s">
        <v>39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>
      <c r="C105" s="25"/>
      <c r="D105" s="1" t="s">
        <v>63</v>
      </c>
      <c r="F105" s="1" t="s">
        <v>143</v>
      </c>
      <c r="P105" s="25"/>
    </row>
    <row r="106" ht="14.25" customHeight="1">
      <c r="C106" s="25"/>
      <c r="D106" s="1">
        <v>270.0</v>
      </c>
      <c r="E106" s="1" t="s">
        <v>14</v>
      </c>
      <c r="F106" s="1" t="s">
        <v>65</v>
      </c>
      <c r="P106" s="25"/>
    </row>
    <row r="107" ht="14.25" customHeight="1">
      <c r="C107" s="25"/>
      <c r="E107" s="1" t="s">
        <v>14</v>
      </c>
      <c r="F107" s="1" t="s">
        <v>144</v>
      </c>
      <c r="P107" s="25"/>
    </row>
    <row r="108" ht="14.25" customHeight="1">
      <c r="C108" s="25"/>
      <c r="P108" s="25"/>
    </row>
    <row r="109" ht="14.25" customHeight="1">
      <c r="C109" s="25"/>
      <c r="D109" s="1" t="s">
        <v>67</v>
      </c>
      <c r="P109" s="25"/>
    </row>
    <row r="110" ht="14.25" customHeight="1">
      <c r="C110" s="25"/>
      <c r="M110" s="1" t="s">
        <v>68</v>
      </c>
      <c r="O110" s="1" t="s">
        <v>69</v>
      </c>
      <c r="P110" s="25"/>
    </row>
    <row r="111" ht="14.25" customHeight="1">
      <c r="A111" s="1">
        <f t="shared" ref="A111:A112" si="2">B111*C111</f>
        <v>12.5</v>
      </c>
      <c r="B111" s="1">
        <v>5.0</v>
      </c>
      <c r="C111" s="25">
        <v>2.5</v>
      </c>
      <c r="D111" s="1">
        <v>270.0</v>
      </c>
      <c r="E111" s="1" t="s">
        <v>70</v>
      </c>
      <c r="F111" s="1" t="s">
        <v>28</v>
      </c>
      <c r="G111" s="1">
        <v>3.0</v>
      </c>
      <c r="H111" s="1" t="s">
        <v>72</v>
      </c>
      <c r="L111" s="26"/>
      <c r="M111" s="26">
        <v>3845750.0</v>
      </c>
      <c r="O111" s="26">
        <v>6406250.0</v>
      </c>
      <c r="P111" s="25"/>
    </row>
    <row r="112" ht="14.25" customHeight="1">
      <c r="A112" s="1">
        <f t="shared" si="2"/>
        <v>12.5</v>
      </c>
      <c r="B112" s="1">
        <v>5.0</v>
      </c>
      <c r="C112" s="25">
        <v>2.5</v>
      </c>
      <c r="D112" s="1">
        <v>10.0</v>
      </c>
      <c r="E112" s="1" t="s">
        <v>70</v>
      </c>
      <c r="F112" s="1" t="s">
        <v>73</v>
      </c>
      <c r="M112" s="26">
        <v>5125000.0</v>
      </c>
      <c r="P112" s="25"/>
    </row>
    <row r="113" ht="14.25" customHeight="1">
      <c r="A113" s="1">
        <f>A111+A112</f>
        <v>25</v>
      </c>
      <c r="C113" s="25"/>
      <c r="D113" s="1">
        <v>20.0</v>
      </c>
      <c r="E113" s="1" t="s">
        <v>70</v>
      </c>
      <c r="F113" s="1" t="s">
        <v>74</v>
      </c>
      <c r="M113" s="26">
        <f>M111*G111</f>
        <v>11537250</v>
      </c>
      <c r="P113" s="25"/>
    </row>
    <row r="114" ht="14.25" customHeight="1">
      <c r="B114" s="1">
        <f>55000/14200</f>
        <v>3.873239437</v>
      </c>
      <c r="C114" s="25"/>
      <c r="D114" s="1">
        <v>25.0</v>
      </c>
      <c r="E114" s="1" t="s">
        <v>70</v>
      </c>
      <c r="F114" s="1" t="s">
        <v>75</v>
      </c>
      <c r="P114" s="25"/>
    </row>
    <row r="115" ht="14.25" customHeight="1">
      <c r="B115" s="1" t="s">
        <v>145</v>
      </c>
      <c r="C115" s="25"/>
      <c r="D115" s="1">
        <v>898.0</v>
      </c>
      <c r="E115" s="1" t="s">
        <v>76</v>
      </c>
      <c r="P115" s="25"/>
    </row>
    <row r="116" ht="14.25" customHeight="1">
      <c r="B116" s="1">
        <v>14200.0</v>
      </c>
      <c r="C116" s="25" t="s">
        <v>96</v>
      </c>
      <c r="P116" s="25"/>
    </row>
    <row r="117" ht="14.25" customHeight="1">
      <c r="C117" s="25"/>
      <c r="F117" s="1" t="s">
        <v>77</v>
      </c>
      <c r="P117" s="25"/>
    </row>
    <row r="118" ht="14.25" customHeight="1">
      <c r="C118" s="25"/>
      <c r="P118" s="25"/>
    </row>
    <row r="119" ht="14.25" customHeight="1">
      <c r="C119" s="25"/>
      <c r="P119" s="25"/>
    </row>
    <row r="120" ht="14.25" customHeight="1">
      <c r="C120" s="25"/>
      <c r="P120" s="25"/>
    </row>
    <row r="121" ht="14.25" customHeight="1">
      <c r="C121" s="25"/>
      <c r="F121" s="1" t="s">
        <v>70</v>
      </c>
      <c r="G121" s="1" t="s">
        <v>78</v>
      </c>
      <c r="H121" s="1" t="s">
        <v>79</v>
      </c>
      <c r="I121" s="1" t="s">
        <v>70</v>
      </c>
      <c r="M121" s="1" t="s">
        <v>80</v>
      </c>
      <c r="P121" s="25"/>
    </row>
    <row r="122" ht="14.25" customHeight="1">
      <c r="C122" s="25"/>
      <c r="D122" s="1">
        <v>37.0</v>
      </c>
      <c r="F122" s="1">
        <v>26.0</v>
      </c>
      <c r="G122" s="1">
        <f>D111/0.7</f>
        <v>385.7142857</v>
      </c>
      <c r="H122" s="1">
        <v>120.0</v>
      </c>
      <c r="I122" s="1">
        <f t="shared" ref="I122:I129" si="3">F122*H122</f>
        <v>3120</v>
      </c>
      <c r="K122" s="1">
        <f t="shared" ref="K122:K126" si="4">G122*H122</f>
        <v>46285.71429</v>
      </c>
      <c r="M122" s="27">
        <f>(G122*12)/1000</f>
        <v>4.628571429</v>
      </c>
      <c r="N122" s="1" t="s">
        <v>81</v>
      </c>
      <c r="P122" s="25"/>
    </row>
    <row r="123" ht="14.25" customHeight="1">
      <c r="C123" s="25"/>
      <c r="D123" s="1">
        <v>26.0</v>
      </c>
      <c r="F123" s="1">
        <v>24.0</v>
      </c>
      <c r="G123" s="1">
        <v>350.0</v>
      </c>
      <c r="H123" s="1">
        <v>450.0</v>
      </c>
      <c r="I123" s="1">
        <f t="shared" si="3"/>
        <v>10800</v>
      </c>
      <c r="K123" s="1">
        <f t="shared" si="4"/>
        <v>157500</v>
      </c>
      <c r="P123" s="25"/>
    </row>
    <row r="124" ht="14.25" customHeight="1">
      <c r="C124" s="25"/>
      <c r="D124" s="1">
        <v>22.0</v>
      </c>
      <c r="F124" s="1">
        <v>24.0</v>
      </c>
      <c r="G124" s="1">
        <v>320.0</v>
      </c>
      <c r="H124" s="1">
        <v>890.0</v>
      </c>
      <c r="I124" s="1">
        <f t="shared" si="3"/>
        <v>21360</v>
      </c>
      <c r="K124" s="1">
        <f t="shared" si="4"/>
        <v>284800</v>
      </c>
      <c r="P124" s="25"/>
    </row>
    <row r="125" ht="14.25" customHeight="1">
      <c r="C125" s="25"/>
      <c r="D125" s="1">
        <v>15.0</v>
      </c>
      <c r="F125" s="1">
        <v>20.0</v>
      </c>
      <c r="G125" s="1">
        <v>260.0</v>
      </c>
      <c r="H125" s="1">
        <v>1200.0</v>
      </c>
      <c r="I125" s="1">
        <f t="shared" si="3"/>
        <v>24000</v>
      </c>
      <c r="K125" s="1">
        <f t="shared" si="4"/>
        <v>312000</v>
      </c>
      <c r="M125" s="1">
        <f>8760*55%</f>
        <v>4818</v>
      </c>
      <c r="P125" s="25"/>
    </row>
    <row r="126" ht="14.25" customHeight="1">
      <c r="C126" s="25"/>
      <c r="D126" s="1">
        <v>10.0</v>
      </c>
      <c r="F126" s="1">
        <v>12.5</v>
      </c>
      <c r="G126" s="1">
        <v>100.0</v>
      </c>
      <c r="H126" s="1">
        <v>2400.0</v>
      </c>
      <c r="I126" s="1">
        <f t="shared" si="3"/>
        <v>30000</v>
      </c>
      <c r="K126" s="1">
        <f t="shared" si="4"/>
        <v>240000</v>
      </c>
      <c r="P126" s="25"/>
    </row>
    <row r="127" ht="14.25" customHeight="1">
      <c r="C127" s="25"/>
      <c r="D127" s="1">
        <v>-6.5</v>
      </c>
      <c r="F127" s="1">
        <v>12.5</v>
      </c>
      <c r="H127" s="1">
        <v>2200.0</v>
      </c>
      <c r="I127" s="1">
        <f t="shared" si="3"/>
        <v>27500</v>
      </c>
      <c r="P127" s="25"/>
    </row>
    <row r="128" ht="14.25" customHeight="1">
      <c r="B128" s="28">
        <v>1.0</v>
      </c>
      <c r="C128" s="29" t="s">
        <v>82</v>
      </c>
      <c r="D128" s="1">
        <v>-23.0</v>
      </c>
      <c r="F128" s="1">
        <v>12.5</v>
      </c>
      <c r="H128" s="1">
        <v>850.0</v>
      </c>
      <c r="I128" s="1">
        <f t="shared" si="3"/>
        <v>10625</v>
      </c>
      <c r="M128" s="28">
        <v>3600.0</v>
      </c>
      <c r="N128" s="28" t="s">
        <v>83</v>
      </c>
      <c r="O128" s="28">
        <v>1.0</v>
      </c>
      <c r="P128" s="29" t="s">
        <v>82</v>
      </c>
    </row>
    <row r="129" ht="14.25" customHeight="1">
      <c r="C129" s="25"/>
      <c r="D129" s="1">
        <v>-37.0</v>
      </c>
      <c r="F129" s="1">
        <v>12.5</v>
      </c>
      <c r="H129" s="1">
        <v>650.0</v>
      </c>
      <c r="I129" s="1">
        <f t="shared" si="3"/>
        <v>8125</v>
      </c>
      <c r="P129" s="25"/>
    </row>
    <row r="130" ht="14.25" customHeight="1">
      <c r="B130" s="28">
        <v>1.0</v>
      </c>
      <c r="C130" s="29" t="s">
        <v>84</v>
      </c>
      <c r="M130" s="28">
        <v>2256.0</v>
      </c>
      <c r="N130" s="28" t="s">
        <v>83</v>
      </c>
      <c r="O130" s="28">
        <v>1.0</v>
      </c>
      <c r="P130" s="29" t="s">
        <v>84</v>
      </c>
    </row>
    <row r="131" ht="14.25" customHeight="1">
      <c r="C131" s="25"/>
      <c r="H131" s="1">
        <f t="shared" ref="H131:I131" si="5">SUM(H122:H130)</f>
        <v>8760</v>
      </c>
      <c r="I131" s="1">
        <f t="shared" si="5"/>
        <v>135530</v>
      </c>
      <c r="J131" s="1" t="s">
        <v>70</v>
      </c>
      <c r="K131" s="30">
        <f>(SUM(K122:K130)/1000)/0.9</f>
        <v>1156.206349</v>
      </c>
      <c r="L131" s="1" t="s">
        <v>85</v>
      </c>
      <c r="P131" s="25"/>
    </row>
    <row r="132" ht="14.25" customHeight="1">
      <c r="C132" s="25"/>
      <c r="M132" s="1">
        <f>M128/M130</f>
        <v>1.595744681</v>
      </c>
      <c r="N132" s="1" t="s">
        <v>84</v>
      </c>
      <c r="P132" s="25"/>
    </row>
    <row r="133" ht="14.25" customHeight="1">
      <c r="C133" s="25"/>
      <c r="H133" s="1" t="s">
        <v>86</v>
      </c>
      <c r="I133" s="1" t="s">
        <v>87</v>
      </c>
      <c r="P133" s="25"/>
    </row>
    <row r="134" ht="14.25" customHeight="1">
      <c r="C134" s="25"/>
      <c r="G134" s="1">
        <f>H134-H131</f>
        <v>0</v>
      </c>
      <c r="H134" s="1">
        <v>8760.0</v>
      </c>
      <c r="I134" s="1">
        <f>D106+D107</f>
        <v>270</v>
      </c>
      <c r="J134" s="1">
        <f>H134*I134</f>
        <v>2365200</v>
      </c>
      <c r="K134" s="1" t="s">
        <v>70</v>
      </c>
      <c r="M134" s="1" t="s">
        <v>88</v>
      </c>
      <c r="N134" s="31">
        <f>(1-(J134/(J134+I131))*100%)+1</f>
        <v>1.054196175</v>
      </c>
      <c r="P134" s="25"/>
    </row>
    <row r="135" ht="14.25" customHeight="1">
      <c r="C135" s="25"/>
      <c r="P135" s="25"/>
    </row>
    <row r="136" ht="14.25" customHeight="1">
      <c r="C136" s="25"/>
      <c r="H136" s="1">
        <f>I134</f>
        <v>270</v>
      </c>
      <c r="I136" s="1">
        <f>H136*H134</f>
        <v>2365200</v>
      </c>
      <c r="J136" s="1">
        <f>I131</f>
        <v>135530</v>
      </c>
      <c r="M136" s="28" t="s">
        <v>88</v>
      </c>
      <c r="N136" s="31">
        <f>(N134+A134)/2</f>
        <v>0.5270980874</v>
      </c>
      <c r="P136" s="25"/>
    </row>
    <row r="137" ht="14.25" customHeight="1">
      <c r="C137" s="25"/>
    </row>
    <row r="138" ht="14.25" customHeight="1">
      <c r="C138" s="25"/>
      <c r="J138" s="1">
        <f>I131*2</f>
        <v>271060</v>
      </c>
    </row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R2:U2"/>
    <mergeCell ref="W2:Z2"/>
    <mergeCell ref="M14:P14"/>
  </mergeCells>
  <printOptions/>
  <pageMargins bottom="0.75" footer="0.0" header="0.0" left="0.7" right="0.7" top="0.75"/>
  <pageSetup orientation="portrait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14"/>
    <col customWidth="1" min="3" max="4" width="8.71"/>
    <col customWidth="1" min="5" max="5" width="13.57"/>
    <col customWidth="1" min="6" max="6" width="13.71"/>
    <col customWidth="1" min="7" max="7" width="13.43"/>
    <col customWidth="1" min="8" max="8" width="13.14"/>
    <col customWidth="1" min="9" max="11" width="8.71"/>
    <col customWidth="1" min="12" max="12" width="15.0"/>
    <col customWidth="1" min="13" max="13" width="27.14"/>
    <col customWidth="1" min="14" max="14" width="8.71"/>
    <col customWidth="1" min="15" max="15" width="25.43"/>
    <col customWidth="1" min="16" max="16" width="8.86"/>
    <col customWidth="1" min="17" max="17" width="8.71"/>
    <col customWidth="1" min="18" max="18" width="27.86"/>
    <col customWidth="1" min="19" max="19" width="8.71"/>
    <col customWidth="1" min="20" max="20" width="28.14"/>
    <col customWidth="1" min="21" max="22" width="8.71"/>
    <col customWidth="1" min="23" max="23" width="27.14"/>
    <col customWidth="1" min="24" max="24" width="11.86"/>
    <col customWidth="1" min="25" max="25" width="25.43"/>
    <col customWidth="1" min="26" max="26" width="9.86"/>
  </cols>
  <sheetData>
    <row r="1" ht="14.25" customHeight="1"/>
    <row r="2" ht="14.25" customHeight="1">
      <c r="D2" s="1" t="s">
        <v>0</v>
      </c>
      <c r="E2" s="1" t="s">
        <v>1</v>
      </c>
      <c r="F2" s="1" t="s">
        <v>2</v>
      </c>
      <c r="J2" s="1" t="s">
        <v>3</v>
      </c>
      <c r="R2" s="12" t="s">
        <v>58</v>
      </c>
      <c r="S2" s="13"/>
      <c r="T2" s="13"/>
      <c r="U2" s="14"/>
      <c r="W2" s="12" t="s">
        <v>58</v>
      </c>
      <c r="X2" s="13"/>
      <c r="Y2" s="13"/>
      <c r="Z2" s="14"/>
    </row>
    <row r="3" ht="14.25" customHeight="1">
      <c r="B3" s="1" t="s">
        <v>4</v>
      </c>
      <c r="C3" s="1">
        <v>1.0</v>
      </c>
      <c r="D3" s="1">
        <v>0.4</v>
      </c>
      <c r="E3" s="1">
        <v>124.0</v>
      </c>
      <c r="F3" s="1">
        <v>94.4</v>
      </c>
      <c r="J3" s="1" t="s">
        <v>5</v>
      </c>
      <c r="R3" s="15" t="s">
        <v>57</v>
      </c>
      <c r="S3" s="16"/>
      <c r="T3" s="10" t="s">
        <v>18</v>
      </c>
      <c r="U3" s="16"/>
      <c r="W3" s="15" t="s">
        <v>57</v>
      </c>
      <c r="X3" s="16"/>
      <c r="Y3" s="10" t="s">
        <v>18</v>
      </c>
      <c r="Z3" s="16"/>
    </row>
    <row r="4" ht="14.25" customHeight="1">
      <c r="B4" s="1" t="s">
        <v>6</v>
      </c>
      <c r="C4" s="1">
        <v>1.0</v>
      </c>
      <c r="D4" s="1">
        <v>0.8</v>
      </c>
      <c r="E4" s="1">
        <v>248.0</v>
      </c>
      <c r="F4" s="1">
        <v>188.0</v>
      </c>
      <c r="R4" s="17" t="s">
        <v>19</v>
      </c>
      <c r="S4" s="18">
        <f>(S5*S6*S7*S10)/3600</f>
        <v>232.4</v>
      </c>
      <c r="T4" s="1" t="s">
        <v>19</v>
      </c>
      <c r="U4" s="18">
        <f>(U5*U6*U7*U10)/3600</f>
        <v>231.8</v>
      </c>
      <c r="W4" s="17" t="s">
        <v>19</v>
      </c>
      <c r="X4" s="18">
        <f>(X5*X6*X7*X10)/3600</f>
        <v>270.3</v>
      </c>
      <c r="Y4" s="1" t="s">
        <v>19</v>
      </c>
      <c r="Z4" s="18">
        <f>(Z5*Z6*Z7*Z10)/3600</f>
        <v>269.5066667</v>
      </c>
    </row>
    <row r="5" ht="14.25" customHeight="1">
      <c r="B5" s="1" t="s">
        <v>7</v>
      </c>
      <c r="C5" s="1">
        <v>1.0</v>
      </c>
      <c r="D5" s="1">
        <v>1.2</v>
      </c>
      <c r="E5" s="1">
        <v>372.0</v>
      </c>
      <c r="F5" s="1">
        <v>283.0</v>
      </c>
      <c r="J5" s="1" t="s">
        <v>8</v>
      </c>
      <c r="R5" s="17" t="s">
        <v>20</v>
      </c>
      <c r="S5" s="19">
        <v>48000.0</v>
      </c>
      <c r="T5" s="1" t="s">
        <v>20</v>
      </c>
      <c r="U5" s="19">
        <v>61000.0</v>
      </c>
      <c r="W5" s="17" t="s">
        <v>20</v>
      </c>
      <c r="X5" s="19">
        <v>66250.0</v>
      </c>
      <c r="Y5" s="1" t="s">
        <v>20</v>
      </c>
      <c r="Z5" s="19">
        <v>69700.0</v>
      </c>
    </row>
    <row r="6" ht="14.25" customHeight="1">
      <c r="R6" s="17" t="s">
        <v>25</v>
      </c>
      <c r="S6" s="2">
        <v>1.245</v>
      </c>
      <c r="T6" s="1" t="s">
        <v>25</v>
      </c>
      <c r="U6" s="19">
        <v>1.14</v>
      </c>
      <c r="W6" s="17" t="s">
        <v>25</v>
      </c>
      <c r="X6" s="2">
        <v>1.224</v>
      </c>
      <c r="Y6" s="1" t="s">
        <v>25</v>
      </c>
      <c r="Z6" s="19">
        <v>1.16</v>
      </c>
    </row>
    <row r="7" ht="14.25" customHeight="1">
      <c r="B7" s="1" t="s">
        <v>9</v>
      </c>
      <c r="E7" s="1">
        <v>236.0</v>
      </c>
      <c r="F7" s="1" t="s">
        <v>10</v>
      </c>
      <c r="J7" s="1" t="s">
        <v>11</v>
      </c>
      <c r="L7" s="1" t="s">
        <v>12</v>
      </c>
      <c r="R7" s="17" t="s">
        <v>27</v>
      </c>
      <c r="S7" s="19">
        <v>1.0</v>
      </c>
      <c r="T7" s="1" t="s">
        <v>27</v>
      </c>
      <c r="U7" s="19">
        <v>1.0</v>
      </c>
      <c r="W7" s="17" t="s">
        <v>27</v>
      </c>
      <c r="X7" s="19">
        <v>1.0</v>
      </c>
      <c r="Y7" s="1" t="s">
        <v>27</v>
      </c>
      <c r="Z7" s="19">
        <v>1.0</v>
      </c>
    </row>
    <row r="8" ht="14.25" customHeight="1">
      <c r="B8" s="1" t="s">
        <v>13</v>
      </c>
      <c r="E8" s="1">
        <v>310.0</v>
      </c>
      <c r="F8" s="1" t="s">
        <v>10</v>
      </c>
      <c r="J8" s="1">
        <v>0.7</v>
      </c>
      <c r="K8" s="1" t="s">
        <v>14</v>
      </c>
      <c r="L8" s="1">
        <v>1.0</v>
      </c>
      <c r="M8" s="1" t="s">
        <v>15</v>
      </c>
      <c r="R8" s="17" t="s">
        <v>29</v>
      </c>
      <c r="S8" s="20">
        <v>10.0</v>
      </c>
      <c r="T8" s="1" t="s">
        <v>30</v>
      </c>
      <c r="U8" s="20">
        <v>24.0</v>
      </c>
      <c r="W8" s="17" t="s">
        <v>29</v>
      </c>
      <c r="X8" s="20">
        <v>10.0</v>
      </c>
      <c r="Y8" s="1" t="s">
        <v>30</v>
      </c>
      <c r="Z8" s="20">
        <v>24.0</v>
      </c>
    </row>
    <row r="9" ht="14.25" customHeight="1">
      <c r="R9" s="17" t="s">
        <v>32</v>
      </c>
      <c r="S9" s="20">
        <v>24.0</v>
      </c>
      <c r="T9" s="1" t="s">
        <v>33</v>
      </c>
      <c r="U9" s="20">
        <v>36.0</v>
      </c>
      <c r="W9" s="17" t="s">
        <v>32</v>
      </c>
      <c r="X9" s="20">
        <v>22.0</v>
      </c>
      <c r="Y9" s="1" t="s">
        <v>33</v>
      </c>
      <c r="Z9" s="20">
        <v>36.0</v>
      </c>
    </row>
    <row r="10" ht="14.25" customHeight="1">
      <c r="R10" s="17" t="s">
        <v>35</v>
      </c>
      <c r="S10" s="19">
        <f>S9-S8</f>
        <v>14</v>
      </c>
      <c r="T10" s="1" t="s">
        <v>35</v>
      </c>
      <c r="U10" s="19">
        <f>U9-U8</f>
        <v>12</v>
      </c>
      <c r="W10" s="17" t="s">
        <v>35</v>
      </c>
      <c r="X10" s="19">
        <f>X9-X8</f>
        <v>12</v>
      </c>
      <c r="Y10" s="1" t="s">
        <v>35</v>
      </c>
      <c r="Z10" s="19">
        <f>Z9-Z8</f>
        <v>12</v>
      </c>
    </row>
    <row r="11" ht="14.25" customHeight="1">
      <c r="R11" s="17" t="s">
        <v>59</v>
      </c>
      <c r="S11" s="19"/>
      <c r="U11" s="20"/>
      <c r="W11" s="17" t="s">
        <v>59</v>
      </c>
      <c r="X11" s="19"/>
      <c r="Y11" s="1" t="s">
        <v>141</v>
      </c>
      <c r="Z11" s="20">
        <v>3700.0</v>
      </c>
    </row>
    <row r="12" ht="14.25" customHeight="1">
      <c r="B12" s="1" t="s">
        <v>16</v>
      </c>
      <c r="R12" s="17" t="s">
        <v>60</v>
      </c>
      <c r="S12" s="19"/>
      <c r="U12" s="20"/>
      <c r="W12" s="17" t="s">
        <v>60</v>
      </c>
      <c r="X12" s="19"/>
      <c r="Y12" s="1" t="s">
        <v>142</v>
      </c>
      <c r="Z12" s="20">
        <v>1300.0</v>
      </c>
    </row>
    <row r="13" ht="14.25" customHeight="1">
      <c r="C13" s="1">
        <v>17.0</v>
      </c>
      <c r="D13" s="1">
        <v>3.0</v>
      </c>
      <c r="E13" s="1">
        <f>C13*D13</f>
        <v>51</v>
      </c>
      <c r="F13" s="1">
        <v>600.0</v>
      </c>
      <c r="G13" s="1">
        <v>600.0</v>
      </c>
      <c r="R13" s="17" t="s">
        <v>19</v>
      </c>
      <c r="S13" s="20"/>
      <c r="U13" s="20"/>
      <c r="W13" s="17" t="s">
        <v>19</v>
      </c>
      <c r="X13" s="20"/>
      <c r="Y13" s="1" t="s">
        <v>146</v>
      </c>
      <c r="Z13" s="43">
        <f>Y19</f>
        <v>4.025179025</v>
      </c>
    </row>
    <row r="14" ht="14.25" customHeight="1">
      <c r="C14" s="1">
        <v>17.0</v>
      </c>
      <c r="D14" s="1">
        <v>9.0</v>
      </c>
      <c r="E14" s="1">
        <v>153.0</v>
      </c>
      <c r="F14" s="1">
        <v>600.0</v>
      </c>
      <c r="G14" s="1">
        <v>1800.0</v>
      </c>
      <c r="M14" s="12" t="s">
        <v>58</v>
      </c>
      <c r="N14" s="13"/>
      <c r="O14" s="13"/>
      <c r="P14" s="14"/>
      <c r="R14" s="21" t="s">
        <v>61</v>
      </c>
      <c r="S14" s="22"/>
      <c r="T14" s="23"/>
      <c r="U14" s="24"/>
      <c r="W14" s="21" t="s">
        <v>61</v>
      </c>
      <c r="X14" s="22"/>
      <c r="Y14" s="23"/>
      <c r="Z14" s="24"/>
    </row>
    <row r="15" ht="14.25" customHeight="1">
      <c r="C15" s="1">
        <v>17.0</v>
      </c>
      <c r="D15" s="1">
        <v>12.0</v>
      </c>
      <c r="E15" s="1">
        <v>204.0</v>
      </c>
      <c r="F15" s="1">
        <v>600.0</v>
      </c>
      <c r="G15" s="1">
        <v>2400.0</v>
      </c>
      <c r="M15" s="15" t="s">
        <v>57</v>
      </c>
      <c r="N15" s="16"/>
      <c r="O15" s="10" t="s">
        <v>18</v>
      </c>
      <c r="P15" s="16"/>
    </row>
    <row r="16" ht="14.25" customHeight="1">
      <c r="M16" s="17" t="s">
        <v>19</v>
      </c>
      <c r="N16" s="18">
        <f>(N17*N18*N19*N22)/3600</f>
        <v>104.3777778</v>
      </c>
      <c r="O16" s="1" t="s">
        <v>19</v>
      </c>
      <c r="P16" s="18">
        <f>(P17*P18*P19*P22)/3600</f>
        <v>231.8</v>
      </c>
      <c r="X16" s="1">
        <f>2.4*2</f>
        <v>4.8</v>
      </c>
    </row>
    <row r="17" ht="14.25" customHeight="1">
      <c r="M17" s="17" t="s">
        <v>20</v>
      </c>
      <c r="N17" s="19">
        <v>61000.0</v>
      </c>
      <c r="O17" s="1" t="s">
        <v>20</v>
      </c>
      <c r="P17" s="19">
        <v>61000.0</v>
      </c>
    </row>
    <row r="18" ht="14.25" customHeight="1">
      <c r="E18" s="1" t="s">
        <v>21</v>
      </c>
      <c r="F18" s="1" t="s">
        <v>22</v>
      </c>
      <c r="G18" s="1" t="s">
        <v>23</v>
      </c>
      <c r="H18" s="1" t="s">
        <v>24</v>
      </c>
      <c r="M18" s="17" t="s">
        <v>25</v>
      </c>
      <c r="N18" s="2">
        <v>1.12</v>
      </c>
      <c r="O18" s="1" t="s">
        <v>25</v>
      </c>
      <c r="P18" s="19">
        <v>1.14</v>
      </c>
      <c r="Y18" s="1" t="s">
        <v>146</v>
      </c>
    </row>
    <row r="19" ht="14.25" customHeight="1">
      <c r="B19" s="1" t="s">
        <v>26</v>
      </c>
      <c r="E19" s="1">
        <v>408.0</v>
      </c>
      <c r="F19" s="1">
        <f>($E$19*$E$3)/1000</f>
        <v>50.592</v>
      </c>
      <c r="G19" s="1">
        <f>($E$4*$E$19)/1000</f>
        <v>101.184</v>
      </c>
      <c r="H19" s="1">
        <f>($E$5*$E$19)/1000</f>
        <v>151.776</v>
      </c>
      <c r="M19" s="17" t="s">
        <v>27</v>
      </c>
      <c r="N19" s="19">
        <v>1.0</v>
      </c>
      <c r="O19" s="1" t="s">
        <v>27</v>
      </c>
      <c r="P19" s="19">
        <v>1.0</v>
      </c>
      <c r="Y19" s="1">
        <f>Y20*1000000/(3600*Y21*Y22)</f>
        <v>4.025179025</v>
      </c>
    </row>
    <row r="20" ht="14.25" customHeight="1">
      <c r="B20" s="1" t="s">
        <v>28</v>
      </c>
      <c r="E20" s="1">
        <v>816.0</v>
      </c>
      <c r="F20" s="1">
        <f>($E$20*$E$3)/1000</f>
        <v>101.184</v>
      </c>
      <c r="G20" s="1">
        <f>($E$4*$E$20)/1000</f>
        <v>202.368</v>
      </c>
      <c r="H20" s="1">
        <f>($E$5*$E$20)/1000</f>
        <v>303.552</v>
      </c>
      <c r="M20" s="17" t="s">
        <v>29</v>
      </c>
      <c r="N20" s="20">
        <v>28.8</v>
      </c>
      <c r="O20" s="1" t="s">
        <v>30</v>
      </c>
      <c r="P20" s="20">
        <v>27.0</v>
      </c>
      <c r="Y20" s="1">
        <f>Z5</f>
        <v>69700</v>
      </c>
    </row>
    <row r="21" ht="14.25" customHeight="1">
      <c r="B21" s="1" t="s">
        <v>31</v>
      </c>
      <c r="E21" s="1">
        <v>1224.0</v>
      </c>
      <c r="F21" s="1">
        <f>($E$21*$E$3)/1000</f>
        <v>151.776</v>
      </c>
      <c r="G21" s="1">
        <f>($E$4*$E$21)/1000</f>
        <v>303.552</v>
      </c>
      <c r="H21" s="1">
        <f>($E$5*$E$21)/1000</f>
        <v>455.328</v>
      </c>
      <c r="K21" s="1">
        <f>(E21*100)/1000</f>
        <v>122.4</v>
      </c>
      <c r="M21" s="17" t="s">
        <v>32</v>
      </c>
      <c r="N21" s="20">
        <v>34.3</v>
      </c>
      <c r="O21" s="1" t="s">
        <v>33</v>
      </c>
      <c r="P21" s="20">
        <v>39.0</v>
      </c>
      <c r="Y21" s="1">
        <f t="shared" ref="Y21:Y22" si="1">Z11</f>
        <v>3700</v>
      </c>
    </row>
    <row r="22" ht="14.25" customHeight="1">
      <c r="B22" s="1" t="s">
        <v>34</v>
      </c>
      <c r="E22" s="1">
        <v>1632.0</v>
      </c>
      <c r="F22" s="1">
        <f>($E$22*$E$3)/1000</f>
        <v>202.368</v>
      </c>
      <c r="G22" s="1">
        <f>($E$4*$E$22)/1000</f>
        <v>404.736</v>
      </c>
      <c r="H22" s="1">
        <f>($E$5*$E$22)/1000</f>
        <v>607.104</v>
      </c>
      <c r="M22" s="17" t="s">
        <v>35</v>
      </c>
      <c r="N22" s="19">
        <f>N21-N20</f>
        <v>5.5</v>
      </c>
      <c r="O22" s="1" t="s">
        <v>35</v>
      </c>
      <c r="P22" s="19">
        <f>P21-P20</f>
        <v>12</v>
      </c>
      <c r="Y22" s="1">
        <f t="shared" si="1"/>
        <v>1300</v>
      </c>
    </row>
    <row r="23" ht="14.25" customHeight="1">
      <c r="M23" s="17" t="s">
        <v>59</v>
      </c>
      <c r="N23" s="19">
        <v>20.74</v>
      </c>
      <c r="P23" s="20"/>
    </row>
    <row r="24" ht="14.25" customHeight="1">
      <c r="M24" s="17" t="s">
        <v>60</v>
      </c>
      <c r="N24" s="19">
        <v>23.74</v>
      </c>
      <c r="P24" s="20"/>
    </row>
    <row r="25" ht="14.25" customHeight="1">
      <c r="B25" s="1" t="s">
        <v>36</v>
      </c>
      <c r="M25" s="17" t="s">
        <v>19</v>
      </c>
      <c r="N25" s="20">
        <f>(((N24-N23)*N17)/1000)*0.7</f>
        <v>128.1</v>
      </c>
      <c r="P25" s="20"/>
    </row>
    <row r="26" ht="14.25" customHeight="1">
      <c r="M26" s="21" t="s">
        <v>61</v>
      </c>
      <c r="N26" s="22">
        <f>N25+N16</f>
        <v>232.4777778</v>
      </c>
      <c r="O26" s="23"/>
      <c r="P26" s="24"/>
    </row>
    <row r="27" ht="14.25" customHeight="1">
      <c r="B27" s="1" t="s">
        <v>38</v>
      </c>
    </row>
    <row r="28" ht="14.25" customHeight="1"/>
    <row r="29" ht="14.25" customHeight="1">
      <c r="B29" s="1" t="s">
        <v>40</v>
      </c>
      <c r="C29" s="1" t="s">
        <v>41</v>
      </c>
    </row>
    <row r="30" ht="14.25" customHeight="1">
      <c r="C30" s="1" t="s">
        <v>42</v>
      </c>
      <c r="N30" s="2">
        <v>1.247</v>
      </c>
      <c r="O30" s="1" t="s">
        <v>37</v>
      </c>
    </row>
    <row r="31" ht="14.25" customHeight="1">
      <c r="N31" s="2">
        <v>1.226</v>
      </c>
      <c r="O31" s="1" t="s">
        <v>62</v>
      </c>
    </row>
    <row r="32" ht="14.25" customHeight="1">
      <c r="N32" s="2">
        <v>1.17</v>
      </c>
      <c r="O32" s="1" t="s">
        <v>39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>
      <c r="C105" s="25"/>
      <c r="D105" s="1" t="s">
        <v>63</v>
      </c>
      <c r="F105" s="1" t="s">
        <v>143</v>
      </c>
      <c r="P105" s="25"/>
    </row>
    <row r="106" ht="14.25" customHeight="1">
      <c r="C106" s="25"/>
      <c r="D106" s="1">
        <v>200.0</v>
      </c>
      <c r="E106" s="1" t="s">
        <v>14</v>
      </c>
      <c r="F106" s="1" t="s">
        <v>65</v>
      </c>
      <c r="P106" s="25"/>
    </row>
    <row r="107" ht="14.25" customHeight="1">
      <c r="C107" s="25"/>
      <c r="D107" s="1">
        <v>17.0</v>
      </c>
      <c r="E107" s="1" t="s">
        <v>14</v>
      </c>
      <c r="F107" s="1" t="s">
        <v>144</v>
      </c>
      <c r="P107" s="25"/>
    </row>
    <row r="108" ht="14.25" customHeight="1">
      <c r="C108" s="25"/>
      <c r="P108" s="25"/>
    </row>
    <row r="109" ht="14.25" customHeight="1">
      <c r="C109" s="25"/>
      <c r="D109" s="1" t="s">
        <v>67</v>
      </c>
      <c r="P109" s="25"/>
    </row>
    <row r="110" ht="14.25" customHeight="1">
      <c r="C110" s="25"/>
      <c r="M110" s="1" t="s">
        <v>68</v>
      </c>
      <c r="O110" s="1" t="s">
        <v>69</v>
      </c>
      <c r="P110" s="25"/>
    </row>
    <row r="111" ht="14.25" customHeight="1">
      <c r="A111" s="1">
        <f t="shared" ref="A111:A112" si="2">B111*C111</f>
        <v>12.5</v>
      </c>
      <c r="B111" s="1">
        <v>5.0</v>
      </c>
      <c r="C111" s="25">
        <v>2.5</v>
      </c>
      <c r="D111" s="1">
        <v>232.0</v>
      </c>
      <c r="E111" s="1" t="s">
        <v>70</v>
      </c>
      <c r="F111" s="1" t="s">
        <v>28</v>
      </c>
      <c r="G111" s="1">
        <v>3.0</v>
      </c>
      <c r="H111" s="1" t="s">
        <v>72</v>
      </c>
      <c r="L111" s="26"/>
      <c r="M111" s="26">
        <v>3845750.0</v>
      </c>
      <c r="O111" s="26">
        <v>6406250.0</v>
      </c>
      <c r="P111" s="25"/>
    </row>
    <row r="112" ht="14.25" customHeight="1">
      <c r="A112" s="1">
        <f t="shared" si="2"/>
        <v>12.5</v>
      </c>
      <c r="B112" s="1">
        <v>5.0</v>
      </c>
      <c r="C112" s="25">
        <v>2.5</v>
      </c>
      <c r="D112" s="1">
        <v>10.0</v>
      </c>
      <c r="E112" s="1" t="s">
        <v>70</v>
      </c>
      <c r="F112" s="1" t="s">
        <v>73</v>
      </c>
      <c r="M112" s="26">
        <v>5125000.0</v>
      </c>
      <c r="P112" s="25"/>
    </row>
    <row r="113" ht="14.25" customHeight="1">
      <c r="A113" s="1">
        <f>A111+A112</f>
        <v>25</v>
      </c>
      <c r="C113" s="25"/>
      <c r="D113" s="1">
        <v>20.0</v>
      </c>
      <c r="E113" s="1" t="s">
        <v>70</v>
      </c>
      <c r="F113" s="1" t="s">
        <v>74</v>
      </c>
      <c r="M113" s="26">
        <f>M111*G111</f>
        <v>11537250</v>
      </c>
      <c r="P113" s="25"/>
    </row>
    <row r="114" ht="14.25" customHeight="1">
      <c r="B114" s="1">
        <f>55000/14200</f>
        <v>3.873239437</v>
      </c>
      <c r="C114" s="25"/>
      <c r="D114" s="1">
        <v>25.0</v>
      </c>
      <c r="E114" s="1" t="s">
        <v>70</v>
      </c>
      <c r="F114" s="1" t="s">
        <v>75</v>
      </c>
      <c r="P114" s="25"/>
    </row>
    <row r="115" ht="14.25" customHeight="1">
      <c r="B115" s="1" t="s">
        <v>145</v>
      </c>
      <c r="C115" s="25"/>
      <c r="D115" s="1">
        <v>898.0</v>
      </c>
      <c r="E115" s="1" t="s">
        <v>76</v>
      </c>
      <c r="P115" s="25"/>
    </row>
    <row r="116" ht="14.25" customHeight="1">
      <c r="B116" s="1">
        <v>14200.0</v>
      </c>
      <c r="C116" s="25" t="s">
        <v>96</v>
      </c>
      <c r="P116" s="25"/>
    </row>
    <row r="117" ht="14.25" customHeight="1">
      <c r="C117" s="25"/>
      <c r="F117" s="1" t="s">
        <v>77</v>
      </c>
      <c r="P117" s="25"/>
    </row>
    <row r="118" ht="14.25" customHeight="1">
      <c r="C118" s="25"/>
      <c r="P118" s="25"/>
    </row>
    <row r="119" ht="14.25" customHeight="1">
      <c r="C119" s="25"/>
      <c r="P119" s="25"/>
    </row>
    <row r="120" ht="14.25" customHeight="1">
      <c r="C120" s="25"/>
      <c r="P120" s="25"/>
    </row>
    <row r="121" ht="14.25" customHeight="1">
      <c r="C121" s="25"/>
      <c r="F121" s="1" t="s">
        <v>70</v>
      </c>
      <c r="G121" s="1" t="s">
        <v>78</v>
      </c>
      <c r="H121" s="1" t="s">
        <v>79</v>
      </c>
      <c r="I121" s="1" t="s">
        <v>70</v>
      </c>
      <c r="M121" s="1" t="s">
        <v>80</v>
      </c>
      <c r="P121" s="25"/>
    </row>
    <row r="122" ht="14.25" customHeight="1">
      <c r="C122" s="25"/>
      <c r="D122" s="1">
        <v>37.0</v>
      </c>
      <c r="F122" s="1">
        <v>28.5</v>
      </c>
      <c r="G122" s="1">
        <f>D111/0.7</f>
        <v>331.4285714</v>
      </c>
      <c r="H122" s="1">
        <v>120.0</v>
      </c>
      <c r="I122" s="1">
        <f t="shared" ref="I122:I129" si="3">F122*H122</f>
        <v>3420</v>
      </c>
      <c r="K122" s="1">
        <f t="shared" ref="K122:K126" si="4">G122*H122</f>
        <v>39771.42857</v>
      </c>
      <c r="M122" s="27">
        <f>(G122*12)/1000</f>
        <v>3.977142857</v>
      </c>
      <c r="N122" s="1" t="s">
        <v>81</v>
      </c>
      <c r="P122" s="25"/>
    </row>
    <row r="123" ht="14.25" customHeight="1">
      <c r="C123" s="25"/>
      <c r="D123" s="1">
        <v>26.0</v>
      </c>
      <c r="F123" s="1">
        <v>26.0</v>
      </c>
      <c r="G123" s="1">
        <v>300.0</v>
      </c>
      <c r="H123" s="1">
        <v>450.0</v>
      </c>
      <c r="I123" s="1">
        <f t="shared" si="3"/>
        <v>11700</v>
      </c>
      <c r="K123" s="1">
        <f t="shared" si="4"/>
        <v>135000</v>
      </c>
      <c r="P123" s="25"/>
    </row>
    <row r="124" ht="14.25" customHeight="1">
      <c r="C124" s="25"/>
      <c r="D124" s="1">
        <v>22.0</v>
      </c>
      <c r="F124" s="1">
        <v>20.0</v>
      </c>
      <c r="G124" s="1">
        <v>270.0</v>
      </c>
      <c r="H124" s="1">
        <v>890.0</v>
      </c>
      <c r="I124" s="1">
        <f t="shared" si="3"/>
        <v>17800</v>
      </c>
      <c r="K124" s="1">
        <f t="shared" si="4"/>
        <v>240300</v>
      </c>
      <c r="P124" s="25"/>
    </row>
    <row r="125" ht="14.25" customHeight="1">
      <c r="C125" s="25"/>
      <c r="D125" s="1">
        <v>15.0</v>
      </c>
      <c r="F125" s="1">
        <v>18.0</v>
      </c>
      <c r="G125" s="1">
        <v>200.0</v>
      </c>
      <c r="H125" s="1">
        <v>1200.0</v>
      </c>
      <c r="I125" s="1">
        <f t="shared" si="3"/>
        <v>21600</v>
      </c>
      <c r="K125" s="1">
        <f t="shared" si="4"/>
        <v>240000</v>
      </c>
      <c r="M125" s="1">
        <f>8760*55%</f>
        <v>4818</v>
      </c>
      <c r="P125" s="25"/>
    </row>
    <row r="126" ht="14.25" customHeight="1">
      <c r="C126" s="25"/>
      <c r="D126" s="1">
        <v>10.0</v>
      </c>
      <c r="F126" s="1">
        <v>16.0</v>
      </c>
      <c r="G126" s="1">
        <v>170.0</v>
      </c>
      <c r="H126" s="1">
        <v>1600.0</v>
      </c>
      <c r="I126" s="1">
        <f t="shared" si="3"/>
        <v>25600</v>
      </c>
      <c r="K126" s="1">
        <f t="shared" si="4"/>
        <v>272000</v>
      </c>
      <c r="P126" s="25"/>
    </row>
    <row r="127" ht="14.25" customHeight="1">
      <c r="C127" s="25"/>
      <c r="D127" s="1">
        <v>-6.5</v>
      </c>
      <c r="F127" s="1">
        <v>12.0</v>
      </c>
      <c r="H127" s="1">
        <v>3000.0</v>
      </c>
      <c r="I127" s="1">
        <f t="shared" si="3"/>
        <v>36000</v>
      </c>
      <c r="P127" s="25"/>
    </row>
    <row r="128" ht="14.25" customHeight="1">
      <c r="B128" s="28">
        <v>1.0</v>
      </c>
      <c r="C128" s="29" t="s">
        <v>82</v>
      </c>
      <c r="D128" s="1">
        <v>-23.0</v>
      </c>
      <c r="F128" s="1">
        <v>12.0</v>
      </c>
      <c r="H128" s="1">
        <v>850.0</v>
      </c>
      <c r="I128" s="1">
        <f t="shared" si="3"/>
        <v>10200</v>
      </c>
      <c r="M128" s="28">
        <v>3600.0</v>
      </c>
      <c r="N128" s="28" t="s">
        <v>83</v>
      </c>
      <c r="O128" s="28">
        <v>1.0</v>
      </c>
      <c r="P128" s="29" t="s">
        <v>82</v>
      </c>
    </row>
    <row r="129" ht="14.25" customHeight="1">
      <c r="C129" s="25"/>
      <c r="D129" s="1">
        <v>-37.0</v>
      </c>
      <c r="F129" s="1">
        <v>12.0</v>
      </c>
      <c r="H129" s="1">
        <v>650.0</v>
      </c>
      <c r="I129" s="1">
        <f t="shared" si="3"/>
        <v>7800</v>
      </c>
      <c r="P129" s="25"/>
    </row>
    <row r="130" ht="14.25" customHeight="1">
      <c r="B130" s="28">
        <v>1.0</v>
      </c>
      <c r="C130" s="29" t="s">
        <v>84</v>
      </c>
      <c r="M130" s="28">
        <v>2256.0</v>
      </c>
      <c r="N130" s="28" t="s">
        <v>83</v>
      </c>
      <c r="O130" s="28">
        <v>1.0</v>
      </c>
      <c r="P130" s="29" t="s">
        <v>84</v>
      </c>
    </row>
    <row r="131" ht="14.25" customHeight="1">
      <c r="C131" s="25"/>
      <c r="H131" s="1">
        <f t="shared" ref="H131:I131" si="5">SUM(H122:H130)</f>
        <v>8760</v>
      </c>
      <c r="I131" s="1">
        <f t="shared" si="5"/>
        <v>134120</v>
      </c>
      <c r="J131" s="1" t="s">
        <v>70</v>
      </c>
      <c r="K131" s="30">
        <f>(SUM(K122:K130)/1000)/0.9</f>
        <v>1030.079365</v>
      </c>
      <c r="L131" s="1" t="s">
        <v>85</v>
      </c>
      <c r="P131" s="25"/>
    </row>
    <row r="132" ht="14.25" customHeight="1">
      <c r="C132" s="25"/>
      <c r="M132" s="1">
        <f>M128/M130</f>
        <v>1.595744681</v>
      </c>
      <c r="N132" s="1" t="s">
        <v>84</v>
      </c>
      <c r="P132" s="25"/>
    </row>
    <row r="133" ht="14.25" customHeight="1">
      <c r="C133" s="25"/>
      <c r="H133" s="1" t="s">
        <v>86</v>
      </c>
      <c r="I133" s="1" t="s">
        <v>87</v>
      </c>
      <c r="P133" s="25"/>
    </row>
    <row r="134" ht="14.25" customHeight="1">
      <c r="C134" s="25"/>
      <c r="G134" s="1">
        <f>H134-H131</f>
        <v>0</v>
      </c>
      <c r="H134" s="1">
        <v>8760.0</v>
      </c>
      <c r="I134" s="1">
        <f>D106+D107</f>
        <v>217</v>
      </c>
      <c r="J134" s="1">
        <f>H134*I134</f>
        <v>1900920</v>
      </c>
      <c r="K134" s="1" t="s">
        <v>70</v>
      </c>
      <c r="M134" s="1" t="s">
        <v>88</v>
      </c>
      <c r="N134" s="31">
        <f>(1-(J134/(J134+I131))*100%)+1</f>
        <v>1.065905338</v>
      </c>
      <c r="P134" s="25"/>
    </row>
    <row r="135" ht="14.25" customHeight="1">
      <c r="C135" s="25"/>
      <c r="P135" s="25"/>
    </row>
    <row r="136" ht="14.25" customHeight="1">
      <c r="C136" s="25"/>
      <c r="H136" s="1">
        <f>I134</f>
        <v>217</v>
      </c>
      <c r="I136" s="1">
        <f>H136*H134</f>
        <v>1900920</v>
      </c>
      <c r="J136" s="1">
        <f>I131</f>
        <v>134120</v>
      </c>
      <c r="M136" s="28" t="s">
        <v>88</v>
      </c>
      <c r="N136" s="31">
        <f>(N134+A134)/2</f>
        <v>0.5329526692</v>
      </c>
      <c r="P136" s="25"/>
    </row>
    <row r="137" ht="14.25" customHeight="1">
      <c r="C137" s="25"/>
    </row>
    <row r="138" ht="14.25" customHeight="1">
      <c r="C138" s="25"/>
      <c r="J138" s="1">
        <f>I131*2</f>
        <v>268240</v>
      </c>
    </row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R2:U2"/>
    <mergeCell ref="W2:Z2"/>
    <mergeCell ref="M14:P14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9.43"/>
    <col customWidth="1" min="3" max="4" width="8.71"/>
    <col customWidth="1" min="5" max="5" width="13.57"/>
    <col customWidth="1" min="6" max="6" width="13.71"/>
    <col customWidth="1" min="7" max="7" width="13.43"/>
    <col customWidth="1" min="8" max="8" width="13.14"/>
    <col customWidth="1" min="9" max="12" width="8.71"/>
    <col customWidth="1" min="13" max="13" width="26.14"/>
    <col customWidth="1" min="14" max="14" width="8.71"/>
    <col customWidth="1" min="15" max="15" width="25.43"/>
    <col customWidth="1" min="16" max="16" width="8.86"/>
    <col customWidth="1" min="17" max="26" width="8.71"/>
  </cols>
  <sheetData>
    <row r="1" ht="14.25" customHeight="1">
      <c r="A1" s="3" t="s">
        <v>43</v>
      </c>
      <c r="B1" s="3">
        <v>101325.0</v>
      </c>
    </row>
    <row r="2" ht="14.25" customHeight="1">
      <c r="A2" s="3" t="s">
        <v>44</v>
      </c>
      <c r="B2" s="3">
        <v>29.0</v>
      </c>
    </row>
    <row r="3" ht="14.25" customHeight="1">
      <c r="A3" s="3" t="s">
        <v>45</v>
      </c>
      <c r="B3" s="4">
        <v>8.31447</v>
      </c>
    </row>
    <row r="4" ht="14.25" customHeight="1">
      <c r="A4" s="3" t="s">
        <v>46</v>
      </c>
      <c r="B4" s="3">
        <v>273.15</v>
      </c>
    </row>
    <row r="5" ht="14.25" customHeight="1">
      <c r="A5" s="3" t="s">
        <v>47</v>
      </c>
      <c r="B5" s="5">
        <v>30.0</v>
      </c>
    </row>
    <row r="6" ht="14.25" customHeight="1">
      <c r="A6" s="3" t="s">
        <v>48</v>
      </c>
      <c r="B6" s="6">
        <f>(B1*B2)/(B3*(B5+B4))/1000</f>
        <v>1.165795748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N16" s="2"/>
      <c r="P16" s="2"/>
    </row>
    <row r="17" ht="14.25" customHeight="1">
      <c r="N17" s="2"/>
      <c r="P17" s="2"/>
    </row>
    <row r="18" ht="14.25" customHeight="1">
      <c r="N18" s="2"/>
      <c r="P18" s="2"/>
    </row>
    <row r="19" ht="14.25" customHeight="1">
      <c r="N19" s="2"/>
      <c r="P19" s="2"/>
    </row>
    <row r="20" ht="14.25" customHeight="1"/>
    <row r="21" ht="14.25" customHeight="1"/>
    <row r="22" ht="14.25" customHeight="1">
      <c r="N22" s="2"/>
      <c r="P22" s="2"/>
    </row>
    <row r="23" ht="14.25" customHeight="1"/>
    <row r="24" ht="14.25" customHeight="1"/>
    <row r="25" ht="14.25" customHeight="1"/>
    <row r="26" ht="14.25" customHeight="1">
      <c r="N26" s="2"/>
    </row>
    <row r="27" ht="14.25" customHeight="1">
      <c r="N27" s="2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23.57"/>
  </cols>
  <sheetData>
    <row r="1">
      <c r="B1" s="3" t="s">
        <v>49</v>
      </c>
      <c r="C1" s="3" t="s">
        <v>50</v>
      </c>
    </row>
    <row r="2">
      <c r="A2" s="3" t="s">
        <v>47</v>
      </c>
      <c r="B2" s="3">
        <v>38.0</v>
      </c>
    </row>
    <row r="3">
      <c r="A3" s="3" t="s">
        <v>51</v>
      </c>
      <c r="B3" s="3">
        <v>20.0</v>
      </c>
      <c r="C3" s="3">
        <v>90.0</v>
      </c>
    </row>
    <row r="4">
      <c r="A4" s="3" t="s">
        <v>52</v>
      </c>
      <c r="B4" s="7">
        <f>(0.622*((B3/100)*(6.112*EXP((17.67*B2)/(B2+243.5)))))/(1013.25-((B3/100)*(6.112*EXP((17.67*B2)/(B2+243.5)))))*1000</f>
        <v>8.259152963</v>
      </c>
      <c r="C4" s="7"/>
    </row>
    <row r="5">
      <c r="A5" s="3" t="s">
        <v>53</v>
      </c>
      <c r="B5" s="8">
        <f>1.006*B2+B20*(1.86*B2+2501)</f>
        <v>60.6593041</v>
      </c>
    </row>
    <row r="18">
      <c r="A18" s="9" t="s">
        <v>54</v>
      </c>
      <c r="B18" s="1">
        <f>6.112*EXP((17.67*B2)/(B2+243.5))</f>
        <v>66.39004528</v>
      </c>
    </row>
    <row r="19">
      <c r="A19" s="9" t="s">
        <v>55</v>
      </c>
      <c r="B19" s="1">
        <f>(B3/100)*(6.112*EXP((17.67*B2)/(B2+243.5)))</f>
        <v>13.27800906</v>
      </c>
    </row>
    <row r="20">
      <c r="A20" s="3" t="s">
        <v>56</v>
      </c>
      <c r="B20" s="1">
        <f>0.622*(B18*(B3/100))/(1013.25-B18)</f>
        <v>0.008722432067</v>
      </c>
    </row>
  </sheetData>
  <mergeCells count="1">
    <mergeCell ref="B5:C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14"/>
    <col customWidth="1" min="3" max="4" width="8.71"/>
    <col customWidth="1" min="5" max="5" width="13.57"/>
    <col customWidth="1" min="6" max="6" width="13.71"/>
    <col customWidth="1" min="7" max="7" width="13.43"/>
    <col customWidth="1" min="8" max="8" width="13.14"/>
    <col customWidth="1" min="9" max="12" width="8.71"/>
    <col customWidth="1" min="13" max="13" width="27.14"/>
    <col customWidth="1" min="14" max="14" width="8.71"/>
    <col customWidth="1" min="15" max="15" width="25.43"/>
    <col customWidth="1" min="16" max="16" width="8.86"/>
    <col customWidth="1" min="17" max="26" width="8.71"/>
  </cols>
  <sheetData>
    <row r="1" ht="14.25" customHeight="1"/>
    <row r="2" ht="14.25" customHeight="1">
      <c r="D2" s="1" t="s">
        <v>0</v>
      </c>
      <c r="E2" s="1" t="s">
        <v>1</v>
      </c>
      <c r="F2" s="1" t="s">
        <v>2</v>
      </c>
      <c r="J2" s="1" t="s">
        <v>3</v>
      </c>
    </row>
    <row r="3" ht="14.25" customHeight="1">
      <c r="B3" s="1" t="s">
        <v>4</v>
      </c>
      <c r="C3" s="1">
        <v>1.0</v>
      </c>
      <c r="D3" s="1">
        <v>0.4</v>
      </c>
      <c r="E3" s="1">
        <v>124.0</v>
      </c>
      <c r="F3" s="1">
        <v>94.4</v>
      </c>
      <c r="J3" s="1" t="s">
        <v>5</v>
      </c>
    </row>
    <row r="4" ht="14.25" customHeight="1">
      <c r="B4" s="1" t="s">
        <v>6</v>
      </c>
      <c r="C4" s="1">
        <v>1.0</v>
      </c>
      <c r="D4" s="1">
        <v>0.8</v>
      </c>
      <c r="E4" s="1">
        <v>165.0</v>
      </c>
      <c r="F4" s="1">
        <v>188.0</v>
      </c>
    </row>
    <row r="5" ht="14.25" customHeight="1">
      <c r="B5" s="1" t="s">
        <v>7</v>
      </c>
      <c r="C5" s="1">
        <v>1.0</v>
      </c>
      <c r="D5" s="1">
        <v>1.2</v>
      </c>
      <c r="E5" s="1">
        <v>372.0</v>
      </c>
      <c r="F5" s="1">
        <v>283.0</v>
      </c>
      <c r="J5" s="1" t="s">
        <v>8</v>
      </c>
    </row>
    <row r="6" ht="14.25" customHeight="1"/>
    <row r="7" ht="14.25" customHeight="1">
      <c r="B7" s="1" t="s">
        <v>9</v>
      </c>
      <c r="E7" s="1">
        <v>236.0</v>
      </c>
      <c r="F7" s="1" t="s">
        <v>10</v>
      </c>
      <c r="J7" s="1" t="s">
        <v>11</v>
      </c>
      <c r="L7" s="1" t="s">
        <v>12</v>
      </c>
    </row>
    <row r="8" ht="14.25" customHeight="1">
      <c r="B8" s="1" t="s">
        <v>13</v>
      </c>
      <c r="E8" s="1">
        <v>310.0</v>
      </c>
      <c r="F8" s="1" t="s">
        <v>10</v>
      </c>
      <c r="J8" s="1">
        <v>0.7</v>
      </c>
      <c r="K8" s="1" t="s">
        <v>14</v>
      </c>
      <c r="L8" s="1">
        <v>1.0</v>
      </c>
      <c r="M8" s="1" t="s">
        <v>15</v>
      </c>
    </row>
    <row r="9" ht="14.25" customHeight="1"/>
    <row r="10" ht="14.25" customHeight="1"/>
    <row r="11" ht="14.25" customHeight="1"/>
    <row r="12" ht="14.25" customHeight="1">
      <c r="B12" s="1" t="s">
        <v>16</v>
      </c>
    </row>
    <row r="13" ht="14.25" customHeight="1">
      <c r="C13" s="1">
        <v>17.0</v>
      </c>
      <c r="D13" s="1">
        <v>3.0</v>
      </c>
      <c r="E13" s="1">
        <f>C13*D13</f>
        <v>51</v>
      </c>
      <c r="F13" s="1">
        <v>600.0</v>
      </c>
      <c r="G13" s="1">
        <v>600.0</v>
      </c>
    </row>
    <row r="14" ht="14.25" customHeight="1">
      <c r="C14" s="1">
        <v>17.0</v>
      </c>
      <c r="D14" s="1">
        <v>9.0</v>
      </c>
      <c r="E14" s="1">
        <v>153.0</v>
      </c>
      <c r="F14" s="1">
        <v>600.0</v>
      </c>
      <c r="G14" s="1">
        <v>1800.0</v>
      </c>
    </row>
    <row r="15" ht="14.25" customHeight="1">
      <c r="C15" s="1">
        <v>17.0</v>
      </c>
      <c r="D15" s="1">
        <v>12.0</v>
      </c>
      <c r="E15" s="1">
        <v>204.0</v>
      </c>
      <c r="F15" s="1">
        <v>600.0</v>
      </c>
      <c r="G15" s="1">
        <v>2400.0</v>
      </c>
      <c r="M15" s="10" t="s">
        <v>57</v>
      </c>
      <c r="O15" s="10" t="s">
        <v>18</v>
      </c>
    </row>
    <row r="16" ht="14.25" customHeight="1">
      <c r="M16" s="1" t="s">
        <v>19</v>
      </c>
      <c r="N16" s="11">
        <f>(N17*N18*N19*N22)/3600</f>
        <v>99.76</v>
      </c>
      <c r="O16" s="1" t="s">
        <v>19</v>
      </c>
      <c r="P16" s="11">
        <f>(P17*P18*P19*P22)/3600</f>
        <v>105.28</v>
      </c>
    </row>
    <row r="17" ht="14.25" customHeight="1">
      <c r="M17" s="1" t="s">
        <v>20</v>
      </c>
      <c r="N17" s="2">
        <v>24000.0</v>
      </c>
      <c r="O17" s="1" t="s">
        <v>20</v>
      </c>
      <c r="P17" s="2">
        <v>24000.0</v>
      </c>
    </row>
    <row r="18" ht="14.25" customHeight="1">
      <c r="E18" s="1" t="s">
        <v>21</v>
      </c>
      <c r="F18" s="1" t="s">
        <v>22</v>
      </c>
      <c r="G18" s="1" t="s">
        <v>23</v>
      </c>
      <c r="H18" s="1" t="s">
        <v>24</v>
      </c>
      <c r="M18" s="1" t="s">
        <v>25</v>
      </c>
      <c r="N18" s="2">
        <f>N26</f>
        <v>1.247</v>
      </c>
      <c r="O18" s="1" t="s">
        <v>25</v>
      </c>
      <c r="P18" s="2">
        <v>1.128</v>
      </c>
    </row>
    <row r="19" ht="14.25" customHeight="1">
      <c r="B19" s="1" t="s">
        <v>26</v>
      </c>
      <c r="E19" s="1">
        <v>620.0</v>
      </c>
      <c r="F19" s="1">
        <f>($E$19*$E$3)/1000</f>
        <v>76.88</v>
      </c>
      <c r="G19" s="1">
        <f>($E$4*$E$19)/1000</f>
        <v>102.3</v>
      </c>
      <c r="H19" s="1">
        <f>($E$5*$E$19)/1000</f>
        <v>230.64</v>
      </c>
      <c r="M19" s="1" t="s">
        <v>27</v>
      </c>
      <c r="N19" s="2">
        <v>1.0</v>
      </c>
      <c r="O19" s="1" t="s">
        <v>27</v>
      </c>
      <c r="P19" s="2">
        <v>1.0</v>
      </c>
    </row>
    <row r="20" ht="14.25" customHeight="1">
      <c r="B20" s="1" t="s">
        <v>28</v>
      </c>
      <c r="E20" s="1">
        <v>1224.0</v>
      </c>
      <c r="F20" s="1">
        <f>($E$20*$E$3)/1000</f>
        <v>151.776</v>
      </c>
      <c r="G20" s="1">
        <f>($E$4*$E$20)/1000</f>
        <v>201.96</v>
      </c>
      <c r="H20" s="1">
        <f>($E$5*$E$20)/1000</f>
        <v>455.328</v>
      </c>
      <c r="M20" s="1" t="s">
        <v>29</v>
      </c>
      <c r="N20" s="1">
        <v>20.0</v>
      </c>
      <c r="O20" s="1" t="s">
        <v>30</v>
      </c>
      <c r="P20" s="1">
        <v>24.0</v>
      </c>
    </row>
    <row r="21" ht="14.25" customHeight="1">
      <c r="B21" s="1" t="s">
        <v>31</v>
      </c>
      <c r="E21" s="1">
        <v>1850.0</v>
      </c>
      <c r="F21" s="1">
        <f>($E$21*$E$3)/1000</f>
        <v>229.4</v>
      </c>
      <c r="G21" s="1">
        <f>($E$4*$E$21)/1000</f>
        <v>305.25</v>
      </c>
      <c r="H21" s="1">
        <f>($E$5*$E$21)/1000</f>
        <v>688.2</v>
      </c>
      <c r="K21" s="1">
        <f>(E21*100)/1000</f>
        <v>185</v>
      </c>
      <c r="M21" s="1" t="s">
        <v>32</v>
      </c>
      <c r="N21" s="1">
        <v>32.0</v>
      </c>
      <c r="O21" s="1" t="s">
        <v>33</v>
      </c>
      <c r="P21" s="1">
        <v>38.0</v>
      </c>
    </row>
    <row r="22" ht="14.25" customHeight="1">
      <c r="B22" s="1" t="s">
        <v>34</v>
      </c>
      <c r="E22" s="1">
        <v>1920.0</v>
      </c>
      <c r="F22" s="1">
        <f>($E$22*$E$3)/1000</f>
        <v>238.08</v>
      </c>
      <c r="G22" s="1">
        <f>($E$4*$E$22)/1000</f>
        <v>316.8</v>
      </c>
      <c r="H22" s="1">
        <f>($E$5*$E$22)/1000</f>
        <v>714.24</v>
      </c>
      <c r="M22" s="1" t="s">
        <v>35</v>
      </c>
      <c r="N22" s="2">
        <f>N21-N20</f>
        <v>12</v>
      </c>
      <c r="O22" s="1" t="s">
        <v>35</v>
      </c>
      <c r="P22" s="2">
        <f>P21-P20</f>
        <v>14</v>
      </c>
    </row>
    <row r="23" ht="14.25" customHeight="1"/>
    <row r="24" ht="14.25" customHeight="1"/>
    <row r="25" ht="14.25" customHeight="1">
      <c r="B25" s="1" t="s">
        <v>36</v>
      </c>
    </row>
    <row r="26" ht="14.25" customHeight="1">
      <c r="N26" s="2">
        <v>1.247</v>
      </c>
      <c r="O26" s="1" t="s">
        <v>37</v>
      </c>
    </row>
    <row r="27" ht="14.25" customHeight="1">
      <c r="B27" s="1" t="s">
        <v>38</v>
      </c>
      <c r="N27" s="2">
        <v>1.17</v>
      </c>
      <c r="O27" s="1" t="s">
        <v>39</v>
      </c>
    </row>
    <row r="28" ht="14.25" customHeight="1"/>
    <row r="29" ht="14.25" customHeight="1">
      <c r="B29" s="1" t="s">
        <v>40</v>
      </c>
      <c r="C29" s="1" t="s">
        <v>41</v>
      </c>
    </row>
    <row r="30" ht="14.25" customHeight="1">
      <c r="C30" s="1" t="s">
        <v>42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14"/>
    <col customWidth="1" min="3" max="4" width="8.71"/>
    <col customWidth="1" min="5" max="5" width="13.57"/>
    <col customWidth="1" min="6" max="6" width="13.71"/>
    <col customWidth="1" min="7" max="7" width="13.43"/>
    <col customWidth="1" min="8" max="8" width="13.14"/>
    <col customWidth="1" min="9" max="11" width="8.71"/>
    <col customWidth="1" min="12" max="12" width="15.0"/>
    <col customWidth="1" min="13" max="13" width="27.14"/>
    <col customWidth="1" min="14" max="14" width="8.71"/>
    <col customWidth="1" min="15" max="15" width="25.43"/>
    <col customWidth="1" min="16" max="16" width="8.86"/>
    <col customWidth="1" min="17" max="17" width="8.71"/>
    <col customWidth="1" min="18" max="18" width="27.86"/>
    <col customWidth="1" min="19" max="19" width="8.71"/>
    <col customWidth="1" min="20" max="20" width="28.14"/>
    <col customWidth="1" min="21" max="26" width="8.71"/>
  </cols>
  <sheetData>
    <row r="1" ht="14.25" customHeight="1"/>
    <row r="2" ht="14.25" customHeight="1">
      <c r="D2" s="1" t="s">
        <v>0</v>
      </c>
      <c r="E2" s="1" t="s">
        <v>1</v>
      </c>
      <c r="F2" s="1" t="s">
        <v>2</v>
      </c>
      <c r="J2" s="1" t="s">
        <v>3</v>
      </c>
      <c r="R2" s="12" t="s">
        <v>58</v>
      </c>
      <c r="S2" s="13"/>
      <c r="T2" s="13"/>
      <c r="U2" s="14"/>
    </row>
    <row r="3" ht="14.25" customHeight="1">
      <c r="B3" s="1" t="s">
        <v>4</v>
      </c>
      <c r="C3" s="1">
        <v>1.0</v>
      </c>
      <c r="D3" s="1">
        <v>0.4</v>
      </c>
      <c r="E3" s="1">
        <v>124.0</v>
      </c>
      <c r="F3" s="1">
        <v>94.4</v>
      </c>
      <c r="J3" s="1" t="s">
        <v>5</v>
      </c>
      <c r="R3" s="15" t="s">
        <v>57</v>
      </c>
      <c r="S3" s="16"/>
      <c r="T3" s="10" t="s">
        <v>18</v>
      </c>
      <c r="U3" s="16"/>
    </row>
    <row r="4" ht="14.25" customHeight="1">
      <c r="B4" s="1" t="s">
        <v>6</v>
      </c>
      <c r="C4" s="1">
        <v>1.0</v>
      </c>
      <c r="D4" s="1">
        <v>0.8</v>
      </c>
      <c r="E4" s="1">
        <v>248.0</v>
      </c>
      <c r="F4" s="1">
        <v>188.0</v>
      </c>
      <c r="R4" s="17" t="s">
        <v>19</v>
      </c>
      <c r="S4" s="18">
        <f>(S5*S6*S7*S10)/3600</f>
        <v>125.125</v>
      </c>
      <c r="T4" s="1" t="s">
        <v>19</v>
      </c>
      <c r="U4" s="18">
        <f>(U5*U6*U7*U10)/3600</f>
        <v>125.0666667</v>
      </c>
    </row>
    <row r="5" ht="14.25" customHeight="1">
      <c r="B5" s="1" t="s">
        <v>7</v>
      </c>
      <c r="C5" s="1">
        <v>1.0</v>
      </c>
      <c r="D5" s="1">
        <v>1.2</v>
      </c>
      <c r="E5" s="1">
        <v>372.0</v>
      </c>
      <c r="F5" s="1">
        <v>283.0</v>
      </c>
      <c r="J5" s="1" t="s">
        <v>8</v>
      </c>
      <c r="R5" s="17" t="s">
        <v>20</v>
      </c>
      <c r="S5" s="19">
        <v>35000.0</v>
      </c>
      <c r="T5" s="1" t="s">
        <v>20</v>
      </c>
      <c r="U5" s="19">
        <v>33500.0</v>
      </c>
    </row>
    <row r="6" ht="14.25" customHeight="1">
      <c r="R6" s="17" t="s">
        <v>25</v>
      </c>
      <c r="S6" s="2">
        <v>1.17</v>
      </c>
      <c r="T6" s="1" t="s">
        <v>25</v>
      </c>
      <c r="U6" s="19">
        <v>1.12</v>
      </c>
    </row>
    <row r="7" ht="14.25" customHeight="1">
      <c r="B7" s="1" t="s">
        <v>9</v>
      </c>
      <c r="E7" s="1">
        <v>236.0</v>
      </c>
      <c r="F7" s="1" t="s">
        <v>10</v>
      </c>
      <c r="J7" s="1" t="s">
        <v>11</v>
      </c>
      <c r="L7" s="1" t="s">
        <v>12</v>
      </c>
      <c r="R7" s="17" t="s">
        <v>27</v>
      </c>
      <c r="S7" s="19">
        <v>1.0</v>
      </c>
      <c r="T7" s="1" t="s">
        <v>27</v>
      </c>
      <c r="U7" s="19">
        <v>1.0</v>
      </c>
    </row>
    <row r="8" ht="14.25" customHeight="1">
      <c r="B8" s="1" t="s">
        <v>13</v>
      </c>
      <c r="E8" s="1">
        <v>310.0</v>
      </c>
      <c r="F8" s="1" t="s">
        <v>10</v>
      </c>
      <c r="J8" s="1">
        <v>0.7</v>
      </c>
      <c r="K8" s="1" t="s">
        <v>14</v>
      </c>
      <c r="L8" s="1">
        <v>1.0</v>
      </c>
      <c r="M8" s="1" t="s">
        <v>15</v>
      </c>
      <c r="R8" s="17" t="s">
        <v>29</v>
      </c>
      <c r="S8" s="20">
        <v>20.0</v>
      </c>
      <c r="T8" s="1" t="s">
        <v>30</v>
      </c>
      <c r="U8" s="20">
        <v>24.0</v>
      </c>
    </row>
    <row r="9" ht="14.25" customHeight="1">
      <c r="R9" s="17" t="s">
        <v>32</v>
      </c>
      <c r="S9" s="20">
        <v>31.0</v>
      </c>
      <c r="T9" s="1" t="s">
        <v>33</v>
      </c>
      <c r="U9" s="20">
        <v>36.0</v>
      </c>
    </row>
    <row r="10" ht="14.25" customHeight="1">
      <c r="R10" s="17" t="s">
        <v>35</v>
      </c>
      <c r="S10" s="19">
        <f>S9-S8</f>
        <v>11</v>
      </c>
      <c r="T10" s="1" t="s">
        <v>35</v>
      </c>
      <c r="U10" s="19">
        <f>U9-U8</f>
        <v>12</v>
      </c>
    </row>
    <row r="11" ht="14.25" customHeight="1">
      <c r="R11" s="17" t="s">
        <v>59</v>
      </c>
      <c r="S11" s="19"/>
      <c r="U11" s="20"/>
    </row>
    <row r="12" ht="14.25" customHeight="1">
      <c r="B12" s="1" t="s">
        <v>16</v>
      </c>
      <c r="R12" s="17" t="s">
        <v>60</v>
      </c>
      <c r="S12" s="19"/>
      <c r="U12" s="20"/>
    </row>
    <row r="13" ht="14.25" customHeight="1">
      <c r="C13" s="1">
        <v>17.0</v>
      </c>
      <c r="D13" s="1">
        <v>3.0</v>
      </c>
      <c r="E13" s="1">
        <f>C13*D13</f>
        <v>51</v>
      </c>
      <c r="F13" s="1">
        <v>600.0</v>
      </c>
      <c r="G13" s="1">
        <v>600.0</v>
      </c>
      <c r="R13" s="17" t="s">
        <v>19</v>
      </c>
      <c r="S13" s="20"/>
      <c r="U13" s="20"/>
    </row>
    <row r="14" ht="14.25" customHeight="1">
      <c r="C14" s="1">
        <v>17.0</v>
      </c>
      <c r="D14" s="1">
        <v>9.0</v>
      </c>
      <c r="E14" s="1">
        <v>153.0</v>
      </c>
      <c r="F14" s="1">
        <v>600.0</v>
      </c>
      <c r="G14" s="1">
        <v>1800.0</v>
      </c>
      <c r="M14" s="12" t="s">
        <v>58</v>
      </c>
      <c r="N14" s="13"/>
      <c r="O14" s="13"/>
      <c r="P14" s="14"/>
      <c r="R14" s="21" t="s">
        <v>61</v>
      </c>
      <c r="S14" s="22"/>
      <c r="T14" s="23"/>
      <c r="U14" s="24"/>
    </row>
    <row r="15" ht="14.25" customHeight="1">
      <c r="C15" s="1">
        <v>17.0</v>
      </c>
      <c r="D15" s="1">
        <v>12.0</v>
      </c>
      <c r="E15" s="1">
        <v>204.0</v>
      </c>
      <c r="F15" s="1">
        <v>600.0</v>
      </c>
      <c r="G15" s="1">
        <v>2400.0</v>
      </c>
      <c r="M15" s="15" t="s">
        <v>57</v>
      </c>
      <c r="N15" s="16"/>
      <c r="O15" s="10" t="s">
        <v>18</v>
      </c>
      <c r="P15" s="16"/>
    </row>
    <row r="16" ht="14.25" customHeight="1">
      <c r="M16" s="17" t="s">
        <v>19</v>
      </c>
      <c r="N16" s="18">
        <f>(N17*N18*N19*N22)/3600</f>
        <v>20.35</v>
      </c>
      <c r="O16" s="1" t="s">
        <v>19</v>
      </c>
      <c r="P16" s="18">
        <f>(P17*P18*P19*P22)/3600</f>
        <v>125.0666667</v>
      </c>
    </row>
    <row r="17" ht="14.25" customHeight="1">
      <c r="M17" s="17" t="s">
        <v>20</v>
      </c>
      <c r="N17" s="19">
        <v>30000.0</v>
      </c>
      <c r="O17" s="1" t="s">
        <v>20</v>
      </c>
      <c r="P17" s="19">
        <v>33500.0</v>
      </c>
    </row>
    <row r="18" ht="14.25" customHeight="1">
      <c r="E18" s="1" t="s">
        <v>21</v>
      </c>
      <c r="F18" s="1" t="s">
        <v>22</v>
      </c>
      <c r="G18" s="1" t="s">
        <v>23</v>
      </c>
      <c r="H18" s="1" t="s">
        <v>24</v>
      </c>
      <c r="M18" s="17" t="s">
        <v>25</v>
      </c>
      <c r="N18" s="2">
        <v>1.11</v>
      </c>
      <c r="O18" s="1" t="s">
        <v>25</v>
      </c>
      <c r="P18" s="19">
        <v>1.12</v>
      </c>
    </row>
    <row r="19" ht="14.25" customHeight="1">
      <c r="B19" s="1" t="s">
        <v>26</v>
      </c>
      <c r="E19" s="1">
        <v>408.0</v>
      </c>
      <c r="F19" s="1">
        <f>($E$19*$E$3)/1000</f>
        <v>50.592</v>
      </c>
      <c r="G19" s="1">
        <f>($E$4*$E$19)/1000</f>
        <v>101.184</v>
      </c>
      <c r="H19" s="1">
        <f>($E$5*$E$19)/1000</f>
        <v>151.776</v>
      </c>
      <c r="M19" s="17" t="s">
        <v>27</v>
      </c>
      <c r="N19" s="19">
        <v>1.0</v>
      </c>
      <c r="O19" s="1" t="s">
        <v>27</v>
      </c>
      <c r="P19" s="19">
        <v>1.0</v>
      </c>
    </row>
    <row r="20" ht="14.25" customHeight="1">
      <c r="B20" s="1" t="s">
        <v>28</v>
      </c>
      <c r="E20" s="1">
        <v>816.0</v>
      </c>
      <c r="F20" s="1">
        <f>($E$20*$E$3)/1000</f>
        <v>101.184</v>
      </c>
      <c r="G20" s="1">
        <f>($E$4*$E$20)/1000</f>
        <v>202.368</v>
      </c>
      <c r="H20" s="1">
        <f>($E$5*$E$20)/1000</f>
        <v>303.552</v>
      </c>
      <c r="M20" s="17" t="s">
        <v>29</v>
      </c>
      <c r="N20" s="20">
        <v>28.8</v>
      </c>
      <c r="O20" s="1" t="s">
        <v>30</v>
      </c>
      <c r="P20" s="20">
        <v>31.0</v>
      </c>
    </row>
    <row r="21" ht="14.25" customHeight="1">
      <c r="B21" s="1" t="s">
        <v>31</v>
      </c>
      <c r="E21" s="1">
        <v>1224.0</v>
      </c>
      <c r="F21" s="1">
        <f>($E$21*$E$3)/1000</f>
        <v>151.776</v>
      </c>
      <c r="G21" s="1">
        <f>($E$4*$E$21)/1000</f>
        <v>303.552</v>
      </c>
      <c r="H21" s="1">
        <f>($E$5*$E$21)/1000</f>
        <v>455.328</v>
      </c>
      <c r="K21" s="1">
        <f>(E21*100)/1000</f>
        <v>122.4</v>
      </c>
      <c r="M21" s="17" t="s">
        <v>32</v>
      </c>
      <c r="N21" s="20">
        <v>31.0</v>
      </c>
      <c r="O21" s="1" t="s">
        <v>33</v>
      </c>
      <c r="P21" s="20">
        <v>43.0</v>
      </c>
    </row>
    <row r="22" ht="14.25" customHeight="1">
      <c r="B22" s="1" t="s">
        <v>34</v>
      </c>
      <c r="E22" s="1">
        <v>1632.0</v>
      </c>
      <c r="F22" s="1">
        <f>($E$22*$E$3)/1000</f>
        <v>202.368</v>
      </c>
      <c r="G22" s="1">
        <f>($E$4*$E$22)/1000</f>
        <v>404.736</v>
      </c>
      <c r="H22" s="1">
        <f>($E$5*$E$22)/1000</f>
        <v>607.104</v>
      </c>
      <c r="M22" s="17" t="s">
        <v>35</v>
      </c>
      <c r="N22" s="19">
        <f>N21-N20</f>
        <v>2.2</v>
      </c>
      <c r="O22" s="1" t="s">
        <v>35</v>
      </c>
      <c r="P22" s="19">
        <f>P21-P20</f>
        <v>12</v>
      </c>
    </row>
    <row r="23" ht="14.25" customHeight="1">
      <c r="M23" s="17" t="s">
        <v>59</v>
      </c>
      <c r="N23" s="19">
        <v>18.2</v>
      </c>
      <c r="P23" s="20"/>
    </row>
    <row r="24" ht="14.25" customHeight="1">
      <c r="M24" s="17" t="s">
        <v>60</v>
      </c>
      <c r="N24" s="19">
        <v>23.2</v>
      </c>
      <c r="P24" s="20"/>
    </row>
    <row r="25" ht="14.25" customHeight="1">
      <c r="B25" s="1" t="s">
        <v>36</v>
      </c>
      <c r="M25" s="17" t="s">
        <v>19</v>
      </c>
      <c r="N25" s="20">
        <f>(((N24-N23)*N17)/1000)*0.7</f>
        <v>105</v>
      </c>
      <c r="P25" s="20"/>
    </row>
    <row r="26" ht="14.25" customHeight="1">
      <c r="M26" s="21" t="s">
        <v>61</v>
      </c>
      <c r="N26" s="22">
        <f>N25+N16</f>
        <v>125.35</v>
      </c>
      <c r="O26" s="23"/>
      <c r="P26" s="24"/>
    </row>
    <row r="27" ht="14.25" customHeight="1">
      <c r="B27" s="1" t="s">
        <v>38</v>
      </c>
    </row>
    <row r="28" ht="14.25" customHeight="1"/>
    <row r="29" ht="14.25" customHeight="1">
      <c r="B29" s="1" t="s">
        <v>40</v>
      </c>
      <c r="C29" s="1" t="s">
        <v>41</v>
      </c>
    </row>
    <row r="30" ht="14.25" customHeight="1">
      <c r="C30" s="1" t="s">
        <v>42</v>
      </c>
      <c r="N30" s="2">
        <v>1.247</v>
      </c>
      <c r="O30" s="1" t="s">
        <v>37</v>
      </c>
    </row>
    <row r="31" ht="14.25" customHeight="1">
      <c r="N31" s="2">
        <v>1.226</v>
      </c>
      <c r="O31" s="1" t="s">
        <v>62</v>
      </c>
    </row>
    <row r="32" ht="14.25" customHeight="1">
      <c r="N32" s="2">
        <v>1.17</v>
      </c>
      <c r="O32" s="1" t="s">
        <v>39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>
      <c r="C105" s="25"/>
      <c r="D105" s="1" t="s">
        <v>63</v>
      </c>
      <c r="F105" s="1" t="s">
        <v>64</v>
      </c>
      <c r="P105" s="25"/>
    </row>
    <row r="106" ht="14.25" customHeight="1">
      <c r="C106" s="25"/>
      <c r="D106" s="1">
        <v>255.0</v>
      </c>
      <c r="E106" s="1" t="s">
        <v>14</v>
      </c>
      <c r="F106" s="1" t="s">
        <v>65</v>
      </c>
      <c r="P106" s="25"/>
    </row>
    <row r="107" ht="14.25" customHeight="1">
      <c r="C107" s="25"/>
      <c r="D107" s="1">
        <v>0.0</v>
      </c>
      <c r="E107" s="1" t="s">
        <v>14</v>
      </c>
      <c r="F107" s="1" t="s">
        <v>66</v>
      </c>
      <c r="P107" s="25"/>
    </row>
    <row r="108" ht="14.25" customHeight="1">
      <c r="C108" s="25"/>
      <c r="P108" s="25"/>
    </row>
    <row r="109" ht="14.25" customHeight="1">
      <c r="C109" s="25"/>
      <c r="D109" s="1" t="s">
        <v>67</v>
      </c>
      <c r="P109" s="25"/>
    </row>
    <row r="110" ht="14.25" customHeight="1">
      <c r="C110" s="25"/>
      <c r="M110" s="1" t="s">
        <v>68</v>
      </c>
      <c r="O110" s="1" t="s">
        <v>69</v>
      </c>
      <c r="P110" s="25"/>
    </row>
    <row r="111" ht="14.25" customHeight="1">
      <c r="C111" s="25"/>
      <c r="D111" s="1">
        <v>100.0</v>
      </c>
      <c r="E111" s="1" t="s">
        <v>70</v>
      </c>
      <c r="F111" s="1" t="s">
        <v>71</v>
      </c>
      <c r="G111" s="1">
        <v>3.0</v>
      </c>
      <c r="H111" s="1" t="s">
        <v>72</v>
      </c>
      <c r="L111" s="26"/>
      <c r="M111" s="26">
        <v>3845750.0</v>
      </c>
      <c r="O111" s="26">
        <v>6406250.0</v>
      </c>
      <c r="P111" s="25"/>
    </row>
    <row r="112" ht="14.25" customHeight="1">
      <c r="C112" s="25"/>
      <c r="D112" s="1">
        <v>19.0</v>
      </c>
      <c r="E112" s="1" t="s">
        <v>70</v>
      </c>
      <c r="F112" s="1" t="s">
        <v>73</v>
      </c>
      <c r="M112" s="26">
        <v>5125000.0</v>
      </c>
      <c r="P112" s="25"/>
    </row>
    <row r="113" ht="14.25" customHeight="1">
      <c r="C113" s="25"/>
      <c r="D113" s="1">
        <v>31.0</v>
      </c>
      <c r="E113" s="1" t="s">
        <v>70</v>
      </c>
      <c r="F113" s="1" t="s">
        <v>74</v>
      </c>
      <c r="M113" s="26">
        <f>M111*G111</f>
        <v>11537250</v>
      </c>
      <c r="P113" s="25"/>
    </row>
    <row r="114" ht="14.25" customHeight="1">
      <c r="C114" s="25"/>
      <c r="D114" s="1">
        <v>31.0</v>
      </c>
      <c r="E114" s="1" t="s">
        <v>70</v>
      </c>
      <c r="F114" s="1" t="s">
        <v>75</v>
      </c>
      <c r="P114" s="25"/>
    </row>
    <row r="115" ht="14.25" customHeight="1">
      <c r="C115" s="25"/>
      <c r="D115" s="1">
        <v>898.0</v>
      </c>
      <c r="E115" s="1" t="s">
        <v>76</v>
      </c>
      <c r="P115" s="25"/>
    </row>
    <row r="116" ht="14.25" customHeight="1">
      <c r="C116" s="25"/>
      <c r="P116" s="25"/>
    </row>
    <row r="117" ht="14.25" customHeight="1">
      <c r="C117" s="25"/>
      <c r="F117" s="1" t="s">
        <v>77</v>
      </c>
      <c r="P117" s="25"/>
    </row>
    <row r="118" ht="14.25" customHeight="1">
      <c r="C118" s="25"/>
      <c r="P118" s="25"/>
    </row>
    <row r="119" ht="14.25" customHeight="1">
      <c r="C119" s="25"/>
      <c r="P119" s="25"/>
    </row>
    <row r="120" ht="14.25" customHeight="1">
      <c r="C120" s="25"/>
      <c r="P120" s="25"/>
    </row>
    <row r="121" ht="14.25" customHeight="1">
      <c r="C121" s="25"/>
      <c r="F121" s="1" t="s">
        <v>70</v>
      </c>
      <c r="G121" s="1" t="s">
        <v>78</v>
      </c>
      <c r="H121" s="1" t="s">
        <v>79</v>
      </c>
      <c r="I121" s="1" t="s">
        <v>70</v>
      </c>
      <c r="M121" s="1" t="s">
        <v>80</v>
      </c>
      <c r="P121" s="25"/>
    </row>
    <row r="122" ht="14.25" customHeight="1">
      <c r="C122" s="25"/>
      <c r="D122" s="1">
        <v>37.0</v>
      </c>
      <c r="F122" s="1">
        <v>17.3</v>
      </c>
      <c r="G122" s="1">
        <v>210.0</v>
      </c>
      <c r="H122" s="1">
        <v>24.0</v>
      </c>
      <c r="I122" s="1">
        <f t="shared" ref="I122:I130" si="1">F122*H122</f>
        <v>415.2</v>
      </c>
      <c r="K122" s="1">
        <f t="shared" ref="K122:K126" si="2">G122*H122</f>
        <v>5040</v>
      </c>
      <c r="M122" s="27">
        <f>(G122*12)/1000</f>
        <v>2.52</v>
      </c>
      <c r="N122" s="1" t="s">
        <v>81</v>
      </c>
      <c r="P122" s="25"/>
    </row>
    <row r="123" ht="14.25" customHeight="1">
      <c r="C123" s="25"/>
      <c r="D123" s="1">
        <v>26.0</v>
      </c>
      <c r="F123" s="1">
        <v>17.3</v>
      </c>
      <c r="G123" s="1">
        <v>190.0</v>
      </c>
      <c r="H123" s="1">
        <v>220.0</v>
      </c>
      <c r="I123" s="1">
        <f t="shared" si="1"/>
        <v>3806</v>
      </c>
      <c r="K123" s="1">
        <f t="shared" si="2"/>
        <v>41800</v>
      </c>
      <c r="P123" s="25"/>
    </row>
    <row r="124" ht="14.25" customHeight="1">
      <c r="C124" s="25"/>
      <c r="D124" s="1">
        <v>22.0</v>
      </c>
      <c r="F124" s="1">
        <v>17.3</v>
      </c>
      <c r="G124" s="1">
        <v>120.0</v>
      </c>
      <c r="H124" s="1">
        <v>560.0</v>
      </c>
      <c r="I124" s="1">
        <f t="shared" si="1"/>
        <v>9688</v>
      </c>
      <c r="K124" s="1">
        <f t="shared" si="2"/>
        <v>67200</v>
      </c>
      <c r="P124" s="25"/>
    </row>
    <row r="125" ht="14.25" customHeight="1">
      <c r="C125" s="25"/>
      <c r="D125" s="1">
        <v>15.0</v>
      </c>
      <c r="F125" s="1">
        <v>15.0</v>
      </c>
      <c r="G125" s="1">
        <v>80.0</v>
      </c>
      <c r="H125" s="1">
        <v>740.0</v>
      </c>
      <c r="I125" s="1">
        <f t="shared" si="1"/>
        <v>11100</v>
      </c>
      <c r="K125" s="1">
        <f t="shared" si="2"/>
        <v>59200</v>
      </c>
      <c r="P125" s="25"/>
    </row>
    <row r="126" ht="14.25" customHeight="1">
      <c r="C126" s="25"/>
      <c r="D126" s="1">
        <v>10.0</v>
      </c>
      <c r="F126" s="1">
        <v>13.0</v>
      </c>
      <c r="G126" s="1">
        <v>60.0</v>
      </c>
      <c r="H126" s="1">
        <v>1400.0</v>
      </c>
      <c r="I126" s="1">
        <f t="shared" si="1"/>
        <v>18200</v>
      </c>
      <c r="K126" s="1">
        <f t="shared" si="2"/>
        <v>84000</v>
      </c>
      <c r="P126" s="25"/>
    </row>
    <row r="127" ht="14.25" customHeight="1">
      <c r="C127" s="25"/>
      <c r="D127" s="1">
        <v>-6.5</v>
      </c>
      <c r="F127" s="1">
        <v>12.2</v>
      </c>
      <c r="H127" s="1">
        <v>4400.0</v>
      </c>
      <c r="I127" s="1">
        <f t="shared" si="1"/>
        <v>53680</v>
      </c>
      <c r="P127" s="25"/>
    </row>
    <row r="128" ht="14.25" customHeight="1">
      <c r="B128" s="28">
        <v>1.0</v>
      </c>
      <c r="C128" s="29" t="s">
        <v>82</v>
      </c>
      <c r="D128" s="1">
        <v>-23.0</v>
      </c>
      <c r="F128" s="1">
        <v>12.2</v>
      </c>
      <c r="H128" s="1">
        <v>560.0</v>
      </c>
      <c r="I128" s="1">
        <f t="shared" si="1"/>
        <v>6832</v>
      </c>
      <c r="M128" s="28">
        <v>3600.0</v>
      </c>
      <c r="N128" s="28" t="s">
        <v>83</v>
      </c>
      <c r="O128" s="28">
        <v>1.0</v>
      </c>
      <c r="P128" s="29" t="s">
        <v>82</v>
      </c>
    </row>
    <row r="129" ht="14.25" customHeight="1">
      <c r="C129" s="25"/>
      <c r="D129" s="1">
        <v>-37.0</v>
      </c>
      <c r="F129" s="1">
        <v>12.2</v>
      </c>
      <c r="H129" s="1">
        <v>685.0</v>
      </c>
      <c r="I129" s="1">
        <f t="shared" si="1"/>
        <v>8357</v>
      </c>
      <c r="P129" s="25"/>
    </row>
    <row r="130" ht="14.25" customHeight="1">
      <c r="B130" s="28">
        <v>1.0</v>
      </c>
      <c r="C130" s="29" t="s">
        <v>84</v>
      </c>
      <c r="D130" s="1">
        <v>-38.0</v>
      </c>
      <c r="F130" s="1">
        <v>10.0</v>
      </c>
      <c r="H130" s="1">
        <v>171.0</v>
      </c>
      <c r="I130" s="1">
        <f t="shared" si="1"/>
        <v>1710</v>
      </c>
      <c r="M130" s="28">
        <v>2256.0</v>
      </c>
      <c r="N130" s="28" t="s">
        <v>83</v>
      </c>
      <c r="O130" s="28">
        <v>1.0</v>
      </c>
      <c r="P130" s="29" t="s">
        <v>84</v>
      </c>
    </row>
    <row r="131" ht="14.25" customHeight="1">
      <c r="C131" s="25"/>
      <c r="H131" s="1">
        <f t="shared" ref="H131:I131" si="3">SUM(H122:H130)</f>
        <v>8760</v>
      </c>
      <c r="I131" s="1">
        <f t="shared" si="3"/>
        <v>113788.2</v>
      </c>
      <c r="J131" s="1" t="s">
        <v>70</v>
      </c>
      <c r="K131" s="30">
        <f>(SUM(K122:K130)/1000)/0.9</f>
        <v>285.8222222</v>
      </c>
      <c r="L131" s="1" t="s">
        <v>85</v>
      </c>
      <c r="P131" s="25"/>
    </row>
    <row r="132" ht="14.25" customHeight="1">
      <c r="C132" s="25"/>
      <c r="M132" s="1">
        <f>M128/M130</f>
        <v>1.595744681</v>
      </c>
      <c r="N132" s="1" t="s">
        <v>84</v>
      </c>
      <c r="P132" s="25"/>
    </row>
    <row r="133" ht="14.25" customHeight="1">
      <c r="C133" s="25"/>
      <c r="H133" s="1" t="s">
        <v>86</v>
      </c>
      <c r="I133" s="1" t="s">
        <v>87</v>
      </c>
      <c r="P133" s="25"/>
    </row>
    <row r="134" ht="14.25" customHeight="1">
      <c r="C134" s="25"/>
      <c r="G134" s="1">
        <f>H134-H131</f>
        <v>0</v>
      </c>
      <c r="H134" s="1">
        <v>8760.0</v>
      </c>
      <c r="I134" s="1">
        <f>D106+D107</f>
        <v>255</v>
      </c>
      <c r="J134" s="1">
        <f>H134*I134</f>
        <v>2233800</v>
      </c>
      <c r="K134" s="1" t="s">
        <v>70</v>
      </c>
      <c r="M134" s="1" t="s">
        <v>88</v>
      </c>
      <c r="N134" s="31">
        <f>(1-(J134/(J134+I131))*100%)+1</f>
        <v>1.048470256</v>
      </c>
      <c r="P134" s="25"/>
    </row>
    <row r="135" ht="14.25" customHeight="1">
      <c r="C135" s="25"/>
      <c r="P135" s="25"/>
    </row>
    <row r="136" ht="14.25" customHeight="1">
      <c r="C136" s="25"/>
      <c r="H136" s="1">
        <f>I134</f>
        <v>255</v>
      </c>
      <c r="I136" s="1">
        <f>H136*H134</f>
        <v>2233800</v>
      </c>
      <c r="J136" s="1">
        <f>I131</f>
        <v>113788.2</v>
      </c>
      <c r="M136" s="28" t="s">
        <v>88</v>
      </c>
      <c r="N136" s="31">
        <f>(N134+A134)/2</f>
        <v>0.5242351278</v>
      </c>
      <c r="P136" s="25"/>
    </row>
    <row r="137" ht="14.25" customHeight="1">
      <c r="C137" s="25"/>
    </row>
    <row r="138" ht="14.25" customHeight="1">
      <c r="C138" s="25"/>
      <c r="J138" s="1">
        <f>I131*2</f>
        <v>227576.4</v>
      </c>
    </row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R2:U2"/>
    <mergeCell ref="M14:P14"/>
  </mergeCells>
  <printOptions/>
  <pageMargins bottom="0.75" footer="0.0" header="0.0" left="0.7" right="0.7" top="0.75"/>
  <pageSetup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14"/>
    <col customWidth="1" min="3" max="4" width="8.71"/>
    <col customWidth="1" min="5" max="5" width="13.57"/>
    <col customWidth="1" min="6" max="6" width="13.71"/>
    <col customWidth="1" min="7" max="7" width="13.43"/>
    <col customWidth="1" min="8" max="8" width="13.14"/>
    <col customWidth="1" min="9" max="11" width="8.71"/>
    <col customWidth="1" min="12" max="12" width="15.0"/>
    <col customWidth="1" min="13" max="13" width="27.14"/>
    <col customWidth="1" min="14" max="14" width="8.71"/>
    <col customWidth="1" min="15" max="15" width="25.43"/>
    <col customWidth="1" min="16" max="16" width="8.86"/>
    <col customWidth="1" min="17" max="17" width="8.71"/>
    <col customWidth="1" min="18" max="18" width="27.86"/>
    <col customWidth="1" min="19" max="19" width="8.71"/>
    <col customWidth="1" min="20" max="20" width="28.14"/>
    <col customWidth="1" min="21" max="26" width="8.71"/>
  </cols>
  <sheetData>
    <row r="1" ht="14.25" customHeight="1"/>
    <row r="2" ht="14.25" customHeight="1">
      <c r="D2" s="1" t="s">
        <v>0</v>
      </c>
      <c r="E2" s="1" t="s">
        <v>1</v>
      </c>
      <c r="F2" s="1" t="s">
        <v>2</v>
      </c>
      <c r="J2" s="1" t="s">
        <v>3</v>
      </c>
      <c r="R2" s="12" t="s">
        <v>89</v>
      </c>
      <c r="S2" s="13"/>
      <c r="T2" s="13"/>
      <c r="U2" s="14"/>
    </row>
    <row r="3" ht="14.25" customHeight="1">
      <c r="B3" s="1" t="s">
        <v>4</v>
      </c>
      <c r="C3" s="1">
        <v>1.0</v>
      </c>
      <c r="D3" s="1">
        <v>0.4</v>
      </c>
      <c r="E3" s="1">
        <v>124.0</v>
      </c>
      <c r="F3" s="1">
        <v>94.4</v>
      </c>
      <c r="J3" s="1" t="s">
        <v>5</v>
      </c>
      <c r="R3" s="15" t="s">
        <v>57</v>
      </c>
      <c r="S3" s="16"/>
      <c r="T3" s="10" t="s">
        <v>18</v>
      </c>
      <c r="U3" s="16"/>
    </row>
    <row r="4" ht="14.25" customHeight="1">
      <c r="B4" s="1" t="s">
        <v>6</v>
      </c>
      <c r="C4" s="1">
        <v>1.0</v>
      </c>
      <c r="D4" s="1">
        <v>0.8</v>
      </c>
      <c r="E4" s="1">
        <v>248.0</v>
      </c>
      <c r="F4" s="1">
        <v>188.0</v>
      </c>
      <c r="R4" s="17" t="s">
        <v>19</v>
      </c>
      <c r="S4" s="18">
        <f>(S5*S6*S7*S10)/3600</f>
        <v>328.2615</v>
      </c>
      <c r="T4" s="1" t="s">
        <v>19</v>
      </c>
      <c r="U4" s="18">
        <f>(U5*U6*U7*U10)/3600</f>
        <v>329</v>
      </c>
    </row>
    <row r="5" ht="14.25" customHeight="1">
      <c r="B5" s="1" t="s">
        <v>7</v>
      </c>
      <c r="C5" s="1">
        <v>1.0</v>
      </c>
      <c r="D5" s="1">
        <v>1.2</v>
      </c>
      <c r="E5" s="1">
        <v>372.0</v>
      </c>
      <c r="F5" s="1">
        <v>283.0</v>
      </c>
      <c r="J5" s="1" t="s">
        <v>8</v>
      </c>
      <c r="R5" s="17" t="s">
        <v>20</v>
      </c>
      <c r="S5" s="19">
        <v>76500.0</v>
      </c>
      <c r="T5" s="1" t="s">
        <v>20</v>
      </c>
      <c r="U5" s="19">
        <v>75000.0</v>
      </c>
    </row>
    <row r="6" ht="14.25" customHeight="1">
      <c r="R6" s="17" t="s">
        <v>25</v>
      </c>
      <c r="S6" s="2">
        <v>1.226</v>
      </c>
      <c r="T6" s="1" t="s">
        <v>25</v>
      </c>
      <c r="U6" s="19">
        <v>1.128</v>
      </c>
    </row>
    <row r="7" ht="14.25" customHeight="1">
      <c r="B7" s="1" t="s">
        <v>9</v>
      </c>
      <c r="E7" s="1">
        <v>236.0</v>
      </c>
      <c r="F7" s="1" t="s">
        <v>10</v>
      </c>
      <c r="J7" s="1" t="s">
        <v>11</v>
      </c>
      <c r="L7" s="1" t="s">
        <v>12</v>
      </c>
      <c r="R7" s="17" t="s">
        <v>27</v>
      </c>
      <c r="S7" s="19">
        <v>1.0</v>
      </c>
      <c r="T7" s="1" t="s">
        <v>27</v>
      </c>
      <c r="U7" s="19">
        <v>1.0</v>
      </c>
    </row>
    <row r="8" ht="14.25" customHeight="1">
      <c r="B8" s="1" t="s">
        <v>13</v>
      </c>
      <c r="E8" s="1">
        <v>310.0</v>
      </c>
      <c r="F8" s="1" t="s">
        <v>10</v>
      </c>
      <c r="J8" s="1">
        <v>0.7</v>
      </c>
      <c r="K8" s="1" t="s">
        <v>14</v>
      </c>
      <c r="L8" s="1">
        <v>1.0</v>
      </c>
      <c r="M8" s="1" t="s">
        <v>15</v>
      </c>
      <c r="R8" s="17" t="s">
        <v>29</v>
      </c>
      <c r="S8" s="20">
        <v>15.0</v>
      </c>
      <c r="T8" s="1" t="s">
        <v>30</v>
      </c>
      <c r="U8" s="20">
        <v>24.0</v>
      </c>
    </row>
    <row r="9" ht="14.25" customHeight="1">
      <c r="R9" s="17" t="s">
        <v>32</v>
      </c>
      <c r="S9" s="20">
        <v>27.6</v>
      </c>
      <c r="T9" s="1" t="s">
        <v>33</v>
      </c>
      <c r="U9" s="20">
        <v>38.0</v>
      </c>
    </row>
    <row r="10" ht="14.25" customHeight="1">
      <c r="R10" s="17" t="s">
        <v>35</v>
      </c>
      <c r="S10" s="19">
        <f>S9-S8</f>
        <v>12.6</v>
      </c>
      <c r="T10" s="1" t="s">
        <v>35</v>
      </c>
      <c r="U10" s="19">
        <f>U9-U8</f>
        <v>14</v>
      </c>
    </row>
    <row r="11" ht="14.25" customHeight="1">
      <c r="R11" s="17" t="s">
        <v>59</v>
      </c>
      <c r="S11" s="19"/>
      <c r="U11" s="20"/>
    </row>
    <row r="12" ht="14.25" customHeight="1">
      <c r="B12" s="1" t="s">
        <v>16</v>
      </c>
      <c r="R12" s="17" t="s">
        <v>60</v>
      </c>
      <c r="S12" s="19"/>
      <c r="U12" s="20"/>
    </row>
    <row r="13" ht="14.25" customHeight="1">
      <c r="C13" s="1">
        <v>17.0</v>
      </c>
      <c r="D13" s="1">
        <v>3.0</v>
      </c>
      <c r="E13" s="1">
        <f>C13*D13</f>
        <v>51</v>
      </c>
      <c r="F13" s="1">
        <v>600.0</v>
      </c>
      <c r="G13" s="1">
        <v>600.0</v>
      </c>
      <c r="R13" s="17" t="s">
        <v>19</v>
      </c>
      <c r="S13" s="20"/>
      <c r="U13" s="20"/>
    </row>
    <row r="14" ht="14.25" customHeight="1">
      <c r="C14" s="1">
        <v>17.0</v>
      </c>
      <c r="D14" s="1">
        <v>9.0</v>
      </c>
      <c r="E14" s="1">
        <v>153.0</v>
      </c>
      <c r="F14" s="1">
        <v>600.0</v>
      </c>
      <c r="G14" s="1">
        <v>1800.0</v>
      </c>
      <c r="M14" s="12" t="s">
        <v>90</v>
      </c>
      <c r="N14" s="13"/>
      <c r="O14" s="13"/>
      <c r="P14" s="14"/>
      <c r="R14" s="21" t="s">
        <v>61</v>
      </c>
      <c r="S14" s="22"/>
      <c r="T14" s="23"/>
      <c r="U14" s="24"/>
    </row>
    <row r="15" ht="14.25" customHeight="1">
      <c r="C15" s="1">
        <v>17.0</v>
      </c>
      <c r="D15" s="1">
        <v>12.0</v>
      </c>
      <c r="E15" s="1">
        <v>204.0</v>
      </c>
      <c r="F15" s="1">
        <v>600.0</v>
      </c>
      <c r="G15" s="1">
        <v>2400.0</v>
      </c>
      <c r="M15" s="15" t="s">
        <v>57</v>
      </c>
      <c r="N15" s="16"/>
      <c r="O15" s="10" t="s">
        <v>18</v>
      </c>
      <c r="P15" s="16"/>
    </row>
    <row r="16" ht="14.25" customHeight="1">
      <c r="M16" s="17" t="s">
        <v>19</v>
      </c>
      <c r="N16" s="18">
        <f>(N17*N18*N19*N22)/3600</f>
        <v>49.725</v>
      </c>
      <c r="O16" s="1" t="s">
        <v>19</v>
      </c>
      <c r="P16" s="18">
        <f>(P17*P18*P19*P22)/3600</f>
        <v>274.82</v>
      </c>
    </row>
    <row r="17" ht="14.25" customHeight="1">
      <c r="M17" s="17" t="s">
        <v>20</v>
      </c>
      <c r="N17" s="19">
        <v>76500.0</v>
      </c>
      <c r="O17" s="1" t="s">
        <v>20</v>
      </c>
      <c r="P17" s="19">
        <v>60400.0</v>
      </c>
    </row>
    <row r="18" ht="14.25" customHeight="1">
      <c r="E18" s="1" t="s">
        <v>21</v>
      </c>
      <c r="F18" s="1" t="s">
        <v>22</v>
      </c>
      <c r="G18" s="1" t="s">
        <v>23</v>
      </c>
      <c r="H18" s="1" t="s">
        <v>24</v>
      </c>
      <c r="M18" s="17" t="s">
        <v>25</v>
      </c>
      <c r="N18" s="2">
        <v>1.17</v>
      </c>
      <c r="O18" s="1" t="s">
        <v>25</v>
      </c>
      <c r="P18" s="19">
        <v>1.17</v>
      </c>
    </row>
    <row r="19" ht="14.25" customHeight="1">
      <c r="B19" s="1" t="s">
        <v>26</v>
      </c>
      <c r="E19" s="1">
        <v>408.0</v>
      </c>
      <c r="F19" s="1">
        <f>($E$19*$E$3)/1000</f>
        <v>50.592</v>
      </c>
      <c r="G19" s="1">
        <f>($E$4*$E$19)/1000</f>
        <v>101.184</v>
      </c>
      <c r="H19" s="1">
        <f>($E$5*$E$19)/1000</f>
        <v>151.776</v>
      </c>
      <c r="M19" s="17" t="s">
        <v>27</v>
      </c>
      <c r="N19" s="19">
        <v>1.0</v>
      </c>
      <c r="O19" s="1" t="s">
        <v>27</v>
      </c>
      <c r="P19" s="19">
        <v>1.0</v>
      </c>
    </row>
    <row r="20" ht="14.25" customHeight="1">
      <c r="B20" s="1" t="s">
        <v>28</v>
      </c>
      <c r="E20" s="1">
        <v>816.0</v>
      </c>
      <c r="F20" s="1">
        <f>($E$20*$E$3)/1000</f>
        <v>101.184</v>
      </c>
      <c r="G20" s="1">
        <f>($E$4*$E$20)/1000</f>
        <v>202.368</v>
      </c>
      <c r="H20" s="1">
        <f>($E$5*$E$20)/1000</f>
        <v>303.552</v>
      </c>
      <c r="M20" s="17" t="s">
        <v>29</v>
      </c>
      <c r="N20" s="20">
        <v>28.2</v>
      </c>
      <c r="O20" s="1" t="s">
        <v>30</v>
      </c>
      <c r="P20" s="20">
        <v>24.0</v>
      </c>
    </row>
    <row r="21" ht="14.25" customHeight="1">
      <c r="B21" s="1" t="s">
        <v>31</v>
      </c>
      <c r="E21" s="1">
        <v>1224.0</v>
      </c>
      <c r="F21" s="1">
        <f>($E$21*$E$3)/1000</f>
        <v>151.776</v>
      </c>
      <c r="G21" s="1">
        <f>($E$4*$E$21)/1000</f>
        <v>303.552</v>
      </c>
      <c r="H21" s="1">
        <f>($E$5*$E$21)/1000</f>
        <v>455.328</v>
      </c>
      <c r="K21" s="1">
        <f>(E21*100)/1000</f>
        <v>122.4</v>
      </c>
      <c r="M21" s="17" t="s">
        <v>32</v>
      </c>
      <c r="N21" s="20">
        <v>30.2</v>
      </c>
      <c r="O21" s="1" t="s">
        <v>33</v>
      </c>
      <c r="P21" s="20">
        <v>38.0</v>
      </c>
    </row>
    <row r="22" ht="14.25" customHeight="1">
      <c r="B22" s="1" t="s">
        <v>34</v>
      </c>
      <c r="E22" s="1">
        <v>1632.0</v>
      </c>
      <c r="F22" s="1">
        <f>($E$22*$E$3)/1000</f>
        <v>202.368</v>
      </c>
      <c r="G22" s="1">
        <f>($E$4*$E$22)/1000</f>
        <v>404.736</v>
      </c>
      <c r="H22" s="1">
        <f>($E$5*$E$22)/1000</f>
        <v>607.104</v>
      </c>
      <c r="M22" s="17" t="s">
        <v>35</v>
      </c>
      <c r="N22" s="19">
        <f>N21-N20</f>
        <v>2</v>
      </c>
      <c r="O22" s="1" t="s">
        <v>35</v>
      </c>
      <c r="P22" s="19">
        <f>P21-P20</f>
        <v>14</v>
      </c>
    </row>
    <row r="23" ht="14.25" customHeight="1">
      <c r="M23" s="17" t="s">
        <v>59</v>
      </c>
      <c r="N23" s="19">
        <v>15.0</v>
      </c>
      <c r="P23" s="20"/>
    </row>
    <row r="24" ht="14.25" customHeight="1">
      <c r="M24" s="17" t="s">
        <v>60</v>
      </c>
      <c r="N24" s="19">
        <v>22.0</v>
      </c>
      <c r="P24" s="20"/>
    </row>
    <row r="25" ht="14.25" customHeight="1">
      <c r="B25" s="1" t="s">
        <v>36</v>
      </c>
      <c r="M25" s="17" t="s">
        <v>19</v>
      </c>
      <c r="N25" s="20">
        <f>(((N24-N23)*N17)/1000)*0.7</f>
        <v>374.85</v>
      </c>
      <c r="P25" s="20"/>
    </row>
    <row r="26" ht="14.25" customHeight="1">
      <c r="M26" s="21" t="s">
        <v>61</v>
      </c>
      <c r="N26" s="22">
        <f>N25+N16</f>
        <v>424.575</v>
      </c>
      <c r="O26" s="23"/>
      <c r="P26" s="24"/>
    </row>
    <row r="27" ht="14.25" customHeight="1">
      <c r="B27" s="1" t="s">
        <v>38</v>
      </c>
    </row>
    <row r="28" ht="14.25" customHeight="1"/>
    <row r="29" ht="14.25" customHeight="1">
      <c r="B29" s="1" t="s">
        <v>40</v>
      </c>
      <c r="C29" s="1" t="s">
        <v>41</v>
      </c>
    </row>
    <row r="30" ht="14.25" customHeight="1">
      <c r="C30" s="1" t="s">
        <v>42</v>
      </c>
      <c r="N30" s="2">
        <v>1.247</v>
      </c>
      <c r="O30" s="1" t="s">
        <v>37</v>
      </c>
    </row>
    <row r="31" ht="14.25" customHeight="1">
      <c r="N31" s="2">
        <v>1.226</v>
      </c>
      <c r="O31" s="1" t="s">
        <v>62</v>
      </c>
    </row>
    <row r="32" ht="14.25" customHeight="1">
      <c r="N32" s="2">
        <v>1.17</v>
      </c>
      <c r="O32" s="1" t="s">
        <v>39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>
      <c r="C105" s="25"/>
      <c r="D105" s="1" t="s">
        <v>63</v>
      </c>
      <c r="F105" s="1" t="s">
        <v>64</v>
      </c>
      <c r="P105" s="25"/>
    </row>
    <row r="106" ht="14.25" customHeight="1">
      <c r="C106" s="25"/>
      <c r="D106" s="1">
        <v>260.0</v>
      </c>
      <c r="E106" s="1" t="s">
        <v>14</v>
      </c>
      <c r="F106" s="1" t="s">
        <v>91</v>
      </c>
      <c r="P106" s="25"/>
    </row>
    <row r="107" ht="14.25" customHeight="1">
      <c r="C107" s="25"/>
      <c r="D107" s="1">
        <v>5.0</v>
      </c>
      <c r="E107" s="1" t="s">
        <v>14</v>
      </c>
      <c r="F107" s="1" t="s">
        <v>92</v>
      </c>
      <c r="P107" s="25"/>
    </row>
    <row r="108" ht="14.25" customHeight="1">
      <c r="C108" s="25"/>
      <c r="D108" s="1">
        <v>8.0</v>
      </c>
      <c r="E108" s="1" t="s">
        <v>14</v>
      </c>
      <c r="F108" s="1" t="s">
        <v>93</v>
      </c>
      <c r="P108" s="25"/>
    </row>
    <row r="109" ht="14.25" customHeight="1">
      <c r="C109" s="25"/>
      <c r="D109" s="1">
        <v>1.0</v>
      </c>
      <c r="E109" s="1" t="s">
        <v>14</v>
      </c>
      <c r="F109" s="1" t="s">
        <v>94</v>
      </c>
      <c r="P109" s="25"/>
    </row>
    <row r="110" ht="14.25" customHeight="1">
      <c r="C110" s="25"/>
      <c r="D110" s="1" t="s">
        <v>67</v>
      </c>
      <c r="P110" s="25"/>
    </row>
    <row r="111" ht="14.25" customHeight="1">
      <c r="C111" s="25"/>
      <c r="M111" s="1" t="s">
        <v>68</v>
      </c>
      <c r="O111" s="1" t="s">
        <v>69</v>
      </c>
      <c r="P111" s="25"/>
    </row>
    <row r="112" ht="14.25" customHeight="1">
      <c r="C112" s="25"/>
      <c r="D112" s="1">
        <f>D106+D107+D108+D109</f>
        <v>274</v>
      </c>
      <c r="E112" s="1" t="s">
        <v>70</v>
      </c>
      <c r="F112" s="1" t="s">
        <v>31</v>
      </c>
      <c r="G112" s="1">
        <v>2.0</v>
      </c>
      <c r="H112" s="1" t="s">
        <v>72</v>
      </c>
      <c r="L112" s="26"/>
      <c r="M112" s="26">
        <v>3845750.0</v>
      </c>
      <c r="O112" s="26">
        <v>6406250.0</v>
      </c>
      <c r="P112" s="25"/>
    </row>
    <row r="113" ht="14.25" customHeight="1">
      <c r="C113" s="25"/>
      <c r="D113" s="1">
        <v>17.0</v>
      </c>
      <c r="E113" s="1" t="s">
        <v>70</v>
      </c>
      <c r="F113" s="1" t="s">
        <v>73</v>
      </c>
      <c r="M113" s="26">
        <v>5125000.0</v>
      </c>
      <c r="P113" s="25"/>
    </row>
    <row r="114" ht="14.25" customHeight="1">
      <c r="C114" s="25"/>
      <c r="D114" s="1">
        <v>21.0</v>
      </c>
      <c r="E114" s="1" t="s">
        <v>70</v>
      </c>
      <c r="F114" s="1" t="s">
        <v>74</v>
      </c>
      <c r="M114" s="26">
        <f>M112*G112</f>
        <v>7691500</v>
      </c>
      <c r="P114" s="25"/>
    </row>
    <row r="115" ht="14.25" customHeight="1">
      <c r="C115" s="25"/>
      <c r="D115" s="1">
        <v>29.0</v>
      </c>
      <c r="E115" s="1" t="s">
        <v>70</v>
      </c>
      <c r="F115" s="1" t="s">
        <v>75</v>
      </c>
      <c r="P115" s="25"/>
    </row>
    <row r="116" ht="14.25" customHeight="1">
      <c r="C116" s="25"/>
      <c r="D116" s="1">
        <f>G123</f>
        <v>490</v>
      </c>
      <c r="E116" s="1" t="s">
        <v>76</v>
      </c>
      <c r="P116" s="25"/>
    </row>
    <row r="117" ht="14.25" customHeight="1">
      <c r="C117" s="25"/>
      <c r="P117" s="25"/>
    </row>
    <row r="118" ht="14.25" customHeight="1">
      <c r="C118" s="25"/>
      <c r="F118" s="1" t="s">
        <v>77</v>
      </c>
      <c r="P118" s="25"/>
    </row>
    <row r="119" ht="14.25" customHeight="1">
      <c r="C119" s="25"/>
      <c r="P119" s="25"/>
    </row>
    <row r="120" ht="14.25" customHeight="1">
      <c r="C120" s="25"/>
      <c r="P120" s="25"/>
    </row>
    <row r="121" ht="14.25" customHeight="1">
      <c r="C121" s="25"/>
      <c r="P121" s="25"/>
    </row>
    <row r="122" ht="14.25" customHeight="1">
      <c r="C122" s="25"/>
      <c r="D122" s="32" t="s">
        <v>95</v>
      </c>
      <c r="F122" s="1" t="s">
        <v>70</v>
      </c>
      <c r="G122" s="1" t="s">
        <v>78</v>
      </c>
      <c r="H122" s="1" t="s">
        <v>79</v>
      </c>
      <c r="I122" s="1" t="s">
        <v>70</v>
      </c>
      <c r="M122" s="1" t="s">
        <v>80</v>
      </c>
      <c r="P122" s="25"/>
    </row>
    <row r="123" ht="14.25" customHeight="1">
      <c r="C123" s="25"/>
      <c r="D123" s="1">
        <v>32.0</v>
      </c>
      <c r="F123" s="1">
        <v>36.0</v>
      </c>
      <c r="G123" s="1">
        <v>490.0</v>
      </c>
      <c r="H123" s="1">
        <v>114.0</v>
      </c>
      <c r="I123" s="1">
        <f t="shared" ref="I123:I146" si="1">F123*H123</f>
        <v>4104</v>
      </c>
      <c r="K123" s="1">
        <f t="shared" ref="K123:K133" si="2">G123*H123</f>
        <v>55860</v>
      </c>
      <c r="M123" s="27">
        <f>(G123*12)/1000</f>
        <v>5.88</v>
      </c>
      <c r="N123" s="1" t="s">
        <v>81</v>
      </c>
      <c r="P123" s="25"/>
    </row>
    <row r="124" ht="14.25" customHeight="1">
      <c r="C124" s="25"/>
      <c r="D124" s="1">
        <v>26.0</v>
      </c>
      <c r="F124" s="1">
        <v>36.0</v>
      </c>
      <c r="G124" s="1">
        <v>480.0</v>
      </c>
      <c r="H124" s="1">
        <v>220.0</v>
      </c>
      <c r="I124" s="1">
        <f t="shared" si="1"/>
        <v>7920</v>
      </c>
      <c r="K124" s="1">
        <f t="shared" si="2"/>
        <v>105600</v>
      </c>
      <c r="P124" s="25"/>
    </row>
    <row r="125" ht="14.25" customHeight="1">
      <c r="C125" s="25"/>
      <c r="D125" s="1">
        <v>24.0</v>
      </c>
      <c r="F125" s="1">
        <v>35.0</v>
      </c>
      <c r="G125" s="1">
        <v>460.0</v>
      </c>
      <c r="H125" s="1">
        <v>131.0</v>
      </c>
      <c r="I125" s="1">
        <f t="shared" si="1"/>
        <v>4585</v>
      </c>
      <c r="K125" s="1">
        <f t="shared" si="2"/>
        <v>60260</v>
      </c>
      <c r="P125" s="25"/>
    </row>
    <row r="126" ht="14.25" customHeight="1">
      <c r="C126" s="25"/>
      <c r="D126" s="1">
        <v>22.0</v>
      </c>
      <c r="F126" s="1">
        <v>35.0</v>
      </c>
      <c r="G126" s="1">
        <v>450.0</v>
      </c>
      <c r="H126" s="1">
        <v>19.0</v>
      </c>
      <c r="I126" s="1">
        <f t="shared" si="1"/>
        <v>665</v>
      </c>
      <c r="K126" s="1">
        <f t="shared" si="2"/>
        <v>8550</v>
      </c>
      <c r="P126" s="25"/>
    </row>
    <row r="127" ht="14.25" customHeight="1">
      <c r="C127" s="25"/>
      <c r="D127" s="1">
        <v>20.0</v>
      </c>
      <c r="F127" s="1">
        <v>34.0</v>
      </c>
      <c r="G127" s="1">
        <v>420.0</v>
      </c>
      <c r="H127" s="1">
        <v>298.0</v>
      </c>
      <c r="I127" s="1">
        <f t="shared" si="1"/>
        <v>10132</v>
      </c>
      <c r="K127" s="1">
        <f t="shared" si="2"/>
        <v>125160</v>
      </c>
      <c r="P127" s="25"/>
    </row>
    <row r="128" ht="14.25" customHeight="1">
      <c r="C128" s="25"/>
      <c r="D128" s="1">
        <v>18.0</v>
      </c>
      <c r="F128" s="1">
        <v>34.0</v>
      </c>
      <c r="G128" s="1">
        <v>400.0</v>
      </c>
      <c r="H128" s="1">
        <v>368.0</v>
      </c>
      <c r="I128" s="1">
        <f t="shared" si="1"/>
        <v>12512</v>
      </c>
      <c r="K128" s="1">
        <f t="shared" si="2"/>
        <v>147200</v>
      </c>
      <c r="P128" s="25"/>
    </row>
    <row r="129" ht="14.25" customHeight="1">
      <c r="C129" s="25"/>
      <c r="D129" s="1">
        <v>16.0</v>
      </c>
      <c r="F129" s="1">
        <v>33.0</v>
      </c>
      <c r="G129" s="1">
        <v>350.0</v>
      </c>
      <c r="H129" s="1">
        <v>500.0</v>
      </c>
      <c r="I129" s="1">
        <f t="shared" si="1"/>
        <v>16500</v>
      </c>
      <c r="K129" s="1">
        <f t="shared" si="2"/>
        <v>175000</v>
      </c>
      <c r="P129" s="25"/>
    </row>
    <row r="130" ht="14.25" customHeight="1">
      <c r="C130" s="25"/>
      <c r="D130" s="1">
        <v>14.0</v>
      </c>
      <c r="F130" s="1">
        <v>33.0</v>
      </c>
      <c r="G130" s="1">
        <v>320.0</v>
      </c>
      <c r="H130" s="1">
        <v>543.0</v>
      </c>
      <c r="I130" s="1">
        <f t="shared" si="1"/>
        <v>17919</v>
      </c>
      <c r="K130" s="1">
        <f t="shared" si="2"/>
        <v>173760</v>
      </c>
      <c r="P130" s="25"/>
    </row>
    <row r="131" ht="14.25" customHeight="1">
      <c r="C131" s="25"/>
      <c r="D131" s="1">
        <v>12.0</v>
      </c>
      <c r="F131" s="1">
        <v>33.0</v>
      </c>
      <c r="G131" s="1">
        <v>250.0</v>
      </c>
      <c r="H131" s="1">
        <v>561.0</v>
      </c>
      <c r="I131" s="1">
        <f t="shared" si="1"/>
        <v>18513</v>
      </c>
      <c r="K131" s="1">
        <f t="shared" si="2"/>
        <v>140250</v>
      </c>
      <c r="P131" s="25"/>
    </row>
    <row r="132" ht="14.25" customHeight="1">
      <c r="C132" s="25"/>
      <c r="D132" s="1">
        <v>10.0</v>
      </c>
      <c r="F132" s="1">
        <v>33.0</v>
      </c>
      <c r="G132" s="1">
        <v>200.0</v>
      </c>
      <c r="H132" s="1">
        <v>517.0</v>
      </c>
      <c r="I132" s="1">
        <f t="shared" si="1"/>
        <v>17061</v>
      </c>
      <c r="K132" s="1">
        <f t="shared" si="2"/>
        <v>103400</v>
      </c>
      <c r="P132" s="25"/>
    </row>
    <row r="133" ht="14.25" customHeight="1">
      <c r="C133" s="25"/>
      <c r="D133" s="1">
        <v>8.0</v>
      </c>
      <c r="F133" s="1">
        <v>33.0</v>
      </c>
      <c r="G133" s="1">
        <v>100.0</v>
      </c>
      <c r="H133" s="1">
        <v>462.0</v>
      </c>
      <c r="I133" s="1">
        <f t="shared" si="1"/>
        <v>15246</v>
      </c>
      <c r="K133" s="1">
        <f t="shared" si="2"/>
        <v>46200</v>
      </c>
      <c r="P133" s="25"/>
    </row>
    <row r="134" ht="14.25" customHeight="1">
      <c r="C134" s="25"/>
      <c r="D134" s="1">
        <v>6.0</v>
      </c>
      <c r="F134" s="1">
        <v>32.0</v>
      </c>
      <c r="H134" s="1">
        <v>429.0</v>
      </c>
      <c r="I134" s="1">
        <f t="shared" si="1"/>
        <v>13728</v>
      </c>
      <c r="P134" s="25"/>
    </row>
    <row r="135" ht="14.25" customHeight="1">
      <c r="C135" s="25"/>
      <c r="D135" s="1">
        <v>4.0</v>
      </c>
      <c r="F135" s="1">
        <v>31.0</v>
      </c>
      <c r="H135" s="1">
        <v>447.0</v>
      </c>
      <c r="I135" s="1">
        <f t="shared" si="1"/>
        <v>13857</v>
      </c>
      <c r="P135" s="25"/>
    </row>
    <row r="136" ht="14.25" customHeight="1">
      <c r="C136" s="25"/>
      <c r="D136" s="1">
        <v>2.0</v>
      </c>
      <c r="F136" s="1">
        <v>30.0</v>
      </c>
      <c r="H136" s="1">
        <v>526.0</v>
      </c>
      <c r="I136" s="1">
        <f t="shared" si="1"/>
        <v>15780</v>
      </c>
      <c r="P136" s="25"/>
    </row>
    <row r="137" ht="14.25" customHeight="1">
      <c r="C137" s="25"/>
      <c r="D137" s="1">
        <v>0.0</v>
      </c>
      <c r="F137" s="1">
        <v>30.0</v>
      </c>
      <c r="H137" s="1">
        <v>789.0</v>
      </c>
      <c r="I137" s="1">
        <f t="shared" si="1"/>
        <v>23670</v>
      </c>
      <c r="P137" s="25"/>
    </row>
    <row r="138" ht="14.25" customHeight="1">
      <c r="C138" s="25"/>
      <c r="D138" s="1">
        <v>-2.0</v>
      </c>
      <c r="F138" s="1">
        <v>29.0</v>
      </c>
      <c r="H138" s="1">
        <v>570.0</v>
      </c>
      <c r="I138" s="1">
        <f t="shared" si="1"/>
        <v>16530</v>
      </c>
      <c r="P138" s="25"/>
    </row>
    <row r="139" ht="14.25" customHeight="1">
      <c r="C139" s="25"/>
      <c r="D139" s="1">
        <v>-4.0</v>
      </c>
      <c r="F139" s="1">
        <v>29.0</v>
      </c>
      <c r="H139" s="1">
        <v>465.0</v>
      </c>
      <c r="I139" s="1">
        <f t="shared" si="1"/>
        <v>13485</v>
      </c>
      <c r="P139" s="25"/>
    </row>
    <row r="140" ht="14.25" customHeight="1">
      <c r="C140" s="25"/>
      <c r="D140" s="1">
        <v>-6.0</v>
      </c>
      <c r="F140" s="1">
        <v>26.0</v>
      </c>
      <c r="H140" s="1">
        <v>368.0</v>
      </c>
      <c r="I140" s="1">
        <f t="shared" si="1"/>
        <v>9568</v>
      </c>
      <c r="P140" s="25"/>
    </row>
    <row r="141" ht="14.25" customHeight="1">
      <c r="C141" s="25"/>
      <c r="D141" s="1">
        <v>-8.0</v>
      </c>
      <c r="F141" s="1">
        <v>26.0</v>
      </c>
      <c r="H141" s="1">
        <v>316.0</v>
      </c>
      <c r="I141" s="1">
        <f t="shared" si="1"/>
        <v>8216</v>
      </c>
      <c r="P141" s="25"/>
    </row>
    <row r="142" ht="14.25" customHeight="1">
      <c r="C142" s="25"/>
      <c r="D142" s="1">
        <v>-10.0</v>
      </c>
      <c r="F142" s="1">
        <v>26.0</v>
      </c>
      <c r="H142" s="1">
        <v>254.0</v>
      </c>
      <c r="I142" s="1">
        <f t="shared" si="1"/>
        <v>6604</v>
      </c>
      <c r="P142" s="25"/>
    </row>
    <row r="143" ht="14.25" customHeight="1">
      <c r="C143" s="25"/>
      <c r="D143" s="1">
        <v>-12.0</v>
      </c>
      <c r="F143" s="1">
        <v>26.0</v>
      </c>
      <c r="H143" s="1">
        <v>228.0</v>
      </c>
      <c r="I143" s="1">
        <f t="shared" si="1"/>
        <v>5928</v>
      </c>
      <c r="P143" s="25"/>
    </row>
    <row r="144" ht="14.25" customHeight="1">
      <c r="B144" s="28">
        <v>1.0</v>
      </c>
      <c r="C144" s="29" t="s">
        <v>82</v>
      </c>
      <c r="D144" s="1">
        <v>-14.0</v>
      </c>
      <c r="F144" s="1">
        <v>26.0</v>
      </c>
      <c r="H144" s="1">
        <v>166.0</v>
      </c>
      <c r="I144" s="1">
        <f t="shared" si="1"/>
        <v>4316</v>
      </c>
      <c r="M144" s="28">
        <v>3600.0</v>
      </c>
      <c r="N144" s="28" t="s">
        <v>83</v>
      </c>
      <c r="O144" s="28">
        <v>1.0</v>
      </c>
      <c r="P144" s="29" t="s">
        <v>82</v>
      </c>
    </row>
    <row r="145" ht="14.25" customHeight="1">
      <c r="C145" s="25"/>
      <c r="D145" s="1">
        <v>-16.0</v>
      </c>
      <c r="F145" s="1">
        <v>26.0</v>
      </c>
      <c r="H145" s="1">
        <v>131.0</v>
      </c>
      <c r="I145" s="1">
        <f t="shared" si="1"/>
        <v>3406</v>
      </c>
      <c r="P145" s="25"/>
    </row>
    <row r="146" ht="14.25" customHeight="1">
      <c r="B146" s="28">
        <v>1.0</v>
      </c>
      <c r="C146" s="29" t="s">
        <v>84</v>
      </c>
      <c r="D146" s="1">
        <v>-20.0</v>
      </c>
      <c r="F146" s="1">
        <v>26.0</v>
      </c>
      <c r="H146" s="1">
        <v>338.0</v>
      </c>
      <c r="I146" s="1">
        <f t="shared" si="1"/>
        <v>8788</v>
      </c>
      <c r="M146" s="28">
        <v>2256.0</v>
      </c>
      <c r="N146" s="28" t="s">
        <v>83</v>
      </c>
      <c r="O146" s="28">
        <v>1.0</v>
      </c>
      <c r="P146" s="29" t="s">
        <v>84</v>
      </c>
    </row>
    <row r="147" ht="14.25" customHeight="1">
      <c r="C147" s="25"/>
      <c r="H147" s="1">
        <f t="shared" ref="H147:I147" si="3">SUM(H123:H146)</f>
        <v>8760</v>
      </c>
      <c r="I147" s="1">
        <f t="shared" si="3"/>
        <v>269033</v>
      </c>
      <c r="J147" s="1" t="s">
        <v>70</v>
      </c>
      <c r="K147" s="30">
        <f>(SUM(K123:K146)/1000)/0.9</f>
        <v>1268.044444</v>
      </c>
      <c r="L147" s="1" t="s">
        <v>96</v>
      </c>
      <c r="P147" s="25"/>
    </row>
    <row r="148" ht="14.25" customHeight="1">
      <c r="C148" s="25"/>
      <c r="M148" s="1">
        <f>M144/M146</f>
        <v>1.595744681</v>
      </c>
      <c r="N148" s="1" t="s">
        <v>84</v>
      </c>
      <c r="P148" s="25"/>
    </row>
    <row r="149" ht="14.25" customHeight="1">
      <c r="C149" s="25"/>
      <c r="H149" s="1" t="s">
        <v>86</v>
      </c>
      <c r="I149" s="1" t="s">
        <v>87</v>
      </c>
      <c r="P149" s="25"/>
    </row>
    <row r="150" ht="14.25" customHeight="1">
      <c r="C150" s="25"/>
      <c r="G150" s="1">
        <f>H150-H147</f>
        <v>0</v>
      </c>
      <c r="H150" s="1">
        <v>8760.0</v>
      </c>
      <c r="I150" s="1">
        <f>D112</f>
        <v>274</v>
      </c>
      <c r="J150" s="1">
        <f>H150*I150</f>
        <v>2400240</v>
      </c>
      <c r="K150" s="1" t="s">
        <v>70</v>
      </c>
      <c r="M150" s="1" t="s">
        <v>88</v>
      </c>
      <c r="N150" s="31">
        <f>(1-(J150/(J150+I147))*100%)+1</f>
        <v>1.100788866</v>
      </c>
      <c r="P150" s="25"/>
    </row>
    <row r="151" ht="14.25" customHeight="1">
      <c r="C151" s="25"/>
      <c r="P151" s="25"/>
    </row>
    <row r="152" ht="14.25" customHeight="1">
      <c r="C152" s="25"/>
      <c r="H152" s="1">
        <f>I150</f>
        <v>274</v>
      </c>
      <c r="I152" s="1">
        <f>H152*H150</f>
        <v>2400240</v>
      </c>
      <c r="J152" s="1">
        <f>I147</f>
        <v>269033</v>
      </c>
      <c r="M152" s="28" t="s">
        <v>88</v>
      </c>
      <c r="N152" s="31">
        <f>(N150+A150)/2</f>
        <v>0.5503944332</v>
      </c>
      <c r="P152" s="25"/>
    </row>
    <row r="153" ht="14.25" customHeight="1">
      <c r="C153" s="25"/>
    </row>
    <row r="154" ht="14.25" customHeight="1">
      <c r="C154" s="25"/>
      <c r="J154" s="1">
        <f>I147*2</f>
        <v>538066</v>
      </c>
    </row>
    <row r="155" ht="14.25" customHeight="1"/>
    <row r="156" ht="14.25" customHeight="1"/>
    <row r="157" ht="14.25" customHeight="1"/>
    <row r="158" ht="14.25" customHeight="1">
      <c r="E158" s="33"/>
      <c r="F158" s="34"/>
    </row>
    <row r="159" ht="14.25" customHeight="1">
      <c r="E159" s="35"/>
      <c r="F159" s="36"/>
    </row>
    <row r="160" ht="14.25" customHeight="1">
      <c r="E160" s="35"/>
      <c r="F160" s="36"/>
    </row>
    <row r="161" ht="14.25" customHeight="1">
      <c r="E161" s="35"/>
      <c r="F161" s="36"/>
    </row>
    <row r="162" ht="14.25" customHeight="1">
      <c r="E162" s="35"/>
      <c r="F162" s="36"/>
    </row>
    <row r="163" ht="14.25" customHeight="1">
      <c r="E163" s="35"/>
      <c r="F163" s="36"/>
    </row>
    <row r="164" ht="14.25" customHeight="1">
      <c r="E164" s="35"/>
      <c r="F164" s="36"/>
    </row>
    <row r="165" ht="14.25" customHeight="1">
      <c r="E165" s="35"/>
      <c r="F165" s="36"/>
    </row>
    <row r="166" ht="14.25" customHeight="1">
      <c r="E166" s="35"/>
      <c r="F166" s="36"/>
    </row>
    <row r="167" ht="14.25" customHeight="1">
      <c r="E167" s="35"/>
      <c r="F167" s="36"/>
    </row>
    <row r="168" ht="14.25" customHeight="1">
      <c r="E168" s="35"/>
      <c r="F168" s="36"/>
    </row>
    <row r="169" ht="14.25" customHeight="1">
      <c r="E169" s="35"/>
      <c r="F169" s="36"/>
    </row>
    <row r="170" ht="14.25" customHeight="1">
      <c r="E170" s="35"/>
      <c r="F170" s="36"/>
    </row>
    <row r="171" ht="14.25" customHeight="1">
      <c r="E171" s="35"/>
      <c r="F171" s="36"/>
    </row>
    <row r="172" ht="14.25" customHeight="1">
      <c r="E172" s="35"/>
      <c r="F172" s="36"/>
    </row>
    <row r="173" ht="14.25" customHeight="1">
      <c r="E173" s="35"/>
      <c r="F173" s="36"/>
    </row>
    <row r="174" ht="14.25" customHeight="1">
      <c r="E174" s="35"/>
      <c r="F174" s="36"/>
    </row>
    <row r="175" ht="14.25" customHeight="1">
      <c r="E175" s="35" t="s">
        <v>97</v>
      </c>
      <c r="F175" s="36">
        <v>447.0</v>
      </c>
    </row>
    <row r="176" ht="14.25" customHeight="1">
      <c r="E176" s="35" t="s">
        <v>98</v>
      </c>
      <c r="F176" s="36">
        <v>429.0</v>
      </c>
    </row>
    <row r="177" ht="14.25" customHeight="1">
      <c r="E177" s="35" t="s">
        <v>99</v>
      </c>
      <c r="F177" s="36">
        <v>465.0</v>
      </c>
    </row>
    <row r="178" ht="14.25" customHeight="1">
      <c r="E178" s="35"/>
      <c r="F178" s="36"/>
    </row>
    <row r="179" ht="14.25" customHeight="1">
      <c r="E179" s="35"/>
      <c r="F179" s="36"/>
    </row>
    <row r="180" ht="14.25" customHeight="1">
      <c r="E180" s="35"/>
      <c r="F180" s="36"/>
    </row>
    <row r="181" ht="14.25" customHeight="1">
      <c r="E181" s="35"/>
      <c r="F181" s="36"/>
    </row>
    <row r="182" ht="14.25" customHeight="1">
      <c r="E182" s="35"/>
      <c r="F182" s="36"/>
    </row>
    <row r="183" ht="14.25" customHeight="1">
      <c r="E183" s="35"/>
      <c r="F183" s="36"/>
    </row>
    <row r="184" ht="14.25" customHeight="1">
      <c r="E184" s="35"/>
      <c r="F184" s="36"/>
    </row>
    <row r="185" ht="14.25" customHeight="1">
      <c r="E185" s="35"/>
      <c r="F185" s="36"/>
    </row>
    <row r="186" ht="14.25" customHeight="1">
      <c r="E186" s="35"/>
      <c r="F186" s="36"/>
    </row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R2:U2"/>
    <mergeCell ref="M14:P14"/>
  </mergeCells>
  <printOptions/>
  <pageMargins bottom="0.75" footer="0.0" header="0.0" left="0.7" right="0.7" top="0.75"/>
  <pageSetup orientation="portrait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14"/>
    <col customWidth="1" min="4" max="5" width="8.71"/>
    <col customWidth="1" min="6" max="6" width="11.57"/>
    <col customWidth="1" min="7" max="7" width="11.14"/>
    <col customWidth="1" min="8" max="9" width="9.29"/>
    <col customWidth="1" min="10" max="10" width="17.57"/>
    <col customWidth="1" min="11" max="11" width="17.14"/>
    <col customWidth="1" min="12" max="12" width="11.29"/>
    <col customWidth="1" min="13" max="26" width="8.71"/>
  </cols>
  <sheetData>
    <row r="1" ht="14.25" customHeight="1">
      <c r="B1" s="1" t="s">
        <v>100</v>
      </c>
    </row>
    <row r="2" ht="14.25" customHeight="1">
      <c r="B2" s="1" t="s">
        <v>63</v>
      </c>
      <c r="H2" s="37" t="s">
        <v>77</v>
      </c>
    </row>
    <row r="3" ht="14.25" customHeight="1">
      <c r="B3" s="1">
        <v>5800.0</v>
      </c>
      <c r="C3" s="1" t="s">
        <v>14</v>
      </c>
      <c r="D3" s="1" t="s">
        <v>65</v>
      </c>
    </row>
    <row r="4" ht="14.25" customHeight="1">
      <c r="B4" s="1">
        <v>15.0</v>
      </c>
      <c r="C4" s="1" t="s">
        <v>14</v>
      </c>
      <c r="D4" s="1" t="s">
        <v>101</v>
      </c>
      <c r="G4" s="1" t="s">
        <v>102</v>
      </c>
    </row>
    <row r="5" ht="14.25" customHeight="1">
      <c r="B5" s="1">
        <v>60.0</v>
      </c>
      <c r="C5" s="1" t="s">
        <v>103</v>
      </c>
    </row>
    <row r="6" ht="14.25" customHeight="1">
      <c r="B6" s="1">
        <v>10.0</v>
      </c>
      <c r="C6" s="1" t="s">
        <v>104</v>
      </c>
      <c r="D6" s="1">
        <f>B4*B5</f>
        <v>900</v>
      </c>
      <c r="E6" s="1" t="s">
        <v>14</v>
      </c>
      <c r="F6" s="1">
        <v>8.0</v>
      </c>
      <c r="G6" s="1" t="s">
        <v>105</v>
      </c>
      <c r="H6" s="1">
        <f>D6+F6</f>
        <v>908</v>
      </c>
      <c r="I6" s="1" t="s">
        <v>14</v>
      </c>
    </row>
    <row r="7" ht="14.25" customHeight="1"/>
    <row r="8" ht="14.25" customHeight="1">
      <c r="B8" s="1">
        <v>266.0</v>
      </c>
      <c r="C8" s="1" t="s">
        <v>70</v>
      </c>
      <c r="D8" s="1" t="s">
        <v>28</v>
      </c>
      <c r="E8" s="30">
        <f>H6/B8</f>
        <v>3.413533835</v>
      </c>
      <c r="F8" s="1" t="s">
        <v>72</v>
      </c>
      <c r="G8" s="30">
        <f>E8+1</f>
        <v>4.413533835</v>
      </c>
      <c r="H8" s="1" t="s">
        <v>72</v>
      </c>
      <c r="I8" s="1" t="s">
        <v>106</v>
      </c>
      <c r="J8" s="26"/>
      <c r="K8" s="26"/>
    </row>
    <row r="9" ht="14.25" customHeight="1">
      <c r="B9" s="1">
        <v>24.0</v>
      </c>
      <c r="C9" s="1" t="s">
        <v>70</v>
      </c>
      <c r="D9" s="1" t="s">
        <v>73</v>
      </c>
    </row>
    <row r="10" ht="14.25" customHeight="1">
      <c r="B10" s="1">
        <v>39.0</v>
      </c>
      <c r="C10" s="1" t="s">
        <v>70</v>
      </c>
      <c r="D10" s="1" t="s">
        <v>74</v>
      </c>
      <c r="J10" s="26"/>
      <c r="K10" s="26"/>
    </row>
    <row r="11" ht="14.25" customHeight="1">
      <c r="B11" s="1">
        <v>39.0</v>
      </c>
      <c r="C11" s="1" t="s">
        <v>70</v>
      </c>
      <c r="D11" s="1" t="s">
        <v>75</v>
      </c>
    </row>
    <row r="12" ht="14.25" customHeight="1">
      <c r="B12" s="30">
        <f>B3*K44</f>
        <v>9255.319149</v>
      </c>
      <c r="C12" s="1" t="s">
        <v>76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>
      <c r="D18" s="1" t="s">
        <v>70</v>
      </c>
      <c r="E18" s="1" t="s">
        <v>78</v>
      </c>
      <c r="F18" s="1" t="s">
        <v>79</v>
      </c>
      <c r="G18" s="1" t="s">
        <v>70</v>
      </c>
      <c r="K18" s="1" t="s">
        <v>80</v>
      </c>
    </row>
    <row r="19" ht="14.25" customHeight="1">
      <c r="B19" s="1">
        <v>38.0</v>
      </c>
      <c r="D19" s="1">
        <v>39.0</v>
      </c>
      <c r="E19" s="30">
        <f>B8*K44</f>
        <v>424.4680851</v>
      </c>
      <c r="F19" s="1">
        <v>220.0</v>
      </c>
      <c r="G19" s="1">
        <f t="shared" ref="G19:G33" si="1">D19*F19</f>
        <v>8580</v>
      </c>
      <c r="I19" s="1">
        <f t="shared" ref="I19:I33" si="2">E19*F19</f>
        <v>93382.97872</v>
      </c>
      <c r="K19" s="27">
        <f>(E19*12)/1000</f>
        <v>5.093617021</v>
      </c>
      <c r="L19" s="1" t="s">
        <v>81</v>
      </c>
    </row>
    <row r="20" ht="14.25" customHeight="1">
      <c r="B20" s="1">
        <v>34.0</v>
      </c>
      <c r="D20" s="1">
        <v>39.0</v>
      </c>
      <c r="E20" s="1">
        <v>424.0</v>
      </c>
      <c r="F20" s="1">
        <v>350.0</v>
      </c>
      <c r="G20" s="1">
        <f t="shared" si="1"/>
        <v>13650</v>
      </c>
      <c r="I20" s="1">
        <f t="shared" si="2"/>
        <v>148400</v>
      </c>
    </row>
    <row r="21" ht="14.25" customHeight="1">
      <c r="B21" s="1">
        <v>32.0</v>
      </c>
      <c r="D21" s="1">
        <v>39.0</v>
      </c>
      <c r="E21" s="1">
        <v>424.0</v>
      </c>
      <c r="F21" s="1">
        <v>500.0</v>
      </c>
      <c r="G21" s="1">
        <f t="shared" si="1"/>
        <v>19500</v>
      </c>
      <c r="I21" s="1">
        <f t="shared" si="2"/>
        <v>212000</v>
      </c>
    </row>
    <row r="22" ht="14.25" customHeight="1">
      <c r="B22" s="1">
        <v>30.0</v>
      </c>
      <c r="D22" s="1">
        <v>39.0</v>
      </c>
      <c r="E22" s="1">
        <v>400.0</v>
      </c>
      <c r="F22" s="1">
        <v>600.0</v>
      </c>
      <c r="G22" s="1">
        <f t="shared" si="1"/>
        <v>23400</v>
      </c>
      <c r="I22" s="1">
        <f t="shared" si="2"/>
        <v>240000</v>
      </c>
    </row>
    <row r="23" ht="14.25" customHeight="1">
      <c r="B23" s="1">
        <v>28.0</v>
      </c>
      <c r="D23" s="1">
        <v>37.0</v>
      </c>
      <c r="E23" s="1">
        <v>400.0</v>
      </c>
      <c r="F23" s="1">
        <v>800.0</v>
      </c>
      <c r="G23" s="1">
        <f t="shared" si="1"/>
        <v>29600</v>
      </c>
      <c r="I23" s="1">
        <f t="shared" si="2"/>
        <v>320000</v>
      </c>
    </row>
    <row r="24" ht="14.25" customHeight="1">
      <c r="B24" s="1">
        <v>24.0</v>
      </c>
      <c r="D24" s="1">
        <v>35.0</v>
      </c>
      <c r="E24" s="1">
        <v>380.0</v>
      </c>
      <c r="F24" s="1">
        <v>387.0</v>
      </c>
      <c r="G24" s="1">
        <f t="shared" si="1"/>
        <v>13545</v>
      </c>
      <c r="I24" s="1">
        <f t="shared" si="2"/>
        <v>147060</v>
      </c>
    </row>
    <row r="25" ht="14.25" customHeight="1">
      <c r="B25" s="1">
        <v>22.0</v>
      </c>
      <c r="D25" s="1">
        <v>33.0</v>
      </c>
      <c r="E25" s="1">
        <v>340.0</v>
      </c>
      <c r="F25" s="1">
        <v>441.0</v>
      </c>
      <c r="G25" s="1">
        <f t="shared" si="1"/>
        <v>14553</v>
      </c>
      <c r="I25" s="1">
        <f t="shared" si="2"/>
        <v>149940</v>
      </c>
    </row>
    <row r="26" ht="14.25" customHeight="1">
      <c r="B26" s="1">
        <v>20.0</v>
      </c>
      <c r="D26" s="1">
        <v>31.0</v>
      </c>
      <c r="E26" s="1">
        <v>300.0</v>
      </c>
      <c r="F26" s="1">
        <v>520.0</v>
      </c>
      <c r="G26" s="1">
        <f t="shared" si="1"/>
        <v>16120</v>
      </c>
      <c r="I26" s="1">
        <f t="shared" si="2"/>
        <v>156000</v>
      </c>
    </row>
    <row r="27" ht="14.25" customHeight="1">
      <c r="B27" s="1">
        <v>18.0</v>
      </c>
      <c r="D27" s="1">
        <v>31.0</v>
      </c>
      <c r="E27" s="1">
        <v>280.0</v>
      </c>
      <c r="F27" s="1">
        <v>1200.0</v>
      </c>
      <c r="G27" s="1">
        <f t="shared" si="1"/>
        <v>37200</v>
      </c>
      <c r="I27" s="1">
        <f t="shared" si="2"/>
        <v>336000</v>
      </c>
    </row>
    <row r="28" ht="14.25" customHeight="1">
      <c r="B28" s="1">
        <v>14.0</v>
      </c>
      <c r="D28" s="1">
        <v>30.0</v>
      </c>
      <c r="E28" s="1">
        <v>150.0</v>
      </c>
      <c r="F28" s="1">
        <v>1100.0</v>
      </c>
      <c r="G28" s="1">
        <f t="shared" si="1"/>
        <v>33000</v>
      </c>
      <c r="I28" s="1">
        <f t="shared" si="2"/>
        <v>165000</v>
      </c>
    </row>
    <row r="29" ht="14.25" customHeight="1">
      <c r="B29" s="1">
        <v>10.0</v>
      </c>
      <c r="D29" s="1">
        <v>30.0</v>
      </c>
      <c r="E29" s="1">
        <v>50.0</v>
      </c>
      <c r="F29" s="1">
        <v>800.0</v>
      </c>
      <c r="G29" s="1">
        <f t="shared" si="1"/>
        <v>24000</v>
      </c>
      <c r="I29" s="1">
        <f t="shared" si="2"/>
        <v>40000</v>
      </c>
    </row>
    <row r="30" ht="14.25" customHeight="1">
      <c r="B30" s="1">
        <v>6.0</v>
      </c>
      <c r="D30" s="1">
        <v>28.0</v>
      </c>
      <c r="F30" s="1">
        <v>500.0</v>
      </c>
      <c r="G30" s="1">
        <f t="shared" si="1"/>
        <v>14000</v>
      </c>
      <c r="I30" s="1">
        <f t="shared" si="2"/>
        <v>0</v>
      </c>
    </row>
    <row r="31" ht="14.25" customHeight="1">
      <c r="B31" s="1">
        <v>2.0</v>
      </c>
      <c r="D31" s="1">
        <v>28.0</v>
      </c>
      <c r="F31" s="1">
        <v>400.0</v>
      </c>
      <c r="G31" s="1">
        <f t="shared" si="1"/>
        <v>11200</v>
      </c>
      <c r="I31" s="1">
        <f t="shared" si="2"/>
        <v>0</v>
      </c>
    </row>
    <row r="32" ht="14.25" customHeight="1">
      <c r="B32" s="1">
        <v>0.0</v>
      </c>
      <c r="D32" s="1">
        <v>25.0</v>
      </c>
      <c r="F32" s="1">
        <v>390.0</v>
      </c>
      <c r="G32" s="1">
        <f t="shared" si="1"/>
        <v>9750</v>
      </c>
      <c r="I32" s="1">
        <f t="shared" si="2"/>
        <v>0</v>
      </c>
    </row>
    <row r="33" ht="14.25" customHeight="1">
      <c r="B33" s="1">
        <v>-4.0</v>
      </c>
      <c r="D33" s="1">
        <v>25.0</v>
      </c>
      <c r="F33" s="1">
        <v>336.0</v>
      </c>
      <c r="G33" s="1">
        <f t="shared" si="1"/>
        <v>8400</v>
      </c>
      <c r="I33" s="1">
        <f t="shared" si="2"/>
        <v>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>
      <c r="K40" s="28">
        <v>3600.0</v>
      </c>
      <c r="L40" s="28" t="s">
        <v>83</v>
      </c>
      <c r="M40" s="28">
        <v>1.0</v>
      </c>
      <c r="N40" s="28" t="s">
        <v>82</v>
      </c>
    </row>
    <row r="41" ht="14.25" customHeight="1"/>
    <row r="42" ht="14.25" customHeight="1">
      <c r="K42" s="28">
        <v>2256.0</v>
      </c>
      <c r="L42" s="28" t="s">
        <v>83</v>
      </c>
      <c r="M42" s="28">
        <v>1.0</v>
      </c>
      <c r="N42" s="28" t="s">
        <v>84</v>
      </c>
    </row>
    <row r="43" ht="14.25" customHeight="1">
      <c r="F43" s="1">
        <f t="shared" ref="F43:G43" si="3">SUM(F19:F42)</f>
        <v>8544</v>
      </c>
      <c r="G43" s="1">
        <f t="shared" si="3"/>
        <v>276498</v>
      </c>
      <c r="H43" s="1" t="s">
        <v>70</v>
      </c>
      <c r="I43" s="30">
        <f>(SUM(I19:I42)/1000)/0.9</f>
        <v>2230.869976</v>
      </c>
      <c r="J43" s="1" t="s">
        <v>107</v>
      </c>
    </row>
    <row r="44" ht="14.25" customHeight="1">
      <c r="K44" s="1">
        <f>K40/K42</f>
        <v>1.595744681</v>
      </c>
      <c r="L44" s="1" t="s">
        <v>84</v>
      </c>
      <c r="N44" s="1">
        <f>5*1.6</f>
        <v>8</v>
      </c>
    </row>
    <row r="45" ht="14.25" customHeight="1">
      <c r="F45" s="1" t="s">
        <v>86</v>
      </c>
      <c r="G45" s="1" t="s">
        <v>87</v>
      </c>
      <c r="J45" s="1">
        <f>G43*4*5</f>
        <v>5529960</v>
      </c>
    </row>
    <row r="46" ht="14.25" customHeight="1">
      <c r="F46" s="1">
        <v>8544.0</v>
      </c>
      <c r="G46" s="1">
        <v>266.0</v>
      </c>
      <c r="H46" s="1">
        <f>F46*G46</f>
        <v>2272704</v>
      </c>
      <c r="I46" s="1" t="s">
        <v>70</v>
      </c>
      <c r="K46" s="1" t="s">
        <v>88</v>
      </c>
      <c r="L46" s="38">
        <f>(1-(G48/(G48+H48))*100%)+1</f>
        <v>1.113735015</v>
      </c>
    </row>
    <row r="47" ht="14.25" customHeight="1"/>
    <row r="48" ht="14.25" customHeight="1">
      <c r="F48" s="1">
        <v>5800.0</v>
      </c>
      <c r="G48" s="39">
        <f>F48*F46</f>
        <v>49555200</v>
      </c>
      <c r="H48" s="39">
        <f>G43*23</f>
        <v>6359454</v>
      </c>
      <c r="K48" s="1">
        <f>2000*60</f>
        <v>120000</v>
      </c>
    </row>
    <row r="49" ht="14.25" customHeight="1"/>
    <row r="50" ht="14.25" customHeight="1">
      <c r="G50" s="1">
        <f>G48/2.3</f>
        <v>21545739.13</v>
      </c>
      <c r="H50" s="1">
        <f>G50/H48</f>
        <v>3.387985687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2" ref="H2"/>
  </hyperlinks>
  <printOptions/>
  <pageMargins bottom="0.75" footer="0.0" header="0.0" left="0.7" right="0.7" top="0.75"/>
  <pageSetup orientation="portrait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14"/>
    <col customWidth="1" min="4" max="5" width="8.71"/>
    <col customWidth="1" min="6" max="6" width="11.57"/>
    <col customWidth="1" min="7" max="7" width="11.14"/>
    <col customWidth="1" min="8" max="8" width="8.71"/>
    <col customWidth="1" min="9" max="9" width="9.29"/>
    <col customWidth="1" min="10" max="10" width="17.57"/>
    <col customWidth="1" min="11" max="11" width="17.14"/>
    <col customWidth="1" min="12" max="12" width="11.29"/>
    <col customWidth="1" min="13" max="23" width="8.71"/>
    <col customWidth="1" min="24" max="24" width="10.29"/>
    <col customWidth="1" min="25" max="27" width="8.71"/>
  </cols>
  <sheetData>
    <row r="1" ht="14.25" customHeight="1">
      <c r="B1" s="1" t="s">
        <v>108</v>
      </c>
      <c r="N1" s="25"/>
      <c r="AA1" s="25"/>
    </row>
    <row r="2" ht="14.25" customHeight="1">
      <c r="B2" s="1" t="s">
        <v>63</v>
      </c>
      <c r="D2" s="1" t="s">
        <v>109</v>
      </c>
      <c r="N2" s="25"/>
      <c r="O2" s="1" t="s">
        <v>63</v>
      </c>
      <c r="Q2" s="1" t="s">
        <v>109</v>
      </c>
      <c r="AA2" s="25"/>
    </row>
    <row r="3" ht="14.25" customHeight="1">
      <c r="B3" s="1">
        <v>86.0</v>
      </c>
      <c r="C3" s="1" t="s">
        <v>14</v>
      </c>
      <c r="D3" s="1" t="s">
        <v>65</v>
      </c>
      <c r="N3" s="25"/>
      <c r="O3" s="1">
        <v>86.0</v>
      </c>
      <c r="P3" s="1" t="s">
        <v>14</v>
      </c>
      <c r="Q3" s="1" t="s">
        <v>65</v>
      </c>
      <c r="AA3" s="25"/>
    </row>
    <row r="4" ht="14.25" customHeight="1">
      <c r="B4" s="1">
        <v>36.0</v>
      </c>
      <c r="C4" s="1" t="s">
        <v>14</v>
      </c>
      <c r="D4" s="1" t="s">
        <v>66</v>
      </c>
      <c r="N4" s="25"/>
      <c r="O4" s="1">
        <v>36.0</v>
      </c>
      <c r="P4" s="1" t="s">
        <v>14</v>
      </c>
      <c r="Q4" s="1" t="s">
        <v>66</v>
      </c>
      <c r="AA4" s="25"/>
    </row>
    <row r="5" ht="14.25" customHeight="1">
      <c r="N5" s="25"/>
      <c r="AA5" s="25"/>
    </row>
    <row r="6" ht="14.25" customHeight="1">
      <c r="B6" s="1" t="s">
        <v>67</v>
      </c>
      <c r="N6" s="25"/>
      <c r="O6" s="1" t="s">
        <v>67</v>
      </c>
      <c r="AA6" s="25"/>
    </row>
    <row r="7" ht="14.25" customHeight="1">
      <c r="J7" s="1" t="s">
        <v>69</v>
      </c>
      <c r="K7" s="1" t="s">
        <v>68</v>
      </c>
      <c r="N7" s="25"/>
      <c r="W7" s="1" t="s">
        <v>69</v>
      </c>
      <c r="X7" s="1" t="s">
        <v>68</v>
      </c>
      <c r="AA7" s="25"/>
    </row>
    <row r="8" ht="14.25" customHeight="1">
      <c r="B8" s="1">
        <v>50.0</v>
      </c>
      <c r="C8" s="1" t="s">
        <v>70</v>
      </c>
      <c r="D8" s="1" t="s">
        <v>110</v>
      </c>
      <c r="E8" s="1">
        <v>2.0</v>
      </c>
      <c r="F8" s="1" t="s">
        <v>72</v>
      </c>
      <c r="J8" s="26"/>
      <c r="K8" s="26">
        <f>J8*(1-25%)</f>
        <v>0</v>
      </c>
      <c r="N8" s="25"/>
      <c r="O8" s="1">
        <v>180.0</v>
      </c>
      <c r="P8" s="1" t="s">
        <v>70</v>
      </c>
      <c r="Q8" s="1" t="s">
        <v>110</v>
      </c>
      <c r="R8" s="1">
        <v>2.0</v>
      </c>
      <c r="S8" s="1" t="s">
        <v>72</v>
      </c>
      <c r="W8" s="26"/>
      <c r="X8" s="26">
        <f>W8*(1-25%)</f>
        <v>0</v>
      </c>
      <c r="AA8" s="25"/>
    </row>
    <row r="9" ht="14.25" customHeight="1">
      <c r="B9" s="1">
        <v>3.0</v>
      </c>
      <c r="C9" s="1" t="s">
        <v>70</v>
      </c>
      <c r="D9" s="1" t="s">
        <v>73</v>
      </c>
      <c r="N9" s="25"/>
      <c r="O9" s="1">
        <v>16.0</v>
      </c>
      <c r="P9" s="1" t="s">
        <v>70</v>
      </c>
      <c r="Q9" s="1" t="s">
        <v>73</v>
      </c>
      <c r="AA9" s="25"/>
    </row>
    <row r="10" ht="14.25" customHeight="1">
      <c r="B10" s="1">
        <v>7.0</v>
      </c>
      <c r="C10" s="1" t="s">
        <v>70</v>
      </c>
      <c r="D10" s="1" t="s">
        <v>74</v>
      </c>
      <c r="J10" s="26">
        <f t="shared" ref="J10:K10" si="1">J8*147</f>
        <v>0</v>
      </c>
      <c r="K10" s="26">
        <f t="shared" si="1"/>
        <v>0</v>
      </c>
      <c r="N10" s="25"/>
      <c r="O10" s="1">
        <v>25.0</v>
      </c>
      <c r="P10" s="1" t="s">
        <v>70</v>
      </c>
      <c r="Q10" s="1" t="s">
        <v>74</v>
      </c>
      <c r="W10" s="26">
        <f t="shared" ref="W10:X10" si="2">W8*147</f>
        <v>0</v>
      </c>
      <c r="X10" s="26">
        <f t="shared" si="2"/>
        <v>0</v>
      </c>
      <c r="AA10" s="25"/>
    </row>
    <row r="11" ht="14.25" customHeight="1">
      <c r="B11" s="1">
        <v>7.0</v>
      </c>
      <c r="C11" s="1" t="s">
        <v>70</v>
      </c>
      <c r="D11" s="1" t="s">
        <v>75</v>
      </c>
      <c r="N11" s="25"/>
      <c r="O11" s="1">
        <v>25.0</v>
      </c>
      <c r="P11" s="1" t="s">
        <v>70</v>
      </c>
      <c r="Q11" s="1" t="s">
        <v>75</v>
      </c>
      <c r="AA11" s="25"/>
    </row>
    <row r="12" ht="14.25" customHeight="1">
      <c r="B12" s="1">
        <v>898.0</v>
      </c>
      <c r="C12" s="1" t="s">
        <v>76</v>
      </c>
      <c r="N12" s="25"/>
      <c r="O12" s="1">
        <v>898.0</v>
      </c>
      <c r="P12" s="1" t="s">
        <v>76</v>
      </c>
      <c r="AA12" s="25"/>
    </row>
    <row r="13" ht="14.25" customHeight="1">
      <c r="N13" s="25"/>
      <c r="AA13" s="25"/>
    </row>
    <row r="14" ht="14.25" customHeight="1">
      <c r="N14" s="25"/>
      <c r="Q14" s="1" t="s">
        <v>77</v>
      </c>
      <c r="AA14" s="25"/>
    </row>
    <row r="15" ht="14.25" customHeight="1">
      <c r="N15" s="25"/>
      <c r="AA15" s="25"/>
    </row>
    <row r="16" ht="14.25" customHeight="1">
      <c r="N16" s="25"/>
      <c r="AA16" s="25"/>
    </row>
    <row r="17" ht="14.25" customHeight="1">
      <c r="N17" s="25"/>
      <c r="AA17" s="25"/>
    </row>
    <row r="18" ht="14.25" customHeight="1">
      <c r="D18" s="1" t="s">
        <v>70</v>
      </c>
      <c r="E18" s="1" t="s">
        <v>96</v>
      </c>
      <c r="F18" s="1" t="s">
        <v>79</v>
      </c>
      <c r="G18" s="1" t="s">
        <v>70</v>
      </c>
      <c r="K18" s="1" t="s">
        <v>80</v>
      </c>
      <c r="N18" s="25"/>
      <c r="Q18" s="1" t="s">
        <v>70</v>
      </c>
      <c r="R18" s="1" t="s">
        <v>78</v>
      </c>
      <c r="S18" s="1" t="s">
        <v>79</v>
      </c>
      <c r="T18" s="1" t="s">
        <v>70</v>
      </c>
      <c r="X18" s="1" t="s">
        <v>80</v>
      </c>
      <c r="AA18" s="25"/>
    </row>
    <row r="19" ht="14.25" customHeight="1">
      <c r="B19" s="1">
        <v>40.0</v>
      </c>
      <c r="D19" s="1">
        <v>7.0</v>
      </c>
      <c r="E19" s="1">
        <f t="shared" ref="E19:E23" si="3">$B$8*1.6</f>
        <v>80</v>
      </c>
      <c r="F19" s="1">
        <v>35.0</v>
      </c>
      <c r="G19" s="1">
        <f t="shared" ref="G19:G27" si="4">D19*F19</f>
        <v>245</v>
      </c>
      <c r="I19" s="1">
        <f t="shared" ref="I19:I23" si="5">E19*F19</f>
        <v>2800</v>
      </c>
      <c r="K19" s="27">
        <f>(E19*12)/1000</f>
        <v>0.96</v>
      </c>
      <c r="L19" s="1" t="s">
        <v>81</v>
      </c>
      <c r="N19" s="25"/>
      <c r="O19" s="1">
        <v>30.0</v>
      </c>
      <c r="Q19" s="1">
        <v>25.0</v>
      </c>
      <c r="R19" s="1">
        <f>$O$8*1.6</f>
        <v>288</v>
      </c>
      <c r="S19" s="1">
        <v>24.0</v>
      </c>
      <c r="T19" s="1">
        <f t="shared" ref="T19:T27" si="6">Q19*S19</f>
        <v>600</v>
      </c>
      <c r="V19" s="1">
        <f t="shared" ref="V19:V23" si="7">R19*S19</f>
        <v>6912</v>
      </c>
      <c r="X19" s="27">
        <f>(R19*12)/1000</f>
        <v>3.456</v>
      </c>
      <c r="Y19" s="1" t="s">
        <v>81</v>
      </c>
      <c r="AA19" s="25"/>
    </row>
    <row r="20" ht="14.25" customHeight="1">
      <c r="B20" s="1">
        <v>27.0</v>
      </c>
      <c r="D20" s="1">
        <v>7.0</v>
      </c>
      <c r="E20" s="1">
        <f t="shared" si="3"/>
        <v>80</v>
      </c>
      <c r="F20" s="1">
        <v>171.0</v>
      </c>
      <c r="G20" s="1">
        <f t="shared" si="4"/>
        <v>1197</v>
      </c>
      <c r="I20" s="1">
        <f t="shared" si="5"/>
        <v>13680</v>
      </c>
      <c r="N20" s="25"/>
      <c r="O20" s="1">
        <v>24.0</v>
      </c>
      <c r="Q20" s="1">
        <v>18.0</v>
      </c>
      <c r="R20" s="1">
        <v>260.0</v>
      </c>
      <c r="S20" s="1">
        <v>171.0</v>
      </c>
      <c r="T20" s="1">
        <f t="shared" si="6"/>
        <v>3078</v>
      </c>
      <c r="V20" s="1">
        <f t="shared" si="7"/>
        <v>44460</v>
      </c>
      <c r="AA20" s="25"/>
    </row>
    <row r="21" ht="14.25" customHeight="1">
      <c r="B21" s="1">
        <v>25.0</v>
      </c>
      <c r="D21" s="1">
        <v>7.0</v>
      </c>
      <c r="E21" s="1">
        <f t="shared" si="3"/>
        <v>80</v>
      </c>
      <c r="F21" s="1">
        <v>422.0</v>
      </c>
      <c r="G21" s="1">
        <f t="shared" si="4"/>
        <v>2954</v>
      </c>
      <c r="I21" s="1">
        <f t="shared" si="5"/>
        <v>33760</v>
      </c>
      <c r="N21" s="25"/>
      <c r="O21" s="1">
        <v>22.0</v>
      </c>
      <c r="Q21" s="1">
        <v>16.0</v>
      </c>
      <c r="R21" s="1">
        <v>240.0</v>
      </c>
      <c r="S21" s="1">
        <v>422.0</v>
      </c>
      <c r="T21" s="1">
        <f t="shared" si="6"/>
        <v>6752</v>
      </c>
      <c r="V21" s="1">
        <f t="shared" si="7"/>
        <v>101280</v>
      </c>
      <c r="AA21" s="25"/>
    </row>
    <row r="22" ht="14.25" customHeight="1">
      <c r="B22" s="1">
        <v>12.0</v>
      </c>
      <c r="D22" s="1">
        <v>7.0</v>
      </c>
      <c r="E22" s="1">
        <f t="shared" si="3"/>
        <v>80</v>
      </c>
      <c r="F22" s="1">
        <v>700.0</v>
      </c>
      <c r="G22" s="1">
        <f t="shared" si="4"/>
        <v>4900</v>
      </c>
      <c r="I22" s="1">
        <f t="shared" si="5"/>
        <v>56000</v>
      </c>
      <c r="N22" s="25"/>
      <c r="O22" s="1">
        <v>15.0</v>
      </c>
      <c r="Q22" s="1">
        <v>12.0</v>
      </c>
      <c r="R22" s="1">
        <v>220.0</v>
      </c>
      <c r="S22" s="1">
        <v>700.0</v>
      </c>
      <c r="T22" s="1">
        <f t="shared" si="6"/>
        <v>8400</v>
      </c>
      <c r="V22" s="1">
        <f t="shared" si="7"/>
        <v>154000</v>
      </c>
      <c r="AA22" s="25"/>
    </row>
    <row r="23" ht="14.25" customHeight="1">
      <c r="B23" s="1">
        <v>4.5</v>
      </c>
      <c r="D23" s="1">
        <v>5.0</v>
      </c>
      <c r="E23" s="1">
        <f t="shared" si="3"/>
        <v>80</v>
      </c>
      <c r="F23" s="1">
        <v>867.0</v>
      </c>
      <c r="G23" s="1">
        <f t="shared" si="4"/>
        <v>4335</v>
      </c>
      <c r="I23" s="1">
        <f t="shared" si="5"/>
        <v>69360</v>
      </c>
      <c r="N23" s="25"/>
      <c r="O23" s="1">
        <v>10.0</v>
      </c>
      <c r="Q23" s="1">
        <v>10.0</v>
      </c>
      <c r="R23" s="1">
        <v>200.0</v>
      </c>
      <c r="S23" s="1">
        <v>850.0</v>
      </c>
      <c r="T23" s="1">
        <f t="shared" si="6"/>
        <v>8500</v>
      </c>
      <c r="V23" s="1">
        <f t="shared" si="7"/>
        <v>170000</v>
      </c>
      <c r="AA23" s="25"/>
    </row>
    <row r="24" ht="14.25" customHeight="1">
      <c r="B24" s="1">
        <v>-8.2</v>
      </c>
      <c r="D24" s="1">
        <v>4.0</v>
      </c>
      <c r="F24" s="1">
        <v>5280.0</v>
      </c>
      <c r="G24" s="1">
        <f t="shared" si="4"/>
        <v>21120</v>
      </c>
      <c r="N24" s="25"/>
      <c r="O24" s="1">
        <v>-6.5</v>
      </c>
      <c r="Q24" s="1">
        <v>16.0</v>
      </c>
      <c r="S24" s="1">
        <v>5000.0</v>
      </c>
      <c r="T24" s="1">
        <f t="shared" si="6"/>
        <v>80000</v>
      </c>
      <c r="AA24" s="25"/>
    </row>
    <row r="25" ht="14.25" customHeight="1">
      <c r="B25" s="1">
        <v>-32.0</v>
      </c>
      <c r="D25" s="1">
        <v>4.0</v>
      </c>
      <c r="F25" s="1">
        <v>850.0</v>
      </c>
      <c r="G25" s="1">
        <f t="shared" si="4"/>
        <v>3400</v>
      </c>
      <c r="K25" s="28">
        <v>3600.0</v>
      </c>
      <c r="L25" s="28" t="s">
        <v>83</v>
      </c>
      <c r="M25" s="28">
        <v>1.0</v>
      </c>
      <c r="N25" s="29" t="s">
        <v>82</v>
      </c>
      <c r="O25" s="1">
        <v>-23.0</v>
      </c>
      <c r="Q25" s="1">
        <v>16.0</v>
      </c>
      <c r="S25" s="1">
        <v>523.0</v>
      </c>
      <c r="T25" s="1">
        <f t="shared" si="6"/>
        <v>8368</v>
      </c>
      <c r="X25" s="28">
        <v>3600.0</v>
      </c>
      <c r="Y25" s="28" t="s">
        <v>83</v>
      </c>
      <c r="Z25" s="28">
        <v>1.0</v>
      </c>
      <c r="AA25" s="29" t="s">
        <v>82</v>
      </c>
    </row>
    <row r="26" ht="14.25" customHeight="1">
      <c r="B26" s="1">
        <v>-33.0</v>
      </c>
      <c r="D26" s="1">
        <v>4.0</v>
      </c>
      <c r="F26" s="1">
        <v>171.0</v>
      </c>
      <c r="G26" s="1">
        <f t="shared" si="4"/>
        <v>684</v>
      </c>
      <c r="N26" s="25"/>
      <c r="O26" s="1">
        <v>-37.0</v>
      </c>
      <c r="Q26" s="1">
        <v>14.0</v>
      </c>
      <c r="S26" s="1">
        <v>683.0</v>
      </c>
      <c r="T26" s="1">
        <f t="shared" si="6"/>
        <v>9562</v>
      </c>
      <c r="AA26" s="25"/>
    </row>
    <row r="27" ht="14.25" customHeight="1">
      <c r="B27" s="1">
        <v>-43.0</v>
      </c>
      <c r="D27" s="1">
        <v>4.0</v>
      </c>
      <c r="F27" s="1">
        <v>48.0</v>
      </c>
      <c r="G27" s="1">
        <f t="shared" si="4"/>
        <v>192</v>
      </c>
      <c r="K27" s="28">
        <v>2256.0</v>
      </c>
      <c r="L27" s="28" t="s">
        <v>83</v>
      </c>
      <c r="M27" s="28">
        <v>1.0</v>
      </c>
      <c r="N27" s="29" t="s">
        <v>84</v>
      </c>
      <c r="O27" s="1">
        <v>-38.0</v>
      </c>
      <c r="Q27" s="1">
        <v>12.0</v>
      </c>
      <c r="S27" s="1">
        <v>171.0</v>
      </c>
      <c r="T27" s="1">
        <f t="shared" si="6"/>
        <v>2052</v>
      </c>
      <c r="X27" s="28">
        <v>2256.0</v>
      </c>
      <c r="Y27" s="28" t="s">
        <v>83</v>
      </c>
      <c r="Z27" s="28">
        <v>1.0</v>
      </c>
      <c r="AA27" s="29" t="s">
        <v>84</v>
      </c>
    </row>
    <row r="28" ht="14.25" customHeight="1">
      <c r="F28" s="1">
        <f t="shared" ref="F28:G28" si="8">SUM(F19:F27)</f>
        <v>8544</v>
      </c>
      <c r="G28" s="1">
        <f t="shared" si="8"/>
        <v>39027</v>
      </c>
      <c r="H28" s="1" t="s">
        <v>70</v>
      </c>
      <c r="I28" s="30">
        <f>(SUM(I19:I27)/1000)/0.9</f>
        <v>195.1111111</v>
      </c>
      <c r="J28" s="1" t="s">
        <v>85</v>
      </c>
      <c r="N28" s="25"/>
      <c r="S28" s="1">
        <f t="shared" ref="S28:T28" si="9">SUM(S19:S27)</f>
        <v>8544</v>
      </c>
      <c r="T28" s="1">
        <f t="shared" si="9"/>
        <v>127312</v>
      </c>
      <c r="U28" s="1" t="s">
        <v>70</v>
      </c>
      <c r="V28" s="30">
        <f>(SUM(V19:V27)/1000)/0.9</f>
        <v>529.6133333</v>
      </c>
      <c r="W28" s="1" t="s">
        <v>85</v>
      </c>
      <c r="AA28" s="25"/>
    </row>
    <row r="29" ht="14.25" customHeight="1">
      <c r="K29" s="1">
        <f>K25/K27</f>
        <v>1.595744681</v>
      </c>
      <c r="L29" s="1" t="s">
        <v>84</v>
      </c>
      <c r="N29" s="25"/>
      <c r="X29" s="1">
        <f>X25/X27</f>
        <v>1.595744681</v>
      </c>
      <c r="Y29" s="1" t="s">
        <v>84</v>
      </c>
      <c r="AA29" s="25"/>
    </row>
    <row r="30" ht="14.25" customHeight="1">
      <c r="F30" s="1" t="s">
        <v>86</v>
      </c>
      <c r="G30" s="1" t="s">
        <v>87</v>
      </c>
      <c r="N30" s="25"/>
      <c r="S30" s="1" t="s">
        <v>86</v>
      </c>
      <c r="T30" s="1" t="s">
        <v>87</v>
      </c>
      <c r="AA30" s="25"/>
    </row>
    <row r="31" ht="14.25" customHeight="1">
      <c r="F31" s="1">
        <v>8544.0</v>
      </c>
      <c r="G31" s="1">
        <f>B3+B4</f>
        <v>122</v>
      </c>
      <c r="H31" s="1">
        <f>F31*G31</f>
        <v>1042368</v>
      </c>
      <c r="I31" s="1" t="s">
        <v>70</v>
      </c>
      <c r="K31" s="1" t="s">
        <v>88</v>
      </c>
      <c r="L31" s="31">
        <f>(1-(H31/(H31+G28))*100%)+1</f>
        <v>1.036089496</v>
      </c>
      <c r="N31" s="25"/>
      <c r="S31" s="1">
        <v>8544.0</v>
      </c>
      <c r="T31" s="1">
        <f>O3+O4</f>
        <v>122</v>
      </c>
      <c r="U31" s="1">
        <f>S31*T31</f>
        <v>1042368</v>
      </c>
      <c r="V31" s="1" t="s">
        <v>70</v>
      </c>
      <c r="X31" s="1" t="s">
        <v>88</v>
      </c>
      <c r="Y31" s="31">
        <f>(1-(U31/(U31+T28))*100%)+1</f>
        <v>1.108843444</v>
      </c>
      <c r="AA31" s="25"/>
    </row>
    <row r="32" ht="14.25" customHeight="1">
      <c r="N32" s="25"/>
      <c r="AA32" s="25"/>
    </row>
    <row r="33" ht="14.25" customHeight="1">
      <c r="F33" s="1">
        <f>G31</f>
        <v>122</v>
      </c>
      <c r="G33" s="1">
        <f>F33*F31</f>
        <v>1042368</v>
      </c>
      <c r="H33" s="1">
        <f>G28</f>
        <v>39027</v>
      </c>
      <c r="N33" s="25"/>
      <c r="S33" s="1">
        <f>T31</f>
        <v>122</v>
      </c>
      <c r="T33" s="1">
        <f>S33*S31</f>
        <v>1042368</v>
      </c>
      <c r="U33" s="1">
        <f>T28</f>
        <v>127312</v>
      </c>
      <c r="X33" s="28" t="s">
        <v>88</v>
      </c>
      <c r="Y33" s="31">
        <f>(Y31+L31)/2</f>
        <v>1.07246647</v>
      </c>
      <c r="AA33" s="25"/>
    </row>
    <row r="34" ht="14.25" customHeight="1">
      <c r="N34" s="25"/>
    </row>
    <row r="35" ht="14.25" customHeight="1">
      <c r="N35" s="25"/>
      <c r="U35" s="1">
        <f>T28*2</f>
        <v>254624</v>
      </c>
    </row>
    <row r="36" ht="14.25" customHeight="1">
      <c r="N36" s="25"/>
    </row>
    <row r="37" ht="14.25" customHeight="1">
      <c r="N37" s="25"/>
    </row>
    <row r="38" ht="14.25" customHeight="1">
      <c r="N38" s="25"/>
    </row>
    <row r="39" ht="14.25" customHeight="1">
      <c r="N39" s="25"/>
    </row>
    <row r="40" ht="14.25" customHeight="1">
      <c r="N40" s="25"/>
    </row>
    <row r="41" ht="14.25" customHeight="1">
      <c r="N41" s="25"/>
    </row>
    <row r="42" ht="14.25" customHeight="1">
      <c r="N42" s="25"/>
    </row>
    <row r="43" ht="14.25" customHeight="1">
      <c r="N43" s="25"/>
    </row>
    <row r="44" ht="14.25" customHeight="1">
      <c r="N44" s="25"/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14"/>
    <col customWidth="1" min="4" max="5" width="8.71"/>
    <col customWidth="1" min="6" max="6" width="11.57"/>
    <col customWidth="1" min="7" max="7" width="11.14"/>
    <col customWidth="1" min="8" max="8" width="8.71"/>
    <col customWidth="1" min="9" max="9" width="9.29"/>
    <col customWidth="1" min="10" max="10" width="17.57"/>
    <col customWidth="1" min="11" max="11" width="17.14"/>
    <col customWidth="1" min="12" max="12" width="11.29"/>
    <col customWidth="1" min="13" max="23" width="8.71"/>
    <col customWidth="1" min="24" max="24" width="10.29"/>
    <col customWidth="1" min="25" max="27" width="8.71"/>
  </cols>
  <sheetData>
    <row r="1" ht="14.25" customHeight="1">
      <c r="B1" s="1" t="s">
        <v>108</v>
      </c>
      <c r="N1" s="25"/>
      <c r="AA1" s="25"/>
    </row>
    <row r="2" ht="14.25" customHeight="1">
      <c r="B2" s="1" t="s">
        <v>63</v>
      </c>
      <c r="D2" s="1" t="s">
        <v>109</v>
      </c>
      <c r="N2" s="25"/>
      <c r="O2" s="1" t="s">
        <v>63</v>
      </c>
      <c r="Q2" s="1" t="s">
        <v>109</v>
      </c>
      <c r="AA2" s="25"/>
    </row>
    <row r="3" ht="14.25" customHeight="1">
      <c r="B3" s="1">
        <v>86.0</v>
      </c>
      <c r="C3" s="1" t="s">
        <v>14</v>
      </c>
      <c r="D3" s="1" t="s">
        <v>65</v>
      </c>
      <c r="N3" s="25"/>
      <c r="O3" s="1">
        <v>86.0</v>
      </c>
      <c r="P3" s="1" t="s">
        <v>14</v>
      </c>
      <c r="Q3" s="1" t="s">
        <v>65</v>
      </c>
      <c r="AA3" s="25"/>
    </row>
    <row r="4" ht="14.25" customHeight="1">
      <c r="B4" s="1">
        <v>36.0</v>
      </c>
      <c r="C4" s="1" t="s">
        <v>14</v>
      </c>
      <c r="D4" s="1" t="s">
        <v>66</v>
      </c>
      <c r="N4" s="25"/>
      <c r="O4" s="1">
        <v>36.0</v>
      </c>
      <c r="P4" s="1" t="s">
        <v>14</v>
      </c>
      <c r="Q4" s="1" t="s">
        <v>66</v>
      </c>
      <c r="AA4" s="25"/>
    </row>
    <row r="5" ht="14.25" customHeight="1">
      <c r="N5" s="25"/>
      <c r="AA5" s="25"/>
    </row>
    <row r="6" ht="14.25" customHeight="1">
      <c r="B6" s="1" t="s">
        <v>67</v>
      </c>
      <c r="N6" s="25"/>
      <c r="O6" s="1" t="s">
        <v>67</v>
      </c>
      <c r="AA6" s="25"/>
    </row>
    <row r="7" ht="14.25" customHeight="1">
      <c r="J7" s="1" t="s">
        <v>69</v>
      </c>
      <c r="K7" s="1" t="s">
        <v>68</v>
      </c>
      <c r="N7" s="25"/>
      <c r="W7" s="1" t="s">
        <v>69</v>
      </c>
      <c r="X7" s="1" t="s">
        <v>68</v>
      </c>
      <c r="AA7" s="25"/>
    </row>
    <row r="8" ht="14.25" customHeight="1">
      <c r="B8" s="1">
        <v>50.0</v>
      </c>
      <c r="C8" s="1" t="s">
        <v>70</v>
      </c>
      <c r="D8" s="1" t="s">
        <v>110</v>
      </c>
      <c r="E8" s="1">
        <v>2.0</v>
      </c>
      <c r="F8" s="1" t="s">
        <v>72</v>
      </c>
      <c r="J8" s="26"/>
      <c r="K8" s="26">
        <f>J8*(1-25%)</f>
        <v>0</v>
      </c>
      <c r="N8" s="25"/>
      <c r="O8" s="1">
        <v>50.0</v>
      </c>
      <c r="P8" s="1" t="s">
        <v>70</v>
      </c>
      <c r="Q8" s="1" t="s">
        <v>110</v>
      </c>
      <c r="R8" s="1">
        <v>2.0</v>
      </c>
      <c r="S8" s="1" t="s">
        <v>72</v>
      </c>
      <c r="W8" s="26"/>
      <c r="X8" s="26">
        <f>W8*(1-25%)</f>
        <v>0</v>
      </c>
      <c r="AA8" s="25"/>
    </row>
    <row r="9" ht="14.25" customHeight="1">
      <c r="B9" s="1">
        <v>3.0</v>
      </c>
      <c r="C9" s="1" t="s">
        <v>70</v>
      </c>
      <c r="D9" s="1" t="s">
        <v>73</v>
      </c>
      <c r="N9" s="25"/>
      <c r="O9" s="1">
        <v>5.0</v>
      </c>
      <c r="P9" s="1" t="s">
        <v>70</v>
      </c>
      <c r="Q9" s="1" t="s">
        <v>73</v>
      </c>
      <c r="AA9" s="25"/>
    </row>
    <row r="10" ht="14.25" customHeight="1">
      <c r="B10" s="1">
        <v>7.0</v>
      </c>
      <c r="C10" s="1" t="s">
        <v>70</v>
      </c>
      <c r="D10" s="1" t="s">
        <v>74</v>
      </c>
      <c r="J10" s="26">
        <f t="shared" ref="J10:K10" si="1">J8*147</f>
        <v>0</v>
      </c>
      <c r="K10" s="26">
        <f t="shared" si="1"/>
        <v>0</v>
      </c>
      <c r="N10" s="25"/>
      <c r="O10" s="1">
        <v>8.0</v>
      </c>
      <c r="P10" s="1" t="s">
        <v>70</v>
      </c>
      <c r="Q10" s="1" t="s">
        <v>74</v>
      </c>
      <c r="W10" s="26">
        <f t="shared" ref="W10:X10" si="2">W8*147</f>
        <v>0</v>
      </c>
      <c r="X10" s="26">
        <f t="shared" si="2"/>
        <v>0</v>
      </c>
      <c r="AA10" s="25"/>
    </row>
    <row r="11" ht="14.25" customHeight="1">
      <c r="B11" s="1">
        <v>7.0</v>
      </c>
      <c r="C11" s="1" t="s">
        <v>70</v>
      </c>
      <c r="D11" s="1" t="s">
        <v>75</v>
      </c>
      <c r="N11" s="25"/>
      <c r="O11" s="1">
        <v>8.0</v>
      </c>
      <c r="P11" s="1" t="s">
        <v>70</v>
      </c>
      <c r="Q11" s="1" t="s">
        <v>75</v>
      </c>
      <c r="AA11" s="25"/>
    </row>
    <row r="12" ht="14.25" customHeight="1">
      <c r="B12" s="1">
        <v>898.0</v>
      </c>
      <c r="C12" s="1" t="s">
        <v>76</v>
      </c>
      <c r="N12" s="25"/>
      <c r="O12" s="1">
        <v>898.0</v>
      </c>
      <c r="P12" s="1" t="s">
        <v>76</v>
      </c>
      <c r="AA12" s="25"/>
    </row>
    <row r="13" ht="14.25" customHeight="1">
      <c r="N13" s="25"/>
      <c r="R13" s="1" t="s">
        <v>77</v>
      </c>
      <c r="AA13" s="25"/>
    </row>
    <row r="14" ht="14.25" customHeight="1">
      <c r="N14" s="25"/>
      <c r="AA14" s="25"/>
    </row>
    <row r="15" ht="14.25" customHeight="1">
      <c r="N15" s="25"/>
      <c r="AA15" s="25"/>
    </row>
    <row r="16" ht="14.25" customHeight="1">
      <c r="N16" s="25"/>
      <c r="AA16" s="25"/>
    </row>
    <row r="17" ht="14.25" customHeight="1">
      <c r="N17" s="25"/>
      <c r="AA17" s="25"/>
    </row>
    <row r="18" ht="14.25" customHeight="1">
      <c r="D18" s="1" t="s">
        <v>70</v>
      </c>
      <c r="E18" s="1" t="s">
        <v>96</v>
      </c>
      <c r="F18" s="1" t="s">
        <v>79</v>
      </c>
      <c r="G18" s="1" t="s">
        <v>70</v>
      </c>
      <c r="K18" s="1" t="s">
        <v>80</v>
      </c>
      <c r="N18" s="25"/>
      <c r="Q18" s="1" t="s">
        <v>70</v>
      </c>
      <c r="R18" s="1" t="s">
        <v>78</v>
      </c>
      <c r="S18" s="1" t="s">
        <v>79</v>
      </c>
      <c r="T18" s="1" t="s">
        <v>70</v>
      </c>
      <c r="X18" s="1" t="s">
        <v>80</v>
      </c>
      <c r="AA18" s="25"/>
    </row>
    <row r="19" ht="14.25" customHeight="1">
      <c r="B19" s="1">
        <v>40.0</v>
      </c>
      <c r="D19" s="1">
        <v>7.0</v>
      </c>
      <c r="E19" s="1">
        <f t="shared" ref="E19:E23" si="3">$B$8*1.6</f>
        <v>80</v>
      </c>
      <c r="F19" s="1">
        <v>35.0</v>
      </c>
      <c r="G19" s="1">
        <f t="shared" ref="G19:G27" si="4">D19*F19</f>
        <v>245</v>
      </c>
      <c r="I19" s="1">
        <f t="shared" ref="I19:I23" si="5">E19*F19</f>
        <v>2800</v>
      </c>
      <c r="K19" s="27">
        <f>(E19*12)/1000</f>
        <v>0.96</v>
      </c>
      <c r="L19" s="1" t="s">
        <v>81</v>
      </c>
      <c r="N19" s="25"/>
      <c r="O19" s="1">
        <v>37.0</v>
      </c>
      <c r="Q19" s="1">
        <v>8.0</v>
      </c>
      <c r="R19" s="1">
        <f t="shared" ref="R19:R23" si="6">$O$8*1.6</f>
        <v>80</v>
      </c>
      <c r="S19" s="1">
        <v>35.0</v>
      </c>
      <c r="T19" s="1">
        <f t="shared" ref="T19:T27" si="7">Q19*S19</f>
        <v>280</v>
      </c>
      <c r="V19" s="1">
        <f t="shared" ref="V19:V23" si="8">R19*S19</f>
        <v>2800</v>
      </c>
      <c r="X19" s="27">
        <f>(R19*12)/1000</f>
        <v>0.96</v>
      </c>
      <c r="Y19" s="1" t="s">
        <v>81</v>
      </c>
      <c r="AA19" s="25"/>
    </row>
    <row r="20" ht="14.25" customHeight="1">
      <c r="B20" s="1">
        <v>27.0</v>
      </c>
      <c r="D20" s="1">
        <v>7.0</v>
      </c>
      <c r="E20" s="1">
        <f t="shared" si="3"/>
        <v>80</v>
      </c>
      <c r="F20" s="1">
        <v>171.0</v>
      </c>
      <c r="G20" s="1">
        <f t="shared" si="4"/>
        <v>1197</v>
      </c>
      <c r="I20" s="1">
        <f t="shared" si="5"/>
        <v>13680</v>
      </c>
      <c r="N20" s="25"/>
      <c r="O20" s="1">
        <v>26.0</v>
      </c>
      <c r="Q20" s="1">
        <v>8.0</v>
      </c>
      <c r="R20" s="1">
        <f t="shared" si="6"/>
        <v>80</v>
      </c>
      <c r="S20" s="1">
        <v>171.0</v>
      </c>
      <c r="T20" s="1">
        <f t="shared" si="7"/>
        <v>1368</v>
      </c>
      <c r="V20" s="1">
        <f t="shared" si="8"/>
        <v>13680</v>
      </c>
      <c r="AA20" s="25"/>
    </row>
    <row r="21" ht="14.25" customHeight="1">
      <c r="B21" s="1">
        <v>25.0</v>
      </c>
      <c r="D21" s="1">
        <v>7.0</v>
      </c>
      <c r="E21" s="1">
        <f t="shared" si="3"/>
        <v>80</v>
      </c>
      <c r="F21" s="1">
        <v>422.0</v>
      </c>
      <c r="G21" s="1">
        <f t="shared" si="4"/>
        <v>2954</v>
      </c>
      <c r="I21" s="1">
        <f t="shared" si="5"/>
        <v>33760</v>
      </c>
      <c r="N21" s="25"/>
      <c r="O21" s="1">
        <v>22.0</v>
      </c>
      <c r="Q21" s="1">
        <v>8.0</v>
      </c>
      <c r="R21" s="1">
        <f t="shared" si="6"/>
        <v>80</v>
      </c>
      <c r="S21" s="1">
        <v>422.0</v>
      </c>
      <c r="T21" s="1">
        <f t="shared" si="7"/>
        <v>3376</v>
      </c>
      <c r="V21" s="1">
        <f t="shared" si="8"/>
        <v>33760</v>
      </c>
      <c r="AA21" s="25"/>
    </row>
    <row r="22" ht="14.25" customHeight="1">
      <c r="B22" s="1">
        <v>12.0</v>
      </c>
      <c r="D22" s="1">
        <v>7.0</v>
      </c>
      <c r="E22" s="1">
        <f t="shared" si="3"/>
        <v>80</v>
      </c>
      <c r="F22" s="1">
        <v>700.0</v>
      </c>
      <c r="G22" s="1">
        <f t="shared" si="4"/>
        <v>4900</v>
      </c>
      <c r="I22" s="1">
        <f t="shared" si="5"/>
        <v>56000</v>
      </c>
      <c r="N22" s="25"/>
      <c r="O22" s="1">
        <v>15.0</v>
      </c>
      <c r="Q22" s="1">
        <v>7.0</v>
      </c>
      <c r="R22" s="1">
        <f t="shared" si="6"/>
        <v>80</v>
      </c>
      <c r="S22" s="1">
        <v>700.0</v>
      </c>
      <c r="T22" s="1">
        <f t="shared" si="7"/>
        <v>4900</v>
      </c>
      <c r="V22" s="1">
        <f t="shared" si="8"/>
        <v>56000</v>
      </c>
      <c r="AA22" s="25"/>
    </row>
    <row r="23" ht="14.25" customHeight="1">
      <c r="B23" s="1">
        <v>4.5</v>
      </c>
      <c r="D23" s="1">
        <v>5.0</v>
      </c>
      <c r="E23" s="1">
        <f t="shared" si="3"/>
        <v>80</v>
      </c>
      <c r="F23" s="1">
        <v>867.0</v>
      </c>
      <c r="G23" s="1">
        <f t="shared" si="4"/>
        <v>4335</v>
      </c>
      <c r="I23" s="1">
        <f t="shared" si="5"/>
        <v>69360</v>
      </c>
      <c r="N23" s="25"/>
      <c r="O23" s="1">
        <v>10.0</v>
      </c>
      <c r="Q23" s="1">
        <v>6.0</v>
      </c>
      <c r="R23" s="1">
        <f t="shared" si="6"/>
        <v>80</v>
      </c>
      <c r="S23" s="1">
        <v>850.0</v>
      </c>
      <c r="T23" s="1">
        <f t="shared" si="7"/>
        <v>5100</v>
      </c>
      <c r="V23" s="1">
        <f t="shared" si="8"/>
        <v>68000</v>
      </c>
      <c r="AA23" s="25"/>
    </row>
    <row r="24" ht="14.25" customHeight="1">
      <c r="B24" s="1">
        <v>-8.2</v>
      </c>
      <c r="D24" s="1">
        <v>4.0</v>
      </c>
      <c r="F24" s="1">
        <v>5280.0</v>
      </c>
      <c r="G24" s="1">
        <f t="shared" si="4"/>
        <v>21120</v>
      </c>
      <c r="N24" s="25"/>
      <c r="O24" s="1">
        <v>-6.5</v>
      </c>
      <c r="Q24" s="1">
        <v>5.0</v>
      </c>
      <c r="S24" s="1">
        <v>5000.0</v>
      </c>
      <c r="T24" s="1">
        <f t="shared" si="7"/>
        <v>25000</v>
      </c>
      <c r="AA24" s="25"/>
    </row>
    <row r="25" ht="14.25" customHeight="1">
      <c r="B25" s="1">
        <v>-32.0</v>
      </c>
      <c r="D25" s="1">
        <v>4.0</v>
      </c>
      <c r="F25" s="1">
        <v>850.0</v>
      </c>
      <c r="G25" s="1">
        <f t="shared" si="4"/>
        <v>3400</v>
      </c>
      <c r="K25" s="28">
        <v>3600.0</v>
      </c>
      <c r="L25" s="28" t="s">
        <v>83</v>
      </c>
      <c r="M25" s="28">
        <v>1.0</v>
      </c>
      <c r="N25" s="29" t="s">
        <v>82</v>
      </c>
      <c r="O25" s="1">
        <v>-23.0</v>
      </c>
      <c r="Q25" s="1">
        <v>5.0</v>
      </c>
      <c r="S25" s="1">
        <v>512.0</v>
      </c>
      <c r="T25" s="1">
        <f t="shared" si="7"/>
        <v>2560</v>
      </c>
      <c r="X25" s="28">
        <v>3600.0</v>
      </c>
      <c r="Y25" s="28" t="s">
        <v>83</v>
      </c>
      <c r="Z25" s="28">
        <v>1.0</v>
      </c>
      <c r="AA25" s="29" t="s">
        <v>82</v>
      </c>
    </row>
    <row r="26" ht="14.25" customHeight="1">
      <c r="B26" s="1">
        <v>-33.0</v>
      </c>
      <c r="D26" s="1">
        <v>4.0</v>
      </c>
      <c r="F26" s="1">
        <v>171.0</v>
      </c>
      <c r="G26" s="1">
        <f t="shared" si="4"/>
        <v>684</v>
      </c>
      <c r="N26" s="25"/>
      <c r="O26" s="1">
        <v>-37.0</v>
      </c>
      <c r="Q26" s="1">
        <v>5.0</v>
      </c>
      <c r="S26" s="1">
        <v>683.0</v>
      </c>
      <c r="T26" s="1">
        <f t="shared" si="7"/>
        <v>3415</v>
      </c>
      <c r="AA26" s="25"/>
    </row>
    <row r="27" ht="14.25" customHeight="1">
      <c r="B27" s="1">
        <v>-43.0</v>
      </c>
      <c r="D27" s="1">
        <v>4.0</v>
      </c>
      <c r="F27" s="1">
        <v>48.0</v>
      </c>
      <c r="G27" s="1">
        <f t="shared" si="4"/>
        <v>192</v>
      </c>
      <c r="K27" s="28">
        <v>2256.0</v>
      </c>
      <c r="L27" s="28" t="s">
        <v>83</v>
      </c>
      <c r="M27" s="28">
        <v>1.0</v>
      </c>
      <c r="N27" s="29" t="s">
        <v>84</v>
      </c>
      <c r="O27" s="1">
        <v>-38.0</v>
      </c>
      <c r="Q27" s="1">
        <v>5.0</v>
      </c>
      <c r="S27" s="1">
        <v>171.0</v>
      </c>
      <c r="T27" s="1">
        <f t="shared" si="7"/>
        <v>855</v>
      </c>
      <c r="X27" s="28">
        <v>2256.0</v>
      </c>
      <c r="Y27" s="28" t="s">
        <v>83</v>
      </c>
      <c r="Z27" s="28">
        <v>1.0</v>
      </c>
      <c r="AA27" s="29" t="s">
        <v>84</v>
      </c>
    </row>
    <row r="28" ht="14.25" customHeight="1">
      <c r="F28" s="1">
        <f t="shared" ref="F28:G28" si="9">SUM(F19:F27)</f>
        <v>8544</v>
      </c>
      <c r="G28" s="1">
        <f t="shared" si="9"/>
        <v>39027</v>
      </c>
      <c r="H28" s="1" t="s">
        <v>70</v>
      </c>
      <c r="I28" s="30">
        <f>(SUM(I19:I27)/1000)/0.9</f>
        <v>195.1111111</v>
      </c>
      <c r="J28" s="1" t="s">
        <v>85</v>
      </c>
      <c r="N28" s="25"/>
      <c r="S28" s="1">
        <f t="shared" ref="S28:T28" si="10">SUM(S19:S27)</f>
        <v>8544</v>
      </c>
      <c r="T28" s="1">
        <f t="shared" si="10"/>
        <v>46854</v>
      </c>
      <c r="U28" s="1" t="s">
        <v>70</v>
      </c>
      <c r="V28" s="30">
        <f>(SUM(V19:V27)/1000)/0.9</f>
        <v>193.6</v>
      </c>
      <c r="W28" s="1" t="s">
        <v>85</v>
      </c>
      <c r="AA28" s="25"/>
    </row>
    <row r="29" ht="14.25" customHeight="1">
      <c r="K29" s="1">
        <f>K25/K27</f>
        <v>1.595744681</v>
      </c>
      <c r="L29" s="1" t="s">
        <v>84</v>
      </c>
      <c r="N29" s="25"/>
      <c r="X29" s="1">
        <f>X25/X27</f>
        <v>1.595744681</v>
      </c>
      <c r="Y29" s="1" t="s">
        <v>84</v>
      </c>
      <c r="AA29" s="25"/>
    </row>
    <row r="30" ht="14.25" customHeight="1">
      <c r="F30" s="1" t="s">
        <v>86</v>
      </c>
      <c r="G30" s="1" t="s">
        <v>87</v>
      </c>
      <c r="N30" s="25"/>
      <c r="S30" s="1" t="s">
        <v>86</v>
      </c>
      <c r="T30" s="1" t="s">
        <v>87</v>
      </c>
      <c r="AA30" s="25"/>
    </row>
    <row r="31" ht="14.25" customHeight="1">
      <c r="F31" s="1">
        <v>8544.0</v>
      </c>
      <c r="G31" s="1">
        <f>B3+B4</f>
        <v>122</v>
      </c>
      <c r="H31" s="1">
        <f>F31*G31</f>
        <v>1042368</v>
      </c>
      <c r="I31" s="1" t="s">
        <v>70</v>
      </c>
      <c r="K31" s="1" t="s">
        <v>88</v>
      </c>
      <c r="L31" s="31">
        <f>(1-(H31/(H31+G28))*100%)+1</f>
        <v>1.036089496</v>
      </c>
      <c r="N31" s="25"/>
      <c r="S31" s="1">
        <v>8544.0</v>
      </c>
      <c r="T31" s="1">
        <f>O3</f>
        <v>86</v>
      </c>
      <c r="U31" s="1">
        <f>S31*T31</f>
        <v>734784</v>
      </c>
      <c r="V31" s="1" t="s">
        <v>70</v>
      </c>
      <c r="X31" s="1" t="s">
        <v>88</v>
      </c>
      <c r="Y31" s="31">
        <f>(1-(U31/(U31+T28))*100%)+1</f>
        <v>1.05994335</v>
      </c>
      <c r="AA31" s="25"/>
    </row>
    <row r="32" ht="14.25" customHeight="1">
      <c r="N32" s="25"/>
      <c r="AA32" s="25"/>
    </row>
    <row r="33" ht="14.25" customHeight="1">
      <c r="F33" s="1">
        <f>G31</f>
        <v>122</v>
      </c>
      <c r="G33" s="1">
        <f>F33*F31</f>
        <v>1042368</v>
      </c>
      <c r="H33" s="1">
        <f>G28</f>
        <v>39027</v>
      </c>
      <c r="N33" s="25"/>
      <c r="S33" s="1">
        <f>T31</f>
        <v>86</v>
      </c>
      <c r="T33" s="1">
        <f>S33*S31</f>
        <v>734784</v>
      </c>
      <c r="U33" s="1">
        <f>T28</f>
        <v>46854</v>
      </c>
      <c r="X33" s="28" t="s">
        <v>88</v>
      </c>
      <c r="Y33" s="31">
        <f>(Y31+L31)/2</f>
        <v>1.048016423</v>
      </c>
      <c r="AA33" s="25"/>
    </row>
    <row r="34" ht="14.25" customHeight="1">
      <c r="N34" s="25"/>
    </row>
    <row r="35" ht="14.25" customHeight="1">
      <c r="N35" s="25"/>
      <c r="U35" s="1">
        <f>T28*2</f>
        <v>93708</v>
      </c>
    </row>
    <row r="36" ht="14.25" customHeight="1">
      <c r="N36" s="25"/>
    </row>
    <row r="37" ht="14.25" customHeight="1">
      <c r="N37" s="25"/>
    </row>
    <row r="38" ht="14.25" customHeight="1">
      <c r="N38" s="25"/>
    </row>
    <row r="39" ht="14.25" customHeight="1">
      <c r="N39" s="25"/>
    </row>
    <row r="40" ht="14.25" customHeight="1">
      <c r="N40" s="25"/>
    </row>
    <row r="41" ht="14.25" customHeight="1">
      <c r="N41" s="25"/>
    </row>
    <row r="42" ht="14.25" customHeight="1">
      <c r="N42" s="25"/>
    </row>
    <row r="43" ht="14.25" customHeight="1">
      <c r="N43" s="25"/>
    </row>
    <row r="44" ht="14.25" customHeight="1">
      <c r="N44" s="25"/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2022-07-12T12:54:20Z</dcterms:created>
  <dc:creator>Director</dc:creator>
</cp:coreProperties>
</file>