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C5" i="50" l="1"/>
  <c r="G2" i="2"/>
  <c r="H2" i="2"/>
  <c r="G3" i="2"/>
  <c r="H3" i="2"/>
  <c r="G4" i="2"/>
  <c r="H4" i="2"/>
  <c r="I4" i="2" s="1"/>
  <c r="G5" i="2"/>
  <c r="H5" i="2"/>
  <c r="I3" i="2" l="1"/>
  <c r="I2" i="2"/>
  <c r="I5" i="2"/>
  <c r="D6" i="57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H6" i="2"/>
  <c r="H7" i="2"/>
  <c r="H8" i="2"/>
  <c r="H9" i="2"/>
  <c r="H10" i="2"/>
  <c r="H11" i="2"/>
  <c r="H12" i="2"/>
  <c r="H13" i="2"/>
  <c r="G6" i="2" l="1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<sst xmlns="http://schemas.openxmlformats.org/spreadsheetml/2006/main" count="378" uniqueCount="210">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</sst>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0" fillId="0" borderId="0" xfId="0"/>
    <xf numFmtId="0" fontId="26" fillId="0" borderId="0" xfId="0" applyFont="1"/>
    <xf numFmtId="168" fontId="5" fillId="0" borderId="0" xfId="0" applyNumberFormat="1" applyFont="1" applyAlignment="1"/>
    <xf numFmtId="0" fontId="3" fillId="0" borderId="0" xfId="0" applyFont="1" applyFill="1" applyAlignment="1">
      <alignment horizontal="right"/>
    </xf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7" fillId="0" borderId="0" xfId="0" applyFont="1" applyAlignment="1"/>
    <xf numFmtId="167" fontId="0" fillId="0" borderId="0" xfId="10" applyNumberFormat="1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6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5" ht="56.7" customHeight="1" x14ac:dyDescent="0.25">
      <c r="A1" s="59" t="s">
        <v>69</v>
      </c>
      <c r="B1" s="115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5" ht="15.75" customHeight="1" x14ac:dyDescent="0.25">
      <c r="A2" s="55" t="s">
        <v>29</v>
      </c>
      <c r="B2" s="114">
        <v>0</v>
      </c>
      <c r="C2" s="56">
        <v>0.95</v>
      </c>
      <c r="D2" s="57">
        <v>25</v>
      </c>
      <c r="E2" s="57" t="s">
        <v>202</v>
      </c>
    </row>
    <row r="3" spans="1:5" ht="15.75" customHeight="1" x14ac:dyDescent="0.25">
      <c r="A3" s="55" t="s">
        <v>86</v>
      </c>
      <c r="B3" s="114">
        <v>0</v>
      </c>
      <c r="C3" s="56">
        <v>0.95</v>
      </c>
      <c r="D3" s="57">
        <v>1</v>
      </c>
      <c r="E3" s="57" t="s">
        <v>202</v>
      </c>
    </row>
    <row r="4" spans="1:5" ht="15.75" customHeight="1" x14ac:dyDescent="0.25">
      <c r="A4" s="55" t="s">
        <v>61</v>
      </c>
      <c r="B4" s="114">
        <v>0</v>
      </c>
      <c r="C4" s="56">
        <v>0.95</v>
      </c>
      <c r="D4" s="57">
        <f>180</f>
        <v>180</v>
      </c>
      <c r="E4" s="57" t="s">
        <v>202</v>
      </c>
    </row>
    <row r="5" spans="1:5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5" ht="15.75" customHeight="1" x14ac:dyDescent="0.25">
      <c r="A6" s="82" t="s">
        <v>195</v>
      </c>
      <c r="B6" s="101">
        <v>0.18600000000000003</v>
      </c>
      <c r="C6" s="56">
        <v>0.95</v>
      </c>
      <c r="D6" s="93">
        <f>SUM('Programs family planning'!E2:E10)</f>
        <v>0.82100000000000006</v>
      </c>
      <c r="E6" s="57" t="s">
        <v>202</v>
      </c>
    </row>
    <row r="7" spans="1:5" ht="15.75" customHeight="1" x14ac:dyDescent="0.25">
      <c r="A7" s="55" t="s">
        <v>63</v>
      </c>
      <c r="B7" s="114">
        <v>0</v>
      </c>
      <c r="C7" s="56">
        <v>0.95</v>
      </c>
      <c r="D7" s="57">
        <v>0.82</v>
      </c>
      <c r="E7" s="57" t="s">
        <v>202</v>
      </c>
    </row>
    <row r="8" spans="1:5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5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5" ht="15.75" customHeight="1" x14ac:dyDescent="0.25">
      <c r="A10" s="67" t="s">
        <v>186</v>
      </c>
      <c r="B10" s="114">
        <v>0</v>
      </c>
      <c r="C10" s="56">
        <v>0.95</v>
      </c>
      <c r="D10" s="57">
        <v>0.73</v>
      </c>
      <c r="E10" s="57" t="s">
        <v>202</v>
      </c>
    </row>
    <row r="11" spans="1:5" ht="15.75" customHeight="1" x14ac:dyDescent="0.25">
      <c r="A11" s="67" t="s">
        <v>205</v>
      </c>
      <c r="B11" s="114">
        <v>0</v>
      </c>
      <c r="C11" s="56">
        <v>0.95</v>
      </c>
      <c r="D11" s="57">
        <v>1.78</v>
      </c>
      <c r="E11" s="57" t="s">
        <v>202</v>
      </c>
    </row>
    <row r="12" spans="1:5" ht="15.75" customHeight="1" x14ac:dyDescent="0.25">
      <c r="A12" s="67" t="s">
        <v>187</v>
      </c>
      <c r="B12" s="114">
        <v>0</v>
      </c>
      <c r="C12" s="56">
        <v>0.95</v>
      </c>
      <c r="D12" s="57">
        <v>0.24</v>
      </c>
      <c r="E12" s="57" t="s">
        <v>202</v>
      </c>
    </row>
    <row r="13" spans="1:5" ht="15.75" customHeight="1" x14ac:dyDescent="0.25">
      <c r="A13" s="67" t="s">
        <v>188</v>
      </c>
      <c r="B13" s="114">
        <v>0</v>
      </c>
      <c r="C13" s="56">
        <v>0.95</v>
      </c>
      <c r="D13" s="57">
        <v>0.55000000000000004</v>
      </c>
      <c r="E13" s="57" t="s">
        <v>202</v>
      </c>
    </row>
    <row r="14" spans="1:5" ht="15.75" customHeight="1" x14ac:dyDescent="0.25">
      <c r="A14" s="14" t="s">
        <v>185</v>
      </c>
      <c r="B14" s="114">
        <v>0</v>
      </c>
      <c r="C14" s="56">
        <v>0.95</v>
      </c>
      <c r="D14" s="57">
        <v>0.73</v>
      </c>
      <c r="E14" s="57" t="s">
        <v>202</v>
      </c>
    </row>
    <row r="15" spans="1:5" ht="15.75" customHeight="1" x14ac:dyDescent="0.25">
      <c r="A15" s="83" t="s">
        <v>206</v>
      </c>
      <c r="B15" s="101">
        <v>0.501</v>
      </c>
      <c r="C15" s="56">
        <v>0.95</v>
      </c>
      <c r="D15" s="57">
        <v>2</v>
      </c>
      <c r="E15" s="57" t="s">
        <v>202</v>
      </c>
    </row>
    <row r="16" spans="1:5" ht="15.75" customHeight="1" x14ac:dyDescent="0.25">
      <c r="A16" s="82" t="s">
        <v>57</v>
      </c>
      <c r="B16" s="101">
        <v>0.317</v>
      </c>
      <c r="C16" s="56">
        <v>0.95</v>
      </c>
      <c r="D16" s="57">
        <v>2.1800000000000002</v>
      </c>
      <c r="E16" s="57" t="s">
        <v>202</v>
      </c>
    </row>
    <row r="17" spans="1:5" ht="15.75" customHeight="1" x14ac:dyDescent="0.25">
      <c r="A17" s="55" t="s">
        <v>47</v>
      </c>
      <c r="B17" s="114">
        <v>0</v>
      </c>
      <c r="C17" s="56">
        <v>0.95</v>
      </c>
      <c r="D17" s="57">
        <v>0.05</v>
      </c>
      <c r="E17" s="57" t="s">
        <v>202</v>
      </c>
    </row>
    <row r="18" spans="1:5" ht="16.05" customHeight="1" x14ac:dyDescent="0.25">
      <c r="A18" s="55" t="s">
        <v>171</v>
      </c>
      <c r="B18" s="114">
        <v>0</v>
      </c>
      <c r="C18" s="56">
        <v>0.95</v>
      </c>
      <c r="D18" s="94">
        <v>5</v>
      </c>
      <c r="E18" s="57" t="s">
        <v>202</v>
      </c>
    </row>
    <row r="19" spans="1:5" ht="15.75" customHeight="1" x14ac:dyDescent="0.25">
      <c r="A19" s="55" t="s">
        <v>196</v>
      </c>
      <c r="B19" s="114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202</v>
      </c>
    </row>
    <row r="20" spans="1:5" ht="15.75" customHeight="1" x14ac:dyDescent="0.25">
      <c r="A20" s="55" t="s">
        <v>197</v>
      </c>
      <c r="B20" s="114">
        <v>0</v>
      </c>
      <c r="C20" s="56">
        <v>0.95</v>
      </c>
      <c r="D20" s="94">
        <f>SUMPRODUCT(('IYCF cost'!$C$2:$E$6)*('IYCF packages'!$C$16:$E$20&lt;&gt;""))</f>
        <v>0.25</v>
      </c>
      <c r="E20" s="57" t="s">
        <v>202</v>
      </c>
    </row>
    <row r="21" spans="1:5" ht="15.75" customHeight="1" x14ac:dyDescent="0.25">
      <c r="A21" s="55" t="s">
        <v>193</v>
      </c>
      <c r="B21" s="114">
        <v>0</v>
      </c>
      <c r="C21" s="56">
        <v>0.95</v>
      </c>
      <c r="D21" s="57">
        <v>8.84</v>
      </c>
      <c r="E21" s="57" t="s">
        <v>202</v>
      </c>
    </row>
    <row r="22" spans="1:5" ht="15.75" customHeight="1" x14ac:dyDescent="0.25">
      <c r="A22" s="55" t="s">
        <v>136</v>
      </c>
      <c r="B22" s="114">
        <v>0</v>
      </c>
      <c r="C22" s="56">
        <v>0.95</v>
      </c>
      <c r="D22" s="57">
        <v>50</v>
      </c>
      <c r="E22" s="57" t="s">
        <v>202</v>
      </c>
    </row>
    <row r="23" spans="1:5" ht="15.75" customHeight="1" x14ac:dyDescent="0.25">
      <c r="A23" s="55" t="s">
        <v>34</v>
      </c>
      <c r="B23" s="114">
        <v>0</v>
      </c>
      <c r="C23" s="56">
        <v>0.95</v>
      </c>
      <c r="D23" s="57">
        <v>2.61</v>
      </c>
      <c r="E23" s="57" t="s">
        <v>202</v>
      </c>
    </row>
    <row r="24" spans="1:5" ht="15.75" customHeight="1" x14ac:dyDescent="0.25">
      <c r="A24" s="55" t="s">
        <v>88</v>
      </c>
      <c r="B24" s="114">
        <v>0</v>
      </c>
      <c r="C24" s="56">
        <v>0.95</v>
      </c>
      <c r="D24" s="57">
        <v>1</v>
      </c>
      <c r="E24" s="57" t="s">
        <v>202</v>
      </c>
    </row>
    <row r="25" spans="1:5" ht="15.75" customHeight="1" x14ac:dyDescent="0.25">
      <c r="A25" s="55" t="s">
        <v>87</v>
      </c>
      <c r="B25" s="114">
        <v>0</v>
      </c>
      <c r="C25" s="56">
        <v>0.95</v>
      </c>
      <c r="D25" s="57">
        <v>1</v>
      </c>
      <c r="E25" s="57" t="s">
        <v>202</v>
      </c>
    </row>
    <row r="26" spans="1:5" ht="15.75" customHeight="1" x14ac:dyDescent="0.25">
      <c r="A26" s="55" t="s">
        <v>137</v>
      </c>
      <c r="B26" s="114">
        <v>0</v>
      </c>
      <c r="C26" s="56">
        <v>0.95</v>
      </c>
      <c r="D26" s="57">
        <v>1</v>
      </c>
      <c r="E26" s="57" t="s">
        <v>202</v>
      </c>
    </row>
    <row r="27" spans="1:5" ht="15.75" customHeight="1" x14ac:dyDescent="0.25">
      <c r="A27" s="82" t="s">
        <v>59</v>
      </c>
      <c r="B27" s="114">
        <v>0</v>
      </c>
      <c r="C27" s="56">
        <v>0.95</v>
      </c>
      <c r="D27" s="57">
        <v>3.54</v>
      </c>
      <c r="E27" s="57" t="s">
        <v>202</v>
      </c>
    </row>
    <row r="28" spans="1:5" ht="15.75" customHeight="1" x14ac:dyDescent="0.25">
      <c r="A28" s="82" t="s">
        <v>84</v>
      </c>
      <c r="B28" s="101">
        <v>0.44</v>
      </c>
      <c r="C28" s="56">
        <v>0.95</v>
      </c>
      <c r="D28" s="57">
        <v>1</v>
      </c>
      <c r="E28" s="57" t="s">
        <v>202</v>
      </c>
    </row>
    <row r="29" spans="1:5" ht="15.75" customHeight="1" x14ac:dyDescent="0.25">
      <c r="A29" s="55" t="s">
        <v>58</v>
      </c>
      <c r="B29" s="114">
        <v>0</v>
      </c>
      <c r="C29" s="56">
        <v>0.95</v>
      </c>
      <c r="D29" s="57">
        <v>40.25</v>
      </c>
      <c r="E29" s="57" t="s">
        <v>202</v>
      </c>
    </row>
    <row r="30" spans="1:5" ht="15.75" customHeight="1" x14ac:dyDescent="0.25">
      <c r="A30" s="55" t="s">
        <v>67</v>
      </c>
      <c r="B30" s="114">
        <v>0</v>
      </c>
      <c r="C30" s="56">
        <v>0.95</v>
      </c>
      <c r="D30" s="95">
        <f>162*AVERAGE('Incidence of conditions'!B4:F4) + 0*AVERAGE('Incidence of conditions'!B3:F3)*IF(ISBLANK(manage_mam), 0, 1)</f>
        <v>3.9133776239999993</v>
      </c>
      <c r="E30" s="57" t="s">
        <v>202</v>
      </c>
    </row>
    <row r="31" spans="1:5" ht="15.75" customHeight="1" x14ac:dyDescent="0.25">
      <c r="A31" s="82" t="s">
        <v>28</v>
      </c>
      <c r="B31" s="101">
        <v>0.78700000000000003</v>
      </c>
      <c r="C31" s="56">
        <v>0.95</v>
      </c>
      <c r="D31" s="57">
        <v>0.55000000000000004</v>
      </c>
      <c r="E31" s="57" t="s">
        <v>202</v>
      </c>
    </row>
    <row r="32" spans="1:5" ht="15.75" customHeight="1" x14ac:dyDescent="0.25">
      <c r="A32" s="55" t="s">
        <v>83</v>
      </c>
      <c r="B32" s="114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4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4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4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4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2">
        <v>1.5599999999999999E-2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4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0.45107737999999997</v>
      </c>
      <c r="C3" s="28">
        <f>frac_mam_1_5months * 2.6</f>
        <v>0.45107737999999997</v>
      </c>
      <c r="D3" s="28">
        <f>frac_mam_6_11months * 2.6</f>
        <v>0.20281820000000003</v>
      </c>
      <c r="E3" s="28">
        <f>frac_mam_12_23months * 2.6</f>
        <v>0.19074666000000001</v>
      </c>
      <c r="F3" s="28">
        <f>frac_mam_24_59months * 2.6</f>
        <v>5.7068440000000005E-2</v>
      </c>
    </row>
    <row r="4" spans="1:6" ht="15.75" customHeight="1" x14ac:dyDescent="0.25">
      <c r="A4" s="3" t="s">
        <v>66</v>
      </c>
      <c r="B4" s="28">
        <f>frac_sam_1month * 2.6</f>
        <v>4.9733059999999996E-2</v>
      </c>
      <c r="C4" s="28">
        <f>frac_sam_1_5months * 2.6</f>
        <v>4.9733059999999996E-2</v>
      </c>
      <c r="D4" s="28">
        <f>frac_sam_6_11months * 2.6</f>
        <v>0</v>
      </c>
      <c r="E4" s="28">
        <f>frac_sam_12_23months * 2.6</f>
        <v>0</v>
      </c>
      <c r="F4" s="28">
        <f>frac_sam_24_59months * 2.6</f>
        <v>2.1317140000000002E-2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0.45</v>
      </c>
      <c r="E2" s="38">
        <f>food_insecure</f>
        <v>0.45</v>
      </c>
      <c r="F2" s="38">
        <f>food_insecure</f>
        <v>0.45</v>
      </c>
      <c r="G2" s="38">
        <f>food_insecure</f>
        <v>0.45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0.45</v>
      </c>
      <c r="F5" s="38">
        <f>food_insecure</f>
        <v>0.45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0.45</v>
      </c>
      <c r="F8" s="38">
        <f>food_insecure</f>
        <v>0.45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0.499</v>
      </c>
      <c r="E9" s="38">
        <f>IF(ISBLANK(comm_deliv), frac_children_health_facility,1)</f>
        <v>0.499</v>
      </c>
      <c r="F9" s="38">
        <f>IF(ISBLANK(comm_deliv), frac_children_health_facility,1)</f>
        <v>0.499</v>
      </c>
      <c r="G9" s="38">
        <f>IF(ISBLANK(comm_deliv), frac_children_health_facility,1)</f>
        <v>0.499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0.45</v>
      </c>
      <c r="I14" s="38">
        <f>food_insecure</f>
        <v>0.45</v>
      </c>
      <c r="J14" s="38">
        <f>food_insecure</f>
        <v>0.45</v>
      </c>
      <c r="K14" s="38">
        <f>food_insecure</f>
        <v>0.45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0.43219999999999997</v>
      </c>
      <c r="I17" s="38">
        <f>frac_PW_health_facility</f>
        <v>0.43219999999999997</v>
      </c>
      <c r="J17" s="38">
        <f>frac_PW_health_facility</f>
        <v>0.43219999999999997</v>
      </c>
      <c r="K17" s="38">
        <f>frac_PW_health_facility</f>
        <v>0.43219999999999997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0.47689999999999999</v>
      </c>
      <c r="I18" s="38">
        <f>frac_malaria_risk</f>
        <v>0.47689999999999999</v>
      </c>
      <c r="J18" s="38">
        <f>frac_malaria_risk</f>
        <v>0.47689999999999999</v>
      </c>
      <c r="K18" s="38">
        <f>frac_malaria_risk</f>
        <v>0.47689999999999999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0.23257255000000004</v>
      </c>
      <c r="M24" s="38">
        <f>(1-food_insecure)*(0.49)+food_insecure*(0.7)</f>
        <v>0.58450000000000002</v>
      </c>
      <c r="N24" s="38">
        <f>(1-food_insecure)*(0.49)+food_insecure*(0.7)</f>
        <v>0.58450000000000002</v>
      </c>
      <c r="O24" s="38">
        <f>(1-food_insecure)*(0.49)+food_insecure*(0.7)</f>
        <v>0.58450000000000002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9.9673950000000011E-2</v>
      </c>
      <c r="M25" s="38">
        <f>(1-food_insecure)*(0.21)+food_insecure*(0.3)</f>
        <v>0.2505</v>
      </c>
      <c r="N25" s="38">
        <f>(1-food_insecure)*(0.21)+food_insecure*(0.3)</f>
        <v>0.2505</v>
      </c>
      <c r="O25" s="38">
        <f>(1-food_insecure)*(0.21)+food_insecure*(0.3)</f>
        <v>0.2505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6.5653500000000004E-2</v>
      </c>
      <c r="M26" s="38">
        <f>(1-food_insecure)*(0.3)</f>
        <v>0.16500000000000001</v>
      </c>
      <c r="N26" s="38">
        <f>(1-food_insecure)*(0.3)</f>
        <v>0.16500000000000001</v>
      </c>
      <c r="O26" s="38">
        <f>(1-food_insecure)*(0.3)</f>
        <v>0.16500000000000001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0.60210000000000008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0.47689999999999999</v>
      </c>
      <c r="D33" s="38">
        <f t="shared" si="3"/>
        <v>0.47689999999999999</v>
      </c>
      <c r="E33" s="38">
        <f t="shared" si="3"/>
        <v>0.47689999999999999</v>
      </c>
      <c r="F33" s="38">
        <f t="shared" si="3"/>
        <v>0.47689999999999999</v>
      </c>
      <c r="G33" s="38">
        <f t="shared" si="3"/>
        <v>0.47689999999999999</v>
      </c>
      <c r="H33" s="38">
        <f t="shared" si="3"/>
        <v>0.47689999999999999</v>
      </c>
      <c r="I33" s="38">
        <f t="shared" si="3"/>
        <v>0.47689999999999999</v>
      </c>
      <c r="J33" s="38">
        <f t="shared" si="3"/>
        <v>0.47689999999999999</v>
      </c>
      <c r="K33" s="38">
        <f t="shared" si="3"/>
        <v>0.47689999999999999</v>
      </c>
      <c r="L33" s="38">
        <f t="shared" si="3"/>
        <v>0.47689999999999999</v>
      </c>
      <c r="M33" s="38">
        <f t="shared" si="3"/>
        <v>0.47689999999999999</v>
      </c>
      <c r="N33" s="38">
        <f t="shared" si="3"/>
        <v>0.47689999999999999</v>
      </c>
      <c r="O33" s="38">
        <f t="shared" si="3"/>
        <v>0.47689999999999999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E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16384" width="14.33203125" style="15"/>
  </cols>
  <sheetData>
    <row r="1" spans="1:4" ht="27" customHeight="1" x14ac:dyDescent="0.3">
      <c r="A1" s="1" t="s">
        <v>100</v>
      </c>
      <c r="B1" s="46" t="s">
        <v>164</v>
      </c>
      <c r="C1" s="88" t="s">
        <v>200</v>
      </c>
      <c r="D1" s="84"/>
    </row>
    <row r="2" spans="1:4" ht="16.05" customHeight="1" x14ac:dyDescent="0.25">
      <c r="A2" s="15" t="s">
        <v>189</v>
      </c>
      <c r="B2" s="46"/>
    </row>
    <row r="3" spans="1:4" ht="16.05" customHeight="1" x14ac:dyDescent="0.25">
      <c r="A3" s="1"/>
      <c r="B3" s="9" t="s">
        <v>191</v>
      </c>
      <c r="C3" s="70">
        <v>2017</v>
      </c>
    </row>
    <row r="4" spans="1:4" ht="16.05" customHeight="1" x14ac:dyDescent="0.25">
      <c r="A4" s="1"/>
      <c r="B4" s="12" t="s">
        <v>190</v>
      </c>
      <c r="C4" s="71">
        <v>2030</v>
      </c>
    </row>
    <row r="5" spans="1:4" ht="16.05" customHeight="1" x14ac:dyDescent="0.25">
      <c r="A5" s="1"/>
      <c r="B5" s="46"/>
    </row>
    <row r="6" spans="1:4" ht="15" customHeight="1" x14ac:dyDescent="0.25">
      <c r="A6" s="15" t="s">
        <v>48</v>
      </c>
    </row>
    <row r="7" spans="1:4" ht="15" customHeight="1" x14ac:dyDescent="0.25">
      <c r="B7" s="18" t="s">
        <v>199</v>
      </c>
      <c r="C7" s="78">
        <v>637862.24264639907</v>
      </c>
    </row>
    <row r="8" spans="1:4" ht="15" customHeight="1" x14ac:dyDescent="0.3">
      <c r="B8" s="9" t="s">
        <v>106</v>
      </c>
      <c r="C8" s="106">
        <v>0.45</v>
      </c>
    </row>
    <row r="9" spans="1:4" ht="38.25" customHeight="1" x14ac:dyDescent="0.25">
      <c r="A9" s="91"/>
      <c r="B9" s="12" t="s">
        <v>107</v>
      </c>
      <c r="C9" s="102">
        <v>0.47689999999999999</v>
      </c>
    </row>
    <row r="10" spans="1:4" ht="15" customHeight="1" x14ac:dyDescent="0.25">
      <c r="A10" s="91"/>
      <c r="B10" s="12" t="s">
        <v>105</v>
      </c>
      <c r="C10" s="101">
        <v>0.60209999999999997</v>
      </c>
    </row>
    <row r="11" spans="1:4" ht="15" customHeight="1" x14ac:dyDescent="0.25">
      <c r="A11" s="91"/>
      <c r="B11" s="9" t="s">
        <v>108</v>
      </c>
      <c r="C11" s="101">
        <v>0.43219999999999997</v>
      </c>
    </row>
    <row r="12" spans="1:4" ht="15" customHeight="1" x14ac:dyDescent="0.25">
      <c r="A12" s="91"/>
      <c r="B12" s="9" t="s">
        <v>109</v>
      </c>
      <c r="C12" s="101">
        <v>0.499</v>
      </c>
    </row>
    <row r="13" spans="1:4" ht="15" customHeight="1" x14ac:dyDescent="0.25">
      <c r="A13" s="91"/>
      <c r="B13" s="9" t="s">
        <v>110</v>
      </c>
      <c r="C13" s="101">
        <v>0.22500000000000001</v>
      </c>
    </row>
    <row r="14" spans="1:4" ht="15" customHeight="1" x14ac:dyDescent="0.25">
      <c r="B14" s="15"/>
    </row>
    <row r="15" spans="1:4" ht="15" customHeight="1" x14ac:dyDescent="0.25">
      <c r="A15" s="15" t="s">
        <v>30</v>
      </c>
      <c r="B15" s="19"/>
    </row>
    <row r="16" spans="1:4" ht="15" customHeight="1" x14ac:dyDescent="0.25">
      <c r="B16" s="12" t="s">
        <v>94</v>
      </c>
      <c r="C16" s="102">
        <v>0.59699999999999998</v>
      </c>
    </row>
    <row r="17" spans="1:5" ht="15" customHeight="1" x14ac:dyDescent="0.25">
      <c r="B17" s="12" t="s">
        <v>95</v>
      </c>
      <c r="C17" s="102">
        <v>0.1</v>
      </c>
    </row>
    <row r="18" spans="1:5" ht="15" customHeight="1" x14ac:dyDescent="0.25">
      <c r="B18" s="12" t="s">
        <v>96</v>
      </c>
      <c r="C18" s="102">
        <v>0.1</v>
      </c>
    </row>
    <row r="19" spans="1:5" ht="15" customHeight="1" x14ac:dyDescent="0.25">
      <c r="B19" s="12" t="s">
        <v>97</v>
      </c>
      <c r="C19" s="102">
        <v>0.1</v>
      </c>
    </row>
    <row r="20" spans="1:5" ht="15" customHeight="1" x14ac:dyDescent="0.25">
      <c r="B20" s="12" t="s">
        <v>98</v>
      </c>
      <c r="C20" s="102">
        <v>0.1</v>
      </c>
    </row>
    <row r="21" spans="1:5" ht="15" customHeight="1" x14ac:dyDescent="0.25">
      <c r="B21" s="15"/>
      <c r="C21" s="90"/>
    </row>
    <row r="22" spans="1:5" ht="15" customHeight="1" x14ac:dyDescent="0.25">
      <c r="A22" s="15" t="s">
        <v>99</v>
      </c>
      <c r="C22" s="90"/>
    </row>
    <row r="23" spans="1:5" ht="15" customHeight="1" x14ac:dyDescent="0.3">
      <c r="A23" s="91"/>
      <c r="B23" s="20" t="s">
        <v>101</v>
      </c>
      <c r="C23" s="101">
        <v>0.10680000000000001</v>
      </c>
      <c r="D23" s="86"/>
    </row>
    <row r="24" spans="1:5" ht="15" customHeight="1" x14ac:dyDescent="0.3">
      <c r="A24" s="91"/>
      <c r="B24" s="20" t="s">
        <v>102</v>
      </c>
      <c r="C24" s="101">
        <v>0.51339999999999997</v>
      </c>
      <c r="D24" s="86"/>
    </row>
    <row r="25" spans="1:5" ht="15" customHeight="1" x14ac:dyDescent="0.3">
      <c r="A25" s="91"/>
      <c r="B25" s="20" t="s">
        <v>103</v>
      </c>
      <c r="C25" s="101">
        <v>0.33600000000000002</v>
      </c>
      <c r="D25" s="86"/>
    </row>
    <row r="26" spans="1:5" ht="15" customHeight="1" x14ac:dyDescent="0.3">
      <c r="A26" s="91"/>
      <c r="B26" s="20" t="s">
        <v>104</v>
      </c>
      <c r="C26" s="101">
        <v>4.3900000000000002E-2</v>
      </c>
      <c r="D26" s="86"/>
    </row>
    <row r="27" spans="1:5" ht="15" customHeight="1" x14ac:dyDescent="0.25">
      <c r="B27" s="20"/>
      <c r="C27" s="90"/>
    </row>
    <row r="28" spans="1:5" ht="15" customHeight="1" x14ac:dyDescent="0.25">
      <c r="A28" s="15" t="s">
        <v>194</v>
      </c>
      <c r="B28" s="20"/>
      <c r="C28" s="90"/>
    </row>
    <row r="29" spans="1:5" ht="14.25" customHeight="1" x14ac:dyDescent="0.25">
      <c r="A29" s="91"/>
      <c r="B29" s="32" t="s">
        <v>75</v>
      </c>
      <c r="C29" s="103">
        <v>0.16900000000000001</v>
      </c>
    </row>
    <row r="30" spans="1:5" ht="14.25" customHeight="1" x14ac:dyDescent="0.3">
      <c r="A30" s="91"/>
      <c r="B30" s="32" t="s">
        <v>76</v>
      </c>
      <c r="C30" s="103">
        <v>9.0700000000000003E-2</v>
      </c>
      <c r="D30" s="86"/>
      <c r="E30" s="85"/>
    </row>
    <row r="31" spans="1:5" ht="14.25" customHeight="1" x14ac:dyDescent="0.3">
      <c r="A31" s="91"/>
      <c r="B31" s="32" t="s">
        <v>77</v>
      </c>
      <c r="C31" s="103">
        <v>0.14369999999999999</v>
      </c>
      <c r="D31" s="86"/>
      <c r="E31" s="85"/>
    </row>
    <row r="32" spans="1:5" ht="14.25" customHeight="1" x14ac:dyDescent="0.25">
      <c r="A32" s="91"/>
      <c r="B32" s="32" t="s">
        <v>78</v>
      </c>
      <c r="C32" s="103">
        <v>0.59660000000000002</v>
      </c>
    </row>
    <row r="33" spans="1:4" ht="13.2" x14ac:dyDescent="0.25">
      <c r="B33" s="34" t="s">
        <v>129</v>
      </c>
      <c r="C33" s="112">
        <f>SUM(C29:C32)</f>
        <v>1</v>
      </c>
    </row>
    <row r="34" spans="1:4" ht="15" customHeight="1" x14ac:dyDescent="0.25">
      <c r="C34" s="105"/>
    </row>
    <row r="35" spans="1:4" ht="15" customHeight="1" x14ac:dyDescent="0.25">
      <c r="A35" s="4" t="s">
        <v>135</v>
      </c>
      <c r="C35" s="105"/>
    </row>
    <row r="36" spans="1:4" ht="15" customHeight="1" x14ac:dyDescent="0.25">
      <c r="A36" s="15" t="s">
        <v>74</v>
      </c>
      <c r="B36" s="9"/>
      <c r="C36" s="105"/>
    </row>
    <row r="37" spans="1:4" ht="15" customHeight="1" x14ac:dyDescent="0.25">
      <c r="A37" s="91"/>
      <c r="B37" s="47" t="s">
        <v>92</v>
      </c>
      <c r="C37" s="104">
        <v>21.271600000000003</v>
      </c>
      <c r="D37" s="87"/>
    </row>
    <row r="38" spans="1:4" ht="15" customHeight="1" x14ac:dyDescent="0.25">
      <c r="A38" s="91"/>
      <c r="B38" s="18" t="s">
        <v>91</v>
      </c>
      <c r="C38" s="104">
        <v>53.7074</v>
      </c>
      <c r="D38" s="87"/>
    </row>
    <row r="39" spans="1:4" ht="15" customHeight="1" x14ac:dyDescent="0.25">
      <c r="A39" s="91"/>
      <c r="B39" s="18" t="s">
        <v>90</v>
      </c>
      <c r="C39" s="104">
        <v>107.8999</v>
      </c>
      <c r="D39" s="96"/>
    </row>
    <row r="40" spans="1:4" ht="15" customHeight="1" x14ac:dyDescent="0.3">
      <c r="B40" s="18" t="s">
        <v>201</v>
      </c>
      <c r="C40" s="104">
        <v>84.600000000000009</v>
      </c>
      <c r="D40" s="97"/>
    </row>
    <row r="41" spans="1:4" ht="26.7" customHeight="1" x14ac:dyDescent="0.25">
      <c r="B41" s="18" t="s">
        <v>89</v>
      </c>
      <c r="C41" s="102">
        <v>0.13</v>
      </c>
      <c r="D41" s="98"/>
    </row>
    <row r="42" spans="1:4" ht="15" customHeight="1" x14ac:dyDescent="0.25">
      <c r="B42" s="47" t="s">
        <v>93</v>
      </c>
      <c r="C42" s="104">
        <v>27.27</v>
      </c>
      <c r="D42" s="99"/>
    </row>
    <row r="43" spans="1:4" ht="15.75" customHeight="1" x14ac:dyDescent="0.25">
      <c r="C43" s="105"/>
      <c r="D43" s="100"/>
    </row>
    <row r="44" spans="1:4" ht="15.75" customHeight="1" x14ac:dyDescent="0.25">
      <c r="A44" s="15" t="s">
        <v>133</v>
      </c>
      <c r="C44" s="105"/>
    </row>
    <row r="45" spans="1:4" ht="15.75" customHeight="1" x14ac:dyDescent="0.25">
      <c r="B45" s="18" t="s">
        <v>9</v>
      </c>
      <c r="C45" s="102">
        <v>1.9099999999999999E-2</v>
      </c>
    </row>
    <row r="46" spans="1:4" ht="15.75" customHeight="1" x14ac:dyDescent="0.25">
      <c r="B46" s="18" t="s">
        <v>11</v>
      </c>
      <c r="C46" s="102">
        <v>9.98E-2</v>
      </c>
    </row>
    <row r="47" spans="1:4" ht="15.75" customHeight="1" x14ac:dyDescent="0.25">
      <c r="B47" s="18" t="s">
        <v>12</v>
      </c>
      <c r="C47" s="102">
        <v>0.2</v>
      </c>
    </row>
    <row r="48" spans="1:4" ht="15" customHeight="1" x14ac:dyDescent="0.25">
      <c r="B48" s="18" t="s">
        <v>26</v>
      </c>
      <c r="C48" s="113">
        <f>1-term_SGA-preterm_AGA-preterm_SGA</f>
        <v>0.68110000000000004</v>
      </c>
    </row>
    <row r="50" spans="1:4" ht="15.75" customHeight="1" x14ac:dyDescent="0.25">
      <c r="A50" s="15" t="s">
        <v>72</v>
      </c>
    </row>
    <row r="51" spans="1:4" ht="15.75" customHeight="1" x14ac:dyDescent="0.25">
      <c r="B51" s="18" t="s">
        <v>124</v>
      </c>
      <c r="C51" s="7">
        <v>3.3</v>
      </c>
    </row>
    <row r="52" spans="1:4" ht="15" customHeight="1" x14ac:dyDescent="0.25">
      <c r="B52" s="18" t="s">
        <v>125</v>
      </c>
      <c r="C52" s="7">
        <v>3.3</v>
      </c>
    </row>
    <row r="53" spans="1:4" ht="15.75" customHeight="1" x14ac:dyDescent="0.25">
      <c r="B53" s="18" t="s">
        <v>126</v>
      </c>
      <c r="C53" s="7">
        <v>3.3</v>
      </c>
    </row>
    <row r="54" spans="1:4" ht="15.75" customHeight="1" x14ac:dyDescent="0.25">
      <c r="B54" s="18" t="s">
        <v>127</v>
      </c>
      <c r="C54" s="7">
        <v>3.3</v>
      </c>
    </row>
    <row r="55" spans="1:4" ht="15.75" customHeight="1" x14ac:dyDescent="0.25">
      <c r="B55" s="18" t="s">
        <v>128</v>
      </c>
      <c r="C55" s="7">
        <v>3.3</v>
      </c>
    </row>
    <row r="57" spans="1:4" ht="15.75" customHeight="1" x14ac:dyDescent="0.25">
      <c r="A57" s="15" t="s">
        <v>134</v>
      </c>
    </row>
    <row r="58" spans="1:4" ht="15.75" customHeight="1" x14ac:dyDescent="0.3">
      <c r="B58" s="9" t="s">
        <v>111</v>
      </c>
      <c r="C58" s="101">
        <v>0.16139999999999999</v>
      </c>
      <c r="D58" s="86"/>
    </row>
    <row r="59" spans="1:4" ht="65.7" customHeight="1" x14ac:dyDescent="0.25">
      <c r="B59" s="18" t="s">
        <v>132</v>
      </c>
      <c r="C59" s="107">
        <v>0.43519999999999998</v>
      </c>
    </row>
    <row r="60" spans="1:4" ht="15.75" customHeight="1" x14ac:dyDescent="0.25">
      <c r="C60" s="9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144690.81598536143</v>
      </c>
      <c r="C2" s="78">
        <v>186619.59864569418</v>
      </c>
      <c r="D2" s="78">
        <v>270884.44368777995</v>
      </c>
      <c r="E2" s="78">
        <v>194575.37006810619</v>
      </c>
      <c r="F2" s="78">
        <v>121239.37925036743</v>
      </c>
      <c r="G2" s="23">
        <f t="shared" ref="G2:G15" si="0">C2+D2+E2+F2</f>
        <v>773318.79165194777</v>
      </c>
      <c r="H2" s="23">
        <f>(B2 + stillbirth*B2/(1000-stillbirth))/(1-abortion)</f>
        <v>170973.7365371632</v>
      </c>
      <c r="I2" s="23">
        <f t="shared" ref="I2:I13" si="1">G2-H2</f>
        <v>602345.05511478451</v>
      </c>
    </row>
    <row r="3" spans="1:9" ht="15.75" customHeight="1" x14ac:dyDescent="0.25">
      <c r="A3" s="9">
        <v>2018</v>
      </c>
      <c r="B3" s="77">
        <v>148521.23178631809</v>
      </c>
      <c r="C3" s="78">
        <v>193826.35336383252</v>
      </c>
      <c r="D3" s="78">
        <v>279743.00735232705</v>
      </c>
      <c r="E3" s="78">
        <v>201185.23455371268</v>
      </c>
      <c r="F3" s="78">
        <v>125029.68311815381</v>
      </c>
      <c r="G3" s="23">
        <f t="shared" si="0"/>
        <v>799784.27838802605</v>
      </c>
      <c r="H3" s="23">
        <f>(B3 + stillbirth*B3/(1000-stillbirth))/(1-abortion)</f>
        <v>175499.94296927573</v>
      </c>
      <c r="I3" s="23">
        <f t="shared" si="1"/>
        <v>624284.3354187503</v>
      </c>
    </row>
    <row r="4" spans="1:9" ht="15.75" customHeight="1" x14ac:dyDescent="0.25">
      <c r="A4" s="9">
        <v>2019</v>
      </c>
      <c r="B4" s="77">
        <v>152242.60680720396</v>
      </c>
      <c r="C4" s="78">
        <v>201359.11323261436</v>
      </c>
      <c r="D4" s="78">
        <v>289044.27965754014</v>
      </c>
      <c r="E4" s="78">
        <v>208066.94083177985</v>
      </c>
      <c r="F4" s="78">
        <v>129141.08481168319</v>
      </c>
      <c r="G4" s="23">
        <f t="shared" si="0"/>
        <v>827611.41853361751</v>
      </c>
      <c r="H4" s="23">
        <f>(B4 + stillbirth*B4/(1000-stillbirth))/(1-abortion)</f>
        <v>179897.30148884677</v>
      </c>
      <c r="I4" s="23">
        <f t="shared" si="1"/>
        <v>647714.11704477074</v>
      </c>
    </row>
    <row r="5" spans="1:9" ht="15.75" customHeight="1" x14ac:dyDescent="0.25">
      <c r="A5" s="9">
        <v>2020</v>
      </c>
      <c r="B5" s="77">
        <v>155897.427853959</v>
      </c>
      <c r="C5" s="78">
        <v>209195.09727707022</v>
      </c>
      <c r="D5" s="78">
        <v>298874.88399849227</v>
      </c>
      <c r="E5" s="78">
        <v>215179.57596305961</v>
      </c>
      <c r="F5" s="78">
        <v>133905.3086482262</v>
      </c>
      <c r="G5" s="23">
        <f t="shared" si="0"/>
        <v>857154.8658868483</v>
      </c>
      <c r="H5" s="23">
        <f>(B5 + stillbirth*B5/(1000-stillbirth))/(1-abortion)</f>
        <v>184216.0165813209</v>
      </c>
      <c r="I5" s="23">
        <f t="shared" si="1"/>
        <v>672938.8493055274</v>
      </c>
    </row>
    <row r="6" spans="1:9" ht="15.75" customHeight="1" x14ac:dyDescent="0.25">
      <c r="A6" s="9">
        <v>2021</v>
      </c>
      <c r="B6" s="77">
        <v>159841.53278696557</v>
      </c>
      <c r="C6" s="78">
        <v>217289.95196833034</v>
      </c>
      <c r="D6" s="78">
        <v>309291.4325152706</v>
      </c>
      <c r="E6" s="78">
        <v>222506.3427171064</v>
      </c>
      <c r="F6" s="78">
        <v>138464.59877743706</v>
      </c>
      <c r="G6" s="23">
        <f t="shared" si="0"/>
        <v>887552.32597814454</v>
      </c>
      <c r="H6" s="23">
        <f>(B6 + stillbirth*B6/(1000-stillbirth))/(1-abortion)</f>
        <v>188876.5636457525</v>
      </c>
      <c r="I6" s="23">
        <f t="shared" si="1"/>
        <v>698675.76233239204</v>
      </c>
    </row>
    <row r="7" spans="1:9" ht="15.75" customHeight="1" x14ac:dyDescent="0.25">
      <c r="A7" s="9">
        <v>2022</v>
      </c>
      <c r="B7" s="77">
        <v>163737.45994104841</v>
      </c>
      <c r="C7" s="78">
        <v>225620.62779340986</v>
      </c>
      <c r="D7" s="78">
        <v>320294.6925410991</v>
      </c>
      <c r="E7" s="78">
        <v>230041.86245320007</v>
      </c>
      <c r="F7" s="78">
        <v>143228.53977960482</v>
      </c>
      <c r="G7" s="23">
        <f t="shared" si="0"/>
        <v>919185.72256731382</v>
      </c>
      <c r="H7" s="23">
        <f>(B7 + stillbirth*B7/(1000-stillbirth))/(1-abortion)</f>
        <v>193480.18149304925</v>
      </c>
      <c r="I7" s="23">
        <f t="shared" si="1"/>
        <v>725705.54107426456</v>
      </c>
    </row>
    <row r="8" spans="1:9" ht="15.75" customHeight="1" x14ac:dyDescent="0.25">
      <c r="A8" s="9">
        <v>2023</v>
      </c>
      <c r="B8" s="77">
        <v>167712.93038927851</v>
      </c>
      <c r="C8" s="78">
        <v>234124.73442007418</v>
      </c>
      <c r="D8" s="78">
        <v>331938.93158676912</v>
      </c>
      <c r="E8" s="78">
        <v>237760.56458431066</v>
      </c>
      <c r="F8" s="78">
        <v>148205.25304179051</v>
      </c>
      <c r="G8" s="23">
        <f t="shared" si="0"/>
        <v>952029.48363294452</v>
      </c>
      <c r="H8" s="23">
        <f>(B8 + stillbirth*B8/(1000-stillbirth))/(1-abortion)</f>
        <v>198177.79158252262</v>
      </c>
      <c r="I8" s="23">
        <f t="shared" si="1"/>
        <v>753851.69205042184</v>
      </c>
    </row>
    <row r="9" spans="1:9" ht="15.75" customHeight="1" x14ac:dyDescent="0.25">
      <c r="A9" s="9">
        <v>2024</v>
      </c>
      <c r="B9" s="77">
        <v>172017.99940260703</v>
      </c>
      <c r="C9" s="78">
        <v>242737.91223730939</v>
      </c>
      <c r="D9" s="78">
        <v>344282.89327354578</v>
      </c>
      <c r="E9" s="78">
        <v>245662.27276156202</v>
      </c>
      <c r="F9" s="78">
        <v>153394.65775417263</v>
      </c>
      <c r="G9" s="23">
        <f t="shared" si="0"/>
        <v>986077.73602658976</v>
      </c>
      <c r="H9" s="23">
        <f>(B9 + stillbirth*B9/(1000-stillbirth))/(1-abortion)</f>
        <v>203264.87143791307</v>
      </c>
      <c r="I9" s="23">
        <f t="shared" si="1"/>
        <v>782812.86458867672</v>
      </c>
    </row>
    <row r="10" spans="1:9" ht="15.75" customHeight="1" x14ac:dyDescent="0.25">
      <c r="A10" s="9">
        <v>2025</v>
      </c>
      <c r="B10" s="77">
        <v>176486.28204570684</v>
      </c>
      <c r="C10" s="78">
        <v>251421.04420754508</v>
      </c>
      <c r="D10" s="78">
        <v>357359.14663382852</v>
      </c>
      <c r="E10" s="78">
        <v>253795.61518753029</v>
      </c>
      <c r="F10" s="78">
        <v>158774.61202565933</v>
      </c>
      <c r="G10" s="23">
        <f t="shared" si="0"/>
        <v>1021350.4180545632</v>
      </c>
      <c r="H10" s="23">
        <f>(B10 + stillbirth*B10/(1000-stillbirth))/(1-abortion)</f>
        <v>208544.81249147808</v>
      </c>
      <c r="I10" s="23">
        <f t="shared" si="1"/>
        <v>812805.60556308518</v>
      </c>
    </row>
    <row r="11" spans="1:9" ht="15.75" customHeight="1" x14ac:dyDescent="0.25">
      <c r="A11" s="9">
        <v>2026</v>
      </c>
      <c r="B11" s="77">
        <v>180835.31491139857</v>
      </c>
      <c r="C11" s="78">
        <v>260102.69921869636</v>
      </c>
      <c r="D11" s="78">
        <v>371093.34560412954</v>
      </c>
      <c r="E11" s="78">
        <v>262173.2448940734</v>
      </c>
      <c r="F11" s="78">
        <v>164327.94376918115</v>
      </c>
      <c r="G11" s="23">
        <f t="shared" si="0"/>
        <v>1057697.2334860805</v>
      </c>
      <c r="H11" s="23">
        <f>(B11 + stillbirth*B11/(1000-stillbirth))/(1-abortion)</f>
        <v>213683.84218252264</v>
      </c>
      <c r="I11" s="23">
        <f t="shared" si="1"/>
        <v>844013.3913035579</v>
      </c>
    </row>
    <row r="12" spans="1:9" ht="15.75" customHeight="1" x14ac:dyDescent="0.25">
      <c r="A12" s="9">
        <v>2027</v>
      </c>
      <c r="B12" s="77">
        <v>185717.56153589062</v>
      </c>
      <c r="C12" s="78">
        <v>268755.79968754796</v>
      </c>
      <c r="D12" s="78">
        <v>385420.52263814403</v>
      </c>
      <c r="E12" s="78">
        <v>270856.22267953033</v>
      </c>
      <c r="F12" s="78">
        <v>170082.4515633352</v>
      </c>
      <c r="G12" s="23">
        <f t="shared" si="0"/>
        <v>1095114.9965685576</v>
      </c>
      <c r="H12" s="23">
        <f>(B12 + stillbirth*B12/(1000-stillbirth))/(1-abortion)</f>
        <v>219452.94329927777</v>
      </c>
      <c r="I12" s="23">
        <f t="shared" si="1"/>
        <v>875662.05326927977</v>
      </c>
    </row>
    <row r="13" spans="1:9" ht="15.75" customHeight="1" x14ac:dyDescent="0.25">
      <c r="A13" s="9">
        <v>2028</v>
      </c>
      <c r="B13" s="77">
        <v>190259.60961507019</v>
      </c>
      <c r="C13" s="78">
        <v>277357.29610111512</v>
      </c>
      <c r="D13" s="78">
        <v>400240.88178711903</v>
      </c>
      <c r="E13" s="78">
        <v>279913.54504166311</v>
      </c>
      <c r="F13" s="78">
        <v>176053.89332331458</v>
      </c>
      <c r="G13" s="23">
        <f t="shared" si="0"/>
        <v>1133565.6162532119</v>
      </c>
      <c r="H13" s="23">
        <f>(B13 + stillbirth*B13/(1000-stillbirth))/(1-abortion)</f>
        <v>224820.04919566956</v>
      </c>
      <c r="I13" s="23">
        <f t="shared" si="1"/>
        <v>908745.56705754227</v>
      </c>
    </row>
    <row r="14" spans="1:9" ht="15.75" customHeight="1" x14ac:dyDescent="0.25">
      <c r="A14" s="9">
        <v>2029</v>
      </c>
      <c r="B14" s="8">
        <v>195036.94250096823</v>
      </c>
      <c r="C14" s="22">
        <v>285879.70806915965</v>
      </c>
      <c r="D14" s="22">
        <v>415472.65943306737</v>
      </c>
      <c r="E14" s="22">
        <v>289419.58711895399</v>
      </c>
      <c r="F14" s="22">
        <v>182252.45108662877</v>
      </c>
      <c r="G14" s="23">
        <f t="shared" si="0"/>
        <v>1173024.4057078096</v>
      </c>
      <c r="H14" s="23">
        <f>(B14 + stillbirth*B14/(1000-stillbirth))/(1-abortion)</f>
        <v>230465.17911370454</v>
      </c>
      <c r="I14" s="23">
        <f t="shared" ref="I14:I15" si="2">G14-H14</f>
        <v>942559.22659410513</v>
      </c>
    </row>
    <row r="15" spans="1:9" ht="15.75" customHeight="1" x14ac:dyDescent="0.25">
      <c r="A15" s="9">
        <v>2030</v>
      </c>
      <c r="B15" s="8">
        <v>201809.50444945233</v>
      </c>
      <c r="C15" s="22">
        <v>294207.74327042152</v>
      </c>
      <c r="D15" s="22">
        <v>431061.28965783276</v>
      </c>
      <c r="E15" s="22">
        <v>299465.7858036448</v>
      </c>
      <c r="F15" s="22">
        <v>188660.87195638678</v>
      </c>
      <c r="G15" s="23">
        <f t="shared" si="0"/>
        <v>1213395.6906882857</v>
      </c>
      <c r="H15" s="23">
        <f>(B15 + stillbirth*B15/(1000-stillbirth))/(1-abortion)</f>
        <v>238467.96916209909</v>
      </c>
      <c r="I15" s="23">
        <f t="shared" si="2"/>
        <v>974927.72152618668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79"/>
  <sheetViews>
    <sheetView zoomScale="72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01">
        <v>0.56795980000000001</v>
      </c>
      <c r="D2" s="101">
        <v>0.56795980000000001</v>
      </c>
      <c r="E2" s="101">
        <v>0.66852959999999995</v>
      </c>
      <c r="F2" s="101">
        <v>0.36412640000000002</v>
      </c>
      <c r="G2" s="101">
        <v>0.1948841</v>
      </c>
    </row>
    <row r="3" spans="1:15" ht="15.75" customHeight="1" x14ac:dyDescent="0.25">
      <c r="A3" s="5"/>
      <c r="B3" s="14" t="s">
        <v>118</v>
      </c>
      <c r="C3" s="101">
        <v>0.23283319999999999</v>
      </c>
      <c r="D3" s="101">
        <v>0.23283319999999999</v>
      </c>
      <c r="E3" s="101">
        <v>0.20072599999999999</v>
      </c>
      <c r="F3" s="101">
        <v>0.23067119999999999</v>
      </c>
      <c r="G3" s="101">
        <v>0.1967824</v>
      </c>
    </row>
    <row r="4" spans="1:15" ht="15.75" customHeight="1" x14ac:dyDescent="0.25">
      <c r="A4" s="5"/>
      <c r="B4" s="14" t="s">
        <v>116</v>
      </c>
      <c r="C4" s="101">
        <v>7.20441E-2</v>
      </c>
      <c r="D4" s="101">
        <v>7.20441E-2</v>
      </c>
      <c r="E4" s="101">
        <v>8.1501699999999996E-2</v>
      </c>
      <c r="F4" s="101">
        <v>0.2428227</v>
      </c>
      <c r="G4" s="101">
        <v>0.25094650000000002</v>
      </c>
    </row>
    <row r="5" spans="1:15" ht="15.75" customHeight="1" x14ac:dyDescent="0.25">
      <c r="A5" s="5"/>
      <c r="B5" s="14" t="s">
        <v>119</v>
      </c>
      <c r="C5" s="101">
        <v>0.12716279999999999</v>
      </c>
      <c r="D5" s="101">
        <v>0.12716279999999999</v>
      </c>
      <c r="E5" s="101">
        <v>4.92427E-2</v>
      </c>
      <c r="F5" s="101">
        <v>0.16237969999999999</v>
      </c>
      <c r="G5" s="101">
        <v>0.35738710000000001</v>
      </c>
      <c r="H5" s="89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01">
        <v>0.67669049999999997</v>
      </c>
      <c r="D8" s="101">
        <v>0.67669049999999997</v>
      </c>
      <c r="E8" s="101">
        <v>0.44552170000000002</v>
      </c>
      <c r="F8" s="101">
        <v>0.72412779999999999</v>
      </c>
      <c r="G8" s="101">
        <v>0.83163540000000002</v>
      </c>
    </row>
    <row r="9" spans="1:15" ht="15.75" customHeight="1" x14ac:dyDescent="0.25">
      <c r="B9" s="9" t="s">
        <v>121</v>
      </c>
      <c r="C9" s="101">
        <v>0.1306901</v>
      </c>
      <c r="D9" s="101">
        <v>0.1306901</v>
      </c>
      <c r="E9" s="101">
        <v>0.47647139999999999</v>
      </c>
      <c r="F9" s="101">
        <v>0.2025081</v>
      </c>
      <c r="G9" s="101">
        <v>0.13821629999999999</v>
      </c>
    </row>
    <row r="10" spans="1:15" ht="15.75" customHeight="1" x14ac:dyDescent="0.25">
      <c r="B10" s="9" t="s">
        <v>122</v>
      </c>
      <c r="C10" s="101">
        <v>0.17349129999999999</v>
      </c>
      <c r="D10" s="101">
        <v>0.17349129999999999</v>
      </c>
      <c r="E10" s="101">
        <v>7.8007000000000007E-2</v>
      </c>
      <c r="F10" s="101">
        <v>7.3364100000000002E-2</v>
      </c>
      <c r="G10" s="101">
        <v>2.1949400000000001E-2</v>
      </c>
    </row>
    <row r="11" spans="1:15" ht="15.75" customHeight="1" x14ac:dyDescent="0.25">
      <c r="B11" s="9" t="s">
        <v>123</v>
      </c>
      <c r="C11" s="101">
        <v>1.9128099999999999E-2</v>
      </c>
      <c r="D11" s="101">
        <v>1.9128099999999999E-2</v>
      </c>
      <c r="E11" s="101">
        <v>0</v>
      </c>
      <c r="F11" s="101">
        <v>0</v>
      </c>
      <c r="G11" s="101">
        <v>8.1989000000000003E-3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01">
        <v>0.76049999999999995</v>
      </c>
      <c r="D14" s="101">
        <v>0.76049999999999995</v>
      </c>
      <c r="E14" s="101">
        <v>0.76049999999999995</v>
      </c>
      <c r="F14" s="101">
        <v>0.74129999999999996</v>
      </c>
      <c r="G14" s="101">
        <v>0.79039999999999999</v>
      </c>
      <c r="H14" s="108">
        <v>0.45</v>
      </c>
      <c r="I14" s="108">
        <v>0.4829</v>
      </c>
      <c r="J14" s="108">
        <v>0.62129999999999996</v>
      </c>
      <c r="K14" s="108">
        <v>1</v>
      </c>
      <c r="L14" s="108">
        <v>0.55810000000000004</v>
      </c>
      <c r="M14" s="108">
        <v>0.51690000000000003</v>
      </c>
      <c r="N14" s="108">
        <v>0.53210000000000002</v>
      </c>
      <c r="O14" s="108">
        <v>0.41639999999999999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0.33096959999999997</v>
      </c>
      <c r="D15" s="35">
        <f t="shared" si="0"/>
        <v>0.33096959999999997</v>
      </c>
      <c r="E15" s="35">
        <f t="shared" si="0"/>
        <v>0.33096959999999997</v>
      </c>
      <c r="F15" s="35">
        <f t="shared" si="0"/>
        <v>0.32261375999999997</v>
      </c>
      <c r="G15" s="35">
        <f t="shared" si="0"/>
        <v>0.34398207999999997</v>
      </c>
      <c r="H15" s="35">
        <f t="shared" si="0"/>
        <v>0.19583999999999999</v>
      </c>
      <c r="I15" s="35">
        <f t="shared" si="0"/>
        <v>0.21015808</v>
      </c>
      <c r="J15" s="35">
        <f t="shared" si="0"/>
        <v>0.27038975999999998</v>
      </c>
      <c r="K15" s="35">
        <f t="shared" si="0"/>
        <v>0.43519999999999998</v>
      </c>
      <c r="L15" s="35">
        <f t="shared" si="0"/>
        <v>0.24288512000000001</v>
      </c>
      <c r="M15" s="35">
        <f t="shared" si="0"/>
        <v>0.22495488</v>
      </c>
      <c r="N15" s="35">
        <f t="shared" si="0"/>
        <v>0.23156991999999998</v>
      </c>
      <c r="O15" s="35">
        <f t="shared" si="0"/>
        <v>0.18121727999999998</v>
      </c>
    </row>
    <row r="19" spans="1:13" ht="15.75" customHeight="1" x14ac:dyDescent="0.25">
      <c r="B19" s="110"/>
      <c r="C19" s="110"/>
      <c r="D19" s="110"/>
      <c r="E19" s="111"/>
      <c r="F19" s="110"/>
      <c r="G19" s="111"/>
      <c r="H19" s="110"/>
      <c r="I19" s="111"/>
      <c r="J19" s="15"/>
      <c r="L19" s="15"/>
    </row>
    <row r="20" spans="1:13" ht="15.75" customHeight="1" x14ac:dyDescent="0.25">
      <c r="A20" s="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.75" customHeight="1" x14ac:dyDescent="0.25">
      <c r="B21" s="92"/>
      <c r="D21" s="92"/>
      <c r="F21" s="92"/>
      <c r="H21" s="92"/>
      <c r="J21" s="92"/>
      <c r="L21" s="92"/>
      <c r="M21" s="85"/>
    </row>
    <row r="22" spans="1:13" ht="15.75" customHeight="1" x14ac:dyDescent="0.25">
      <c r="B22" s="92"/>
      <c r="D22" s="92"/>
      <c r="F22" s="92"/>
      <c r="H22" s="92"/>
      <c r="J22" s="92"/>
      <c r="L22" s="92"/>
      <c r="M22" s="85"/>
    </row>
    <row r="23" spans="1:13" ht="15.75" customHeight="1" x14ac:dyDescent="0.25">
      <c r="B23" s="92"/>
      <c r="D23" s="92"/>
      <c r="F23" s="92"/>
      <c r="H23" s="92"/>
      <c r="J23" s="92"/>
      <c r="L23" s="92"/>
      <c r="M23" s="85"/>
    </row>
    <row r="24" spans="1:13" ht="15.75" customHeight="1" x14ac:dyDescent="0.25">
      <c r="B24" s="92"/>
      <c r="D24" s="92"/>
      <c r="F24" s="92"/>
      <c r="H24" s="92"/>
      <c r="J24" s="92"/>
      <c r="L24" s="92"/>
      <c r="M24" s="85"/>
    </row>
    <row r="25" spans="1:13" ht="15.75" customHeight="1" x14ac:dyDescent="0.25">
      <c r="B25" s="92"/>
      <c r="D25" s="92"/>
      <c r="F25" s="92"/>
      <c r="H25" s="92"/>
      <c r="J25" s="92"/>
      <c r="L25" s="92"/>
      <c r="M25" s="85"/>
    </row>
    <row r="26" spans="1:13" ht="15.75" customHeight="1" x14ac:dyDescent="0.25">
      <c r="B26" s="92"/>
      <c r="D26" s="92"/>
      <c r="F26" s="92"/>
      <c r="H26" s="92"/>
      <c r="J26" s="92"/>
      <c r="L26" s="92"/>
      <c r="M26" s="85"/>
    </row>
    <row r="27" spans="1:13" ht="15.75" customHeight="1" x14ac:dyDescent="0.25">
      <c r="B27" s="92"/>
      <c r="D27" s="92"/>
      <c r="F27" s="92"/>
      <c r="H27" s="92"/>
      <c r="J27" s="92"/>
      <c r="L27" s="92"/>
      <c r="M27" s="85"/>
    </row>
    <row r="28" spans="1:13" ht="15.75" customHeight="1" x14ac:dyDescent="0.25">
      <c r="B28" s="92"/>
      <c r="D28" s="92"/>
      <c r="F28" s="92"/>
      <c r="H28" s="92"/>
      <c r="J28" s="92"/>
      <c r="L28" s="92"/>
      <c r="M28" s="85"/>
    </row>
    <row r="29" spans="1:13" ht="15.75" customHeight="1" x14ac:dyDescent="0.25">
      <c r="B29" s="92"/>
      <c r="D29" s="92"/>
      <c r="F29" s="92"/>
      <c r="H29" s="92"/>
      <c r="J29" s="92"/>
      <c r="L29" s="92"/>
      <c r="M29" s="85"/>
    </row>
    <row r="30" spans="1:13" ht="15.75" customHeight="1" x14ac:dyDescent="0.25">
      <c r="B30" s="92"/>
      <c r="D30" s="92"/>
      <c r="F30" s="92"/>
      <c r="H30" s="92"/>
      <c r="J30" s="92"/>
      <c r="L30" s="92"/>
      <c r="M30" s="85"/>
    </row>
    <row r="31" spans="1:13" ht="15.75" customHeight="1" x14ac:dyDescent="0.25">
      <c r="B31" s="92"/>
      <c r="D31" s="92"/>
      <c r="F31" s="92"/>
      <c r="H31" s="92"/>
      <c r="J31" s="92"/>
      <c r="L31" s="92"/>
      <c r="M31" s="85"/>
    </row>
    <row r="32" spans="1:13" ht="15.75" customHeight="1" x14ac:dyDescent="0.25">
      <c r="B32" s="92"/>
      <c r="D32" s="92"/>
      <c r="F32" s="92"/>
      <c r="H32" s="92"/>
      <c r="J32" s="92"/>
      <c r="L32" s="92"/>
      <c r="M32" s="85"/>
    </row>
    <row r="33" spans="2:13" ht="15.75" customHeight="1" x14ac:dyDescent="0.25">
      <c r="B33" s="92"/>
      <c r="D33" s="92"/>
      <c r="F33" s="92"/>
      <c r="H33" s="92"/>
      <c r="J33" s="92"/>
      <c r="L33" s="92"/>
      <c r="M33" s="85"/>
    </row>
    <row r="34" spans="2:13" ht="15.75" customHeight="1" x14ac:dyDescent="0.25">
      <c r="B34" s="92"/>
      <c r="D34" s="92"/>
      <c r="F34" s="92"/>
      <c r="H34" s="92"/>
      <c r="J34" s="92"/>
      <c r="L34" s="92"/>
      <c r="M34" s="85"/>
    </row>
    <row r="35" spans="2:13" ht="15.75" customHeight="1" x14ac:dyDescent="0.25">
      <c r="B35" s="92"/>
      <c r="D35" s="92"/>
      <c r="F35" s="92"/>
      <c r="H35" s="92"/>
      <c r="J35" s="92"/>
      <c r="L35" s="92"/>
      <c r="M35" s="85"/>
    </row>
    <row r="36" spans="2:13" ht="15.75" customHeight="1" x14ac:dyDescent="0.25">
      <c r="B36" s="92"/>
      <c r="D36" s="92"/>
      <c r="F36" s="92"/>
      <c r="H36" s="92"/>
      <c r="J36" s="92"/>
      <c r="L36" s="92"/>
      <c r="M36" s="85"/>
    </row>
    <row r="37" spans="2:13" ht="15.75" customHeight="1" x14ac:dyDescent="0.25">
      <c r="B37" s="92"/>
      <c r="D37" s="92"/>
      <c r="F37" s="92"/>
      <c r="H37" s="92"/>
      <c r="J37" s="92"/>
      <c r="L37" s="92"/>
      <c r="M37" s="85"/>
    </row>
    <row r="38" spans="2:13" ht="15.75" customHeight="1" x14ac:dyDescent="0.25">
      <c r="B38" s="92"/>
      <c r="D38" s="92"/>
      <c r="F38" s="92"/>
      <c r="H38" s="92"/>
      <c r="J38" s="92"/>
      <c r="L38" s="92"/>
      <c r="M38" s="85"/>
    </row>
    <row r="39" spans="2:13" ht="15.75" customHeight="1" x14ac:dyDescent="0.25">
      <c r="B39" s="92"/>
      <c r="D39" s="92"/>
      <c r="F39" s="92"/>
      <c r="H39" s="92"/>
      <c r="J39" s="92"/>
      <c r="L39" s="92"/>
      <c r="M39" s="85"/>
    </row>
    <row r="40" spans="2:13" ht="15.75" customHeight="1" x14ac:dyDescent="0.25">
      <c r="B40" s="92"/>
      <c r="D40" s="92"/>
      <c r="F40" s="92"/>
      <c r="H40" s="92"/>
      <c r="J40" s="92"/>
      <c r="L40" s="92"/>
      <c r="M40" s="85"/>
    </row>
    <row r="41" spans="2:13" ht="15.75" customHeight="1" x14ac:dyDescent="0.25">
      <c r="B41" s="92"/>
      <c r="D41" s="92"/>
      <c r="F41" s="92"/>
      <c r="H41" s="92"/>
      <c r="J41" s="92"/>
      <c r="L41" s="92"/>
      <c r="M41" s="85"/>
    </row>
    <row r="42" spans="2:13" ht="15.75" customHeight="1" x14ac:dyDescent="0.25">
      <c r="B42" s="92"/>
      <c r="D42" s="92"/>
      <c r="F42" s="92"/>
      <c r="H42" s="92"/>
      <c r="J42" s="92"/>
      <c r="L42" s="92"/>
      <c r="M42" s="85"/>
    </row>
    <row r="43" spans="2:13" ht="15.75" customHeight="1" x14ac:dyDescent="0.25">
      <c r="B43" s="92"/>
      <c r="D43" s="92"/>
      <c r="F43" s="92"/>
      <c r="H43" s="92"/>
      <c r="J43" s="92"/>
      <c r="L43" s="92"/>
      <c r="M43" s="85"/>
    </row>
    <row r="44" spans="2:13" ht="15.75" customHeight="1" x14ac:dyDescent="0.25">
      <c r="B44" s="92"/>
      <c r="D44" s="92"/>
      <c r="F44" s="92"/>
      <c r="H44" s="92"/>
      <c r="J44" s="92"/>
      <c r="L44" s="92"/>
      <c r="M44" s="85"/>
    </row>
    <row r="45" spans="2:13" ht="15.75" customHeight="1" x14ac:dyDescent="0.25">
      <c r="B45" s="92"/>
      <c r="D45" s="92"/>
      <c r="F45" s="92"/>
      <c r="H45" s="92"/>
      <c r="J45" s="92"/>
      <c r="L45" s="92"/>
      <c r="M45" s="85"/>
    </row>
    <row r="46" spans="2:13" ht="15.75" customHeight="1" x14ac:dyDescent="0.25">
      <c r="B46" s="92"/>
      <c r="D46" s="92"/>
      <c r="F46" s="92"/>
      <c r="H46" s="92"/>
      <c r="J46" s="92"/>
      <c r="L46" s="92"/>
      <c r="M46" s="85"/>
    </row>
    <row r="47" spans="2:13" ht="15.75" customHeight="1" x14ac:dyDescent="0.25">
      <c r="J47" s="92"/>
      <c r="L47" s="92"/>
      <c r="M47" s="85"/>
    </row>
    <row r="79" spans="14:14" ht="15.75" customHeight="1" x14ac:dyDescent="0.25">
      <c r="N79">
        <v>30</v>
      </c>
    </row>
  </sheetData>
  <mergeCells count="4">
    <mergeCell ref="B19:C19"/>
    <mergeCell ref="D19:E19"/>
    <mergeCell ref="F19:G19"/>
    <mergeCell ref="H19:I19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101">
        <v>0.74815129999999996</v>
      </c>
      <c r="D2" s="101">
        <v>0.43913570000000002</v>
      </c>
      <c r="E2" s="101">
        <v>0</v>
      </c>
      <c r="F2" s="101">
        <v>0</v>
      </c>
      <c r="G2" s="101">
        <v>0</v>
      </c>
    </row>
    <row r="3" spans="1:7" x14ac:dyDescent="0.25">
      <c r="B3" s="48" t="s">
        <v>166</v>
      </c>
      <c r="C3" s="109">
        <v>0.25184869999999998</v>
      </c>
      <c r="D3" s="109">
        <v>0.3333198</v>
      </c>
      <c r="E3" s="109">
        <v>0</v>
      </c>
      <c r="F3" s="109">
        <v>0</v>
      </c>
      <c r="G3" s="109">
        <v>0</v>
      </c>
    </row>
    <row r="4" spans="1:7" x14ac:dyDescent="0.25">
      <c r="B4" s="48" t="s">
        <v>167</v>
      </c>
      <c r="C4" s="109">
        <v>0</v>
      </c>
      <c r="D4" s="109">
        <v>0.22754450000000001</v>
      </c>
      <c r="E4" s="103">
        <v>0.99308859999999999</v>
      </c>
      <c r="F4" s="103">
        <v>0.81574480000000005</v>
      </c>
      <c r="G4" s="103">
        <v>0.28048299999999998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0</v>
      </c>
      <c r="E5" s="35">
        <f t="shared" si="0"/>
        <v>6.911400000000012E-3</v>
      </c>
      <c r="F5" s="35">
        <f t="shared" si="0"/>
        <v>0.18425519999999995</v>
      </c>
      <c r="G5" s="35">
        <f t="shared" si="0"/>
        <v>0.71951699999999996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2018-11-14T07:01:59Z</dcterms:modified>
</cp:coreProperties>
</file>