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<sst xmlns="http://schemas.openxmlformats.org/spreadsheetml/2006/main" count="378" uniqueCount="210">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</sst>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0" fillId="0" borderId="0" xfId="0"/>
    <xf numFmtId="0" fontId="26" fillId="0" borderId="0" xfId="0" applyFont="1"/>
    <xf numFmtId="168" fontId="5" fillId="0" borderId="0" xfId="0" applyNumberFormat="1" applyFont="1" applyAlignmen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7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6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6" ht="56.7" customHeight="1" x14ac:dyDescent="0.25">
      <c r="A1" s="59" t="s">
        <v>69</v>
      </c>
      <c r="B1" s="112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6" ht="15.75" customHeight="1" x14ac:dyDescent="0.25">
      <c r="A2" s="55" t="s">
        <v>29</v>
      </c>
      <c r="B2" s="111">
        <v>0</v>
      </c>
      <c r="C2" s="56">
        <v>0.95</v>
      </c>
      <c r="D2" s="57">
        <v>25</v>
      </c>
      <c r="E2" s="57" t="s">
        <v>202</v>
      </c>
    </row>
    <row r="3" spans="1:6" ht="15.75" customHeight="1" x14ac:dyDescent="0.25">
      <c r="A3" s="55" t="s">
        <v>86</v>
      </c>
      <c r="B3" s="111">
        <v>0</v>
      </c>
      <c r="C3" s="56">
        <v>0.95</v>
      </c>
      <c r="D3" s="57">
        <v>1</v>
      </c>
      <c r="E3" s="57" t="s">
        <v>202</v>
      </c>
    </row>
    <row r="4" spans="1:6" ht="15.75" customHeight="1" x14ac:dyDescent="0.25">
      <c r="A4" s="55" t="s">
        <v>61</v>
      </c>
      <c r="B4" s="111">
        <v>0</v>
      </c>
      <c r="C4" s="56">
        <v>0.95</v>
      </c>
      <c r="D4" s="57">
        <f>180</f>
        <v>180</v>
      </c>
      <c r="E4" s="57" t="s">
        <v>202</v>
      </c>
    </row>
    <row r="5" spans="1:6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6" ht="15.75" customHeight="1" x14ac:dyDescent="0.25">
      <c r="A6" s="82" t="s">
        <v>195</v>
      </c>
      <c r="B6" s="99">
        <v>0.14000000000000001</v>
      </c>
      <c r="C6" s="56">
        <v>0.95</v>
      </c>
      <c r="D6" s="91">
        <f>SUM('Programs family planning'!E2:E10)</f>
        <v>0.82100000000000006</v>
      </c>
      <c r="E6" s="57" t="s">
        <v>202</v>
      </c>
    </row>
    <row r="7" spans="1:6" ht="15.75" customHeight="1" x14ac:dyDescent="0.25">
      <c r="A7" s="55" t="s">
        <v>63</v>
      </c>
      <c r="B7" s="111">
        <v>0</v>
      </c>
      <c r="C7" s="56">
        <v>0.95</v>
      </c>
      <c r="D7" s="57">
        <v>0.82</v>
      </c>
      <c r="E7" s="57" t="s">
        <v>202</v>
      </c>
    </row>
    <row r="8" spans="1:6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6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6" ht="15.75" customHeight="1" x14ac:dyDescent="0.25">
      <c r="A10" s="67" t="s">
        <v>186</v>
      </c>
      <c r="B10" s="111">
        <v>0</v>
      </c>
      <c r="C10" s="56">
        <v>0.95</v>
      </c>
      <c r="D10" s="57">
        <v>0.73</v>
      </c>
      <c r="E10" s="57" t="s">
        <v>202</v>
      </c>
    </row>
    <row r="11" spans="1:6" ht="15.75" customHeight="1" x14ac:dyDescent="0.25">
      <c r="A11" s="67" t="s">
        <v>205</v>
      </c>
      <c r="B11" s="111">
        <v>0</v>
      </c>
      <c r="C11" s="56">
        <v>0.95</v>
      </c>
      <c r="D11" s="57">
        <v>1.78</v>
      </c>
      <c r="E11" s="57" t="s">
        <v>202</v>
      </c>
    </row>
    <row r="12" spans="1:6" ht="15.75" customHeight="1" x14ac:dyDescent="0.25">
      <c r="A12" s="67" t="s">
        <v>187</v>
      </c>
      <c r="B12" s="111">
        <v>0</v>
      </c>
      <c r="C12" s="56">
        <v>0.95</v>
      </c>
      <c r="D12" s="57">
        <v>0.24</v>
      </c>
      <c r="E12" s="57" t="s">
        <v>202</v>
      </c>
    </row>
    <row r="13" spans="1:6" ht="15.75" customHeight="1" x14ac:dyDescent="0.25">
      <c r="A13" s="67" t="s">
        <v>188</v>
      </c>
      <c r="B13" s="111">
        <v>0</v>
      </c>
      <c r="C13" s="56">
        <v>0.95</v>
      </c>
      <c r="D13" s="57">
        <v>0.55000000000000004</v>
      </c>
      <c r="E13" s="57" t="s">
        <v>202</v>
      </c>
    </row>
    <row r="14" spans="1:6" ht="15.75" customHeight="1" x14ac:dyDescent="0.25">
      <c r="A14" s="14" t="s">
        <v>185</v>
      </c>
      <c r="B14" s="111">
        <v>0</v>
      </c>
      <c r="C14" s="56">
        <v>0.95</v>
      </c>
      <c r="D14" s="57">
        <v>0.73</v>
      </c>
      <c r="E14" s="57" t="s">
        <v>202</v>
      </c>
    </row>
    <row r="15" spans="1:6" ht="15.75" customHeight="1" x14ac:dyDescent="0.3">
      <c r="A15" s="83" t="s">
        <v>206</v>
      </c>
      <c r="B15" s="99">
        <v>0.57399999999999995</v>
      </c>
      <c r="C15" s="56">
        <v>0.95</v>
      </c>
      <c r="D15" s="57">
        <v>2</v>
      </c>
      <c r="E15" s="57" t="s">
        <v>202</v>
      </c>
      <c r="F15" s="86"/>
    </row>
    <row r="16" spans="1:6" ht="15.75" customHeight="1" x14ac:dyDescent="0.25">
      <c r="A16" s="82" t="s">
        <v>57</v>
      </c>
      <c r="B16" s="99">
        <v>0.17800000000000002</v>
      </c>
      <c r="C16" s="56">
        <v>0.95</v>
      </c>
      <c r="D16" s="57">
        <v>2.1800000000000002</v>
      </c>
      <c r="E16" s="57" t="s">
        <v>202</v>
      </c>
    </row>
    <row r="17" spans="1:6" ht="15.75" customHeight="1" x14ac:dyDescent="0.3">
      <c r="A17" s="55" t="s">
        <v>47</v>
      </c>
      <c r="B17" s="111">
        <v>0</v>
      </c>
      <c r="C17" s="56">
        <v>0.95</v>
      </c>
      <c r="D17" s="57">
        <v>0.05</v>
      </c>
      <c r="E17" s="57" t="s">
        <v>202</v>
      </c>
      <c r="F17" s="86"/>
    </row>
    <row r="18" spans="1:6" ht="16.05" customHeight="1" x14ac:dyDescent="0.25">
      <c r="A18" s="55" t="s">
        <v>171</v>
      </c>
      <c r="B18" s="111">
        <v>0</v>
      </c>
      <c r="C18" s="56">
        <v>0.95</v>
      </c>
      <c r="D18" s="92">
        <v>5</v>
      </c>
      <c r="E18" s="57" t="s">
        <v>202</v>
      </c>
    </row>
    <row r="19" spans="1:6" ht="15.75" customHeight="1" x14ac:dyDescent="0.25">
      <c r="A19" s="55" t="s">
        <v>196</v>
      </c>
      <c r="B19" s="111">
        <v>0</v>
      </c>
      <c r="C19" s="56">
        <v>0.95</v>
      </c>
      <c r="D19" s="92">
        <f>SUMPRODUCT(('IYCF cost'!$C$2:$E$6)*('IYCF packages'!$C$9:$E$13&lt;&gt;""))</f>
        <v>4.8250000000000002</v>
      </c>
      <c r="E19" s="57" t="s">
        <v>202</v>
      </c>
    </row>
    <row r="20" spans="1:6" ht="15.75" customHeight="1" x14ac:dyDescent="0.25">
      <c r="A20" s="55" t="s">
        <v>197</v>
      </c>
      <c r="B20" s="111">
        <v>0</v>
      </c>
      <c r="C20" s="56">
        <v>0.95</v>
      </c>
      <c r="D20" s="92">
        <f>SUMPRODUCT(('IYCF cost'!$C$2:$E$6)*('IYCF packages'!$C$16:$E$20&lt;&gt;""))</f>
        <v>0.25</v>
      </c>
      <c r="E20" s="57" t="s">
        <v>202</v>
      </c>
    </row>
    <row r="21" spans="1:6" ht="15.75" customHeight="1" x14ac:dyDescent="0.25">
      <c r="A21" s="55" t="s">
        <v>193</v>
      </c>
      <c r="B21" s="111">
        <v>0</v>
      </c>
      <c r="C21" s="56">
        <v>0.95</v>
      </c>
      <c r="D21" s="57">
        <v>8.84</v>
      </c>
      <c r="E21" s="57" t="s">
        <v>202</v>
      </c>
    </row>
    <row r="22" spans="1:6" ht="15.75" customHeight="1" x14ac:dyDescent="0.25">
      <c r="A22" s="55" t="s">
        <v>136</v>
      </c>
      <c r="B22" s="111">
        <v>0</v>
      </c>
      <c r="C22" s="56">
        <v>0.95</v>
      </c>
      <c r="D22" s="57">
        <v>50</v>
      </c>
      <c r="E22" s="57" t="s">
        <v>202</v>
      </c>
    </row>
    <row r="23" spans="1:6" ht="15.75" customHeight="1" x14ac:dyDescent="0.25">
      <c r="A23" s="55" t="s">
        <v>34</v>
      </c>
      <c r="B23" s="111">
        <v>0</v>
      </c>
      <c r="C23" s="56">
        <v>0.95</v>
      </c>
      <c r="D23" s="57">
        <v>2.61</v>
      </c>
      <c r="E23" s="57" t="s">
        <v>202</v>
      </c>
    </row>
    <row r="24" spans="1:6" ht="15.75" customHeight="1" x14ac:dyDescent="0.25">
      <c r="A24" s="55" t="s">
        <v>88</v>
      </c>
      <c r="B24" s="111">
        <v>0</v>
      </c>
      <c r="C24" s="56">
        <v>0.95</v>
      </c>
      <c r="D24" s="57">
        <v>1</v>
      </c>
      <c r="E24" s="57" t="s">
        <v>202</v>
      </c>
    </row>
    <row r="25" spans="1:6" ht="15.75" customHeight="1" x14ac:dyDescent="0.25">
      <c r="A25" s="55" t="s">
        <v>87</v>
      </c>
      <c r="B25" s="111">
        <v>0</v>
      </c>
      <c r="C25" s="56">
        <v>0.95</v>
      </c>
      <c r="D25" s="57">
        <v>1</v>
      </c>
      <c r="E25" s="57" t="s">
        <v>202</v>
      </c>
    </row>
    <row r="26" spans="1:6" ht="15.75" customHeight="1" x14ac:dyDescent="0.25">
      <c r="A26" s="55" t="s">
        <v>137</v>
      </c>
      <c r="B26" s="111">
        <v>0</v>
      </c>
      <c r="C26" s="56">
        <v>0.95</v>
      </c>
      <c r="D26" s="57">
        <v>1</v>
      </c>
      <c r="E26" s="57" t="s">
        <v>202</v>
      </c>
    </row>
    <row r="27" spans="1:6" ht="15.75" customHeight="1" x14ac:dyDescent="0.25">
      <c r="A27" s="82" t="s">
        <v>59</v>
      </c>
      <c r="B27" s="111">
        <v>0</v>
      </c>
      <c r="C27" s="56">
        <v>0.95</v>
      </c>
      <c r="D27" s="57">
        <v>3.54</v>
      </c>
      <c r="E27" s="57" t="s">
        <v>202</v>
      </c>
    </row>
    <row r="28" spans="1:6" ht="15.75" customHeight="1" x14ac:dyDescent="0.25">
      <c r="A28" s="82" t="s">
        <v>84</v>
      </c>
      <c r="B28" s="99">
        <v>0.34100000000000003</v>
      </c>
      <c r="C28" s="56">
        <v>0.95</v>
      </c>
      <c r="D28" s="57">
        <v>1</v>
      </c>
      <c r="E28" s="57" t="s">
        <v>202</v>
      </c>
    </row>
    <row r="29" spans="1:6" ht="15.75" customHeight="1" x14ac:dyDescent="0.25">
      <c r="A29" s="55" t="s">
        <v>58</v>
      </c>
      <c r="B29" s="111">
        <v>0</v>
      </c>
      <c r="C29" s="56">
        <v>0.95</v>
      </c>
      <c r="D29" s="57">
        <v>40.25</v>
      </c>
      <c r="E29" s="57" t="s">
        <v>202</v>
      </c>
    </row>
    <row r="30" spans="1:6" ht="15.75" customHeight="1" x14ac:dyDescent="0.25">
      <c r="A30" s="55" t="s">
        <v>67</v>
      </c>
      <c r="B30" s="111">
        <v>0</v>
      </c>
      <c r="C30" s="56">
        <v>0.95</v>
      </c>
      <c r="D30" s="93">
        <f>162*AVERAGE('Incidence of conditions'!B4:F4) + 0*AVERAGE('Incidence of conditions'!B3:F3)*IF(ISBLANK(manage_mam), 0, 1)</f>
        <v>12.272066352000001</v>
      </c>
      <c r="E30" s="57" t="s">
        <v>202</v>
      </c>
    </row>
    <row r="31" spans="1:6" ht="15.75" customHeight="1" x14ac:dyDescent="0.3">
      <c r="A31" s="82" t="s">
        <v>28</v>
      </c>
      <c r="B31" s="99">
        <v>0.69200000000000006</v>
      </c>
      <c r="C31" s="56">
        <v>0.95</v>
      </c>
      <c r="D31" s="57">
        <v>0.55000000000000004</v>
      </c>
      <c r="E31" s="57" t="s">
        <v>202</v>
      </c>
      <c r="F31" s="86"/>
    </row>
    <row r="32" spans="1:6" ht="15.75" customHeight="1" x14ac:dyDescent="0.25">
      <c r="A32" s="55" t="s">
        <v>83</v>
      </c>
      <c r="B32" s="111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1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1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1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1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0">
        <v>1.6000000000000001E-3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1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4.4505500000000003E-2</v>
      </c>
      <c r="C3" s="28">
        <f>frac_mam_1_5months * 2.6</f>
        <v>4.4505500000000003E-2</v>
      </c>
      <c r="D3" s="28">
        <f>frac_mam_6_11months * 2.6</f>
        <v>0.30822948</v>
      </c>
      <c r="E3" s="28">
        <f>frac_mam_12_23months * 2.6</f>
        <v>0.1476267</v>
      </c>
      <c r="F3" s="28">
        <f>frac_mam_24_59months * 2.6</f>
        <v>0.17900869999999999</v>
      </c>
    </row>
    <row r="4" spans="1:6" ht="15.75" customHeight="1" x14ac:dyDescent="0.25">
      <c r="A4" s="3" t="s">
        <v>66</v>
      </c>
      <c r="B4" s="28">
        <f>frac_sam_1month * 2.6</f>
        <v>4.4505500000000003E-2</v>
      </c>
      <c r="C4" s="28">
        <f>frac_sam_1_5months * 2.6</f>
        <v>4.4505500000000003E-2</v>
      </c>
      <c r="D4" s="28">
        <f>frac_sam_6_11months * 2.6</f>
        <v>0.17668690000000001</v>
      </c>
      <c r="E4" s="28">
        <f>frac_sam_12_23months * 2.6</f>
        <v>2.5987000000000003E-2</v>
      </c>
      <c r="F4" s="28">
        <f>frac_sam_24_59months * 2.6</f>
        <v>8.7082579999999993E-2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0.56999999999999995</v>
      </c>
      <c r="E2" s="38">
        <f>food_insecure</f>
        <v>0.56999999999999995</v>
      </c>
      <c r="F2" s="38">
        <f>food_insecure</f>
        <v>0.56999999999999995</v>
      </c>
      <c r="G2" s="38">
        <f>food_insecure</f>
        <v>0.56999999999999995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0.56999999999999995</v>
      </c>
      <c r="F5" s="38">
        <f>food_insecure</f>
        <v>0.56999999999999995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0.56999999999999995</v>
      </c>
      <c r="F8" s="38">
        <f>food_insecure</f>
        <v>0.56999999999999995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0.317</v>
      </c>
      <c r="E9" s="38">
        <f>IF(ISBLANK(comm_deliv), frac_children_health_facility,1)</f>
        <v>0.317</v>
      </c>
      <c r="F9" s="38">
        <f>IF(ISBLANK(comm_deliv), frac_children_health_facility,1)</f>
        <v>0.317</v>
      </c>
      <c r="G9" s="38">
        <f>IF(ISBLANK(comm_deliv), frac_children_health_facility,1)</f>
        <v>0.317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0.56999999999999995</v>
      </c>
      <c r="I14" s="38">
        <f>food_insecure</f>
        <v>0.56999999999999995</v>
      </c>
      <c r="J14" s="38">
        <f>food_insecure</f>
        <v>0.56999999999999995</v>
      </c>
      <c r="K14" s="38">
        <f>food_insecure</f>
        <v>0.56999999999999995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0.52569999999999995</v>
      </c>
      <c r="I17" s="38">
        <f>frac_PW_health_facility</f>
        <v>0.52569999999999995</v>
      </c>
      <c r="J17" s="38">
        <f>frac_PW_health_facility</f>
        <v>0.52569999999999995</v>
      </c>
      <c r="K17" s="38">
        <f>frac_PW_health_facility</f>
        <v>0.52569999999999995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0.4254</v>
      </c>
      <c r="I18" s="38">
        <f>frac_malaria_risk</f>
        <v>0.4254</v>
      </c>
      <c r="J18" s="38">
        <f>frac_malaria_risk</f>
        <v>0.4254</v>
      </c>
      <c r="K18" s="38">
        <f>frac_malaria_risk</f>
        <v>0.4254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0.31771466999999998</v>
      </c>
      <c r="M24" s="38">
        <f>(1-food_insecure)*(0.49)+food_insecure*(0.7)</f>
        <v>0.60970000000000002</v>
      </c>
      <c r="N24" s="38">
        <f>(1-food_insecure)*(0.49)+food_insecure*(0.7)</f>
        <v>0.60970000000000002</v>
      </c>
      <c r="O24" s="38">
        <f>(1-food_insecure)*(0.49)+food_insecure*(0.7)</f>
        <v>0.60970000000000002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0.13616343</v>
      </c>
      <c r="M25" s="38">
        <f>(1-food_insecure)*(0.21)+food_insecure*(0.3)</f>
        <v>0.26129999999999998</v>
      </c>
      <c r="N25" s="38">
        <f>(1-food_insecure)*(0.21)+food_insecure*(0.3)</f>
        <v>0.26129999999999998</v>
      </c>
      <c r="O25" s="38">
        <f>(1-food_insecure)*(0.21)+food_insecure*(0.3)</f>
        <v>0.26129999999999998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6.7221900000000001E-2</v>
      </c>
      <c r="M26" s="38">
        <f>(1-food_insecure)*(0.3)</f>
        <v>0.129</v>
      </c>
      <c r="N26" s="38">
        <f>(1-food_insecure)*(0.3)</f>
        <v>0.129</v>
      </c>
      <c r="O26" s="38">
        <f>(1-food_insecure)*(0.3)</f>
        <v>0.129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0.47889999999999999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0.4254</v>
      </c>
      <c r="D33" s="38">
        <f t="shared" si="3"/>
        <v>0.4254</v>
      </c>
      <c r="E33" s="38">
        <f t="shared" si="3"/>
        <v>0.4254</v>
      </c>
      <c r="F33" s="38">
        <f t="shared" si="3"/>
        <v>0.4254</v>
      </c>
      <c r="G33" s="38">
        <f t="shared" si="3"/>
        <v>0.4254</v>
      </c>
      <c r="H33" s="38">
        <f t="shared" si="3"/>
        <v>0.4254</v>
      </c>
      <c r="I33" s="38">
        <f t="shared" si="3"/>
        <v>0.4254</v>
      </c>
      <c r="J33" s="38">
        <f t="shared" si="3"/>
        <v>0.4254</v>
      </c>
      <c r="K33" s="38">
        <f t="shared" si="3"/>
        <v>0.4254</v>
      </c>
      <c r="L33" s="38">
        <f t="shared" si="3"/>
        <v>0.4254</v>
      </c>
      <c r="M33" s="38">
        <f t="shared" si="3"/>
        <v>0.4254</v>
      </c>
      <c r="N33" s="38">
        <f t="shared" si="3"/>
        <v>0.4254</v>
      </c>
      <c r="O33" s="38">
        <f t="shared" si="3"/>
        <v>0.4254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E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16384" width="14.33203125" style="15"/>
  </cols>
  <sheetData>
    <row r="1" spans="1:4" ht="27" customHeight="1" x14ac:dyDescent="0.3">
      <c r="A1" s="1" t="s">
        <v>100</v>
      </c>
      <c r="B1" s="46" t="s">
        <v>164</v>
      </c>
      <c r="C1" s="108" t="s">
        <v>200</v>
      </c>
      <c r="D1" s="84"/>
    </row>
    <row r="2" spans="1:4" ht="16.05" customHeight="1" x14ac:dyDescent="0.25">
      <c r="A2" s="15" t="s">
        <v>189</v>
      </c>
      <c r="B2" s="46"/>
    </row>
    <row r="3" spans="1:4" ht="16.05" customHeight="1" x14ac:dyDescent="0.25">
      <c r="A3" s="1"/>
      <c r="B3" s="9" t="s">
        <v>191</v>
      </c>
      <c r="C3" s="70">
        <v>2017</v>
      </c>
    </row>
    <row r="4" spans="1:4" ht="16.05" customHeight="1" x14ac:dyDescent="0.25">
      <c r="A4" s="1"/>
      <c r="B4" s="12" t="s">
        <v>190</v>
      </c>
      <c r="C4" s="71">
        <v>2030</v>
      </c>
    </row>
    <row r="5" spans="1:4" ht="16.05" customHeight="1" x14ac:dyDescent="0.25">
      <c r="A5" s="1"/>
      <c r="B5" s="46"/>
    </row>
    <row r="6" spans="1:4" ht="15" customHeight="1" x14ac:dyDescent="0.25">
      <c r="A6" s="15" t="s">
        <v>48</v>
      </c>
    </row>
    <row r="7" spans="1:4" ht="15" customHeight="1" x14ac:dyDescent="0.25">
      <c r="B7" s="18" t="s">
        <v>199</v>
      </c>
      <c r="C7" s="78">
        <v>571659.07742939226</v>
      </c>
    </row>
    <row r="8" spans="1:4" ht="15" customHeight="1" x14ac:dyDescent="0.3">
      <c r="B8" s="9" t="s">
        <v>106</v>
      </c>
      <c r="C8" s="104">
        <v>0.56999999999999995</v>
      </c>
    </row>
    <row r="9" spans="1:4" ht="38.25" customHeight="1" x14ac:dyDescent="0.25">
      <c r="A9" s="90"/>
      <c r="B9" s="12" t="s">
        <v>107</v>
      </c>
      <c r="C9" s="100">
        <v>0.4254</v>
      </c>
    </row>
    <row r="10" spans="1:4" ht="15" customHeight="1" x14ac:dyDescent="0.25">
      <c r="A10" s="90"/>
      <c r="B10" s="12" t="s">
        <v>105</v>
      </c>
      <c r="C10" s="99">
        <v>0.47889999999999999</v>
      </c>
    </row>
    <row r="11" spans="1:4" ht="15" customHeight="1" x14ac:dyDescent="0.25">
      <c r="A11" s="90"/>
      <c r="B11" s="9" t="s">
        <v>108</v>
      </c>
      <c r="C11" s="99">
        <v>0.52569999999999995</v>
      </c>
    </row>
    <row r="12" spans="1:4" ht="15" customHeight="1" x14ac:dyDescent="0.25">
      <c r="A12" s="90"/>
      <c r="B12" s="9" t="s">
        <v>109</v>
      </c>
      <c r="C12" s="99">
        <v>0.317</v>
      </c>
    </row>
    <row r="13" spans="1:4" ht="15" customHeight="1" x14ac:dyDescent="0.25">
      <c r="A13" s="90"/>
      <c r="B13" s="9" t="s">
        <v>110</v>
      </c>
      <c r="C13" s="99">
        <v>0.28499999999999998</v>
      </c>
    </row>
    <row r="14" spans="1:4" ht="15" customHeight="1" x14ac:dyDescent="0.25">
      <c r="B14" s="15"/>
    </row>
    <row r="15" spans="1:4" ht="15" customHeight="1" x14ac:dyDescent="0.25">
      <c r="A15" s="15" t="s">
        <v>30</v>
      </c>
      <c r="B15" s="19"/>
    </row>
    <row r="16" spans="1:4" ht="15" customHeight="1" x14ac:dyDescent="0.25">
      <c r="B16" s="12" t="s">
        <v>94</v>
      </c>
      <c r="C16" s="100">
        <v>0.59699999999999998</v>
      </c>
    </row>
    <row r="17" spans="1:5" ht="15" customHeight="1" x14ac:dyDescent="0.25">
      <c r="B17" s="12" t="s">
        <v>95</v>
      </c>
      <c r="C17" s="100">
        <v>0.1</v>
      </c>
    </row>
    <row r="18" spans="1:5" ht="15" customHeight="1" x14ac:dyDescent="0.25">
      <c r="B18" s="12" t="s">
        <v>96</v>
      </c>
      <c r="C18" s="100">
        <v>0.1</v>
      </c>
    </row>
    <row r="19" spans="1:5" ht="15" customHeight="1" x14ac:dyDescent="0.25">
      <c r="B19" s="12" t="s">
        <v>97</v>
      </c>
      <c r="C19" s="100">
        <v>0.1</v>
      </c>
    </row>
    <row r="20" spans="1:5" ht="15" customHeight="1" x14ac:dyDescent="0.25">
      <c r="B20" s="12" t="s">
        <v>98</v>
      </c>
      <c r="C20" s="100">
        <v>0.1</v>
      </c>
    </row>
    <row r="21" spans="1:5" ht="15" customHeight="1" x14ac:dyDescent="0.25">
      <c r="B21" s="15"/>
      <c r="C21" s="89"/>
    </row>
    <row r="22" spans="1:5" ht="15" customHeight="1" x14ac:dyDescent="0.25">
      <c r="A22" s="15" t="s">
        <v>99</v>
      </c>
      <c r="C22" s="89"/>
    </row>
    <row r="23" spans="1:5" ht="15" customHeight="1" x14ac:dyDescent="0.3">
      <c r="A23" s="90"/>
      <c r="B23" s="20" t="s">
        <v>101</v>
      </c>
      <c r="C23" s="99">
        <v>0.1668</v>
      </c>
      <c r="D23" s="86"/>
    </row>
    <row r="24" spans="1:5" ht="15" customHeight="1" x14ac:dyDescent="0.3">
      <c r="A24" s="90"/>
      <c r="B24" s="20" t="s">
        <v>102</v>
      </c>
      <c r="C24" s="99">
        <v>0.35299999999999998</v>
      </c>
      <c r="D24" s="86"/>
    </row>
    <row r="25" spans="1:5" ht="15" customHeight="1" x14ac:dyDescent="0.3">
      <c r="A25" s="90"/>
      <c r="B25" s="20" t="s">
        <v>103</v>
      </c>
      <c r="C25" s="99">
        <v>0.37280000000000002</v>
      </c>
      <c r="D25" s="86"/>
    </row>
    <row r="26" spans="1:5" ht="15" customHeight="1" x14ac:dyDescent="0.3">
      <c r="A26" s="90"/>
      <c r="B26" s="20" t="s">
        <v>104</v>
      </c>
      <c r="C26" s="99">
        <v>0.1074</v>
      </c>
      <c r="D26" s="86"/>
    </row>
    <row r="27" spans="1:5" ht="15" customHeight="1" x14ac:dyDescent="0.25">
      <c r="B27" s="20"/>
      <c r="C27" s="89"/>
    </row>
    <row r="28" spans="1:5" ht="15" customHeight="1" x14ac:dyDescent="0.25">
      <c r="A28" s="15" t="s">
        <v>194</v>
      </c>
      <c r="B28" s="20"/>
      <c r="C28" s="89"/>
    </row>
    <row r="29" spans="1:5" ht="14.25" customHeight="1" x14ac:dyDescent="0.25">
      <c r="A29" s="90"/>
      <c r="B29" s="32" t="s">
        <v>75</v>
      </c>
      <c r="C29" s="101">
        <v>0.153</v>
      </c>
    </row>
    <row r="30" spans="1:5" ht="14.25" customHeight="1" x14ac:dyDescent="0.3">
      <c r="A30" s="90"/>
      <c r="B30" s="32" t="s">
        <v>76</v>
      </c>
      <c r="C30" s="101">
        <v>9.3100000000000002E-2</v>
      </c>
      <c r="D30" s="86"/>
      <c r="E30" s="85"/>
    </row>
    <row r="31" spans="1:5" ht="14.25" customHeight="1" x14ac:dyDescent="0.3">
      <c r="A31" s="90"/>
      <c r="B31" s="32" t="s">
        <v>77</v>
      </c>
      <c r="C31" s="101">
        <v>0.1399</v>
      </c>
      <c r="D31" s="86"/>
      <c r="E31" s="85"/>
    </row>
    <row r="32" spans="1:5" ht="14.25" customHeight="1" x14ac:dyDescent="0.25">
      <c r="A32" s="90"/>
      <c r="B32" s="32" t="s">
        <v>78</v>
      </c>
      <c r="C32" s="101">
        <v>0.61399999999999999</v>
      </c>
    </row>
    <row r="33" spans="1:4" ht="13.2" x14ac:dyDescent="0.25">
      <c r="B33" s="34" t="s">
        <v>129</v>
      </c>
      <c r="C33" s="109">
        <f>SUM(C29:C32)</f>
        <v>1</v>
      </c>
    </row>
    <row r="34" spans="1:4" ht="15" customHeight="1" x14ac:dyDescent="0.25">
      <c r="C34" s="103"/>
    </row>
    <row r="35" spans="1:4" ht="15" customHeight="1" x14ac:dyDescent="0.25">
      <c r="A35" s="4" t="s">
        <v>135</v>
      </c>
      <c r="C35" s="103"/>
    </row>
    <row r="36" spans="1:4" ht="15" customHeight="1" x14ac:dyDescent="0.25">
      <c r="A36" s="15" t="s">
        <v>74</v>
      </c>
      <c r="B36" s="9"/>
      <c r="C36" s="103"/>
    </row>
    <row r="37" spans="1:4" ht="15" customHeight="1" x14ac:dyDescent="0.25">
      <c r="A37" s="90"/>
      <c r="B37" s="47" t="s">
        <v>92</v>
      </c>
      <c r="C37" s="102">
        <v>44.662800000000004</v>
      </c>
      <c r="D37" s="87"/>
    </row>
    <row r="38" spans="1:4" ht="15" customHeight="1" x14ac:dyDescent="0.25">
      <c r="A38" s="90"/>
      <c r="B38" s="18" t="s">
        <v>91</v>
      </c>
      <c r="C38" s="102">
        <v>63.214099999999995</v>
      </c>
      <c r="D38" s="87"/>
    </row>
    <row r="39" spans="1:4" ht="15" customHeight="1" x14ac:dyDescent="0.25">
      <c r="A39" s="90"/>
      <c r="B39" s="18" t="s">
        <v>90</v>
      </c>
      <c r="C39" s="102">
        <v>111.33199999999999</v>
      </c>
      <c r="D39" s="94"/>
    </row>
    <row r="40" spans="1:4" ht="15" customHeight="1" x14ac:dyDescent="0.3">
      <c r="B40" s="18" t="s">
        <v>201</v>
      </c>
      <c r="C40" s="102">
        <v>84.600000000000009</v>
      </c>
      <c r="D40" s="95"/>
    </row>
    <row r="41" spans="1:4" ht="26.7" customHeight="1" x14ac:dyDescent="0.25">
      <c r="B41" s="18" t="s">
        <v>89</v>
      </c>
      <c r="C41" s="100">
        <v>0.13</v>
      </c>
      <c r="D41" s="96"/>
    </row>
    <row r="42" spans="1:4" ht="15" customHeight="1" x14ac:dyDescent="0.25">
      <c r="B42" s="47" t="s">
        <v>93</v>
      </c>
      <c r="C42" s="102">
        <v>27.27</v>
      </c>
      <c r="D42" s="97"/>
    </row>
    <row r="43" spans="1:4" ht="15.75" customHeight="1" x14ac:dyDescent="0.25">
      <c r="C43" s="103"/>
      <c r="D43" s="98"/>
    </row>
    <row r="44" spans="1:4" ht="15.75" customHeight="1" x14ac:dyDescent="0.25">
      <c r="A44" s="15" t="s">
        <v>133</v>
      </c>
      <c r="C44" s="103"/>
    </row>
    <row r="45" spans="1:4" ht="15.75" customHeight="1" x14ac:dyDescent="0.25">
      <c r="B45" s="18" t="s">
        <v>9</v>
      </c>
      <c r="C45" s="100">
        <v>1.9099999999999999E-2</v>
      </c>
    </row>
    <row r="46" spans="1:4" ht="15.75" customHeight="1" x14ac:dyDescent="0.25">
      <c r="B46" s="18" t="s">
        <v>11</v>
      </c>
      <c r="C46" s="100">
        <v>9.98E-2</v>
      </c>
    </row>
    <row r="47" spans="1:4" ht="15.75" customHeight="1" x14ac:dyDescent="0.25">
      <c r="B47" s="18" t="s">
        <v>12</v>
      </c>
      <c r="C47" s="100">
        <v>0.2</v>
      </c>
    </row>
    <row r="48" spans="1:4" ht="15" customHeight="1" x14ac:dyDescent="0.25">
      <c r="B48" s="18" t="s">
        <v>26</v>
      </c>
      <c r="C48" s="110">
        <f>1-term_SGA-preterm_AGA-preterm_SGA</f>
        <v>0.68110000000000004</v>
      </c>
    </row>
    <row r="50" spans="1:4" ht="15.75" customHeight="1" x14ac:dyDescent="0.25">
      <c r="A50" s="15" t="s">
        <v>72</v>
      </c>
    </row>
    <row r="51" spans="1:4" ht="15.75" customHeight="1" x14ac:dyDescent="0.25">
      <c r="B51" s="18" t="s">
        <v>124</v>
      </c>
      <c r="C51" s="7">
        <v>3.3</v>
      </c>
    </row>
    <row r="52" spans="1:4" ht="15" customHeight="1" x14ac:dyDescent="0.25">
      <c r="B52" s="18" t="s">
        <v>125</v>
      </c>
      <c r="C52" s="7">
        <v>3.3</v>
      </c>
    </row>
    <row r="53" spans="1:4" ht="15.75" customHeight="1" x14ac:dyDescent="0.25">
      <c r="B53" s="18" t="s">
        <v>126</v>
      </c>
      <c r="C53" s="7">
        <v>3.3</v>
      </c>
    </row>
    <row r="54" spans="1:4" ht="15.75" customHeight="1" x14ac:dyDescent="0.25">
      <c r="B54" s="18" t="s">
        <v>127</v>
      </c>
      <c r="C54" s="7">
        <v>3.3</v>
      </c>
    </row>
    <row r="55" spans="1:4" ht="15.75" customHeight="1" x14ac:dyDescent="0.25">
      <c r="B55" s="18" t="s">
        <v>128</v>
      </c>
      <c r="C55" s="7">
        <v>3.3</v>
      </c>
    </row>
    <row r="57" spans="1:4" ht="15.75" customHeight="1" x14ac:dyDescent="0.25">
      <c r="A57" s="15" t="s">
        <v>134</v>
      </c>
    </row>
    <row r="58" spans="1:4" ht="15.75" customHeight="1" x14ac:dyDescent="0.3">
      <c r="B58" s="9" t="s">
        <v>111</v>
      </c>
      <c r="C58" s="99">
        <v>0.1903</v>
      </c>
      <c r="D58" s="86"/>
    </row>
    <row r="59" spans="1:4" ht="65.7" customHeight="1" x14ac:dyDescent="0.25">
      <c r="B59" s="18" t="s">
        <v>132</v>
      </c>
      <c r="C59" s="105">
        <v>0.43519999999999998</v>
      </c>
    </row>
    <row r="60" spans="1:4" ht="15.75" customHeight="1" x14ac:dyDescent="0.25">
      <c r="C60" s="8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112105.93822200144</v>
      </c>
      <c r="C2" s="78">
        <v>141313.10648893603</v>
      </c>
      <c r="D2" s="78">
        <v>209028.94079844441</v>
      </c>
      <c r="E2" s="78">
        <v>142189.69351130835</v>
      </c>
      <c r="F2" s="78">
        <v>86143.769467366335</v>
      </c>
      <c r="G2" s="23">
        <f t="shared" ref="G2:G15" si="0">C2+D2+E2+F2</f>
        <v>578675.51026605512</v>
      </c>
      <c r="H2" s="23">
        <f>(B2 + stillbirth*B2/(1000-stillbirth))/(1-abortion)</f>
        <v>132469.85315059067</v>
      </c>
      <c r="I2" s="23">
        <f t="shared" ref="I2:I13" si="1">G2-H2</f>
        <v>446205.65711546445</v>
      </c>
    </row>
    <row r="3" spans="1:9" ht="15.75" customHeight="1" x14ac:dyDescent="0.25">
      <c r="A3" s="9">
        <v>2018</v>
      </c>
      <c r="B3" s="77">
        <v>115073.73098909779</v>
      </c>
      <c r="C3" s="78">
        <v>146770.24445469395</v>
      </c>
      <c r="D3" s="78">
        <v>215864.68283880359</v>
      </c>
      <c r="E3" s="78">
        <v>147019.97909694386</v>
      </c>
      <c r="F3" s="78">
        <v>88836.880110267186</v>
      </c>
      <c r="G3" s="23">
        <f t="shared" si="0"/>
        <v>598491.78650070855</v>
      </c>
      <c r="H3" s="23">
        <f>(B3 + stillbirth*B3/(1000-stillbirth))/(1-abortion)</f>
        <v>135976.74206543213</v>
      </c>
      <c r="I3" s="23">
        <f t="shared" si="1"/>
        <v>462515.04443527642</v>
      </c>
    </row>
    <row r="4" spans="1:9" ht="15.75" customHeight="1" x14ac:dyDescent="0.25">
      <c r="A4" s="9">
        <v>2019</v>
      </c>
      <c r="B4" s="77">
        <v>117957.03934112574</v>
      </c>
      <c r="C4" s="78">
        <v>152474.24181197962</v>
      </c>
      <c r="D4" s="78">
        <v>223042.04257038535</v>
      </c>
      <c r="E4" s="78">
        <v>152048.91830014679</v>
      </c>
      <c r="F4" s="78">
        <v>91758.139208301218</v>
      </c>
      <c r="G4" s="23">
        <f t="shared" si="0"/>
        <v>619323.34189081297</v>
      </c>
      <c r="H4" s="23">
        <f>(B4 + stillbirth*B4/(1000-stillbirth))/(1-abortion)</f>
        <v>139383.8000682352</v>
      </c>
      <c r="I4" s="23">
        <f t="shared" si="1"/>
        <v>479939.54182257777</v>
      </c>
    </row>
    <row r="5" spans="1:9" ht="15.75" customHeight="1" x14ac:dyDescent="0.25">
      <c r="A5" s="9">
        <v>2020</v>
      </c>
      <c r="B5" s="77">
        <v>120788.7819067454</v>
      </c>
      <c r="C5" s="78">
        <v>158407.84822714562</v>
      </c>
      <c r="D5" s="78">
        <v>230627.86324293111</v>
      </c>
      <c r="E5" s="78">
        <v>157246.61320377432</v>
      </c>
      <c r="F5" s="78">
        <v>95143.245618476503</v>
      </c>
      <c r="G5" s="23">
        <f t="shared" si="0"/>
        <v>641425.57029232755</v>
      </c>
      <c r="H5" s="23">
        <f>(B5 + stillbirth*B5/(1000-stillbirth))/(1-abortion)</f>
        <v>142729.92541875024</v>
      </c>
      <c r="I5" s="23">
        <f t="shared" si="1"/>
        <v>498695.64487357729</v>
      </c>
    </row>
    <row r="6" spans="1:9" ht="15.75" customHeight="1" x14ac:dyDescent="0.25">
      <c r="A6" s="9">
        <v>2021</v>
      </c>
      <c r="B6" s="77">
        <v>123844.66061576767</v>
      </c>
      <c r="C6" s="78">
        <v>164537.47808006511</v>
      </c>
      <c r="D6" s="78">
        <v>238665.82981493327</v>
      </c>
      <c r="E6" s="78">
        <v>162600.78890865468</v>
      </c>
      <c r="F6" s="78">
        <v>98382.741236600021</v>
      </c>
      <c r="G6" s="23">
        <f t="shared" si="0"/>
        <v>664186.83804025303</v>
      </c>
      <c r="H6" s="23">
        <f>(B6 + stillbirth*B6/(1000-stillbirth))/(1-abortion)</f>
        <v>146340.90098570508</v>
      </c>
      <c r="I6" s="23">
        <f t="shared" si="1"/>
        <v>517845.93705454795</v>
      </c>
    </row>
    <row r="7" spans="1:9" ht="15.75" customHeight="1" x14ac:dyDescent="0.25">
      <c r="A7" s="9">
        <v>2022</v>
      </c>
      <c r="B7" s="77">
        <v>126863.21135016409</v>
      </c>
      <c r="C7" s="78">
        <v>170845.67769327562</v>
      </c>
      <c r="D7" s="78">
        <v>247156.53440179306</v>
      </c>
      <c r="E7" s="78">
        <v>168107.5148696462</v>
      </c>
      <c r="F7" s="78">
        <v>101767.64668550869</v>
      </c>
      <c r="G7" s="23">
        <f t="shared" si="0"/>
        <v>687877.37365022348</v>
      </c>
      <c r="H7" s="23">
        <f>(B7 + stillbirth*B7/(1000-stillbirth))/(1-abortion)</f>
        <v>149907.76799431306</v>
      </c>
      <c r="I7" s="23">
        <f t="shared" si="1"/>
        <v>537969.60565591045</v>
      </c>
    </row>
    <row r="8" spans="1:9" ht="15.75" customHeight="1" x14ac:dyDescent="0.25">
      <c r="A8" s="9">
        <v>2023</v>
      </c>
      <c r="B8" s="77">
        <v>129943.39195069209</v>
      </c>
      <c r="C8" s="78">
        <v>177285.20352040292</v>
      </c>
      <c r="D8" s="78">
        <v>256141.85272049907</v>
      </c>
      <c r="E8" s="78">
        <v>173748.1048885347</v>
      </c>
      <c r="F8" s="78">
        <v>105303.73242443011</v>
      </c>
      <c r="G8" s="23">
        <f t="shared" si="0"/>
        <v>712478.89355386677</v>
      </c>
      <c r="H8" s="23">
        <f>(B8 + stillbirth*B8/(1000-stillbirth))/(1-abortion)</f>
        <v>153547.45986345585</v>
      </c>
      <c r="I8" s="23">
        <f t="shared" si="1"/>
        <v>558931.43369041092</v>
      </c>
    </row>
    <row r="9" spans="1:9" ht="15.75" customHeight="1" x14ac:dyDescent="0.25">
      <c r="A9" s="9">
        <v>2024</v>
      </c>
      <c r="B9" s="77">
        <v>133278.94436680735</v>
      </c>
      <c r="C9" s="78">
        <v>183807.32082709548</v>
      </c>
      <c r="D9" s="78">
        <v>265667.11449454719</v>
      </c>
      <c r="E9" s="78">
        <v>179522.43009498762</v>
      </c>
      <c r="F9" s="78">
        <v>108990.94103585952</v>
      </c>
      <c r="G9" s="23">
        <f t="shared" si="0"/>
        <v>737987.80645248981</v>
      </c>
      <c r="H9" s="23">
        <f>(B9 + stillbirth*B9/(1000-stillbirth))/(1-abortion)</f>
        <v>157488.91154520246</v>
      </c>
      <c r="I9" s="23">
        <f t="shared" si="1"/>
        <v>580498.89490728732</v>
      </c>
    </row>
    <row r="10" spans="1:9" ht="15.75" customHeight="1" x14ac:dyDescent="0.25">
      <c r="A10" s="9">
        <v>2025</v>
      </c>
      <c r="B10" s="77">
        <v>136740.95413248916</v>
      </c>
      <c r="C10" s="78">
        <v>190382.40919762079</v>
      </c>
      <c r="D10" s="78">
        <v>275757.45173319057</v>
      </c>
      <c r="E10" s="78">
        <v>185466.02648319519</v>
      </c>
      <c r="F10" s="78">
        <v>112813.54012349479</v>
      </c>
      <c r="G10" s="23">
        <f t="shared" si="0"/>
        <v>764419.42753750132</v>
      </c>
      <c r="H10" s="23">
        <f>(B10 + stillbirth*B10/(1000-stillbirth))/(1-abortion)</f>
        <v>161579.79140883283</v>
      </c>
      <c r="I10" s="23">
        <f t="shared" si="1"/>
        <v>602839.63612866844</v>
      </c>
    </row>
    <row r="11" spans="1:9" ht="15.75" customHeight="1" x14ac:dyDescent="0.25">
      <c r="A11" s="9">
        <v>2026</v>
      </c>
      <c r="B11" s="77">
        <v>140110.56958766785</v>
      </c>
      <c r="C11" s="78">
        <v>196956.37917716306</v>
      </c>
      <c r="D11" s="78">
        <v>286355.49503310787</v>
      </c>
      <c r="E11" s="78">
        <v>191588.14049951514</v>
      </c>
      <c r="F11" s="78">
        <v>116759.3284675761</v>
      </c>
      <c r="G11" s="23">
        <f t="shared" si="0"/>
        <v>791659.34317736211</v>
      </c>
      <c r="H11" s="23">
        <f>(B11 + stillbirth*B11/(1000-stillbirth))/(1-abortion)</f>
        <v>165561.49364156861</v>
      </c>
      <c r="I11" s="23">
        <f t="shared" si="1"/>
        <v>626097.84953579353</v>
      </c>
    </row>
    <row r="12" spans="1:9" ht="15.75" customHeight="1" x14ac:dyDescent="0.25">
      <c r="A12" s="9">
        <v>2027</v>
      </c>
      <c r="B12" s="77">
        <v>143893.31719844401</v>
      </c>
      <c r="C12" s="78">
        <v>203508.72693103336</v>
      </c>
      <c r="D12" s="78">
        <v>297411.11195699306</v>
      </c>
      <c r="E12" s="78">
        <v>197933.39349657981</v>
      </c>
      <c r="F12" s="78">
        <v>120848.05768973818</v>
      </c>
      <c r="G12" s="23">
        <f t="shared" si="0"/>
        <v>819701.29007434449</v>
      </c>
      <c r="H12" s="23">
        <f>(B12 + stillbirth*B12/(1000-stillbirth))/(1-abortion)</f>
        <v>170031.37301149947</v>
      </c>
      <c r="I12" s="23">
        <f t="shared" si="1"/>
        <v>649669.91706284508</v>
      </c>
    </row>
    <row r="13" spans="1:9" ht="15.75" customHeight="1" x14ac:dyDescent="0.25">
      <c r="A13" s="9">
        <v>2028</v>
      </c>
      <c r="B13" s="77">
        <v>147412.48016603265</v>
      </c>
      <c r="C13" s="78">
        <v>210021.99878176919</v>
      </c>
      <c r="D13" s="78">
        <v>308847.29460738326</v>
      </c>
      <c r="E13" s="78">
        <v>204552.20599198455</v>
      </c>
      <c r="F13" s="78">
        <v>125090.92420340775</v>
      </c>
      <c r="G13" s="23">
        <f t="shared" si="0"/>
        <v>848512.42358454468</v>
      </c>
      <c r="H13" s="23">
        <f>(B13 + stillbirth*B13/(1000-stillbirth))/(1-abortion)</f>
        <v>174189.78789052478</v>
      </c>
      <c r="I13" s="23">
        <f t="shared" si="1"/>
        <v>674322.63569401996</v>
      </c>
    </row>
    <row r="14" spans="1:9" ht="15.75" customHeight="1" x14ac:dyDescent="0.25">
      <c r="A14" s="9">
        <v>2029</v>
      </c>
      <c r="B14" s="8">
        <v>151113.94097904378</v>
      </c>
      <c r="C14" s="22">
        <v>216475.38587895894</v>
      </c>
      <c r="D14" s="22">
        <v>320600.94979874493</v>
      </c>
      <c r="E14" s="22">
        <v>211498.92904846632</v>
      </c>
      <c r="F14" s="22">
        <v>129495.16261418362</v>
      </c>
      <c r="G14" s="23">
        <f t="shared" si="0"/>
        <v>878070.42734035372</v>
      </c>
      <c r="H14" s="23">
        <f>(B14 + stillbirth*B14/(1000-stillbirth))/(1-abortion)</f>
        <v>178563.6148092314</v>
      </c>
      <c r="I14" s="23">
        <f t="shared" ref="I14:I15" si="2">G14-H14</f>
        <v>699506.81253112236</v>
      </c>
    </row>
    <row r="15" spans="1:9" ht="15.75" customHeight="1" x14ac:dyDescent="0.25">
      <c r="A15" s="9">
        <v>2030</v>
      </c>
      <c r="B15" s="8">
        <v>156361.29829215928</v>
      </c>
      <c r="C15" s="22">
        <v>222781.58594465433</v>
      </c>
      <c r="D15" s="22">
        <v>332629.97154698905</v>
      </c>
      <c r="E15" s="22">
        <v>218840.38193343268</v>
      </c>
      <c r="F15" s="22">
        <v>134048.51428480115</v>
      </c>
      <c r="G15" s="23">
        <f t="shared" si="0"/>
        <v>908300.4537098771</v>
      </c>
      <c r="H15" s="23">
        <f>(B15 + stillbirth*B15/(1000-stillbirth))/(1-abortion)</f>
        <v>184764.14855188256</v>
      </c>
      <c r="I15" s="23">
        <f t="shared" si="2"/>
        <v>723536.3051579945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99">
        <v>0.54530610000000002</v>
      </c>
      <c r="D2" s="99">
        <v>0.54530610000000002</v>
      </c>
      <c r="E2" s="99">
        <v>0.59716329999999995</v>
      </c>
      <c r="F2" s="99">
        <v>0.24799389999999999</v>
      </c>
      <c r="G2" s="99">
        <v>0.27440399999999998</v>
      </c>
    </row>
    <row r="3" spans="1:15" ht="15.75" customHeight="1" x14ac:dyDescent="0.25">
      <c r="A3" s="5"/>
      <c r="B3" s="14" t="s">
        <v>118</v>
      </c>
      <c r="C3" s="99">
        <v>0.31432589999999999</v>
      </c>
      <c r="D3" s="99">
        <v>0.31432589999999999</v>
      </c>
      <c r="E3" s="99">
        <v>0.13732839999999999</v>
      </c>
      <c r="F3" s="99">
        <v>0.1253785</v>
      </c>
      <c r="G3" s="99">
        <v>0.2865801</v>
      </c>
    </row>
    <row r="4" spans="1:15" ht="15.75" customHeight="1" x14ac:dyDescent="0.25">
      <c r="A4" s="5"/>
      <c r="B4" s="14" t="s">
        <v>116</v>
      </c>
      <c r="C4" s="99">
        <v>1.5577300000000001E-2</v>
      </c>
      <c r="D4" s="99">
        <v>1.5577300000000001E-2</v>
      </c>
      <c r="E4" s="99">
        <v>0.2480927</v>
      </c>
      <c r="F4" s="99">
        <v>0.4378899</v>
      </c>
      <c r="G4" s="99">
        <v>0.21984790000000001</v>
      </c>
    </row>
    <row r="5" spans="1:15" ht="15.75" customHeight="1" x14ac:dyDescent="0.25">
      <c r="A5" s="5"/>
      <c r="B5" s="14" t="s">
        <v>119</v>
      </c>
      <c r="C5" s="99">
        <v>0.12479079999999999</v>
      </c>
      <c r="D5" s="99">
        <v>0.12479079999999999</v>
      </c>
      <c r="E5" s="99">
        <v>1.74156E-2</v>
      </c>
      <c r="F5" s="99">
        <v>0.18873770000000001</v>
      </c>
      <c r="G5" s="99">
        <v>0.2191681</v>
      </c>
      <c r="H5" s="88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99">
        <v>0.76348499999999997</v>
      </c>
      <c r="D8" s="99">
        <v>0.76348499999999997</v>
      </c>
      <c r="E8" s="99">
        <v>0.68801129999999999</v>
      </c>
      <c r="F8" s="99">
        <v>0.81182849999999995</v>
      </c>
      <c r="G8" s="99">
        <v>0.82162270000000004</v>
      </c>
    </row>
    <row r="9" spans="1:15" ht="15.75" customHeight="1" x14ac:dyDescent="0.25">
      <c r="B9" s="9" t="s">
        <v>121</v>
      </c>
      <c r="C9" s="99">
        <v>0.20227999999999999</v>
      </c>
      <c r="D9" s="99">
        <v>0.20227999999999999</v>
      </c>
      <c r="E9" s="99">
        <v>0.1254825</v>
      </c>
      <c r="F9" s="99">
        <v>0.1213969</v>
      </c>
      <c r="G9" s="99">
        <v>7.6034400000000002E-2</v>
      </c>
    </row>
    <row r="10" spans="1:15" ht="15.75" customHeight="1" x14ac:dyDescent="0.25">
      <c r="B10" s="9" t="s">
        <v>122</v>
      </c>
      <c r="C10" s="99">
        <v>1.7117500000000001E-2</v>
      </c>
      <c r="D10" s="99">
        <v>1.7117500000000001E-2</v>
      </c>
      <c r="E10" s="99">
        <v>0.1185498</v>
      </c>
      <c r="F10" s="99">
        <v>5.6779499999999997E-2</v>
      </c>
      <c r="G10" s="99">
        <v>6.8849499999999994E-2</v>
      </c>
    </row>
    <row r="11" spans="1:15" ht="15.75" customHeight="1" x14ac:dyDescent="0.25">
      <c r="B11" s="9" t="s">
        <v>123</v>
      </c>
      <c r="C11" s="99">
        <v>1.7117500000000001E-2</v>
      </c>
      <c r="D11" s="99">
        <v>1.7117500000000001E-2</v>
      </c>
      <c r="E11" s="99">
        <v>6.7956500000000003E-2</v>
      </c>
      <c r="F11" s="99">
        <v>9.9950000000000004E-3</v>
      </c>
      <c r="G11" s="99">
        <v>3.3493299999999997E-2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99">
        <v>0.75239999999999996</v>
      </c>
      <c r="D14" s="99">
        <v>0.75239999999999996</v>
      </c>
      <c r="E14" s="99">
        <v>0.75239999999999996</v>
      </c>
      <c r="F14" s="99">
        <v>0.56699999999999995</v>
      </c>
      <c r="G14" s="99">
        <v>0.53</v>
      </c>
      <c r="H14" s="106">
        <v>0.75480000000000003</v>
      </c>
      <c r="I14" s="106">
        <v>0.57469999999999999</v>
      </c>
      <c r="J14" s="106">
        <v>0.3674</v>
      </c>
      <c r="K14" s="106">
        <v>0.18709999999999999</v>
      </c>
      <c r="L14" s="106">
        <v>0.34279999999999999</v>
      </c>
      <c r="M14" s="106">
        <v>0.29549999999999998</v>
      </c>
      <c r="N14" s="106">
        <v>0.37930000000000003</v>
      </c>
      <c r="O14" s="106">
        <v>0.20949999999999999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0.32744447999999998</v>
      </c>
      <c r="D15" s="35">
        <f t="shared" si="0"/>
        <v>0.32744447999999998</v>
      </c>
      <c r="E15" s="35">
        <f t="shared" si="0"/>
        <v>0.32744447999999998</v>
      </c>
      <c r="F15" s="35">
        <f t="shared" si="0"/>
        <v>0.24675839999999996</v>
      </c>
      <c r="G15" s="35">
        <f t="shared" si="0"/>
        <v>0.230656</v>
      </c>
      <c r="H15" s="35">
        <f t="shared" si="0"/>
        <v>0.32848896</v>
      </c>
      <c r="I15" s="35">
        <f t="shared" si="0"/>
        <v>0.25010943999999996</v>
      </c>
      <c r="J15" s="35">
        <f t="shared" si="0"/>
        <v>0.15989248</v>
      </c>
      <c r="K15" s="35">
        <f t="shared" si="0"/>
        <v>8.1425919999999985E-2</v>
      </c>
      <c r="L15" s="35">
        <f t="shared" si="0"/>
        <v>0.14918656</v>
      </c>
      <c r="M15" s="35">
        <f t="shared" si="0"/>
        <v>0.12860159999999998</v>
      </c>
      <c r="N15" s="35">
        <f t="shared" si="0"/>
        <v>0.16507136</v>
      </c>
      <c r="O15" s="35">
        <f t="shared" si="0"/>
        <v>9.1174399999999989E-2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99">
        <v>0.5611237</v>
      </c>
      <c r="D2" s="99">
        <v>0.31535980000000002</v>
      </c>
      <c r="E2" s="99">
        <v>0</v>
      </c>
      <c r="F2" s="99">
        <v>0</v>
      </c>
      <c r="G2" s="99">
        <v>0</v>
      </c>
    </row>
    <row r="3" spans="1:7" x14ac:dyDescent="0.25">
      <c r="B3" s="48" t="s">
        <v>166</v>
      </c>
      <c r="C3" s="107">
        <v>0.4388763</v>
      </c>
      <c r="D3" s="107">
        <v>0.2283462</v>
      </c>
      <c r="E3" s="107">
        <v>0</v>
      </c>
      <c r="F3" s="107">
        <v>0</v>
      </c>
      <c r="G3" s="107">
        <v>0</v>
      </c>
    </row>
    <row r="4" spans="1:7" x14ac:dyDescent="0.25">
      <c r="B4" s="48" t="s">
        <v>167</v>
      </c>
      <c r="C4" s="107">
        <v>0</v>
      </c>
      <c r="D4" s="107">
        <v>0.45629399999999998</v>
      </c>
      <c r="E4" s="101">
        <v>0.97742530000000005</v>
      </c>
      <c r="F4" s="101">
        <v>0.67534000000000005</v>
      </c>
      <c r="G4" s="101">
        <v>0.13053400000000001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0</v>
      </c>
      <c r="E5" s="35">
        <f t="shared" si="0"/>
        <v>2.2574699999999948E-2</v>
      </c>
      <c r="F5" s="35">
        <f t="shared" si="0"/>
        <v>0.32465999999999995</v>
      </c>
      <c r="G5" s="35">
        <f t="shared" si="0"/>
        <v>0.86946599999999996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2018-11-14T07:02:21Z</dcterms:modified>
</cp:coreProperties>
</file>