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G2" i="2" l="1"/>
  <c r="H2" i="2"/>
  <c r="I2" i="2" s="1"/>
  <c r="G3" i="2"/>
  <c r="H3" i="2"/>
  <c r="G4" i="2"/>
  <c r="H4" i="2"/>
  <c r="I4" i="2" s="1"/>
  <c r="G5" i="2"/>
  <c r="H5" i="2"/>
  <c r="I3" i="2" l="1"/>
  <c r="I5" i="2"/>
  <c r="D6" i="57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6" i="2"/>
  <c r="H7" i="2"/>
  <c r="H8" i="2"/>
  <c r="H9" i="2"/>
  <c r="H10" i="2"/>
  <c r="H11" i="2"/>
  <c r="H12" i="2"/>
  <c r="H13" i="2"/>
  <c r="G6" i="2" l="1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Avril Dawn Kaplan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Avril Dawn Kaplan:</t>
        </r>
        <r>
          <rPr>
            <sz val="9"/>
            <color indexed="81"/>
            <rFont val="Tahoma"/>
            <family val="2"/>
          </rPr>
          <t xml:space="preserve">
Very high jump here…. May not have enough children in this age bracket to be reliable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<sst xmlns="http://schemas.openxmlformats.org/spreadsheetml/2006/main" count="378" uniqueCount="210">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</sst>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3" fontId="5" fillId="2" borderId="1" xfId="0" applyNumberFormat="1" applyFont="1" applyFill="1" applyBorder="1" applyAlignment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39"/>
  </cols>
  <sheetData>
    <row r="1" spans="1:1" x14ac:dyDescent="0.25">
      <c r="A1" s="39" t="s">
        <v>202</v>
      </c>
    </row>
    <row r="2" spans="1:1" x14ac:dyDescent="0.25">
      <c r="A2" s="39" t="s">
        <v>207</v>
      </c>
    </row>
    <row r="3" spans="1:1" x14ac:dyDescent="0.25">
      <c r="A3" s="39" t="s">
        <v>208</v>
      </c>
    </row>
    <row r="4" spans="1:1" x14ac:dyDescent="0.25">
      <c r="A4" s="39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4" customWidth="1"/>
    <col min="2" max="2" width="14.33203125" style="39"/>
    <col min="3" max="3" width="20.33203125" style="39" customWidth="1"/>
    <col min="4" max="4" width="20.109375" style="39" customWidth="1"/>
    <col min="5" max="5" width="12.109375" style="39" customWidth="1"/>
    <col min="6" max="16384" width="14.33203125" style="39"/>
  </cols>
  <sheetData>
    <row r="1" spans="1:6" ht="56.7" customHeight="1" x14ac:dyDescent="0.25">
      <c r="A1" s="58" t="s">
        <v>69</v>
      </c>
      <c r="B1" s="114" t="str">
        <f>"Baseline ("&amp;start_year&amp;") coverage"</f>
        <v>Baseline (2017) coverage</v>
      </c>
      <c r="C1" s="57" t="s">
        <v>198</v>
      </c>
      <c r="D1" s="57" t="s">
        <v>203</v>
      </c>
      <c r="E1" s="57" t="s">
        <v>204</v>
      </c>
    </row>
    <row r="2" spans="1:6" ht="15.75" customHeight="1" x14ac:dyDescent="0.25">
      <c r="A2" s="54" t="s">
        <v>29</v>
      </c>
      <c r="B2" s="113">
        <v>0</v>
      </c>
      <c r="C2" s="55">
        <v>0.95</v>
      </c>
      <c r="D2" s="56">
        <v>25</v>
      </c>
      <c r="E2" s="56" t="s">
        <v>202</v>
      </c>
    </row>
    <row r="3" spans="1:6" ht="15.75" customHeight="1" x14ac:dyDescent="0.25">
      <c r="A3" s="54" t="s">
        <v>86</v>
      </c>
      <c r="B3" s="113">
        <v>0</v>
      </c>
      <c r="C3" s="55">
        <v>0.95</v>
      </c>
      <c r="D3" s="56">
        <v>1</v>
      </c>
      <c r="E3" s="56" t="s">
        <v>202</v>
      </c>
    </row>
    <row r="4" spans="1:6" ht="15.75" customHeight="1" x14ac:dyDescent="0.25">
      <c r="A4" s="54" t="s">
        <v>61</v>
      </c>
      <c r="B4" s="113">
        <v>0</v>
      </c>
      <c r="C4" s="55">
        <v>0.95</v>
      </c>
      <c r="D4" s="56">
        <f>180</f>
        <v>180</v>
      </c>
      <c r="E4" s="56" t="s">
        <v>202</v>
      </c>
    </row>
    <row r="5" spans="1:6" ht="15.75" customHeight="1" x14ac:dyDescent="0.25">
      <c r="A5" s="54" t="s">
        <v>149</v>
      </c>
      <c r="B5" s="55">
        <v>0</v>
      </c>
      <c r="C5" s="55">
        <v>0.95</v>
      </c>
      <c r="D5" s="56">
        <v>1</v>
      </c>
      <c r="E5" s="56" t="s">
        <v>202</v>
      </c>
    </row>
    <row r="6" spans="1:6" ht="15.75" customHeight="1" x14ac:dyDescent="0.25">
      <c r="A6" s="81" t="s">
        <v>195</v>
      </c>
      <c r="B6" s="100">
        <v>0.28899999999999998</v>
      </c>
      <c r="C6" s="55">
        <v>0.95</v>
      </c>
      <c r="D6" s="92">
        <f>SUM('Programs family planning'!E2:E10)</f>
        <v>0.82100000000000006</v>
      </c>
      <c r="E6" s="56" t="s">
        <v>202</v>
      </c>
    </row>
    <row r="7" spans="1:6" ht="15.75" customHeight="1" x14ac:dyDescent="0.25">
      <c r="A7" s="54" t="s">
        <v>63</v>
      </c>
      <c r="B7" s="113">
        <v>0</v>
      </c>
      <c r="C7" s="55">
        <v>0.95</v>
      </c>
      <c r="D7" s="56">
        <v>0.82</v>
      </c>
      <c r="E7" s="56" t="s">
        <v>202</v>
      </c>
    </row>
    <row r="8" spans="1:6" ht="15.75" customHeight="1" x14ac:dyDescent="0.25">
      <c r="A8" s="54" t="s">
        <v>64</v>
      </c>
      <c r="B8" s="55">
        <v>0</v>
      </c>
      <c r="C8" s="55">
        <v>0.95</v>
      </c>
      <c r="D8" s="56">
        <v>0.75</v>
      </c>
      <c r="E8" s="56" t="s">
        <v>202</v>
      </c>
    </row>
    <row r="9" spans="1:6" ht="15.75" customHeight="1" x14ac:dyDescent="0.25">
      <c r="A9" s="54" t="s">
        <v>62</v>
      </c>
      <c r="B9" s="55">
        <v>0</v>
      </c>
      <c r="C9" s="55">
        <v>0.95</v>
      </c>
      <c r="D9" s="56">
        <v>0.19</v>
      </c>
      <c r="E9" s="56" t="s">
        <v>202</v>
      </c>
    </row>
    <row r="10" spans="1:6" ht="15.75" customHeight="1" x14ac:dyDescent="0.25">
      <c r="A10" s="66" t="s">
        <v>186</v>
      </c>
      <c r="B10" s="113">
        <v>0</v>
      </c>
      <c r="C10" s="55">
        <v>0.95</v>
      </c>
      <c r="D10" s="56">
        <v>0.73</v>
      </c>
      <c r="E10" s="56" t="s">
        <v>202</v>
      </c>
    </row>
    <row r="11" spans="1:6" ht="15.75" customHeight="1" x14ac:dyDescent="0.25">
      <c r="A11" s="66" t="s">
        <v>205</v>
      </c>
      <c r="B11" s="113">
        <v>0</v>
      </c>
      <c r="C11" s="55">
        <v>0.95</v>
      </c>
      <c r="D11" s="56">
        <v>1.78</v>
      </c>
      <c r="E11" s="56" t="s">
        <v>202</v>
      </c>
    </row>
    <row r="12" spans="1:6" ht="15.75" customHeight="1" x14ac:dyDescent="0.25">
      <c r="A12" s="66" t="s">
        <v>187</v>
      </c>
      <c r="B12" s="113">
        <v>0</v>
      </c>
      <c r="C12" s="55">
        <v>0.95</v>
      </c>
      <c r="D12" s="56">
        <v>0.24</v>
      </c>
      <c r="E12" s="56" t="s">
        <v>202</v>
      </c>
    </row>
    <row r="13" spans="1:6" ht="15.75" customHeight="1" x14ac:dyDescent="0.25">
      <c r="A13" s="66" t="s">
        <v>188</v>
      </c>
      <c r="B13" s="113">
        <v>0</v>
      </c>
      <c r="C13" s="55">
        <v>0.95</v>
      </c>
      <c r="D13" s="56">
        <v>0.55000000000000004</v>
      </c>
      <c r="E13" s="56" t="s">
        <v>202</v>
      </c>
    </row>
    <row r="14" spans="1:6" ht="15.75" customHeight="1" x14ac:dyDescent="0.25">
      <c r="A14" s="13" t="s">
        <v>185</v>
      </c>
      <c r="B14" s="113">
        <v>0</v>
      </c>
      <c r="C14" s="55">
        <v>0.95</v>
      </c>
      <c r="D14" s="56">
        <v>0.73</v>
      </c>
      <c r="E14" s="56" t="s">
        <v>202</v>
      </c>
    </row>
    <row r="15" spans="1:6" ht="15.75" customHeight="1" x14ac:dyDescent="0.3">
      <c r="A15" s="82" t="s">
        <v>206</v>
      </c>
      <c r="B15" s="100">
        <v>0.35899999999999999</v>
      </c>
      <c r="C15" s="55">
        <v>0.95</v>
      </c>
      <c r="D15" s="56">
        <v>2</v>
      </c>
      <c r="E15" s="56" t="s">
        <v>202</v>
      </c>
      <c r="F15" s="86"/>
    </row>
    <row r="16" spans="1:6" ht="15.75" customHeight="1" x14ac:dyDescent="0.25">
      <c r="A16" s="81" t="s">
        <v>57</v>
      </c>
      <c r="B16" s="100">
        <v>0.16</v>
      </c>
      <c r="C16" s="55">
        <v>0.95</v>
      </c>
      <c r="D16" s="56">
        <v>2.1800000000000002</v>
      </c>
      <c r="E16" s="56" t="s">
        <v>202</v>
      </c>
    </row>
    <row r="17" spans="1:6" ht="15.75" customHeight="1" x14ac:dyDescent="0.3">
      <c r="A17" s="54" t="s">
        <v>47</v>
      </c>
      <c r="B17" s="113">
        <v>0</v>
      </c>
      <c r="C17" s="55">
        <v>0.95</v>
      </c>
      <c r="D17" s="56">
        <v>0.05</v>
      </c>
      <c r="E17" s="56" t="s">
        <v>202</v>
      </c>
      <c r="F17" s="86"/>
    </row>
    <row r="18" spans="1:6" ht="16.05" customHeight="1" x14ac:dyDescent="0.25">
      <c r="A18" s="54" t="s">
        <v>171</v>
      </c>
      <c r="B18" s="113">
        <v>0</v>
      </c>
      <c r="C18" s="55">
        <v>0.95</v>
      </c>
      <c r="D18" s="93">
        <v>5</v>
      </c>
      <c r="E18" s="56" t="s">
        <v>202</v>
      </c>
    </row>
    <row r="19" spans="1:6" ht="15.75" customHeight="1" x14ac:dyDescent="0.25">
      <c r="A19" s="54" t="s">
        <v>196</v>
      </c>
      <c r="B19" s="113">
        <v>0</v>
      </c>
      <c r="C19" s="55">
        <v>0.95</v>
      </c>
      <c r="D19" s="93">
        <f>SUMPRODUCT(('IYCF cost'!$C$2:$E$6)*('IYCF packages'!$C$9:$E$13&lt;&gt;""))</f>
        <v>4.8250000000000002</v>
      </c>
      <c r="E19" s="56" t="s">
        <v>202</v>
      </c>
    </row>
    <row r="20" spans="1:6" ht="15.75" customHeight="1" x14ac:dyDescent="0.25">
      <c r="A20" s="54" t="s">
        <v>197</v>
      </c>
      <c r="B20" s="113">
        <v>0</v>
      </c>
      <c r="C20" s="55">
        <v>0.95</v>
      </c>
      <c r="D20" s="93">
        <f>SUMPRODUCT(('IYCF cost'!$C$2:$E$6)*('IYCF packages'!$C$16:$E$20&lt;&gt;""))</f>
        <v>0.25</v>
      </c>
      <c r="E20" s="56" t="s">
        <v>202</v>
      </c>
    </row>
    <row r="21" spans="1:6" ht="15.75" customHeight="1" x14ac:dyDescent="0.25">
      <c r="A21" s="54" t="s">
        <v>193</v>
      </c>
      <c r="B21" s="113">
        <v>0</v>
      </c>
      <c r="C21" s="55">
        <v>0.95</v>
      </c>
      <c r="D21" s="56">
        <v>8.84</v>
      </c>
      <c r="E21" s="56" t="s">
        <v>202</v>
      </c>
    </row>
    <row r="22" spans="1:6" ht="15.75" customHeight="1" x14ac:dyDescent="0.25">
      <c r="A22" s="54" t="s">
        <v>136</v>
      </c>
      <c r="B22" s="113">
        <v>0</v>
      </c>
      <c r="C22" s="55">
        <v>0.95</v>
      </c>
      <c r="D22" s="56">
        <v>50</v>
      </c>
      <c r="E22" s="56" t="s">
        <v>202</v>
      </c>
    </row>
    <row r="23" spans="1:6" ht="15.75" customHeight="1" x14ac:dyDescent="0.25">
      <c r="A23" s="54" t="s">
        <v>34</v>
      </c>
      <c r="B23" s="113">
        <v>0</v>
      </c>
      <c r="C23" s="55">
        <v>0.95</v>
      </c>
      <c r="D23" s="56">
        <v>2.61</v>
      </c>
      <c r="E23" s="56" t="s">
        <v>202</v>
      </c>
    </row>
    <row r="24" spans="1:6" ht="15.75" customHeight="1" x14ac:dyDescent="0.25">
      <c r="A24" s="54" t="s">
        <v>88</v>
      </c>
      <c r="B24" s="113">
        <v>0</v>
      </c>
      <c r="C24" s="55">
        <v>0.95</v>
      </c>
      <c r="D24" s="56">
        <v>1</v>
      </c>
      <c r="E24" s="56" t="s">
        <v>202</v>
      </c>
    </row>
    <row r="25" spans="1:6" ht="15.75" customHeight="1" x14ac:dyDescent="0.25">
      <c r="A25" s="54" t="s">
        <v>87</v>
      </c>
      <c r="B25" s="113">
        <v>0</v>
      </c>
      <c r="C25" s="55">
        <v>0.95</v>
      </c>
      <c r="D25" s="56">
        <v>1</v>
      </c>
      <c r="E25" s="56" t="s">
        <v>202</v>
      </c>
    </row>
    <row r="26" spans="1:6" ht="15.75" customHeight="1" x14ac:dyDescent="0.25">
      <c r="A26" s="54" t="s">
        <v>137</v>
      </c>
      <c r="B26" s="113">
        <v>0</v>
      </c>
      <c r="C26" s="55">
        <v>0.95</v>
      </c>
      <c r="D26" s="56">
        <v>1</v>
      </c>
      <c r="E26" s="56" t="s">
        <v>202</v>
      </c>
    </row>
    <row r="27" spans="1:6" ht="15.75" customHeight="1" x14ac:dyDescent="0.25">
      <c r="A27" s="81" t="s">
        <v>59</v>
      </c>
      <c r="B27" s="113">
        <v>0</v>
      </c>
      <c r="C27" s="55">
        <v>0.95</v>
      </c>
      <c r="D27" s="56">
        <v>3.54</v>
      </c>
      <c r="E27" s="56" t="s">
        <v>202</v>
      </c>
    </row>
    <row r="28" spans="1:6" ht="15.75" customHeight="1" x14ac:dyDescent="0.25">
      <c r="A28" s="81" t="s">
        <v>84</v>
      </c>
      <c r="B28" s="100">
        <v>0.36700000000000005</v>
      </c>
      <c r="C28" s="55">
        <v>0.95</v>
      </c>
      <c r="D28" s="56">
        <v>1</v>
      </c>
      <c r="E28" s="56" t="s">
        <v>202</v>
      </c>
    </row>
    <row r="29" spans="1:6" ht="15.75" customHeight="1" x14ac:dyDescent="0.25">
      <c r="A29" s="54" t="s">
        <v>58</v>
      </c>
      <c r="B29" s="113">
        <v>0</v>
      </c>
      <c r="C29" s="55">
        <v>0.95</v>
      </c>
      <c r="D29" s="56">
        <v>40.25</v>
      </c>
      <c r="E29" s="56" t="s">
        <v>202</v>
      </c>
    </row>
    <row r="30" spans="1:6" ht="15.75" customHeight="1" x14ac:dyDescent="0.25">
      <c r="A30" s="54" t="s">
        <v>67</v>
      </c>
      <c r="B30" s="113">
        <v>0</v>
      </c>
      <c r="C30" s="55">
        <v>0.95</v>
      </c>
      <c r="D30" s="94">
        <f>162*AVERAGE('Incidence of conditions'!B4:F4) + 0*AVERAGE('Incidence of conditions'!B3:F3)*IF(ISBLANK(manage_mam), 0, 1)</f>
        <v>39.979983888</v>
      </c>
      <c r="E30" s="56" t="s">
        <v>202</v>
      </c>
    </row>
    <row r="31" spans="1:6" ht="15.75" customHeight="1" x14ac:dyDescent="0.3">
      <c r="A31" s="81" t="s">
        <v>28</v>
      </c>
      <c r="B31" s="100">
        <v>0.63500000000000001</v>
      </c>
      <c r="C31" s="55">
        <v>0.95</v>
      </c>
      <c r="D31" s="56">
        <v>0.55000000000000004</v>
      </c>
      <c r="E31" s="56" t="s">
        <v>202</v>
      </c>
      <c r="F31" s="86"/>
    </row>
    <row r="32" spans="1:6" ht="15.75" customHeight="1" x14ac:dyDescent="0.25">
      <c r="A32" s="54" t="s">
        <v>83</v>
      </c>
      <c r="B32" s="113">
        <v>0</v>
      </c>
      <c r="C32" s="55">
        <v>0.95</v>
      </c>
      <c r="D32" s="56">
        <v>1</v>
      </c>
      <c r="E32" s="56" t="s">
        <v>202</v>
      </c>
    </row>
    <row r="33" spans="1:5" ht="15.75" customHeight="1" x14ac:dyDescent="0.25">
      <c r="A33" s="54" t="s">
        <v>82</v>
      </c>
      <c r="B33" s="113">
        <v>0</v>
      </c>
      <c r="C33" s="55">
        <v>0.95</v>
      </c>
      <c r="D33" s="56">
        <v>2.8</v>
      </c>
      <c r="E33" s="56" t="s">
        <v>202</v>
      </c>
    </row>
    <row r="34" spans="1:5" ht="15.75" customHeight="1" x14ac:dyDescent="0.25">
      <c r="A34" s="54" t="s">
        <v>81</v>
      </c>
      <c r="B34" s="113">
        <v>0</v>
      </c>
      <c r="C34" s="55">
        <v>0.95</v>
      </c>
      <c r="D34" s="56">
        <v>50.26</v>
      </c>
      <c r="E34" s="56" t="s">
        <v>202</v>
      </c>
    </row>
    <row r="35" spans="1:5" ht="15.75" customHeight="1" x14ac:dyDescent="0.25">
      <c r="A35" s="54" t="s">
        <v>79</v>
      </c>
      <c r="B35" s="113">
        <v>0</v>
      </c>
      <c r="C35" s="55">
        <v>0.95</v>
      </c>
      <c r="D35" s="56">
        <v>36.1</v>
      </c>
      <c r="E35" s="56" t="s">
        <v>202</v>
      </c>
    </row>
    <row r="36" spans="1:5" s="40" customFormat="1" ht="15.75" customHeight="1" x14ac:dyDescent="0.25">
      <c r="A36" s="54" t="s">
        <v>80</v>
      </c>
      <c r="B36" s="113">
        <v>0</v>
      </c>
      <c r="C36" s="55">
        <v>0.95</v>
      </c>
      <c r="D36" s="56">
        <v>231.85</v>
      </c>
      <c r="E36" s="56" t="s">
        <v>202</v>
      </c>
    </row>
    <row r="37" spans="1:5" ht="15.75" customHeight="1" x14ac:dyDescent="0.25">
      <c r="A37" s="81" t="s">
        <v>85</v>
      </c>
      <c r="B37" s="101">
        <v>0</v>
      </c>
      <c r="C37" s="55">
        <v>0.95</v>
      </c>
      <c r="D37" s="56">
        <v>0.92</v>
      </c>
      <c r="E37" s="56" t="s">
        <v>202</v>
      </c>
    </row>
    <row r="38" spans="1:5" ht="15.75" customHeight="1" x14ac:dyDescent="0.25">
      <c r="A38" s="54" t="s">
        <v>60</v>
      </c>
      <c r="B38" s="113">
        <v>0</v>
      </c>
      <c r="C38" s="55">
        <v>0.95</v>
      </c>
      <c r="D38" s="56">
        <v>4.6100000000000003</v>
      </c>
      <c r="E38" s="56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59" customWidth="1"/>
    <col min="2" max="16384" width="10.77734375" style="59"/>
  </cols>
  <sheetData>
    <row r="1" spans="1:5" ht="53.4" x14ac:dyDescent="0.3">
      <c r="A1" s="64" t="s">
        <v>192</v>
      </c>
      <c r="B1" s="63" t="s">
        <v>175</v>
      </c>
      <c r="C1" s="63" t="s">
        <v>174</v>
      </c>
      <c r="D1" s="63" t="s">
        <v>173</v>
      </c>
      <c r="E1" s="63" t="s">
        <v>172</v>
      </c>
    </row>
    <row r="2" spans="1:5" x14ac:dyDescent="0.3">
      <c r="A2" s="62" t="s">
        <v>164</v>
      </c>
      <c r="B2" s="61" t="s">
        <v>32</v>
      </c>
      <c r="C2" s="56">
        <f>1.5*0.61</f>
        <v>0.91500000000000004</v>
      </c>
      <c r="D2" s="56">
        <f>0.5*0.61</f>
        <v>0.30499999999999999</v>
      </c>
      <c r="E2" s="56">
        <v>0.05</v>
      </c>
    </row>
    <row r="3" spans="1:5" x14ac:dyDescent="0.3">
      <c r="A3" s="61"/>
      <c r="B3" s="61" t="s">
        <v>1</v>
      </c>
      <c r="C3" s="56">
        <f>1.5*0.61</f>
        <v>0.91500000000000004</v>
      </c>
      <c r="D3" s="56">
        <f>0.5*0.61</f>
        <v>0.30499999999999999</v>
      </c>
      <c r="E3" s="56">
        <v>0.05</v>
      </c>
    </row>
    <row r="4" spans="1:5" x14ac:dyDescent="0.3">
      <c r="A4" s="61"/>
      <c r="B4" s="61" t="s">
        <v>2</v>
      </c>
      <c r="C4" s="56">
        <f>1.5*0.61</f>
        <v>0.91500000000000004</v>
      </c>
      <c r="D4" s="56">
        <f>0.5*0.61</f>
        <v>0.30499999999999999</v>
      </c>
      <c r="E4" s="56">
        <v>0.05</v>
      </c>
    </row>
    <row r="5" spans="1:5" x14ac:dyDescent="0.3">
      <c r="A5" s="61"/>
      <c r="B5" s="61" t="s">
        <v>3</v>
      </c>
      <c r="C5" s="56">
        <f>1.5*0.61</f>
        <v>0.91500000000000004</v>
      </c>
      <c r="D5" s="56">
        <f>0.5*0.61</f>
        <v>0.30499999999999999</v>
      </c>
      <c r="E5" s="56">
        <v>0.05</v>
      </c>
    </row>
    <row r="6" spans="1:5" x14ac:dyDescent="0.3">
      <c r="A6" s="61"/>
      <c r="B6" s="61" t="s">
        <v>4</v>
      </c>
      <c r="C6" s="56">
        <f>1.5*0.61</f>
        <v>0.91500000000000004</v>
      </c>
      <c r="D6" s="56">
        <f>0.5*0.61</f>
        <v>0.30499999999999999</v>
      </c>
      <c r="E6" s="56">
        <v>0.05</v>
      </c>
    </row>
    <row r="9" spans="1:5" x14ac:dyDescent="0.3">
      <c r="C9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4" bestFit="1" customWidth="1"/>
    <col min="2" max="2" width="47.77734375" style="39" customWidth="1"/>
    <col min="3" max="3" width="42.33203125" style="39" customWidth="1"/>
    <col min="4" max="16384" width="11.33203125" style="39"/>
  </cols>
  <sheetData>
    <row r="1" spans="1:3" x14ac:dyDescent="0.25">
      <c r="A1" s="44" t="s">
        <v>69</v>
      </c>
      <c r="B1" s="44" t="s">
        <v>178</v>
      </c>
      <c r="C1" s="44" t="s">
        <v>177</v>
      </c>
    </row>
    <row r="2" spans="1:3" x14ac:dyDescent="0.25">
      <c r="A2" s="13" t="s">
        <v>185</v>
      </c>
      <c r="B2" s="50" t="s">
        <v>59</v>
      </c>
      <c r="C2" s="50"/>
    </row>
    <row r="3" spans="1:3" x14ac:dyDescent="0.25">
      <c r="A3" s="13" t="s">
        <v>206</v>
      </c>
      <c r="B3" s="50" t="s">
        <v>59</v>
      </c>
      <c r="C3" s="50"/>
    </row>
    <row r="4" spans="1:3" x14ac:dyDescent="0.25">
      <c r="A4" s="54" t="s">
        <v>58</v>
      </c>
      <c r="B4" s="50" t="s">
        <v>136</v>
      </c>
      <c r="C4" s="50"/>
    </row>
    <row r="5" spans="1:3" x14ac:dyDescent="0.25">
      <c r="A5" s="54" t="s">
        <v>137</v>
      </c>
      <c r="B5" s="50" t="s">
        <v>136</v>
      </c>
      <c r="C5" s="50"/>
    </row>
    <row r="11" spans="1:3" x14ac:dyDescent="0.25">
      <c r="A11" s="35"/>
    </row>
    <row r="12" spans="1:3" x14ac:dyDescent="0.25">
      <c r="A12" s="35"/>
    </row>
    <row r="13" spans="1:3" x14ac:dyDescent="0.25">
      <c r="A13" s="35"/>
    </row>
    <row r="14" spans="1:3" x14ac:dyDescent="0.25">
      <c r="A14" s="35"/>
    </row>
    <row r="15" spans="1:3" x14ac:dyDescent="0.25">
      <c r="A15" s="35"/>
    </row>
    <row r="16" spans="1:3" x14ac:dyDescent="0.25">
      <c r="A16" s="35"/>
    </row>
    <row r="17" spans="1:1" x14ac:dyDescent="0.25">
      <c r="A17" s="35"/>
    </row>
    <row r="18" spans="1:1" x14ac:dyDescent="0.25">
      <c r="A18" s="35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39" customWidth="1"/>
    <col min="2" max="16384" width="11.33203125" style="39"/>
  </cols>
  <sheetData>
    <row r="1" spans="1:1" x14ac:dyDescent="0.25">
      <c r="A1" s="44" t="s">
        <v>69</v>
      </c>
    </row>
    <row r="2" spans="1:1" x14ac:dyDescent="0.25">
      <c r="A2" s="50" t="s">
        <v>195</v>
      </c>
    </row>
    <row r="3" spans="1:1" x14ac:dyDescent="0.25">
      <c r="A3" s="50" t="s">
        <v>57</v>
      </c>
    </row>
    <row r="4" spans="1:1" x14ac:dyDescent="0.25">
      <c r="A4" s="50" t="s">
        <v>34</v>
      </c>
    </row>
    <row r="5" spans="1:1" x14ac:dyDescent="0.25">
      <c r="A5" s="50" t="s">
        <v>83</v>
      </c>
    </row>
    <row r="6" spans="1:1" x14ac:dyDescent="0.25">
      <c r="A6" s="50" t="s">
        <v>82</v>
      </c>
    </row>
    <row r="7" spans="1:1" x14ac:dyDescent="0.25">
      <c r="A7" s="50" t="s">
        <v>81</v>
      </c>
    </row>
    <row r="8" spans="1:1" x14ac:dyDescent="0.25">
      <c r="A8" s="50" t="s">
        <v>79</v>
      </c>
    </row>
    <row r="9" spans="1:1" x14ac:dyDescent="0.25">
      <c r="A9" s="50" t="s">
        <v>80</v>
      </c>
    </row>
    <row r="10" spans="1:1" x14ac:dyDescent="0.25">
      <c r="A10" s="50"/>
    </row>
    <row r="11" spans="1:1" x14ac:dyDescent="0.25">
      <c r="A11" s="50"/>
    </row>
    <row r="12" spans="1:1" x14ac:dyDescent="0.25">
      <c r="A12" s="50"/>
    </row>
    <row r="13" spans="1:1" x14ac:dyDescent="0.25">
      <c r="A13" s="50"/>
    </row>
    <row r="14" spans="1:1" x14ac:dyDescent="0.25">
      <c r="A14" s="50"/>
    </row>
    <row r="15" spans="1:1" x14ac:dyDescent="0.25">
      <c r="A15" s="50"/>
    </row>
    <row r="16" spans="1:1" x14ac:dyDescent="0.25">
      <c r="A16" s="50"/>
    </row>
    <row r="17" spans="1:1" x14ac:dyDescent="0.25">
      <c r="A17" s="50"/>
    </row>
    <row r="18" spans="1:1" x14ac:dyDescent="0.25">
      <c r="A18" s="50"/>
    </row>
    <row r="19" spans="1:1" x14ac:dyDescent="0.25">
      <c r="A19" s="5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7">
        <f>'Baseline year population inputs'!C51</f>
        <v>3.3</v>
      </c>
      <c r="C2" s="27">
        <f>'Baseline year population inputs'!C52</f>
        <v>3.3</v>
      </c>
      <c r="D2" s="27">
        <f>'Baseline year population inputs'!C53</f>
        <v>3.3</v>
      </c>
      <c r="E2" s="27">
        <f>'Baseline year population inputs'!C54</f>
        <v>3.3</v>
      </c>
      <c r="F2" s="27">
        <f>'Baseline year population inputs'!C55</f>
        <v>3.3</v>
      </c>
    </row>
    <row r="3" spans="1:6" ht="15.75" customHeight="1" x14ac:dyDescent="0.25">
      <c r="A3" s="3" t="s">
        <v>65</v>
      </c>
      <c r="B3" s="27">
        <f>frac_mam_1month * 2.6</f>
        <v>0.85558668000000004</v>
      </c>
      <c r="C3" s="27">
        <f>frac_mam_1_5months * 2.6</f>
        <v>0.85558668000000004</v>
      </c>
      <c r="D3" s="27">
        <f>frac_mam_6_11months * 2.6</f>
        <v>0.85558668000000004</v>
      </c>
      <c r="E3" s="27">
        <f>frac_mam_12_23months * 2.6</f>
        <v>8.5010379999999997E-2</v>
      </c>
      <c r="F3" s="27">
        <f>frac_mam_24_59months * 2.6</f>
        <v>6.8892980000000006E-2</v>
      </c>
    </row>
    <row r="4" spans="1:6" ht="15.75" customHeight="1" x14ac:dyDescent="0.25">
      <c r="A4" s="3" t="s">
        <v>66</v>
      </c>
      <c r="B4" s="27">
        <f>frac_sam_1month * 2.6</f>
        <v>0.20384052000000003</v>
      </c>
      <c r="C4" s="27">
        <f>frac_sam_1_5months * 2.6</f>
        <v>0.20384052000000003</v>
      </c>
      <c r="D4" s="27">
        <f>frac_sam_6_11months * 2.6</f>
        <v>0.57578170000000006</v>
      </c>
      <c r="E4" s="27">
        <f>frac_sam_12_23months * 2.6</f>
        <v>0.1769144</v>
      </c>
      <c r="F4" s="27">
        <f>frac_sam_24_59months * 2.6</f>
        <v>7.357298000000001E-2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3" t="s">
        <v>61</v>
      </c>
      <c r="C2" s="37">
        <v>0</v>
      </c>
      <c r="D2" s="37">
        <f>food_insecure</f>
        <v>0.45</v>
      </c>
      <c r="E2" s="37">
        <f>food_insecure</f>
        <v>0.45</v>
      </c>
      <c r="F2" s="37">
        <f>food_insecure</f>
        <v>0.45</v>
      </c>
      <c r="G2" s="37">
        <f>food_insecure</f>
        <v>0.45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8" t="s">
        <v>149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8" t="s">
        <v>193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13" t="s">
        <v>136</v>
      </c>
      <c r="C5" s="37">
        <v>0</v>
      </c>
      <c r="D5" s="37">
        <v>0</v>
      </c>
      <c r="E5" s="37">
        <f>food_insecure</f>
        <v>0.45</v>
      </c>
      <c r="F5" s="37">
        <f>food_insecure</f>
        <v>0.45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13" t="s">
        <v>137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35" t="s">
        <v>84</v>
      </c>
      <c r="C7" s="37">
        <f>diarrhoea_1mo/26</f>
        <v>0.12692307692307692</v>
      </c>
      <c r="D7" s="37">
        <f>diarrhoea_1_5mo/26</f>
        <v>0.12692307692307692</v>
      </c>
      <c r="E7" s="37">
        <f>diarrhoea_6_11mo/26</f>
        <v>0.12692307692307692</v>
      </c>
      <c r="F7" s="37">
        <f>diarrhoea_12_23mo/26</f>
        <v>0.12692307692307692</v>
      </c>
      <c r="G7" s="37">
        <f>diarrhoea_24_59mo/26</f>
        <v>0.12692307692307692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13" t="s">
        <v>58</v>
      </c>
      <c r="C8" s="37">
        <v>0</v>
      </c>
      <c r="D8" s="37">
        <v>0</v>
      </c>
      <c r="E8" s="37">
        <f>food_insecure</f>
        <v>0.45</v>
      </c>
      <c r="F8" s="37">
        <f>food_insecure</f>
        <v>0.45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13" t="s">
        <v>67</v>
      </c>
      <c r="C9" s="37">
        <v>0</v>
      </c>
      <c r="D9" s="37">
        <f>IF(ISBLANK(comm_deliv), frac_children_health_facility,1)</f>
        <v>0.40200000000000002</v>
      </c>
      <c r="E9" s="37">
        <f>IF(ISBLANK(comm_deliv), frac_children_health_facility,1)</f>
        <v>0.40200000000000002</v>
      </c>
      <c r="F9" s="37">
        <f>IF(ISBLANK(comm_deliv), frac_children_health_facility,1)</f>
        <v>0.40200000000000002</v>
      </c>
      <c r="G9" s="37">
        <f>IF(ISBLANK(comm_deliv), frac_children_health_facility,1)</f>
        <v>0.40200000000000002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customHeight="1" x14ac:dyDescent="0.25">
      <c r="B10" s="13" t="s">
        <v>28</v>
      </c>
      <c r="C10" s="37">
        <v>0</v>
      </c>
      <c r="D10" s="37">
        <v>0</v>
      </c>
      <c r="E10" s="37">
        <v>1</v>
      </c>
      <c r="F10" s="37">
        <v>1</v>
      </c>
      <c r="G10" s="37">
        <v>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.75" customHeight="1" x14ac:dyDescent="0.25">
      <c r="B11" s="35" t="s">
        <v>85</v>
      </c>
      <c r="C11" s="37">
        <f>diarrhoea_1mo/26</f>
        <v>0.12692307692307692</v>
      </c>
      <c r="D11" s="37">
        <f>diarrhoea_1_5mo/26</f>
        <v>0.12692307692307692</v>
      </c>
      <c r="E11" s="37">
        <f>diarrhoea_6_11mo/26</f>
        <v>0.12692307692307692</v>
      </c>
      <c r="F11" s="37">
        <f>diarrhoea_12_23mo/26</f>
        <v>0.12692307692307692</v>
      </c>
      <c r="G11" s="37">
        <f>diarrhoea_24_59mo/26</f>
        <v>0.12692307692307692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60</v>
      </c>
      <c r="C12" s="37">
        <v>0</v>
      </c>
      <c r="D12" s="37">
        <v>0</v>
      </c>
      <c r="E12" s="37">
        <v>1</v>
      </c>
      <c r="F12" s="37">
        <v>1</v>
      </c>
      <c r="G12" s="37">
        <v>1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35"/>
    </row>
    <row r="14" spans="1:15" ht="15.75" customHeight="1" x14ac:dyDescent="0.25">
      <c r="A14" s="4" t="s">
        <v>32</v>
      </c>
      <c r="B14" s="35" t="s">
        <v>29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7">
        <f>food_insecure</f>
        <v>0.45</v>
      </c>
      <c r="I14" s="37">
        <f>food_insecure</f>
        <v>0.45</v>
      </c>
      <c r="J14" s="37">
        <f>food_insecure</f>
        <v>0.45</v>
      </c>
      <c r="K14" s="37">
        <f>food_insecure</f>
        <v>0.45</v>
      </c>
      <c r="L14" s="38">
        <v>0</v>
      </c>
      <c r="M14" s="38">
        <v>0</v>
      </c>
      <c r="N14" s="38">
        <v>0</v>
      </c>
      <c r="O14" s="38">
        <v>0</v>
      </c>
    </row>
    <row r="15" spans="1:15" ht="15.75" customHeight="1" x14ac:dyDescent="0.25">
      <c r="A15" s="4"/>
      <c r="B15" s="13" t="s">
        <v>86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v>1</v>
      </c>
      <c r="I15" s="37">
        <v>1</v>
      </c>
      <c r="J15" s="37">
        <v>1</v>
      </c>
      <c r="K15" s="37">
        <v>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25">
      <c r="A16" s="4"/>
      <c r="B16" s="13" t="s">
        <v>185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f xml:space="preserve"> 1</f>
        <v>1</v>
      </c>
      <c r="I16" s="37">
        <f xml:space="preserve"> 1</f>
        <v>1</v>
      </c>
      <c r="J16" s="37">
        <f xml:space="preserve"> 1</f>
        <v>1</v>
      </c>
      <c r="K16" s="37">
        <f xml:space="preserve"> 1</f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25">
      <c r="A17" s="4"/>
      <c r="B17" s="13" t="s">
        <v>206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frac_PW_health_facility</f>
        <v>0.61119999999999997</v>
      </c>
      <c r="I17" s="37">
        <f>frac_PW_health_facility</f>
        <v>0.61119999999999997</v>
      </c>
      <c r="J17" s="37">
        <f>frac_PW_health_facility</f>
        <v>0.61119999999999997</v>
      </c>
      <c r="K17" s="37">
        <f>frac_PW_health_facility</f>
        <v>0.61119999999999997</v>
      </c>
      <c r="L17" s="38">
        <v>0</v>
      </c>
      <c r="M17" s="38">
        <v>0</v>
      </c>
      <c r="N17" s="38">
        <v>0</v>
      </c>
      <c r="O17" s="38">
        <v>0</v>
      </c>
    </row>
    <row r="18" spans="1:15" ht="15" customHeight="1" x14ac:dyDescent="0.25">
      <c r="B18" s="35" t="s">
        <v>57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frac_malaria_risk</f>
        <v>0.31130000000000002</v>
      </c>
      <c r="I18" s="37">
        <f>frac_malaria_risk</f>
        <v>0.31130000000000002</v>
      </c>
      <c r="J18" s="37">
        <f>frac_malaria_risk</f>
        <v>0.31130000000000002</v>
      </c>
      <c r="K18" s="37">
        <f>frac_malaria_risk</f>
        <v>0.31130000000000002</v>
      </c>
      <c r="L18" s="38">
        <v>0</v>
      </c>
      <c r="M18" s="38">
        <v>0</v>
      </c>
      <c r="N18" s="38">
        <v>0</v>
      </c>
      <c r="O18" s="38">
        <v>0</v>
      </c>
    </row>
    <row r="19" spans="1:15" ht="15.75" customHeight="1" x14ac:dyDescent="0.25">
      <c r="B19" s="13" t="s">
        <v>88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v>1</v>
      </c>
      <c r="I19" s="37">
        <v>1</v>
      </c>
      <c r="J19" s="37">
        <v>1</v>
      </c>
      <c r="K19" s="37"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13" t="s">
        <v>87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35" t="s">
        <v>59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f>1</f>
        <v>1</v>
      </c>
      <c r="I21" s="37">
        <f>1</f>
        <v>1</v>
      </c>
      <c r="J21" s="37">
        <f>1</f>
        <v>1</v>
      </c>
      <c r="K21" s="37">
        <f>1</f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35"/>
    </row>
    <row r="23" spans="1:15" ht="15.75" customHeight="1" x14ac:dyDescent="0.25">
      <c r="A23" s="65" t="s">
        <v>37</v>
      </c>
      <c r="B23" s="66" t="s">
        <v>195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7">
        <v>1</v>
      </c>
      <c r="M23" s="37">
        <v>1</v>
      </c>
      <c r="N23" s="37">
        <v>1</v>
      </c>
      <c r="O23" s="37">
        <v>1</v>
      </c>
    </row>
    <row r="24" spans="1:15" ht="15.75" customHeight="1" x14ac:dyDescent="0.25">
      <c r="B24" s="66" t="s">
        <v>186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(1-food_insecure)*(0.49)*(1-school_attendance) + food_insecure*(0.7)*(1-school_attendance)</f>
        <v>0.17336269999999998</v>
      </c>
      <c r="M24" s="37">
        <f>(1-food_insecure)*(0.49)+food_insecure*(0.7)</f>
        <v>0.58450000000000002</v>
      </c>
      <c r="N24" s="37">
        <f>(1-food_insecure)*(0.49)+food_insecure*(0.7)</f>
        <v>0.58450000000000002</v>
      </c>
      <c r="O24" s="37">
        <f>(1-food_insecure)*(0.49)+food_insecure*(0.7)</f>
        <v>0.58450000000000002</v>
      </c>
    </row>
    <row r="25" spans="1:15" ht="15.75" customHeight="1" x14ac:dyDescent="0.25">
      <c r="B25" s="66" t="s">
        <v>205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(1-food_insecure)*(0.21)*(1-school_attendance) + food_insecure*(0.3)*(1-school_attendance)</f>
        <v>7.4298299999999998E-2</v>
      </c>
      <c r="M25" s="37">
        <f>(1-food_insecure)*(0.21)+food_insecure*(0.3)</f>
        <v>0.2505</v>
      </c>
      <c r="N25" s="37">
        <f>(1-food_insecure)*(0.21)+food_insecure*(0.3)</f>
        <v>0.2505</v>
      </c>
      <c r="O25" s="37">
        <f>(1-food_insecure)*(0.21)+food_insecure*(0.3)</f>
        <v>0.2505</v>
      </c>
    </row>
    <row r="26" spans="1:15" ht="15.75" customHeight="1" x14ac:dyDescent="0.25">
      <c r="B26" s="66" t="s">
        <v>187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(1-food_insecure)*(0.3)*(1-school_attendance)</f>
        <v>4.8938999999999996E-2</v>
      </c>
      <c r="M26" s="37">
        <f>(1-food_insecure)*(0.3)</f>
        <v>0.16500000000000001</v>
      </c>
      <c r="N26" s="37">
        <f>(1-food_insecure)*(0.3)</f>
        <v>0.16500000000000001</v>
      </c>
      <c r="O26" s="37">
        <f>(1-food_insecure)*(0.3)</f>
        <v>0.16500000000000001</v>
      </c>
    </row>
    <row r="27" spans="1:15" ht="15.75" customHeight="1" x14ac:dyDescent="0.25">
      <c r="B27" s="66" t="s">
        <v>188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(1-food_insecure)*1*school_attendance + food_insecure*1*school_attendance</f>
        <v>0.70340000000000003</v>
      </c>
      <c r="M27" s="37">
        <v>0</v>
      </c>
      <c r="N27" s="37">
        <v>0</v>
      </c>
      <c r="O27" s="37">
        <v>0</v>
      </c>
    </row>
    <row r="28" spans="1:15" ht="15.75" customHeight="1" x14ac:dyDescent="0.25">
      <c r="B28" s="13"/>
      <c r="C28" s="2"/>
      <c r="D28" s="2"/>
      <c r="E28" s="12"/>
      <c r="F28" s="12"/>
      <c r="G28" s="12"/>
      <c r="H28" s="12"/>
      <c r="I28" s="12"/>
    </row>
    <row r="29" spans="1:15" ht="15.75" customHeight="1" x14ac:dyDescent="0.25">
      <c r="A29" s="4" t="s">
        <v>35</v>
      </c>
      <c r="B29" s="13" t="s">
        <v>63</v>
      </c>
      <c r="C29" s="37">
        <v>0</v>
      </c>
      <c r="D29" s="37">
        <v>0</v>
      </c>
      <c r="E29" s="37">
        <f t="shared" ref="E29:O29" si="0">frac_maize</f>
        <v>0.1</v>
      </c>
      <c r="F29" s="37">
        <f t="shared" si="0"/>
        <v>0.1</v>
      </c>
      <c r="G29" s="37">
        <f t="shared" si="0"/>
        <v>0.1</v>
      </c>
      <c r="H29" s="37">
        <f t="shared" si="0"/>
        <v>0.1</v>
      </c>
      <c r="I29" s="37">
        <f t="shared" si="0"/>
        <v>0.1</v>
      </c>
      <c r="J29" s="37">
        <f t="shared" si="0"/>
        <v>0.1</v>
      </c>
      <c r="K29" s="37">
        <f t="shared" si="0"/>
        <v>0.1</v>
      </c>
      <c r="L29" s="37">
        <f t="shared" si="0"/>
        <v>0.1</v>
      </c>
      <c r="M29" s="37">
        <f t="shared" si="0"/>
        <v>0.1</v>
      </c>
      <c r="N29" s="37">
        <f t="shared" si="0"/>
        <v>0.1</v>
      </c>
      <c r="O29" s="37">
        <f t="shared" si="0"/>
        <v>0.1</v>
      </c>
    </row>
    <row r="30" spans="1:15" ht="15.75" customHeight="1" x14ac:dyDescent="0.25">
      <c r="B30" s="13" t="s">
        <v>64</v>
      </c>
      <c r="C30" s="37">
        <v>0</v>
      </c>
      <c r="D30" s="37">
        <v>0</v>
      </c>
      <c r="E30" s="37">
        <f t="shared" ref="E30:O30" si="1">frac_rice</f>
        <v>0.1</v>
      </c>
      <c r="F30" s="37">
        <f t="shared" si="1"/>
        <v>0.1</v>
      </c>
      <c r="G30" s="37">
        <f t="shared" si="1"/>
        <v>0.1</v>
      </c>
      <c r="H30" s="37">
        <f t="shared" si="1"/>
        <v>0.1</v>
      </c>
      <c r="I30" s="37">
        <f t="shared" si="1"/>
        <v>0.1</v>
      </c>
      <c r="J30" s="37">
        <f t="shared" si="1"/>
        <v>0.1</v>
      </c>
      <c r="K30" s="37">
        <f t="shared" si="1"/>
        <v>0.1</v>
      </c>
      <c r="L30" s="37">
        <f t="shared" si="1"/>
        <v>0.1</v>
      </c>
      <c r="M30" s="37">
        <f t="shared" si="1"/>
        <v>0.1</v>
      </c>
      <c r="N30" s="37">
        <f t="shared" si="1"/>
        <v>0.1</v>
      </c>
      <c r="O30" s="37">
        <f t="shared" si="1"/>
        <v>0.1</v>
      </c>
    </row>
    <row r="31" spans="1:15" ht="15.75" customHeight="1" x14ac:dyDescent="0.25">
      <c r="B31" s="13" t="s">
        <v>62</v>
      </c>
      <c r="C31" s="37">
        <v>0</v>
      </c>
      <c r="D31" s="37">
        <v>0</v>
      </c>
      <c r="E31" s="37">
        <f t="shared" ref="E31:O31" si="2">frac_wheat</f>
        <v>0.1</v>
      </c>
      <c r="F31" s="37">
        <f t="shared" si="2"/>
        <v>0.1</v>
      </c>
      <c r="G31" s="37">
        <f t="shared" si="2"/>
        <v>0.1</v>
      </c>
      <c r="H31" s="37">
        <f t="shared" si="2"/>
        <v>0.1</v>
      </c>
      <c r="I31" s="37">
        <f t="shared" si="2"/>
        <v>0.1</v>
      </c>
      <c r="J31" s="37">
        <f t="shared" si="2"/>
        <v>0.1</v>
      </c>
      <c r="K31" s="37">
        <f t="shared" si="2"/>
        <v>0.1</v>
      </c>
      <c r="L31" s="37">
        <f t="shared" si="2"/>
        <v>0.1</v>
      </c>
      <c r="M31" s="37">
        <f t="shared" si="2"/>
        <v>0.1</v>
      </c>
      <c r="N31" s="37">
        <f t="shared" si="2"/>
        <v>0.1</v>
      </c>
      <c r="O31" s="37">
        <f t="shared" si="2"/>
        <v>0.1</v>
      </c>
    </row>
    <row r="32" spans="1:15" ht="15.75" customHeight="1" x14ac:dyDescent="0.25">
      <c r="B32" s="13" t="s">
        <v>47</v>
      </c>
      <c r="C32" s="37">
        <v>0</v>
      </c>
      <c r="D32" s="37">
        <v>0</v>
      </c>
      <c r="E32" s="37">
        <v>1</v>
      </c>
      <c r="F32" s="37">
        <v>1</v>
      </c>
      <c r="G32" s="37">
        <v>1</v>
      </c>
      <c r="H32" s="37">
        <v>1</v>
      </c>
      <c r="I32" s="37">
        <v>1</v>
      </c>
      <c r="J32" s="37">
        <v>1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</row>
    <row r="33" spans="1:15" ht="15.75" customHeight="1" x14ac:dyDescent="0.25">
      <c r="B33" s="13" t="s">
        <v>34</v>
      </c>
      <c r="C33" s="37">
        <f t="shared" ref="C33:O33" si="3">frac_malaria_risk</f>
        <v>0.31130000000000002</v>
      </c>
      <c r="D33" s="37">
        <f t="shared" si="3"/>
        <v>0.31130000000000002</v>
      </c>
      <c r="E33" s="37">
        <f t="shared" si="3"/>
        <v>0.31130000000000002</v>
      </c>
      <c r="F33" s="37">
        <f t="shared" si="3"/>
        <v>0.31130000000000002</v>
      </c>
      <c r="G33" s="37">
        <f t="shared" si="3"/>
        <v>0.31130000000000002</v>
      </c>
      <c r="H33" s="37">
        <f t="shared" si="3"/>
        <v>0.31130000000000002</v>
      </c>
      <c r="I33" s="37">
        <f t="shared" si="3"/>
        <v>0.31130000000000002</v>
      </c>
      <c r="J33" s="37">
        <f t="shared" si="3"/>
        <v>0.31130000000000002</v>
      </c>
      <c r="K33" s="37">
        <f t="shared" si="3"/>
        <v>0.31130000000000002</v>
      </c>
      <c r="L33" s="37">
        <f t="shared" si="3"/>
        <v>0.31130000000000002</v>
      </c>
      <c r="M33" s="37">
        <f t="shared" si="3"/>
        <v>0.31130000000000002</v>
      </c>
      <c r="N33" s="37">
        <f t="shared" si="3"/>
        <v>0.31130000000000002</v>
      </c>
      <c r="O33" s="37">
        <f t="shared" si="3"/>
        <v>0.31130000000000002</v>
      </c>
    </row>
    <row r="34" spans="1:15" ht="15.75" customHeight="1" x14ac:dyDescent="0.25">
      <c r="B34" s="35" t="s">
        <v>83</v>
      </c>
      <c r="C34" s="37">
        <v>1</v>
      </c>
      <c r="D34" s="37">
        <v>1</v>
      </c>
      <c r="E34" s="37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</row>
    <row r="35" spans="1:15" ht="15.75" customHeight="1" x14ac:dyDescent="0.25">
      <c r="A35" s="5"/>
      <c r="B35" s="35" t="s">
        <v>82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1:15" s="5" customFormat="1" ht="15.75" customHeight="1" x14ac:dyDescent="0.25">
      <c r="B36" s="35" t="s">
        <v>81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1:15" s="5" customFormat="1" ht="15.75" customHeight="1" x14ac:dyDescent="0.25">
      <c r="B37" s="35" t="s">
        <v>79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1:15" s="5" customFormat="1" ht="15.75" customHeight="1" x14ac:dyDescent="0.25">
      <c r="B38" s="35" t="s">
        <v>80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1:15" ht="15.75" customHeight="1" x14ac:dyDescent="0.25">
      <c r="B39" s="35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39" customWidth="1"/>
    <col min="2" max="2" width="12.33203125" style="39" customWidth="1"/>
    <col min="3" max="4" width="11.33203125" style="39"/>
    <col min="5" max="5" width="17.33203125" style="39" customWidth="1"/>
    <col min="6" max="16384" width="11.33203125" style="39"/>
  </cols>
  <sheetData>
    <row r="1" spans="1:5" x14ac:dyDescent="0.25">
      <c r="A1" s="44" t="s">
        <v>163</v>
      </c>
      <c r="B1" s="44" t="s">
        <v>162</v>
      </c>
      <c r="C1" s="44" t="s">
        <v>161</v>
      </c>
      <c r="D1" s="44" t="s">
        <v>160</v>
      </c>
      <c r="E1" s="44" t="s">
        <v>159</v>
      </c>
    </row>
    <row r="2" spans="1:5" ht="13.8" x14ac:dyDescent="0.25">
      <c r="A2" s="43" t="s">
        <v>158</v>
      </c>
      <c r="B2" s="42">
        <v>0.9</v>
      </c>
      <c r="C2" s="41">
        <v>0.09</v>
      </c>
      <c r="D2" s="39">
        <v>0.8</v>
      </c>
      <c r="E2" s="39">
        <f t="shared" ref="E2:E10" si="0">C2*D2</f>
        <v>7.1999999999999995E-2</v>
      </c>
    </row>
    <row r="3" spans="1:5" ht="13.8" x14ac:dyDescent="0.25">
      <c r="A3" s="43" t="s">
        <v>157</v>
      </c>
      <c r="B3" s="42">
        <v>1</v>
      </c>
      <c r="C3" s="41">
        <v>0.02</v>
      </c>
      <c r="D3" s="39">
        <v>1.9</v>
      </c>
      <c r="E3" s="39">
        <f t="shared" si="0"/>
        <v>3.7999999999999999E-2</v>
      </c>
    </row>
    <row r="4" spans="1:5" ht="13.8" x14ac:dyDescent="0.25">
      <c r="A4" s="43" t="s">
        <v>156</v>
      </c>
      <c r="B4" s="42">
        <v>1</v>
      </c>
      <c r="C4" s="41">
        <v>0.08</v>
      </c>
      <c r="D4" s="39">
        <v>2</v>
      </c>
      <c r="E4" s="39">
        <f t="shared" si="0"/>
        <v>0.16</v>
      </c>
    </row>
    <row r="5" spans="1:5" ht="13.8" x14ac:dyDescent="0.25">
      <c r="A5" s="43" t="s">
        <v>155</v>
      </c>
      <c r="B5" s="42">
        <v>1</v>
      </c>
      <c r="C5" s="41">
        <v>0.18</v>
      </c>
      <c r="D5" s="39">
        <v>0.7</v>
      </c>
      <c r="E5" s="39">
        <f t="shared" si="0"/>
        <v>0.126</v>
      </c>
    </row>
    <row r="6" spans="1:5" ht="13.8" x14ac:dyDescent="0.25">
      <c r="A6" s="43" t="s">
        <v>154</v>
      </c>
      <c r="B6" s="42">
        <v>1</v>
      </c>
      <c r="C6" s="41">
        <v>0.02</v>
      </c>
      <c r="D6" s="39">
        <v>0.7</v>
      </c>
      <c r="E6" s="39">
        <f t="shared" si="0"/>
        <v>1.3999999999999999E-2</v>
      </c>
    </row>
    <row r="7" spans="1:5" ht="13.8" x14ac:dyDescent="0.25">
      <c r="A7" s="43" t="s">
        <v>153</v>
      </c>
      <c r="B7" s="42">
        <v>0.93</v>
      </c>
      <c r="C7" s="41">
        <v>0.45</v>
      </c>
      <c r="D7" s="39">
        <v>0.9</v>
      </c>
      <c r="E7" s="39">
        <f t="shared" si="0"/>
        <v>0.40500000000000003</v>
      </c>
    </row>
    <row r="8" spans="1:5" ht="13.8" x14ac:dyDescent="0.25">
      <c r="A8" s="43" t="s">
        <v>152</v>
      </c>
      <c r="B8" s="42">
        <v>0.5</v>
      </c>
      <c r="C8" s="41">
        <v>0.03</v>
      </c>
      <c r="D8" s="39">
        <v>0</v>
      </c>
      <c r="E8" s="39">
        <f t="shared" si="0"/>
        <v>0</v>
      </c>
    </row>
    <row r="9" spans="1:5" ht="13.8" x14ac:dyDescent="0.25">
      <c r="A9" s="43" t="s">
        <v>151</v>
      </c>
      <c r="B9" s="42">
        <v>0.5</v>
      </c>
      <c r="C9" s="41">
        <v>0.11</v>
      </c>
      <c r="D9" s="39">
        <v>0</v>
      </c>
      <c r="E9" s="39">
        <f t="shared" si="0"/>
        <v>0</v>
      </c>
    </row>
    <row r="10" spans="1:5" ht="13.8" x14ac:dyDescent="0.25">
      <c r="A10" s="43" t="s">
        <v>150</v>
      </c>
      <c r="B10" s="42">
        <v>0.98</v>
      </c>
      <c r="C10" s="41">
        <v>0.01</v>
      </c>
      <c r="D10" s="39">
        <v>0.6</v>
      </c>
      <c r="E10" s="39">
        <f t="shared" si="0"/>
        <v>6.0000000000000001E-3</v>
      </c>
    </row>
    <row r="11" spans="1:5" x14ac:dyDescent="0.25">
      <c r="C11" s="4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4" customWidth="1"/>
    <col min="2" max="2" width="38.5546875" style="17" customWidth="1"/>
    <col min="3" max="3" width="14.33203125" style="14" customWidth="1"/>
    <col min="4" max="4" width="19.88671875" style="14" customWidth="1"/>
    <col min="5" max="16384" width="14.33203125" style="14"/>
  </cols>
  <sheetData>
    <row r="1" spans="1:5" ht="27" customHeight="1" x14ac:dyDescent="0.3">
      <c r="A1" s="1" t="s">
        <v>100</v>
      </c>
      <c r="B1" s="45" t="s">
        <v>164</v>
      </c>
      <c r="C1" s="110" t="s">
        <v>200</v>
      </c>
      <c r="D1" s="83"/>
      <c r="E1" s="84"/>
    </row>
    <row r="2" spans="1:5" ht="16.05" customHeight="1" x14ac:dyDescent="0.25">
      <c r="A2" s="14" t="s">
        <v>189</v>
      </c>
      <c r="B2" s="45"/>
    </row>
    <row r="3" spans="1:5" ht="16.05" customHeight="1" x14ac:dyDescent="0.25">
      <c r="A3" s="1"/>
      <c r="B3" s="8" t="s">
        <v>191</v>
      </c>
      <c r="C3" s="69">
        <v>2017</v>
      </c>
    </row>
    <row r="4" spans="1:5" ht="16.05" customHeight="1" x14ac:dyDescent="0.25">
      <c r="A4" s="1"/>
      <c r="B4" s="11" t="s">
        <v>190</v>
      </c>
      <c r="C4" s="70">
        <v>2030</v>
      </c>
    </row>
    <row r="5" spans="1:5" ht="16.05" customHeight="1" x14ac:dyDescent="0.25">
      <c r="A5" s="1"/>
      <c r="B5" s="45"/>
    </row>
    <row r="6" spans="1:5" ht="15" customHeight="1" x14ac:dyDescent="0.25">
      <c r="A6" s="14" t="s">
        <v>48</v>
      </c>
    </row>
    <row r="7" spans="1:5" ht="15" customHeight="1" x14ac:dyDescent="0.25">
      <c r="B7" s="17" t="s">
        <v>199</v>
      </c>
      <c r="C7" s="77">
        <v>377252.95734770549</v>
      </c>
    </row>
    <row r="8" spans="1:5" ht="15" customHeight="1" x14ac:dyDescent="0.3">
      <c r="B8" s="8" t="s">
        <v>106</v>
      </c>
      <c r="C8" s="105">
        <v>0.45</v>
      </c>
      <c r="D8" s="85"/>
    </row>
    <row r="9" spans="1:5" ht="38.25" customHeight="1" x14ac:dyDescent="0.25">
      <c r="A9" s="91"/>
      <c r="B9" s="11" t="s">
        <v>107</v>
      </c>
      <c r="C9" s="101">
        <v>0.31130000000000002</v>
      </c>
      <c r="D9" s="85"/>
    </row>
    <row r="10" spans="1:5" ht="15" customHeight="1" x14ac:dyDescent="0.25">
      <c r="A10" s="91"/>
      <c r="B10" s="11" t="s">
        <v>105</v>
      </c>
      <c r="C10" s="100">
        <v>0.70340000000000003</v>
      </c>
    </row>
    <row r="11" spans="1:5" ht="15" customHeight="1" x14ac:dyDescent="0.25">
      <c r="A11" s="91"/>
      <c r="B11" s="8" t="s">
        <v>108</v>
      </c>
      <c r="C11" s="100">
        <v>0.61119999999999997</v>
      </c>
      <c r="D11" s="85"/>
    </row>
    <row r="12" spans="1:5" ht="15" customHeight="1" x14ac:dyDescent="0.25">
      <c r="A12" s="91"/>
      <c r="B12" s="8" t="s">
        <v>109</v>
      </c>
      <c r="C12" s="100">
        <v>0.40200000000000002</v>
      </c>
      <c r="D12" s="85"/>
    </row>
    <row r="13" spans="1:5" ht="15" customHeight="1" x14ac:dyDescent="0.25">
      <c r="A13" s="91"/>
      <c r="B13" s="8" t="s">
        <v>110</v>
      </c>
      <c r="C13" s="100">
        <v>0.214</v>
      </c>
      <c r="D13" s="85"/>
    </row>
    <row r="14" spans="1:5" ht="15" customHeight="1" x14ac:dyDescent="0.25">
      <c r="B14" s="14"/>
    </row>
    <row r="15" spans="1:5" ht="15" customHeight="1" x14ac:dyDescent="0.25">
      <c r="A15" s="14" t="s">
        <v>30</v>
      </c>
      <c r="B15" s="18"/>
    </row>
    <row r="16" spans="1:5" ht="15" customHeight="1" x14ac:dyDescent="0.25">
      <c r="B16" s="11" t="s">
        <v>94</v>
      </c>
      <c r="C16" s="101">
        <v>0.59699999999999998</v>
      </c>
    </row>
    <row r="17" spans="1:6" ht="15" customHeight="1" x14ac:dyDescent="0.25">
      <c r="B17" s="11" t="s">
        <v>95</v>
      </c>
      <c r="C17" s="101">
        <v>0.1</v>
      </c>
    </row>
    <row r="18" spans="1:6" ht="15" customHeight="1" x14ac:dyDescent="0.25">
      <c r="B18" s="11" t="s">
        <v>96</v>
      </c>
      <c r="C18" s="101">
        <v>0.1</v>
      </c>
    </row>
    <row r="19" spans="1:6" ht="15" customHeight="1" x14ac:dyDescent="0.25">
      <c r="B19" s="11" t="s">
        <v>97</v>
      </c>
      <c r="C19" s="101">
        <v>0.1</v>
      </c>
    </row>
    <row r="20" spans="1:6" ht="15" customHeight="1" x14ac:dyDescent="0.25">
      <c r="B20" s="11" t="s">
        <v>98</v>
      </c>
      <c r="C20" s="101">
        <v>0.1</v>
      </c>
    </row>
    <row r="21" spans="1:6" ht="15" customHeight="1" x14ac:dyDescent="0.25">
      <c r="B21" s="14"/>
      <c r="C21" s="90"/>
    </row>
    <row r="22" spans="1:6" ht="15" customHeight="1" x14ac:dyDescent="0.25">
      <c r="A22" s="14" t="s">
        <v>99</v>
      </c>
      <c r="C22" s="90"/>
    </row>
    <row r="23" spans="1:6" ht="15" customHeight="1" x14ac:dyDescent="0.3">
      <c r="A23" s="91"/>
      <c r="B23" s="19" t="s">
        <v>101</v>
      </c>
      <c r="C23" s="100">
        <v>9.9000000000000005E-2</v>
      </c>
      <c r="D23" s="88"/>
      <c r="E23" s="86"/>
    </row>
    <row r="24" spans="1:6" ht="15" customHeight="1" x14ac:dyDescent="0.3">
      <c r="A24" s="91"/>
      <c r="B24" s="19" t="s">
        <v>102</v>
      </c>
      <c r="C24" s="100">
        <v>0.63480000000000003</v>
      </c>
      <c r="D24" s="88"/>
      <c r="E24" s="86"/>
    </row>
    <row r="25" spans="1:6" ht="15" customHeight="1" x14ac:dyDescent="0.3">
      <c r="A25" s="91"/>
      <c r="B25" s="19" t="s">
        <v>103</v>
      </c>
      <c r="C25" s="100">
        <v>0.23469999999999999</v>
      </c>
      <c r="D25" s="88"/>
      <c r="E25" s="86"/>
    </row>
    <row r="26" spans="1:6" ht="15" customHeight="1" x14ac:dyDescent="0.3">
      <c r="A26" s="91"/>
      <c r="B26" s="19" t="s">
        <v>104</v>
      </c>
      <c r="C26" s="100">
        <v>3.1600000000000003E-2</v>
      </c>
      <c r="D26" s="88"/>
      <c r="E26" s="86"/>
    </row>
    <row r="27" spans="1:6" ht="15" customHeight="1" x14ac:dyDescent="0.25">
      <c r="B27" s="19"/>
      <c r="C27" s="90"/>
    </row>
    <row r="28" spans="1:6" ht="15" customHeight="1" x14ac:dyDescent="0.25">
      <c r="A28" s="14" t="s">
        <v>194</v>
      </c>
      <c r="B28" s="19"/>
      <c r="C28" s="90"/>
    </row>
    <row r="29" spans="1:6" ht="14.25" customHeight="1" x14ac:dyDescent="0.25">
      <c r="A29" s="91"/>
      <c r="B29" s="31" t="s">
        <v>75</v>
      </c>
      <c r="C29" s="102">
        <v>0.1832</v>
      </c>
      <c r="D29" s="85"/>
    </row>
    <row r="30" spans="1:6" ht="14.25" customHeight="1" x14ac:dyDescent="0.3">
      <c r="A30" s="91"/>
      <c r="B30" s="31" t="s">
        <v>76</v>
      </c>
      <c r="C30" s="102">
        <v>4.6899999999999997E-2</v>
      </c>
      <c r="D30" s="85"/>
      <c r="E30" s="86"/>
      <c r="F30" s="85"/>
    </row>
    <row r="31" spans="1:6" ht="14.25" customHeight="1" x14ac:dyDescent="0.3">
      <c r="A31" s="91"/>
      <c r="B31" s="31" t="s">
        <v>77</v>
      </c>
      <c r="C31" s="102">
        <v>9.8500000000000004E-2</v>
      </c>
      <c r="D31" s="85"/>
      <c r="E31" s="86"/>
      <c r="F31" s="85"/>
    </row>
    <row r="32" spans="1:6" ht="14.25" customHeight="1" x14ac:dyDescent="0.25">
      <c r="A32" s="91"/>
      <c r="B32" s="31" t="s">
        <v>78</v>
      </c>
      <c r="C32" s="102">
        <v>0.67149999999999999</v>
      </c>
      <c r="D32" s="85"/>
    </row>
    <row r="33" spans="1:5" ht="13.2" x14ac:dyDescent="0.25">
      <c r="B33" s="33" t="s">
        <v>129</v>
      </c>
      <c r="C33" s="111">
        <f>SUM(C29:C32)</f>
        <v>1.0001</v>
      </c>
    </row>
    <row r="34" spans="1:5" ht="15" customHeight="1" x14ac:dyDescent="0.25">
      <c r="C34" s="104"/>
    </row>
    <row r="35" spans="1:5" ht="15" customHeight="1" x14ac:dyDescent="0.25">
      <c r="A35" s="4" t="s">
        <v>135</v>
      </c>
      <c r="C35" s="104"/>
    </row>
    <row r="36" spans="1:5" ht="15" customHeight="1" x14ac:dyDescent="0.25">
      <c r="A36" s="14" t="s">
        <v>74</v>
      </c>
      <c r="B36" s="8"/>
      <c r="C36" s="104"/>
    </row>
    <row r="37" spans="1:5" ht="15" customHeight="1" x14ac:dyDescent="0.25">
      <c r="A37" s="91"/>
      <c r="B37" s="46" t="s">
        <v>92</v>
      </c>
      <c r="C37" s="103">
        <v>22.895800000000001</v>
      </c>
      <c r="D37" s="87"/>
      <c r="E37" s="87"/>
    </row>
    <row r="38" spans="1:5" ht="15" customHeight="1" x14ac:dyDescent="0.25">
      <c r="A38" s="91"/>
      <c r="B38" s="17" t="s">
        <v>91</v>
      </c>
      <c r="C38" s="103">
        <v>35.678100000000001</v>
      </c>
      <c r="D38" s="87"/>
      <c r="E38" s="87"/>
    </row>
    <row r="39" spans="1:5" ht="15" customHeight="1" x14ac:dyDescent="0.25">
      <c r="A39" s="91"/>
      <c r="B39" s="17" t="s">
        <v>90</v>
      </c>
      <c r="C39" s="103">
        <v>74.760599999999997</v>
      </c>
      <c r="D39" s="87"/>
      <c r="E39" s="95"/>
    </row>
    <row r="40" spans="1:5" ht="15" customHeight="1" x14ac:dyDescent="0.3">
      <c r="B40" s="17" t="s">
        <v>201</v>
      </c>
      <c r="C40" s="103">
        <v>84.600000000000009</v>
      </c>
      <c r="D40" s="85"/>
      <c r="E40" s="96"/>
    </row>
    <row r="41" spans="1:5" ht="26.7" customHeight="1" x14ac:dyDescent="0.25">
      <c r="B41" s="17" t="s">
        <v>89</v>
      </c>
      <c r="C41" s="101">
        <v>0.13</v>
      </c>
      <c r="D41" s="85"/>
      <c r="E41" s="97"/>
    </row>
    <row r="42" spans="1:5" ht="15" customHeight="1" x14ac:dyDescent="0.25">
      <c r="B42" s="46" t="s">
        <v>93</v>
      </c>
      <c r="C42" s="103">
        <v>27.27</v>
      </c>
      <c r="E42" s="98"/>
    </row>
    <row r="43" spans="1:5" ht="15.75" customHeight="1" x14ac:dyDescent="0.25">
      <c r="C43" s="104"/>
      <c r="E43" s="99"/>
    </row>
    <row r="44" spans="1:5" ht="15.75" customHeight="1" x14ac:dyDescent="0.25">
      <c r="A44" s="14" t="s">
        <v>133</v>
      </c>
      <c r="C44" s="104"/>
    </row>
    <row r="45" spans="1:5" ht="15.75" customHeight="1" x14ac:dyDescent="0.25">
      <c r="B45" s="17" t="s">
        <v>9</v>
      </c>
      <c r="C45" s="101">
        <v>1.9099999999999999E-2</v>
      </c>
    </row>
    <row r="46" spans="1:5" ht="15.75" customHeight="1" x14ac:dyDescent="0.25">
      <c r="B46" s="17" t="s">
        <v>11</v>
      </c>
      <c r="C46" s="101">
        <v>9.98E-2</v>
      </c>
    </row>
    <row r="47" spans="1:5" ht="15.75" customHeight="1" x14ac:dyDescent="0.25">
      <c r="B47" s="17" t="s">
        <v>12</v>
      </c>
      <c r="C47" s="101">
        <v>0.2</v>
      </c>
    </row>
    <row r="48" spans="1:5" ht="15" customHeight="1" x14ac:dyDescent="0.25">
      <c r="B48" s="17" t="s">
        <v>26</v>
      </c>
      <c r="C48" s="112">
        <f>1-term_SGA-preterm_AGA-preterm_SGA</f>
        <v>0.68110000000000004</v>
      </c>
    </row>
    <row r="50" spans="1:5" ht="15.75" customHeight="1" x14ac:dyDescent="0.25">
      <c r="A50" s="14" t="s">
        <v>72</v>
      </c>
    </row>
    <row r="51" spans="1:5" ht="15.75" customHeight="1" x14ac:dyDescent="0.25">
      <c r="B51" s="17" t="s">
        <v>124</v>
      </c>
      <c r="C51" s="7">
        <v>3.3</v>
      </c>
    </row>
    <row r="52" spans="1:5" ht="15" customHeight="1" x14ac:dyDescent="0.25">
      <c r="B52" s="17" t="s">
        <v>125</v>
      </c>
      <c r="C52" s="7">
        <v>3.3</v>
      </c>
    </row>
    <row r="53" spans="1:5" ht="15.75" customHeight="1" x14ac:dyDescent="0.25">
      <c r="B53" s="17" t="s">
        <v>126</v>
      </c>
      <c r="C53" s="7">
        <v>3.3</v>
      </c>
    </row>
    <row r="54" spans="1:5" ht="15.75" customHeight="1" x14ac:dyDescent="0.25">
      <c r="B54" s="17" t="s">
        <v>127</v>
      </c>
      <c r="C54" s="7">
        <v>3.3</v>
      </c>
    </row>
    <row r="55" spans="1:5" ht="15.75" customHeight="1" x14ac:dyDescent="0.25">
      <c r="B55" s="17" t="s">
        <v>128</v>
      </c>
      <c r="C55" s="7">
        <v>3.3</v>
      </c>
    </row>
    <row r="57" spans="1:5" ht="15.75" customHeight="1" x14ac:dyDescent="0.25">
      <c r="A57" s="14" t="s">
        <v>134</v>
      </c>
    </row>
    <row r="58" spans="1:5" ht="15.75" customHeight="1" x14ac:dyDescent="0.3">
      <c r="B58" s="8" t="s">
        <v>111</v>
      </c>
      <c r="C58" s="100">
        <v>0.10390000000000001</v>
      </c>
      <c r="D58" s="85"/>
      <c r="E58" s="86"/>
    </row>
    <row r="59" spans="1:5" ht="65.7" customHeight="1" x14ac:dyDescent="0.25">
      <c r="B59" s="17" t="s">
        <v>132</v>
      </c>
      <c r="C59" s="106">
        <v>0.43519999999999998</v>
      </c>
    </row>
    <row r="60" spans="1:5" ht="15.75" customHeight="1" x14ac:dyDescent="0.25">
      <c r="C60" s="9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4" customWidth="1"/>
    <col min="2" max="9" width="16.77734375" style="14" customWidth="1"/>
    <col min="10" max="16384" width="14.33203125" style="14"/>
  </cols>
  <sheetData>
    <row r="1" spans="1:9" s="20" customFormat="1" ht="30" customHeight="1" x14ac:dyDescent="0.25">
      <c r="A1" s="32" t="s">
        <v>0</v>
      </c>
      <c r="B1" s="26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8">
        <v>2017</v>
      </c>
      <c r="B2" s="76">
        <v>80786.069100057066</v>
      </c>
      <c r="C2" s="77">
        <v>101400.24435083961</v>
      </c>
      <c r="D2" s="77">
        <v>157838.17978658047</v>
      </c>
      <c r="E2" s="77">
        <v>111185.92575320353</v>
      </c>
      <c r="F2" s="77">
        <v>65937.206258971753</v>
      </c>
      <c r="G2" s="22">
        <f t="shared" ref="G2:G15" si="0">C2+D2+E2+F2</f>
        <v>436361.55614959536</v>
      </c>
      <c r="H2" s="22">
        <f>(B2 + stillbirth*B2/(1000-stillbirth))/(1-abortion)</f>
        <v>95460.765772332263</v>
      </c>
      <c r="I2" s="22">
        <f t="shared" ref="I2:I13" si="1">G2-H2</f>
        <v>340900.7903772631</v>
      </c>
    </row>
    <row r="3" spans="1:9" ht="15.75" customHeight="1" x14ac:dyDescent="0.25">
      <c r="A3" s="8">
        <v>2018</v>
      </c>
      <c r="B3" s="76">
        <v>82924.727545451009</v>
      </c>
      <c r="C3" s="77">
        <v>105316.05327283384</v>
      </c>
      <c r="D3" s="77">
        <v>162999.86255174965</v>
      </c>
      <c r="E3" s="77">
        <v>114962.99117355009</v>
      </c>
      <c r="F3" s="77">
        <v>67998.599590574871</v>
      </c>
      <c r="G3" s="22">
        <f t="shared" si="0"/>
        <v>451277.50658870843</v>
      </c>
      <c r="H3" s="22">
        <f>(B3 + stillbirth*B3/(1000-stillbirth))/(1-abortion)</f>
        <v>97987.909068163543</v>
      </c>
      <c r="I3" s="22">
        <f t="shared" si="1"/>
        <v>353289.59752054489</v>
      </c>
    </row>
    <row r="4" spans="1:9" ht="15.75" customHeight="1" x14ac:dyDescent="0.25">
      <c r="A4" s="8">
        <v>2019</v>
      </c>
      <c r="B4" s="76">
        <v>85002.504614694495</v>
      </c>
      <c r="C4" s="77">
        <v>109408.9979414205</v>
      </c>
      <c r="D4" s="77">
        <v>168419.50153273996</v>
      </c>
      <c r="E4" s="77">
        <v>118895.39476101706</v>
      </c>
      <c r="F4" s="77">
        <v>70234.625073020667</v>
      </c>
      <c r="G4" s="22">
        <f t="shared" si="0"/>
        <v>466958.51930819824</v>
      </c>
      <c r="H4" s="22">
        <f>(B4 + stillbirth*B4/(1000-stillbirth))/(1-abortion)</f>
        <v>100443.1119557866</v>
      </c>
      <c r="I4" s="22">
        <f t="shared" si="1"/>
        <v>366515.40735241165</v>
      </c>
    </row>
    <row r="5" spans="1:9" ht="15.75" customHeight="1" x14ac:dyDescent="0.25">
      <c r="A5" s="8">
        <v>2020</v>
      </c>
      <c r="B5" s="76">
        <v>87043.122214510688</v>
      </c>
      <c r="C5" s="77">
        <v>113666.70025459304</v>
      </c>
      <c r="D5" s="77">
        <v>174147.57020384594</v>
      </c>
      <c r="E5" s="77">
        <v>122959.75769317693</v>
      </c>
      <c r="F5" s="77">
        <v>72825.694177105455</v>
      </c>
      <c r="G5" s="22">
        <f t="shared" si="0"/>
        <v>483599.72232872137</v>
      </c>
      <c r="H5" s="22">
        <f>(B5 + stillbirth*B5/(1000-stillbirth))/(1-abortion)</f>
        <v>102854.40539903713</v>
      </c>
      <c r="I5" s="22">
        <f t="shared" si="1"/>
        <v>380745.31692968425</v>
      </c>
    </row>
    <row r="6" spans="1:9" ht="15.75" customHeight="1" x14ac:dyDescent="0.25">
      <c r="A6" s="8">
        <v>2021</v>
      </c>
      <c r="B6" s="76">
        <v>89245.257377588219</v>
      </c>
      <c r="C6" s="77">
        <v>118065.06060706964</v>
      </c>
      <c r="D6" s="77">
        <v>180217.05516637818</v>
      </c>
      <c r="E6" s="77">
        <v>127146.48155263223</v>
      </c>
      <c r="F6" s="77">
        <v>75305.308107027158</v>
      </c>
      <c r="G6" s="22">
        <f t="shared" si="0"/>
        <v>500733.90543310717</v>
      </c>
      <c r="H6" s="22">
        <f>(B6 + stillbirth*B6/(1000-stillbirth))/(1-abortion)</f>
        <v>105456.55588541861</v>
      </c>
      <c r="I6" s="22">
        <f t="shared" si="1"/>
        <v>395277.34954768856</v>
      </c>
    </row>
    <row r="7" spans="1:9" ht="15.75" customHeight="1" x14ac:dyDescent="0.25">
      <c r="A7" s="8">
        <v>2022</v>
      </c>
      <c r="B7" s="76">
        <v>91420.493159729129</v>
      </c>
      <c r="C7" s="77">
        <v>122591.55498601458</v>
      </c>
      <c r="D7" s="77">
        <v>186628.40352788454</v>
      </c>
      <c r="E7" s="77">
        <v>131452.49283040006</v>
      </c>
      <c r="F7" s="77">
        <v>77896.223388907863</v>
      </c>
      <c r="G7" s="22">
        <f t="shared" si="0"/>
        <v>518568.67473320704</v>
      </c>
      <c r="H7" s="22">
        <f>(B7 + stillbirth*B7/(1000-stillbirth))/(1-abortion)</f>
        <v>108026.92074920924</v>
      </c>
      <c r="I7" s="22">
        <f t="shared" si="1"/>
        <v>410541.7539839978</v>
      </c>
    </row>
    <row r="8" spans="1:9" ht="15.75" customHeight="1" x14ac:dyDescent="0.25">
      <c r="A8" s="8">
        <v>2023</v>
      </c>
      <c r="B8" s="76">
        <v>93640.140814273051</v>
      </c>
      <c r="C8" s="77">
        <v>127212.2834421212</v>
      </c>
      <c r="D8" s="77">
        <v>193413.23572772378</v>
      </c>
      <c r="E8" s="77">
        <v>135863.17976246326</v>
      </c>
      <c r="F8" s="77">
        <v>80602.856917464989</v>
      </c>
      <c r="G8" s="22">
        <f t="shared" si="0"/>
        <v>537091.55584977323</v>
      </c>
      <c r="H8" s="22">
        <f>(B8 + stillbirth*B8/(1000-stillbirth))/(1-abortion)</f>
        <v>110649.76485101954</v>
      </c>
      <c r="I8" s="22">
        <f t="shared" si="1"/>
        <v>426441.79099875368</v>
      </c>
    </row>
    <row r="9" spans="1:9" ht="15.75" customHeight="1" x14ac:dyDescent="0.25">
      <c r="A9" s="8">
        <v>2024</v>
      </c>
      <c r="B9" s="76">
        <v>96043.815162384126</v>
      </c>
      <c r="C9" s="77">
        <v>131892.27601333571</v>
      </c>
      <c r="D9" s="77">
        <v>200605.78033261729</v>
      </c>
      <c r="E9" s="77">
        <v>140378.44157803548</v>
      </c>
      <c r="F9" s="77">
        <v>83425.164743497371</v>
      </c>
      <c r="G9" s="22">
        <f t="shared" si="0"/>
        <v>556301.66266748589</v>
      </c>
      <c r="H9" s="22">
        <f>(B9 + stillbirth*B9/(1000-stillbirth))/(1-abortion)</f>
        <v>113490.06388393576</v>
      </c>
      <c r="I9" s="22">
        <f t="shared" si="1"/>
        <v>442811.59878355014</v>
      </c>
    </row>
    <row r="10" spans="1:9" ht="15.75" customHeight="1" x14ac:dyDescent="0.25">
      <c r="A10" s="8">
        <v>2025</v>
      </c>
      <c r="B10" s="76">
        <v>98538.617530494128</v>
      </c>
      <c r="C10" s="77">
        <v>136610.27835554469</v>
      </c>
      <c r="D10" s="77">
        <v>208225.01457404191</v>
      </c>
      <c r="E10" s="77">
        <v>145026.06582144593</v>
      </c>
      <c r="F10" s="77">
        <v>86351.104785884861</v>
      </c>
      <c r="G10" s="22">
        <f t="shared" si="0"/>
        <v>576212.46353691735</v>
      </c>
      <c r="H10" s="22">
        <f>(B10 + stillbirth*B10/(1000-stillbirth))/(1-abortion)</f>
        <v>116438.04423702662</v>
      </c>
      <c r="I10" s="22">
        <f t="shared" si="1"/>
        <v>459774.41929989075</v>
      </c>
    </row>
    <row r="11" spans="1:9" ht="15.75" customHeight="1" x14ac:dyDescent="0.25">
      <c r="A11" s="8">
        <v>2026</v>
      </c>
      <c r="B11" s="76">
        <v>100966.83847329215</v>
      </c>
      <c r="C11" s="77">
        <v>141327.47818819334</v>
      </c>
      <c r="D11" s="77">
        <v>216227.61869846928</v>
      </c>
      <c r="E11" s="77">
        <v>149813.28279661341</v>
      </c>
      <c r="F11" s="77">
        <v>89371.337839379179</v>
      </c>
      <c r="G11" s="22">
        <f t="shared" si="0"/>
        <v>596739.71752265526</v>
      </c>
      <c r="H11" s="22">
        <f>(B11 + stillbirth*B11/(1000-stillbirth))/(1-abortion)</f>
        <v>119307.34872536383</v>
      </c>
      <c r="I11" s="22">
        <f t="shared" si="1"/>
        <v>477432.36879729142</v>
      </c>
    </row>
    <row r="12" spans="1:9" ht="15.75" customHeight="1" x14ac:dyDescent="0.25">
      <c r="A12" s="8">
        <v>2027</v>
      </c>
      <c r="B12" s="76">
        <v>103692.7717710188</v>
      </c>
      <c r="C12" s="77">
        <v>146029.16283600868</v>
      </c>
      <c r="D12" s="77">
        <v>224575.73760017849</v>
      </c>
      <c r="E12" s="77">
        <v>154774.98438830307</v>
      </c>
      <c r="F12" s="77">
        <v>92500.982429182259</v>
      </c>
      <c r="G12" s="22">
        <f t="shared" si="0"/>
        <v>617880.86725367245</v>
      </c>
      <c r="H12" s="22">
        <f>(B12 + stillbirth*B12/(1000-stillbirth))/(1-abortion)</f>
        <v>122528.44467599106</v>
      </c>
      <c r="I12" s="22">
        <f t="shared" si="1"/>
        <v>495352.42257768137</v>
      </c>
    </row>
    <row r="13" spans="1:9" ht="15.75" customHeight="1" x14ac:dyDescent="0.25">
      <c r="A13" s="8">
        <v>2028</v>
      </c>
      <c r="B13" s="76">
        <v>106228.76002626166</v>
      </c>
      <c r="C13" s="77">
        <v>150702.80828615499</v>
      </c>
      <c r="D13" s="77">
        <v>233211.22245863636</v>
      </c>
      <c r="E13" s="77">
        <v>159950.59716666467</v>
      </c>
      <c r="F13" s="77">
        <v>95748.608649521921</v>
      </c>
      <c r="G13" s="22">
        <f t="shared" si="0"/>
        <v>639613.236560978</v>
      </c>
      <c r="H13" s="22">
        <f>(B13 + stillbirth*B13/(1000-stillbirth))/(1-abortion)</f>
        <v>125525.09228531203</v>
      </c>
      <c r="I13" s="22">
        <f t="shared" si="1"/>
        <v>514088.14427566598</v>
      </c>
    </row>
    <row r="14" spans="1:9" ht="15.75" customHeight="1" x14ac:dyDescent="0.25">
      <c r="A14" s="8">
        <v>2029</v>
      </c>
      <c r="B14" s="109">
        <v>108896.11622303078</v>
      </c>
      <c r="C14" s="21">
        <v>155333.48299711559</v>
      </c>
      <c r="D14" s="21">
        <v>242086.43148068499</v>
      </c>
      <c r="E14" s="21">
        <v>165382.62121083087</v>
      </c>
      <c r="F14" s="21">
        <v>99119.75409974542</v>
      </c>
      <c r="G14" s="22">
        <f t="shared" si="0"/>
        <v>661922.28978837689</v>
      </c>
      <c r="H14" s="22">
        <f>(B14 + stillbirth*B14/(1000-stillbirth))/(1-abortion)</f>
        <v>128676.97067186638</v>
      </c>
      <c r="I14" s="22">
        <f t="shared" ref="I14:I15" si="2">G14-H14</f>
        <v>533245.31911651045</v>
      </c>
    </row>
    <row r="15" spans="1:9" ht="15.75" customHeight="1" x14ac:dyDescent="0.25">
      <c r="A15" s="8">
        <v>2030</v>
      </c>
      <c r="B15" s="109">
        <v>112677.48032571169</v>
      </c>
      <c r="C15" s="21">
        <v>159858.54258624051</v>
      </c>
      <c r="D15" s="21">
        <v>251169.57035180813</v>
      </c>
      <c r="E15" s="21">
        <v>171123.30617351134</v>
      </c>
      <c r="F15" s="21">
        <v>102605.03562540328</v>
      </c>
      <c r="G15" s="22">
        <f t="shared" si="0"/>
        <v>684756.45473696326</v>
      </c>
      <c r="H15" s="22">
        <f>(B15 + stillbirth*B15/(1000-stillbirth))/(1-abortion)</f>
        <v>133145.21522104536</v>
      </c>
      <c r="I15" s="22">
        <f t="shared" si="2"/>
        <v>551611.23951591784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0" t="str">
        <f>"Percentage of deaths in baseline year ("&amp;start_year&amp;") attributable to cause"</f>
        <v>Percentage of deaths in baseline year (2017) attributable to cause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32</v>
      </c>
    </row>
    <row r="2" spans="1:7" ht="15.75" customHeight="1" x14ac:dyDescent="0.25">
      <c r="A2" s="24" t="s">
        <v>73</v>
      </c>
      <c r="B2" s="78">
        <v>4.4999999999999997E-3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</row>
    <row r="3" spans="1:7" ht="15.75" customHeight="1" x14ac:dyDescent="0.25">
      <c r="A3" s="24" t="s">
        <v>7</v>
      </c>
      <c r="B3" s="78">
        <v>0.1603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</row>
    <row r="4" spans="1:7" ht="15.75" customHeight="1" x14ac:dyDescent="0.25">
      <c r="A4" s="24" t="s">
        <v>8</v>
      </c>
      <c r="B4" s="78">
        <v>6.3500000000000001E-2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</row>
    <row r="5" spans="1:7" ht="15.75" customHeight="1" x14ac:dyDescent="0.25">
      <c r="A5" s="24" t="s">
        <v>10</v>
      </c>
      <c r="B5" s="78">
        <v>0.28639999999999999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</row>
    <row r="6" spans="1:7" ht="15.75" customHeight="1" x14ac:dyDescent="0.25">
      <c r="A6" s="24" t="s">
        <v>13</v>
      </c>
      <c r="B6" s="78">
        <v>0.34749999999999998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</row>
    <row r="7" spans="1:7" ht="15.75" customHeight="1" x14ac:dyDescent="0.25">
      <c r="A7" s="24" t="s">
        <v>14</v>
      </c>
      <c r="B7" s="78">
        <v>1.12E-2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</row>
    <row r="8" spans="1:7" ht="15.75" customHeight="1" x14ac:dyDescent="0.25">
      <c r="A8" s="24" t="s">
        <v>27</v>
      </c>
      <c r="B8" s="78">
        <v>7.1300000000000002E-2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</row>
    <row r="9" spans="1:7" ht="15.75" customHeight="1" x14ac:dyDescent="0.25">
      <c r="A9" s="24" t="s">
        <v>15</v>
      </c>
      <c r="B9" s="78">
        <v>5.5300000000000002E-2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</row>
    <row r="10" spans="1:7" ht="15.75" customHeight="1" x14ac:dyDescent="0.25">
      <c r="A10" s="24" t="s">
        <v>71</v>
      </c>
      <c r="B10" s="25">
        <v>0</v>
      </c>
      <c r="C10" s="78">
        <v>0.15160000000000001</v>
      </c>
      <c r="D10" s="78">
        <v>0.15160000000000001</v>
      </c>
      <c r="E10" s="78">
        <v>0.15160000000000001</v>
      </c>
      <c r="F10" s="78">
        <v>0.15160000000000001</v>
      </c>
      <c r="G10" s="25">
        <v>0</v>
      </c>
    </row>
    <row r="11" spans="1:7" ht="15.75" customHeight="1" x14ac:dyDescent="0.25">
      <c r="A11" s="24" t="s">
        <v>16</v>
      </c>
      <c r="B11" s="25">
        <v>0</v>
      </c>
      <c r="C11" s="78">
        <v>0.19289999999999999</v>
      </c>
      <c r="D11" s="78">
        <v>0.19289999999999999</v>
      </c>
      <c r="E11" s="78">
        <v>0.19289999999999999</v>
      </c>
      <c r="F11" s="78">
        <v>0.19289999999999999</v>
      </c>
      <c r="G11" s="25">
        <v>0</v>
      </c>
    </row>
    <row r="12" spans="1:7" ht="15.75" customHeight="1" x14ac:dyDescent="0.25">
      <c r="A12" s="24" t="s">
        <v>17</v>
      </c>
      <c r="B12" s="25">
        <v>0</v>
      </c>
      <c r="C12" s="78">
        <v>3.7999999999999999E-2</v>
      </c>
      <c r="D12" s="78">
        <v>3.7999999999999999E-2</v>
      </c>
      <c r="E12" s="78">
        <v>3.7999999999999999E-2</v>
      </c>
      <c r="F12" s="78">
        <v>3.7999999999999999E-2</v>
      </c>
      <c r="G12" s="25">
        <v>0</v>
      </c>
    </row>
    <row r="13" spans="1:7" ht="15.75" customHeight="1" x14ac:dyDescent="0.25">
      <c r="A13" s="24" t="s">
        <v>18</v>
      </c>
      <c r="B13" s="25">
        <v>0</v>
      </c>
      <c r="C13" s="78">
        <v>4.5499999999999999E-2</v>
      </c>
      <c r="D13" s="78">
        <v>4.5499999999999999E-2</v>
      </c>
      <c r="E13" s="78">
        <v>4.5499999999999999E-2</v>
      </c>
      <c r="F13" s="78">
        <v>4.5499999999999999E-2</v>
      </c>
      <c r="G13" s="25">
        <v>0</v>
      </c>
    </row>
    <row r="14" spans="1:7" ht="15.75" customHeight="1" x14ac:dyDescent="0.25">
      <c r="A14" s="24" t="s">
        <v>19</v>
      </c>
      <c r="B14" s="25">
        <v>0</v>
      </c>
      <c r="C14" s="78">
        <v>0.1739</v>
      </c>
      <c r="D14" s="78">
        <v>0.1739</v>
      </c>
      <c r="E14" s="78">
        <v>0.1739</v>
      </c>
      <c r="F14" s="78">
        <v>0.1739</v>
      </c>
      <c r="G14" s="25">
        <v>0</v>
      </c>
    </row>
    <row r="15" spans="1:7" ht="15.75" customHeight="1" x14ac:dyDescent="0.25">
      <c r="A15" s="24" t="s">
        <v>20</v>
      </c>
      <c r="B15" s="25">
        <v>0</v>
      </c>
      <c r="C15" s="78">
        <v>1.32E-2</v>
      </c>
      <c r="D15" s="78">
        <v>1.32E-2</v>
      </c>
      <c r="E15" s="78">
        <v>1.32E-2</v>
      </c>
      <c r="F15" s="78">
        <v>1.32E-2</v>
      </c>
      <c r="G15" s="25">
        <v>0</v>
      </c>
    </row>
    <row r="16" spans="1:7" ht="15.75" customHeight="1" x14ac:dyDescent="0.25">
      <c r="A16" s="24" t="s">
        <v>21</v>
      </c>
      <c r="B16" s="25">
        <v>0</v>
      </c>
      <c r="C16" s="78">
        <v>7.7000000000000002E-3</v>
      </c>
      <c r="D16" s="78">
        <v>7.7000000000000002E-3</v>
      </c>
      <c r="E16" s="78">
        <v>7.7000000000000002E-3</v>
      </c>
      <c r="F16" s="78">
        <v>7.7000000000000002E-3</v>
      </c>
      <c r="G16" s="25">
        <v>0</v>
      </c>
    </row>
    <row r="17" spans="1:7" ht="15.75" customHeight="1" x14ac:dyDescent="0.25">
      <c r="A17" s="24" t="s">
        <v>22</v>
      </c>
      <c r="B17" s="25">
        <v>0</v>
      </c>
      <c r="C17" s="78">
        <v>7.8600000000000003E-2</v>
      </c>
      <c r="D17" s="78">
        <v>7.8600000000000003E-2</v>
      </c>
      <c r="E17" s="78">
        <v>7.8600000000000003E-2</v>
      </c>
      <c r="F17" s="78">
        <v>7.8600000000000003E-2</v>
      </c>
      <c r="G17" s="25">
        <v>0</v>
      </c>
    </row>
    <row r="18" spans="1:7" ht="15.75" customHeight="1" x14ac:dyDescent="0.25">
      <c r="A18" s="24" t="s">
        <v>23</v>
      </c>
      <c r="B18" s="25">
        <v>0</v>
      </c>
      <c r="C18" s="78">
        <v>0.29859999999999998</v>
      </c>
      <c r="D18" s="78">
        <v>0.29859999999999998</v>
      </c>
      <c r="E18" s="78">
        <v>0.29859999999999998</v>
      </c>
      <c r="F18" s="78">
        <v>0.29859999999999998</v>
      </c>
      <c r="G18" s="25">
        <v>0</v>
      </c>
    </row>
    <row r="19" spans="1:7" ht="15.75" customHeight="1" x14ac:dyDescent="0.25">
      <c r="A19" s="24" t="s">
        <v>38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79">
        <v>8.8900000000000007E-2</v>
      </c>
    </row>
    <row r="20" spans="1:7" ht="15.75" customHeight="1" x14ac:dyDescent="0.25">
      <c r="A20" s="24" t="s">
        <v>39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79">
        <v>8.6999999999999994E-3</v>
      </c>
    </row>
    <row r="21" spans="1:7" ht="15.75" customHeight="1" x14ac:dyDescent="0.25">
      <c r="A21" s="24" t="s">
        <v>40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79">
        <v>0.1575</v>
      </c>
    </row>
    <row r="22" spans="1:7" ht="15.75" customHeight="1" x14ac:dyDescent="0.25">
      <c r="A22" s="24" t="s">
        <v>41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79">
        <v>0.16980000000000001</v>
      </c>
    </row>
    <row r="23" spans="1:7" ht="15.75" customHeight="1" x14ac:dyDescent="0.25">
      <c r="A23" s="24" t="s">
        <v>42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79">
        <v>0.10489999999999999</v>
      </c>
    </row>
    <row r="24" spans="1:7" ht="15.75" customHeight="1" x14ac:dyDescent="0.25">
      <c r="A24" s="24" t="s">
        <v>43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79">
        <v>0.1087</v>
      </c>
    </row>
    <row r="25" spans="1:7" ht="15.75" customHeight="1" x14ac:dyDescent="0.25">
      <c r="A25" s="24" t="s">
        <v>44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79">
        <v>1.8800000000000001E-2</v>
      </c>
    </row>
    <row r="26" spans="1:7" ht="15.75" customHeight="1" x14ac:dyDescent="0.25">
      <c r="A26" s="24" t="s">
        <v>45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79">
        <v>8.5800000000000001E-2</v>
      </c>
    </row>
    <row r="27" spans="1:7" ht="15.75" customHeight="1" x14ac:dyDescent="0.25">
      <c r="A27" s="24" t="s">
        <v>46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79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topLeftCell="A14"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15" ht="15.75" customHeight="1" x14ac:dyDescent="0.25">
      <c r="A2" s="6" t="s">
        <v>115</v>
      </c>
      <c r="B2" s="13" t="s">
        <v>117</v>
      </c>
      <c r="C2" s="100">
        <v>0.8518327</v>
      </c>
      <c r="D2" s="100">
        <v>0.8518327</v>
      </c>
      <c r="E2" s="100">
        <v>0.91368470000000002</v>
      </c>
      <c r="F2" s="100">
        <v>0.53755370000000002</v>
      </c>
      <c r="G2" s="100">
        <v>0.32763219999999998</v>
      </c>
    </row>
    <row r="3" spans="1:15" ht="15.75" customHeight="1" x14ac:dyDescent="0.25">
      <c r="A3" s="5"/>
      <c r="B3" s="13" t="s">
        <v>118</v>
      </c>
      <c r="C3" s="100">
        <v>0.1481673</v>
      </c>
      <c r="D3" s="100">
        <v>0.1481673</v>
      </c>
      <c r="E3" s="100">
        <v>8.6315299999999998E-2</v>
      </c>
      <c r="F3" s="100">
        <v>0.15696579999999999</v>
      </c>
      <c r="G3" s="100">
        <v>0.24201529999999999</v>
      </c>
    </row>
    <row r="4" spans="1:15" ht="15.75" customHeight="1" x14ac:dyDescent="0.25">
      <c r="A4" s="5"/>
      <c r="B4" s="13" t="s">
        <v>116</v>
      </c>
      <c r="C4" s="100">
        <v>0</v>
      </c>
      <c r="D4" s="100">
        <v>0</v>
      </c>
      <c r="E4" s="100">
        <v>0</v>
      </c>
      <c r="F4" s="100">
        <v>0.17242959999999999</v>
      </c>
      <c r="G4" s="100">
        <v>0.2521582</v>
      </c>
    </row>
    <row r="5" spans="1:15" ht="15.75" customHeight="1" x14ac:dyDescent="0.25">
      <c r="A5" s="5"/>
      <c r="B5" s="13" t="s">
        <v>119</v>
      </c>
      <c r="C5" s="100">
        <v>0</v>
      </c>
      <c r="D5" s="100">
        <v>0</v>
      </c>
      <c r="E5" s="100">
        <v>0</v>
      </c>
      <c r="F5" s="100">
        <v>0.133051</v>
      </c>
      <c r="G5" s="100">
        <v>0.1781943</v>
      </c>
      <c r="H5" s="89"/>
    </row>
    <row r="6" spans="1:15" ht="15.75" customHeight="1" x14ac:dyDescent="0.25">
      <c r="B6" s="15"/>
      <c r="C6" s="30"/>
      <c r="D6" s="30"/>
      <c r="E6" s="30"/>
      <c r="F6" s="30"/>
      <c r="G6" s="30"/>
    </row>
    <row r="7" spans="1:15" ht="15.75" customHeight="1" x14ac:dyDescent="0.25">
      <c r="B7" s="15"/>
      <c r="C7" s="30"/>
      <c r="D7" s="30"/>
      <c r="E7" s="30"/>
      <c r="F7" s="30"/>
      <c r="G7" s="30"/>
    </row>
    <row r="8" spans="1:15" ht="15.75" customHeight="1" x14ac:dyDescent="0.25">
      <c r="A8" s="3" t="s">
        <v>114</v>
      </c>
      <c r="B8" s="8" t="s">
        <v>120</v>
      </c>
      <c r="C8" s="100">
        <v>0.72090339999999997</v>
      </c>
      <c r="D8" s="100">
        <v>0.72090339999999997</v>
      </c>
      <c r="E8" s="100">
        <v>0.18625340000000001</v>
      </c>
      <c r="F8" s="100">
        <v>0.74180279999999998</v>
      </c>
      <c r="G8" s="100">
        <v>0.72090339999999997</v>
      </c>
    </row>
    <row r="9" spans="1:15" ht="15.75" customHeight="1" x14ac:dyDescent="0.25">
      <c r="B9" s="8" t="s">
        <v>121</v>
      </c>
      <c r="C9" s="100">
        <v>0.15745690000000001</v>
      </c>
      <c r="D9" s="100">
        <v>0.15745690000000001</v>
      </c>
      <c r="E9" s="100">
        <v>0.26322030000000002</v>
      </c>
      <c r="F9" s="100">
        <v>0.15745690000000001</v>
      </c>
      <c r="G9" s="100">
        <v>0.224302</v>
      </c>
    </row>
    <row r="10" spans="1:15" ht="15.75" customHeight="1" x14ac:dyDescent="0.25">
      <c r="B10" s="8" t="s">
        <v>122</v>
      </c>
      <c r="C10" s="100">
        <v>0.32907180000000003</v>
      </c>
      <c r="D10" s="100">
        <v>0.32907180000000003</v>
      </c>
      <c r="E10" s="100">
        <v>0.32907180000000003</v>
      </c>
      <c r="F10" s="100">
        <v>3.2696299999999998E-2</v>
      </c>
      <c r="G10" s="100">
        <v>2.6497300000000001E-2</v>
      </c>
    </row>
    <row r="11" spans="1:15" ht="15.75" customHeight="1" x14ac:dyDescent="0.25">
      <c r="B11" s="8" t="s">
        <v>123</v>
      </c>
      <c r="C11" s="100">
        <v>7.8400200000000003E-2</v>
      </c>
      <c r="D11" s="100">
        <v>7.8400200000000003E-2</v>
      </c>
      <c r="E11" s="100">
        <v>0.2214545</v>
      </c>
      <c r="F11" s="100">
        <v>6.8043999999999993E-2</v>
      </c>
      <c r="G11" s="100">
        <v>2.8297300000000001E-2</v>
      </c>
    </row>
    <row r="12" spans="1:15" ht="15.75" customHeight="1" x14ac:dyDescent="0.25">
      <c r="C12" s="9"/>
      <c r="D12" s="9"/>
      <c r="E12" s="9"/>
      <c r="F12" s="9"/>
      <c r="G12" s="9"/>
      <c r="I12" s="16"/>
      <c r="J12" s="16"/>
      <c r="K12" s="16"/>
      <c r="L12" s="16"/>
      <c r="M12" s="16"/>
      <c r="N12" s="16"/>
      <c r="O12" s="16"/>
    </row>
    <row r="13" spans="1:15" ht="27" customHeight="1" x14ac:dyDescent="0.25">
      <c r="A13" s="14" t="s">
        <v>70</v>
      </c>
      <c r="C13" s="46" t="s">
        <v>1</v>
      </c>
      <c r="D13" s="46" t="s">
        <v>2</v>
      </c>
      <c r="E13" s="46" t="s">
        <v>3</v>
      </c>
      <c r="F13" s="46" t="s">
        <v>4</v>
      </c>
      <c r="G13" s="46" t="s">
        <v>5</v>
      </c>
      <c r="H13" s="80" t="s">
        <v>53</v>
      </c>
      <c r="I13" s="80" t="s">
        <v>54</v>
      </c>
      <c r="J13" s="80" t="s">
        <v>55</v>
      </c>
      <c r="K13" s="80" t="s">
        <v>56</v>
      </c>
      <c r="L13" s="80" t="s">
        <v>49</v>
      </c>
      <c r="M13" s="80" t="s">
        <v>50</v>
      </c>
      <c r="N13" s="80" t="s">
        <v>51</v>
      </c>
      <c r="O13" s="80" t="s">
        <v>52</v>
      </c>
    </row>
    <row r="14" spans="1:15" ht="15.75" customHeight="1" x14ac:dyDescent="0.25">
      <c r="B14" s="17" t="s">
        <v>131</v>
      </c>
      <c r="C14" s="100">
        <v>0.83550000000000002</v>
      </c>
      <c r="D14" s="100">
        <v>0.83550000000000002</v>
      </c>
      <c r="E14" s="100">
        <v>0.83550000000000002</v>
      </c>
      <c r="F14" s="100">
        <v>0.75690000000000002</v>
      </c>
      <c r="G14" s="100">
        <v>0.70669999999999999</v>
      </c>
      <c r="H14" s="107">
        <v>0.3785</v>
      </c>
      <c r="I14" s="107">
        <v>0.63790000000000002</v>
      </c>
      <c r="J14" s="107">
        <v>0.3402</v>
      </c>
      <c r="K14" s="107">
        <v>0</v>
      </c>
      <c r="L14" s="107">
        <v>0.59030000000000005</v>
      </c>
      <c r="M14" s="107">
        <v>0.50649999999999995</v>
      </c>
      <c r="N14" s="107">
        <v>0.53420000000000001</v>
      </c>
      <c r="O14" s="107">
        <v>0.45290000000000002</v>
      </c>
    </row>
    <row r="15" spans="1:15" ht="15.75" customHeight="1" x14ac:dyDescent="0.25">
      <c r="B15" s="17" t="s">
        <v>68</v>
      </c>
      <c r="C15" s="34">
        <f t="shared" ref="C15:O15" si="0">iron_deficiency_anaemia*C14</f>
        <v>0.36360959999999998</v>
      </c>
      <c r="D15" s="34">
        <f t="shared" si="0"/>
        <v>0.36360959999999998</v>
      </c>
      <c r="E15" s="34">
        <f t="shared" si="0"/>
        <v>0.36360959999999998</v>
      </c>
      <c r="F15" s="34">
        <f t="shared" si="0"/>
        <v>0.32940288000000001</v>
      </c>
      <c r="G15" s="34">
        <f t="shared" si="0"/>
        <v>0.30755583999999997</v>
      </c>
      <c r="H15" s="34">
        <f t="shared" si="0"/>
        <v>0.16472319999999999</v>
      </c>
      <c r="I15" s="34">
        <f t="shared" si="0"/>
        <v>0.27761407999999999</v>
      </c>
      <c r="J15" s="34">
        <f t="shared" si="0"/>
        <v>0.14805504</v>
      </c>
      <c r="K15" s="34">
        <f t="shared" si="0"/>
        <v>0</v>
      </c>
      <c r="L15" s="34">
        <f t="shared" si="0"/>
        <v>0.25689856</v>
      </c>
      <c r="M15" s="34">
        <f t="shared" si="0"/>
        <v>0.22042879999999995</v>
      </c>
      <c r="N15" s="34">
        <f t="shared" si="0"/>
        <v>0.23248384</v>
      </c>
      <c r="O15" s="34">
        <f t="shared" si="0"/>
        <v>0.19710208000000001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8" t="str">
        <f>"Percentage of children in each category in baseline year ("&amp;start_year&amp;")"</f>
        <v>Percentage of children in each category in baseline year (2017)</v>
      </c>
      <c r="B1" s="1" t="s">
        <v>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ht="13.2" customHeight="1" x14ac:dyDescent="0.25">
      <c r="A2" s="3" t="s">
        <v>24</v>
      </c>
      <c r="B2" s="47" t="s">
        <v>165</v>
      </c>
      <c r="C2" s="100">
        <v>1</v>
      </c>
      <c r="D2" s="100">
        <v>0.35376730000000001</v>
      </c>
      <c r="E2" s="100">
        <v>0</v>
      </c>
      <c r="F2" s="100">
        <v>0</v>
      </c>
      <c r="G2" s="100">
        <v>0</v>
      </c>
    </row>
    <row r="3" spans="1:7" x14ac:dyDescent="0.25">
      <c r="B3" s="47" t="s">
        <v>166</v>
      </c>
      <c r="C3" s="108">
        <v>0</v>
      </c>
      <c r="D3" s="108">
        <v>0.32535140000000001</v>
      </c>
      <c r="E3" s="108">
        <v>0</v>
      </c>
      <c r="F3" s="108">
        <v>0</v>
      </c>
      <c r="G3" s="108">
        <v>0</v>
      </c>
    </row>
    <row r="4" spans="1:7" x14ac:dyDescent="0.25">
      <c r="B4" s="47" t="s">
        <v>167</v>
      </c>
      <c r="C4" s="108">
        <v>0</v>
      </c>
      <c r="D4" s="108">
        <v>0.31012279999999998</v>
      </c>
      <c r="E4" s="102">
        <v>0.97220309999999999</v>
      </c>
      <c r="F4" s="102">
        <v>0.87321939999999998</v>
      </c>
      <c r="G4" s="102">
        <v>0.1381558</v>
      </c>
    </row>
    <row r="5" spans="1:7" x14ac:dyDescent="0.25">
      <c r="B5" s="47" t="s">
        <v>168</v>
      </c>
      <c r="C5" s="34">
        <f>1-SUM(C2:C4)</f>
        <v>0</v>
      </c>
      <c r="D5" s="34">
        <f t="shared" ref="D5:G5" si="0">1-SUM(D2:D4)</f>
        <v>1.0758499999999893E-2</v>
      </c>
      <c r="E5" s="34">
        <f t="shared" si="0"/>
        <v>2.7796900000000013E-2</v>
      </c>
      <c r="F5" s="34">
        <f t="shared" si="0"/>
        <v>0.12678060000000002</v>
      </c>
      <c r="G5" s="34">
        <f t="shared" si="0"/>
        <v>0.86184419999999995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5" t="s">
        <v>143</v>
      </c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25">
      <c r="B3" s="15"/>
    </row>
    <row r="4" spans="1:11" x14ac:dyDescent="0.25">
      <c r="A4" t="s">
        <v>140</v>
      </c>
      <c r="B4" s="15" t="s">
        <v>143</v>
      </c>
      <c r="C4" s="29"/>
      <c r="D4" s="29"/>
      <c r="E4" s="29"/>
      <c r="F4" s="29"/>
      <c r="G4" s="29"/>
      <c r="H4" s="29"/>
      <c r="I4" s="29"/>
      <c r="J4" s="29"/>
      <c r="K4" s="29"/>
    </row>
    <row r="5" spans="1:11" x14ac:dyDescent="0.25">
      <c r="B5" s="15"/>
    </row>
    <row r="6" spans="1:11" x14ac:dyDescent="0.25">
      <c r="A6" t="s">
        <v>141</v>
      </c>
      <c r="B6" s="15" t="s">
        <v>143</v>
      </c>
      <c r="C6" s="29"/>
      <c r="D6" s="29"/>
      <c r="E6" s="29"/>
      <c r="F6" s="29"/>
      <c r="G6" s="29"/>
      <c r="H6" s="29"/>
      <c r="I6" s="29"/>
      <c r="J6" s="29"/>
      <c r="K6" s="29"/>
    </row>
    <row r="7" spans="1:11" x14ac:dyDescent="0.25">
      <c r="B7" s="15" t="s">
        <v>32</v>
      </c>
      <c r="C7" s="29"/>
      <c r="D7" s="29"/>
      <c r="E7" s="29"/>
      <c r="F7" s="29"/>
      <c r="G7" s="29"/>
      <c r="H7" s="29"/>
      <c r="I7" s="29"/>
      <c r="J7" s="29"/>
      <c r="K7" s="29"/>
    </row>
    <row r="8" spans="1:11" x14ac:dyDescent="0.25">
      <c r="B8" s="15" t="s">
        <v>144</v>
      </c>
      <c r="C8" s="29"/>
      <c r="D8" s="29"/>
      <c r="E8" s="29"/>
      <c r="F8" s="29"/>
      <c r="G8" s="29"/>
      <c r="H8" s="29"/>
      <c r="I8" s="29"/>
      <c r="J8" s="29"/>
      <c r="K8" s="29"/>
    </row>
    <row r="10" spans="1:11" x14ac:dyDescent="0.25">
      <c r="A10" t="s">
        <v>142</v>
      </c>
      <c r="B10" s="17" t="s">
        <v>147</v>
      </c>
      <c r="C10" s="29"/>
      <c r="D10" s="29"/>
      <c r="E10" s="29"/>
      <c r="F10" s="29"/>
      <c r="G10" s="29"/>
      <c r="H10" s="29"/>
      <c r="I10" s="29"/>
      <c r="J10" s="29"/>
      <c r="K10" s="29"/>
    </row>
    <row r="11" spans="1:11" x14ac:dyDescent="0.25">
      <c r="B11" s="36" t="s">
        <v>146</v>
      </c>
      <c r="C11" s="29"/>
      <c r="D11" s="29"/>
      <c r="E11" s="29"/>
      <c r="F11" s="29"/>
      <c r="G11" s="29"/>
      <c r="H11" s="29"/>
      <c r="I11" s="29"/>
      <c r="J11" s="29"/>
      <c r="K11" s="29"/>
    </row>
    <row r="13" spans="1:11" x14ac:dyDescent="0.25">
      <c r="A13" s="14" t="s">
        <v>74</v>
      </c>
      <c r="B13" s="36" t="s">
        <v>148</v>
      </c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B14" s="17" t="s">
        <v>169</v>
      </c>
      <c r="C14" s="29"/>
      <c r="D14" s="29"/>
      <c r="E14" s="29"/>
      <c r="F14" s="29"/>
      <c r="G14" s="29"/>
      <c r="H14" s="29"/>
      <c r="I14" s="29"/>
      <c r="J14" s="29"/>
      <c r="K14" s="29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39" customWidth="1"/>
    <col min="2" max="2" width="19.109375" style="39" customWidth="1"/>
    <col min="3" max="3" width="13.33203125" style="39" customWidth="1"/>
    <col min="4" max="16384" width="11.33203125" style="39"/>
  </cols>
  <sheetData>
    <row r="1" spans="1:5" x14ac:dyDescent="0.25">
      <c r="A1" s="52" t="s">
        <v>176</v>
      </c>
      <c r="B1" s="53" t="s">
        <v>175</v>
      </c>
      <c r="C1" s="53" t="s">
        <v>174</v>
      </c>
      <c r="D1" s="53" t="s">
        <v>173</v>
      </c>
      <c r="E1" s="53" t="s">
        <v>172</v>
      </c>
    </row>
    <row r="2" spans="1:5" x14ac:dyDescent="0.25">
      <c r="A2" s="51" t="s">
        <v>171</v>
      </c>
      <c r="B2" s="48" t="s">
        <v>32</v>
      </c>
      <c r="C2" s="71"/>
      <c r="D2" s="71" t="b">
        <v>1</v>
      </c>
      <c r="E2" s="72" t="b">
        <f>IF(E$7="","",E$7)</f>
        <v>1</v>
      </c>
    </row>
    <row r="3" spans="1:5" x14ac:dyDescent="0.25">
      <c r="A3" s="49"/>
      <c r="B3" s="48" t="s">
        <v>1</v>
      </c>
      <c r="C3" s="71"/>
      <c r="D3" s="71" t="b">
        <v>1</v>
      </c>
      <c r="E3" s="72" t="b">
        <f>IF(E$7="","",E$7)</f>
        <v>1</v>
      </c>
    </row>
    <row r="4" spans="1:5" x14ac:dyDescent="0.25">
      <c r="A4" s="49"/>
      <c r="B4" s="48" t="s">
        <v>2</v>
      </c>
      <c r="C4" s="71"/>
      <c r="D4" s="71" t="b">
        <v>1</v>
      </c>
      <c r="E4" s="72" t="b">
        <f>IF(E$7="","",E$7)</f>
        <v>1</v>
      </c>
    </row>
    <row r="5" spans="1:5" x14ac:dyDescent="0.25">
      <c r="A5" s="49"/>
      <c r="B5" s="48" t="s">
        <v>3</v>
      </c>
      <c r="C5" s="71"/>
      <c r="D5" s="71" t="b">
        <v>1</v>
      </c>
      <c r="E5" s="72" t="b">
        <f>IF(E$7="","",E$7)</f>
        <v>1</v>
      </c>
    </row>
    <row r="6" spans="1:5" x14ac:dyDescent="0.25">
      <c r="A6" s="49"/>
      <c r="B6" s="48" t="s">
        <v>4</v>
      </c>
      <c r="C6" s="71"/>
      <c r="D6" s="71" t="b">
        <v>1</v>
      </c>
      <c r="E6" s="72" t="b">
        <f>IF(E$7="","",E$7)</f>
        <v>1</v>
      </c>
    </row>
    <row r="7" spans="1:5" x14ac:dyDescent="0.25">
      <c r="A7" s="49"/>
      <c r="B7" s="48" t="s">
        <v>170</v>
      </c>
      <c r="C7" s="73"/>
      <c r="D7" s="74"/>
      <c r="E7" s="71" t="b">
        <v>1</v>
      </c>
    </row>
    <row r="8" spans="1:5" x14ac:dyDescent="0.25">
      <c r="C8" s="75"/>
      <c r="D8" s="75"/>
      <c r="E8" s="75"/>
    </row>
    <row r="9" spans="1:5" x14ac:dyDescent="0.25">
      <c r="A9" s="51" t="s">
        <v>196</v>
      </c>
      <c r="B9" s="48" t="s">
        <v>32</v>
      </c>
      <c r="C9" s="71" t="b">
        <v>1</v>
      </c>
      <c r="D9" s="71"/>
      <c r="E9" s="72" t="b">
        <f>IF(E$7="","",E$7)</f>
        <v>1</v>
      </c>
    </row>
    <row r="10" spans="1:5" x14ac:dyDescent="0.25">
      <c r="A10" s="49"/>
      <c r="B10" s="48" t="s">
        <v>1</v>
      </c>
      <c r="C10" s="71" t="b">
        <v>1</v>
      </c>
      <c r="D10" s="71"/>
      <c r="E10" s="72" t="b">
        <f>IF(E$7="","",E$7)</f>
        <v>1</v>
      </c>
    </row>
    <row r="11" spans="1:5" x14ac:dyDescent="0.25">
      <c r="A11" s="49"/>
      <c r="B11" s="48" t="s">
        <v>2</v>
      </c>
      <c r="C11" s="71" t="b">
        <v>1</v>
      </c>
      <c r="D11" s="71"/>
      <c r="E11" s="72" t="b">
        <f>IF(E$7="","",E$7)</f>
        <v>1</v>
      </c>
    </row>
    <row r="12" spans="1:5" x14ac:dyDescent="0.25">
      <c r="A12" s="49"/>
      <c r="B12" s="48" t="s">
        <v>3</v>
      </c>
      <c r="C12" s="71" t="b">
        <v>1</v>
      </c>
      <c r="D12" s="71"/>
      <c r="E12" s="72" t="b">
        <f>IF(E$7="","",E$7)</f>
        <v>1</v>
      </c>
    </row>
    <row r="13" spans="1:5" x14ac:dyDescent="0.25">
      <c r="A13" s="49"/>
      <c r="B13" s="48" t="s">
        <v>4</v>
      </c>
      <c r="C13" s="71" t="b">
        <v>1</v>
      </c>
      <c r="D13" s="71"/>
      <c r="E13" s="72" t="b">
        <f>IF(E$7="","",E$7)</f>
        <v>1</v>
      </c>
    </row>
    <row r="14" spans="1:5" x14ac:dyDescent="0.25">
      <c r="A14" s="49"/>
      <c r="B14" s="48" t="s">
        <v>170</v>
      </c>
      <c r="C14" s="73"/>
      <c r="D14" s="74"/>
      <c r="E14" s="71"/>
    </row>
    <row r="15" spans="1:5" x14ac:dyDescent="0.25">
      <c r="C15" s="75"/>
      <c r="D15" s="75"/>
      <c r="E15" s="75"/>
    </row>
    <row r="16" spans="1:5" x14ac:dyDescent="0.25">
      <c r="A16" s="51" t="s">
        <v>197</v>
      </c>
      <c r="B16" s="48" t="s">
        <v>32</v>
      </c>
      <c r="C16" s="71"/>
      <c r="D16" s="71"/>
      <c r="E16" s="72" t="b">
        <f>IF(E$7="","",E$7)</f>
        <v>1</v>
      </c>
    </row>
    <row r="17" spans="1:5" x14ac:dyDescent="0.25">
      <c r="A17" s="49"/>
      <c r="B17" s="48" t="s">
        <v>1</v>
      </c>
      <c r="C17" s="71"/>
      <c r="D17" s="71"/>
      <c r="E17" s="72" t="b">
        <f>IF(E$7="","",E$7)</f>
        <v>1</v>
      </c>
    </row>
    <row r="18" spans="1:5" x14ac:dyDescent="0.25">
      <c r="A18" s="49"/>
      <c r="B18" s="48" t="s">
        <v>2</v>
      </c>
      <c r="C18" s="71"/>
      <c r="D18" s="71"/>
      <c r="E18" s="72" t="b">
        <f>IF(E$7="","",E$7)</f>
        <v>1</v>
      </c>
    </row>
    <row r="19" spans="1:5" x14ac:dyDescent="0.25">
      <c r="A19" s="49"/>
      <c r="B19" s="48" t="s">
        <v>3</v>
      </c>
      <c r="C19" s="71"/>
      <c r="D19" s="71"/>
      <c r="E19" s="72" t="b">
        <f>IF(E$7="","",E$7)</f>
        <v>1</v>
      </c>
    </row>
    <row r="20" spans="1:5" x14ac:dyDescent="0.25">
      <c r="A20" s="49"/>
      <c r="B20" s="48" t="s">
        <v>4</v>
      </c>
      <c r="C20" s="71"/>
      <c r="D20" s="71"/>
      <c r="E20" s="72" t="b">
        <f>IF(E$7="","",E$7)</f>
        <v>1</v>
      </c>
    </row>
    <row r="21" spans="1:5" x14ac:dyDescent="0.25">
      <c r="A21" s="49"/>
      <c r="B21" s="48" t="s">
        <v>170</v>
      </c>
      <c r="C21" s="73"/>
      <c r="D21" s="74"/>
      <c r="E21" s="71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7" t="s">
        <v>164</v>
      </c>
      <c r="B1" s="53" t="s">
        <v>179</v>
      </c>
      <c r="C1" s="68" t="s">
        <v>180</v>
      </c>
      <c r="D1" s="68" t="s">
        <v>184</v>
      </c>
    </row>
    <row r="2" spans="1:4" x14ac:dyDescent="0.25">
      <c r="A2" s="68" t="s">
        <v>69</v>
      </c>
      <c r="B2" s="48" t="s">
        <v>67</v>
      </c>
      <c r="C2" s="48" t="s">
        <v>181</v>
      </c>
      <c r="D2" s="71"/>
    </row>
    <row r="3" spans="1:4" x14ac:dyDescent="0.25">
      <c r="A3" s="68" t="s">
        <v>183</v>
      </c>
      <c r="B3" s="48" t="s">
        <v>174</v>
      </c>
      <c r="C3" s="48" t="s">
        <v>182</v>
      </c>
      <c r="D3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2018-11-14T07:02:24Z</dcterms:modified>
</cp:coreProperties>
</file>