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<sst xmlns="http://schemas.openxmlformats.org/spreadsheetml/2006/main" count="378" uniqueCount="210">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</sst>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0" fillId="0" borderId="0" xfId="0"/>
    <xf numFmtId="0" fontId="26" fillId="0" borderId="0" xfId="0" applyFont="1"/>
    <xf numFmtId="168" fontId="5" fillId="0" borderId="0" xfId="0" applyNumberFormat="1" applyFont="1" applyAlignmen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7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6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F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6" ht="56.7" customHeight="1" x14ac:dyDescent="0.25">
      <c r="A1" s="59" t="s">
        <v>69</v>
      </c>
      <c r="B1" s="112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6" ht="15.75" customHeight="1" x14ac:dyDescent="0.25">
      <c r="A2" s="55" t="s">
        <v>29</v>
      </c>
      <c r="B2" s="111">
        <v>0</v>
      </c>
      <c r="C2" s="56">
        <v>0.95</v>
      </c>
      <c r="D2" s="57">
        <v>25</v>
      </c>
      <c r="E2" s="57" t="s">
        <v>202</v>
      </c>
    </row>
    <row r="3" spans="1:6" ht="15.75" customHeight="1" x14ac:dyDescent="0.25">
      <c r="A3" s="55" t="s">
        <v>86</v>
      </c>
      <c r="B3" s="111">
        <v>0</v>
      </c>
      <c r="C3" s="56">
        <v>0.95</v>
      </c>
      <c r="D3" s="57">
        <v>1</v>
      </c>
      <c r="E3" s="57" t="s">
        <v>202</v>
      </c>
    </row>
    <row r="4" spans="1:6" ht="15.75" customHeight="1" x14ac:dyDescent="0.25">
      <c r="A4" s="55" t="s">
        <v>61</v>
      </c>
      <c r="B4" s="111">
        <v>0</v>
      </c>
      <c r="C4" s="56">
        <v>0.95</v>
      </c>
      <c r="D4" s="57">
        <f>180</f>
        <v>180</v>
      </c>
      <c r="E4" s="57" t="s">
        <v>202</v>
      </c>
    </row>
    <row r="5" spans="1:6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6" ht="15.75" customHeight="1" x14ac:dyDescent="0.25">
      <c r="A6" s="82" t="s">
        <v>195</v>
      </c>
      <c r="B6" s="99">
        <v>0.16200000000000001</v>
      </c>
      <c r="C6" s="56">
        <v>0.95</v>
      </c>
      <c r="D6" s="91">
        <f>SUM('Programs family planning'!E2:E10)</f>
        <v>0.82100000000000006</v>
      </c>
      <c r="E6" s="57" t="s">
        <v>202</v>
      </c>
    </row>
    <row r="7" spans="1:6" ht="15.75" customHeight="1" x14ac:dyDescent="0.25">
      <c r="A7" s="55" t="s">
        <v>63</v>
      </c>
      <c r="B7" s="111">
        <v>0</v>
      </c>
      <c r="C7" s="56">
        <v>0.95</v>
      </c>
      <c r="D7" s="57">
        <v>0.82</v>
      </c>
      <c r="E7" s="57" t="s">
        <v>202</v>
      </c>
    </row>
    <row r="8" spans="1:6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6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6" ht="15.75" customHeight="1" x14ac:dyDescent="0.25">
      <c r="A10" s="67" t="s">
        <v>186</v>
      </c>
      <c r="B10" s="111">
        <v>0</v>
      </c>
      <c r="C10" s="56">
        <v>0.95</v>
      </c>
      <c r="D10" s="57">
        <v>0.73</v>
      </c>
      <c r="E10" s="57" t="s">
        <v>202</v>
      </c>
    </row>
    <row r="11" spans="1:6" ht="15.75" customHeight="1" x14ac:dyDescent="0.25">
      <c r="A11" s="67" t="s">
        <v>205</v>
      </c>
      <c r="B11" s="111">
        <v>0</v>
      </c>
      <c r="C11" s="56">
        <v>0.95</v>
      </c>
      <c r="D11" s="57">
        <v>1.78</v>
      </c>
      <c r="E11" s="57" t="s">
        <v>202</v>
      </c>
    </row>
    <row r="12" spans="1:6" ht="15.75" customHeight="1" x14ac:dyDescent="0.25">
      <c r="A12" s="67" t="s">
        <v>187</v>
      </c>
      <c r="B12" s="111">
        <v>0</v>
      </c>
      <c r="C12" s="56">
        <v>0.95</v>
      </c>
      <c r="D12" s="57">
        <v>0.24</v>
      </c>
      <c r="E12" s="57" t="s">
        <v>202</v>
      </c>
    </row>
    <row r="13" spans="1:6" ht="15.75" customHeight="1" x14ac:dyDescent="0.25">
      <c r="A13" s="67" t="s">
        <v>188</v>
      </c>
      <c r="B13" s="111">
        <v>0</v>
      </c>
      <c r="C13" s="56">
        <v>0.95</v>
      </c>
      <c r="D13" s="57">
        <v>0.55000000000000004</v>
      </c>
      <c r="E13" s="57" t="s">
        <v>202</v>
      </c>
    </row>
    <row r="14" spans="1:6" ht="15.75" customHeight="1" x14ac:dyDescent="0.25">
      <c r="A14" s="14" t="s">
        <v>185</v>
      </c>
      <c r="B14" s="111">
        <v>0</v>
      </c>
      <c r="C14" s="56">
        <v>0.95</v>
      </c>
      <c r="D14" s="57">
        <v>0.73</v>
      </c>
      <c r="E14" s="57" t="s">
        <v>202</v>
      </c>
    </row>
    <row r="15" spans="1:6" ht="15.75" customHeight="1" x14ac:dyDescent="0.3">
      <c r="A15" s="83" t="s">
        <v>206</v>
      </c>
      <c r="B15" s="99">
        <v>0.77400000000000002</v>
      </c>
      <c r="C15" s="56">
        <v>0.95</v>
      </c>
      <c r="D15" s="57">
        <v>2</v>
      </c>
      <c r="E15" s="57" t="s">
        <v>202</v>
      </c>
      <c r="F15" s="86"/>
    </row>
    <row r="16" spans="1:6" ht="15.75" customHeight="1" x14ac:dyDescent="0.25">
      <c r="A16" s="82" t="s">
        <v>57</v>
      </c>
      <c r="B16" s="99">
        <v>0.49</v>
      </c>
      <c r="C16" s="56">
        <v>0.95</v>
      </c>
      <c r="D16" s="57">
        <v>2.1800000000000002</v>
      </c>
      <c r="E16" s="57" t="s">
        <v>202</v>
      </c>
    </row>
    <row r="17" spans="1:6" ht="15.75" customHeight="1" x14ac:dyDescent="0.3">
      <c r="A17" s="55" t="s">
        <v>47</v>
      </c>
      <c r="B17" s="111">
        <v>0</v>
      </c>
      <c r="C17" s="56">
        <v>0.95</v>
      </c>
      <c r="D17" s="57">
        <v>0.05</v>
      </c>
      <c r="E17" s="57" t="s">
        <v>202</v>
      </c>
      <c r="F17" s="86"/>
    </row>
    <row r="18" spans="1:6" ht="16.05" customHeight="1" x14ac:dyDescent="0.25">
      <c r="A18" s="55" t="s">
        <v>171</v>
      </c>
      <c r="B18" s="111">
        <v>0</v>
      </c>
      <c r="C18" s="56">
        <v>0.95</v>
      </c>
      <c r="D18" s="92">
        <v>5</v>
      </c>
      <c r="E18" s="57" t="s">
        <v>202</v>
      </c>
    </row>
    <row r="19" spans="1:6" ht="15.75" customHeight="1" x14ac:dyDescent="0.25">
      <c r="A19" s="55" t="s">
        <v>196</v>
      </c>
      <c r="B19" s="111">
        <v>0</v>
      </c>
      <c r="C19" s="56">
        <v>0.95</v>
      </c>
      <c r="D19" s="92">
        <f>SUMPRODUCT(('IYCF cost'!$C$2:$E$6)*('IYCF packages'!$C$9:$E$13&lt;&gt;""))</f>
        <v>4.8250000000000002</v>
      </c>
      <c r="E19" s="57" t="s">
        <v>202</v>
      </c>
    </row>
    <row r="20" spans="1:6" ht="15.75" customHeight="1" x14ac:dyDescent="0.25">
      <c r="A20" s="55" t="s">
        <v>197</v>
      </c>
      <c r="B20" s="111">
        <v>0</v>
      </c>
      <c r="C20" s="56">
        <v>0.95</v>
      </c>
      <c r="D20" s="92">
        <f>SUMPRODUCT(('IYCF cost'!$C$2:$E$6)*('IYCF packages'!$C$16:$E$20&lt;&gt;""))</f>
        <v>0.25</v>
      </c>
      <c r="E20" s="57" t="s">
        <v>202</v>
      </c>
    </row>
    <row r="21" spans="1:6" ht="15.75" customHeight="1" x14ac:dyDescent="0.25">
      <c r="A21" s="55" t="s">
        <v>193</v>
      </c>
      <c r="B21" s="111">
        <v>0</v>
      </c>
      <c r="C21" s="56">
        <v>0.95</v>
      </c>
      <c r="D21" s="57">
        <v>8.84</v>
      </c>
      <c r="E21" s="57" t="s">
        <v>202</v>
      </c>
    </row>
    <row r="22" spans="1:6" ht="15.75" customHeight="1" x14ac:dyDescent="0.25">
      <c r="A22" s="55" t="s">
        <v>136</v>
      </c>
      <c r="B22" s="111">
        <v>0</v>
      </c>
      <c r="C22" s="56">
        <v>0.95</v>
      </c>
      <c r="D22" s="57">
        <v>50</v>
      </c>
      <c r="E22" s="57" t="s">
        <v>202</v>
      </c>
    </row>
    <row r="23" spans="1:6" ht="15.75" customHeight="1" x14ac:dyDescent="0.25">
      <c r="A23" s="55" t="s">
        <v>34</v>
      </c>
      <c r="B23" s="111">
        <v>0</v>
      </c>
      <c r="C23" s="56">
        <v>0.95</v>
      </c>
      <c r="D23" s="57">
        <v>2.61</v>
      </c>
      <c r="E23" s="57" t="s">
        <v>202</v>
      </c>
    </row>
    <row r="24" spans="1:6" ht="15.75" customHeight="1" x14ac:dyDescent="0.25">
      <c r="A24" s="55" t="s">
        <v>88</v>
      </c>
      <c r="B24" s="111">
        <v>0</v>
      </c>
      <c r="C24" s="56">
        <v>0.95</v>
      </c>
      <c r="D24" s="57">
        <v>1</v>
      </c>
      <c r="E24" s="57" t="s">
        <v>202</v>
      </c>
    </row>
    <row r="25" spans="1:6" ht="15.75" customHeight="1" x14ac:dyDescent="0.25">
      <c r="A25" s="55" t="s">
        <v>87</v>
      </c>
      <c r="B25" s="111">
        <v>0</v>
      </c>
      <c r="C25" s="56">
        <v>0.95</v>
      </c>
      <c r="D25" s="57">
        <v>1</v>
      </c>
      <c r="E25" s="57" t="s">
        <v>202</v>
      </c>
    </row>
    <row r="26" spans="1:6" ht="15.75" customHeight="1" x14ac:dyDescent="0.25">
      <c r="A26" s="55" t="s">
        <v>137</v>
      </c>
      <c r="B26" s="111">
        <v>0</v>
      </c>
      <c r="C26" s="56">
        <v>0.95</v>
      </c>
      <c r="D26" s="57">
        <v>1</v>
      </c>
      <c r="E26" s="57" t="s">
        <v>202</v>
      </c>
    </row>
    <row r="27" spans="1:6" ht="15.75" customHeight="1" x14ac:dyDescent="0.25">
      <c r="A27" s="82" t="s">
        <v>59</v>
      </c>
      <c r="B27" s="111">
        <v>0</v>
      </c>
      <c r="C27" s="56">
        <v>0.95</v>
      </c>
      <c r="D27" s="57">
        <v>3.54</v>
      </c>
      <c r="E27" s="57" t="s">
        <v>202</v>
      </c>
    </row>
    <row r="28" spans="1:6" ht="15.75" customHeight="1" x14ac:dyDescent="0.25">
      <c r="A28" s="82" t="s">
        <v>84</v>
      </c>
      <c r="B28" s="99">
        <v>0.38700000000000001</v>
      </c>
      <c r="C28" s="56">
        <v>0.95</v>
      </c>
      <c r="D28" s="57">
        <v>1</v>
      </c>
      <c r="E28" s="57" t="s">
        <v>202</v>
      </c>
    </row>
    <row r="29" spans="1:6" ht="15.75" customHeight="1" x14ac:dyDescent="0.25">
      <c r="A29" s="55" t="s">
        <v>58</v>
      </c>
      <c r="B29" s="111">
        <v>0</v>
      </c>
      <c r="C29" s="56">
        <v>0.95</v>
      </c>
      <c r="D29" s="57">
        <v>40.25</v>
      </c>
      <c r="E29" s="57" t="s">
        <v>202</v>
      </c>
    </row>
    <row r="30" spans="1:6" ht="15.75" customHeight="1" x14ac:dyDescent="0.25">
      <c r="A30" s="55" t="s">
        <v>67</v>
      </c>
      <c r="B30" s="111">
        <v>0</v>
      </c>
      <c r="C30" s="56">
        <v>0.95</v>
      </c>
      <c r="D30" s="93">
        <f>162*AVERAGE('Incidence of conditions'!B4:F4) + 0*AVERAGE('Incidence of conditions'!B3:F3)*IF(ISBLANK(manage_mam), 0, 1)</f>
        <v>9.279676224000001</v>
      </c>
      <c r="E30" s="57" t="s">
        <v>202</v>
      </c>
    </row>
    <row r="31" spans="1:6" ht="15.75" customHeight="1" x14ac:dyDescent="0.3">
      <c r="A31" s="82" t="s">
        <v>28</v>
      </c>
      <c r="B31" s="99">
        <v>0.84900000000000009</v>
      </c>
      <c r="C31" s="56">
        <v>0.95</v>
      </c>
      <c r="D31" s="57">
        <v>0.55000000000000004</v>
      </c>
      <c r="E31" s="57" t="s">
        <v>202</v>
      </c>
      <c r="F31" s="86"/>
    </row>
    <row r="32" spans="1:6" ht="15.75" customHeight="1" x14ac:dyDescent="0.25">
      <c r="A32" s="55" t="s">
        <v>83</v>
      </c>
      <c r="B32" s="111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1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1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1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1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0">
        <v>3.6600000000000001E-2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1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0.18692596</v>
      </c>
      <c r="C3" s="28">
        <f>frac_mam_1_5months * 2.6</f>
        <v>0.18692596</v>
      </c>
      <c r="D3" s="28">
        <f>frac_mam_6_11months * 2.6</f>
        <v>0</v>
      </c>
      <c r="E3" s="28">
        <f>frac_mam_12_23months * 2.6</f>
        <v>0.11120252000000001</v>
      </c>
      <c r="F3" s="28">
        <f>frac_mam_24_59months * 2.6</f>
        <v>5.1301380000000001E-2</v>
      </c>
    </row>
    <row r="4" spans="1:6" ht="15.75" customHeight="1" x14ac:dyDescent="0.25">
      <c r="A4" s="3" t="s">
        <v>66</v>
      </c>
      <c r="B4" s="28">
        <f>frac_sam_1month * 2.6</f>
        <v>0.10320283999999999</v>
      </c>
      <c r="C4" s="28">
        <f>frac_sam_1_5months * 2.6</f>
        <v>0.10320283999999999</v>
      </c>
      <c r="D4" s="28">
        <f>frac_sam_6_11months * 2.6</f>
        <v>0</v>
      </c>
      <c r="E4" s="28">
        <f>frac_sam_12_23months * 2.6</f>
        <v>4.217096E-2</v>
      </c>
      <c r="F4" s="28">
        <f>frac_sam_24_59months * 2.6</f>
        <v>3.7833120000000005E-2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0.49</v>
      </c>
      <c r="E2" s="38">
        <f>food_insecure</f>
        <v>0.49</v>
      </c>
      <c r="F2" s="38">
        <f>food_insecure</f>
        <v>0.49</v>
      </c>
      <c r="G2" s="38">
        <f>food_insecure</f>
        <v>0.49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0.49</v>
      </c>
      <c r="F5" s="38">
        <f>food_insecure</f>
        <v>0.49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0.49</v>
      </c>
      <c r="F8" s="38">
        <f>food_insecure</f>
        <v>0.49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0.70599999999999996</v>
      </c>
      <c r="E9" s="38">
        <f>IF(ISBLANK(comm_deliv), frac_children_health_facility,1)</f>
        <v>0.70599999999999996</v>
      </c>
      <c r="F9" s="38">
        <f>IF(ISBLANK(comm_deliv), frac_children_health_facility,1)</f>
        <v>0.70599999999999996</v>
      </c>
      <c r="G9" s="38">
        <f>IF(ISBLANK(comm_deliv), frac_children_health_facility,1)</f>
        <v>0.70599999999999996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0.49</v>
      </c>
      <c r="I14" s="38">
        <f>food_insecure</f>
        <v>0.49</v>
      </c>
      <c r="J14" s="38">
        <f>food_insecure</f>
        <v>0.49</v>
      </c>
      <c r="K14" s="38">
        <f>food_insecure</f>
        <v>0.49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0.56669999999999998</v>
      </c>
      <c r="I17" s="38">
        <f>frac_PW_health_facility</f>
        <v>0.56669999999999998</v>
      </c>
      <c r="J17" s="38">
        <f>frac_PW_health_facility</f>
        <v>0.56669999999999998</v>
      </c>
      <c r="K17" s="38">
        <f>frac_PW_health_facility</f>
        <v>0.56669999999999998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2.9100000000000001E-2</v>
      </c>
      <c r="I18" s="38">
        <f>frac_malaria_risk</f>
        <v>2.9100000000000001E-2</v>
      </c>
      <c r="J18" s="38">
        <f>frac_malaria_risk</f>
        <v>2.9100000000000001E-2</v>
      </c>
      <c r="K18" s="38">
        <f>frac_malaria_risk</f>
        <v>2.9100000000000001E-2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0.27664714000000001</v>
      </c>
      <c r="M24" s="38">
        <f>(1-food_insecure)*(0.49)+food_insecure*(0.7)</f>
        <v>0.59289999999999998</v>
      </c>
      <c r="N24" s="38">
        <f>(1-food_insecure)*(0.49)+food_insecure*(0.7)</f>
        <v>0.59289999999999998</v>
      </c>
      <c r="O24" s="38">
        <f>(1-food_insecure)*(0.49)+food_insecure*(0.7)</f>
        <v>0.59289999999999998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0.11856306</v>
      </c>
      <c r="M25" s="38">
        <f>(1-food_insecure)*(0.21)+food_insecure*(0.3)</f>
        <v>0.25409999999999999</v>
      </c>
      <c r="N25" s="38">
        <f>(1-food_insecure)*(0.21)+food_insecure*(0.3)</f>
        <v>0.25409999999999999</v>
      </c>
      <c r="O25" s="38">
        <f>(1-food_insecure)*(0.21)+food_insecure*(0.3)</f>
        <v>0.25409999999999999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7.1389800000000003E-2</v>
      </c>
      <c r="M26" s="38">
        <f>(1-food_insecure)*(0.3)</f>
        <v>0.153</v>
      </c>
      <c r="N26" s="38">
        <f>(1-food_insecure)*(0.3)</f>
        <v>0.153</v>
      </c>
      <c r="O26" s="38">
        <f>(1-food_insecure)*(0.3)</f>
        <v>0.153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0.53339999999999999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2.9100000000000001E-2</v>
      </c>
      <c r="D33" s="38">
        <f t="shared" si="3"/>
        <v>2.9100000000000001E-2</v>
      </c>
      <c r="E33" s="38">
        <f t="shared" si="3"/>
        <v>2.9100000000000001E-2</v>
      </c>
      <c r="F33" s="38">
        <f t="shared" si="3"/>
        <v>2.9100000000000001E-2</v>
      </c>
      <c r="G33" s="38">
        <f t="shared" si="3"/>
        <v>2.9100000000000001E-2</v>
      </c>
      <c r="H33" s="38">
        <f t="shared" si="3"/>
        <v>2.9100000000000001E-2</v>
      </c>
      <c r="I33" s="38">
        <f t="shared" si="3"/>
        <v>2.9100000000000001E-2</v>
      </c>
      <c r="J33" s="38">
        <f t="shared" si="3"/>
        <v>2.9100000000000001E-2</v>
      </c>
      <c r="K33" s="38">
        <f t="shared" si="3"/>
        <v>2.9100000000000001E-2</v>
      </c>
      <c r="L33" s="38">
        <f t="shared" si="3"/>
        <v>2.9100000000000001E-2</v>
      </c>
      <c r="M33" s="38">
        <f t="shared" si="3"/>
        <v>2.9100000000000001E-2</v>
      </c>
      <c r="N33" s="38">
        <f t="shared" si="3"/>
        <v>2.9100000000000001E-2</v>
      </c>
      <c r="O33" s="38">
        <f t="shared" si="3"/>
        <v>2.9100000000000001E-2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E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16384" width="14.33203125" style="15"/>
  </cols>
  <sheetData>
    <row r="1" spans="1:4" ht="27" customHeight="1" x14ac:dyDescent="0.3">
      <c r="A1" s="1" t="s">
        <v>100</v>
      </c>
      <c r="B1" s="46" t="s">
        <v>164</v>
      </c>
      <c r="C1" s="108" t="s">
        <v>200</v>
      </c>
      <c r="D1" s="84"/>
    </row>
    <row r="2" spans="1:4" ht="16.05" customHeight="1" x14ac:dyDescent="0.25">
      <c r="A2" s="15" t="s">
        <v>189</v>
      </c>
      <c r="B2" s="46"/>
    </row>
    <row r="3" spans="1:4" ht="16.05" customHeight="1" x14ac:dyDescent="0.25">
      <c r="A3" s="1"/>
      <c r="B3" s="9" t="s">
        <v>191</v>
      </c>
      <c r="C3" s="70">
        <v>2017</v>
      </c>
    </row>
    <row r="4" spans="1:4" ht="16.05" customHeight="1" x14ac:dyDescent="0.25">
      <c r="A4" s="1"/>
      <c r="B4" s="12" t="s">
        <v>190</v>
      </c>
      <c r="C4" s="71">
        <v>2030</v>
      </c>
    </row>
    <row r="5" spans="1:4" ht="16.05" customHeight="1" x14ac:dyDescent="0.25">
      <c r="A5" s="1"/>
      <c r="B5" s="46"/>
    </row>
    <row r="6" spans="1:4" ht="15" customHeight="1" x14ac:dyDescent="0.25">
      <c r="A6" s="15" t="s">
        <v>48</v>
      </c>
    </row>
    <row r="7" spans="1:4" ht="15" customHeight="1" x14ac:dyDescent="0.25">
      <c r="B7" s="18" t="s">
        <v>199</v>
      </c>
      <c r="C7" s="78">
        <v>1400774.9084804775</v>
      </c>
    </row>
    <row r="8" spans="1:4" ht="15" customHeight="1" x14ac:dyDescent="0.3">
      <c r="B8" s="9" t="s">
        <v>106</v>
      </c>
      <c r="C8" s="104">
        <v>0.49</v>
      </c>
    </row>
    <row r="9" spans="1:4" ht="38.25" customHeight="1" x14ac:dyDescent="0.25">
      <c r="A9" s="90"/>
      <c r="B9" s="12" t="s">
        <v>107</v>
      </c>
      <c r="C9" s="100">
        <v>2.9100000000000001E-2</v>
      </c>
    </row>
    <row r="10" spans="1:4" ht="15" customHeight="1" x14ac:dyDescent="0.25">
      <c r="A10" s="90"/>
      <c r="B10" s="12" t="s">
        <v>105</v>
      </c>
      <c r="C10" s="99">
        <v>0.53339999999999999</v>
      </c>
    </row>
    <row r="11" spans="1:4" ht="15" customHeight="1" x14ac:dyDescent="0.25">
      <c r="A11" s="90"/>
      <c r="B11" s="9" t="s">
        <v>108</v>
      </c>
      <c r="C11" s="99">
        <v>0.56669999999999998</v>
      </c>
    </row>
    <row r="12" spans="1:4" ht="15" customHeight="1" x14ac:dyDescent="0.25">
      <c r="A12" s="90"/>
      <c r="B12" s="9" t="s">
        <v>109</v>
      </c>
      <c r="C12" s="99">
        <v>0.70599999999999996</v>
      </c>
    </row>
    <row r="13" spans="1:4" ht="15" customHeight="1" x14ac:dyDescent="0.25">
      <c r="A13" s="90"/>
      <c r="B13" s="9" t="s">
        <v>110</v>
      </c>
      <c r="C13" s="99">
        <v>0.375</v>
      </c>
    </row>
    <row r="14" spans="1:4" ht="15" customHeight="1" x14ac:dyDescent="0.25">
      <c r="B14" s="15"/>
    </row>
    <row r="15" spans="1:4" ht="15" customHeight="1" x14ac:dyDescent="0.25">
      <c r="A15" s="15" t="s">
        <v>30</v>
      </c>
      <c r="B15" s="19"/>
    </row>
    <row r="16" spans="1:4" ht="15" customHeight="1" x14ac:dyDescent="0.25">
      <c r="B16" s="12" t="s">
        <v>94</v>
      </c>
      <c r="C16" s="100">
        <v>0.59699999999999998</v>
      </c>
    </row>
    <row r="17" spans="1:5" ht="15" customHeight="1" x14ac:dyDescent="0.25">
      <c r="B17" s="12" t="s">
        <v>95</v>
      </c>
      <c r="C17" s="100">
        <v>0.1</v>
      </c>
    </row>
    <row r="18" spans="1:5" ht="15" customHeight="1" x14ac:dyDescent="0.25">
      <c r="B18" s="12" t="s">
        <v>96</v>
      </c>
      <c r="C18" s="100">
        <v>0.1</v>
      </c>
    </row>
    <row r="19" spans="1:5" ht="15" customHeight="1" x14ac:dyDescent="0.25">
      <c r="B19" s="12" t="s">
        <v>97</v>
      </c>
      <c r="C19" s="100">
        <v>0.1</v>
      </c>
    </row>
    <row r="20" spans="1:5" ht="15" customHeight="1" x14ac:dyDescent="0.25">
      <c r="B20" s="12" t="s">
        <v>98</v>
      </c>
      <c r="C20" s="100">
        <v>0.1</v>
      </c>
    </row>
    <row r="21" spans="1:5" ht="15" customHeight="1" x14ac:dyDescent="0.25">
      <c r="B21" s="15"/>
      <c r="C21" s="89"/>
    </row>
    <row r="22" spans="1:5" ht="15" customHeight="1" x14ac:dyDescent="0.25">
      <c r="A22" s="15" t="s">
        <v>99</v>
      </c>
      <c r="C22" s="89"/>
    </row>
    <row r="23" spans="1:5" ht="15" customHeight="1" x14ac:dyDescent="0.3">
      <c r="A23" s="90"/>
      <c r="B23" s="20" t="s">
        <v>101</v>
      </c>
      <c r="C23" s="99">
        <v>0.1411</v>
      </c>
      <c r="D23" s="86"/>
    </row>
    <row r="24" spans="1:5" ht="15" customHeight="1" x14ac:dyDescent="0.3">
      <c r="A24" s="90"/>
      <c r="B24" s="20" t="s">
        <v>102</v>
      </c>
      <c r="C24" s="99">
        <v>0.59150000000000003</v>
      </c>
      <c r="D24" s="86"/>
    </row>
    <row r="25" spans="1:5" ht="15" customHeight="1" x14ac:dyDescent="0.3">
      <c r="A25" s="90"/>
      <c r="B25" s="20" t="s">
        <v>103</v>
      </c>
      <c r="C25" s="99">
        <v>0.24</v>
      </c>
      <c r="D25" s="86"/>
    </row>
    <row r="26" spans="1:5" ht="15" customHeight="1" x14ac:dyDescent="0.3">
      <c r="A26" s="90"/>
      <c r="B26" s="20" t="s">
        <v>104</v>
      </c>
      <c r="C26" s="99">
        <v>2.7400000000000001E-2</v>
      </c>
      <c r="D26" s="86"/>
    </row>
    <row r="27" spans="1:5" ht="15" customHeight="1" x14ac:dyDescent="0.25">
      <c r="B27" s="20"/>
      <c r="C27" s="89"/>
    </row>
    <row r="28" spans="1:5" ht="15" customHeight="1" x14ac:dyDescent="0.25">
      <c r="A28" s="15" t="s">
        <v>194</v>
      </c>
      <c r="B28" s="20"/>
      <c r="C28" s="89"/>
    </row>
    <row r="29" spans="1:5" ht="14.25" customHeight="1" x14ac:dyDescent="0.25">
      <c r="A29" s="90"/>
      <c r="B29" s="32" t="s">
        <v>75</v>
      </c>
      <c r="C29" s="101">
        <v>0.1782</v>
      </c>
    </row>
    <row r="30" spans="1:5" ht="14.25" customHeight="1" x14ac:dyDescent="0.3">
      <c r="A30" s="90"/>
      <c r="B30" s="32" t="s">
        <v>76</v>
      </c>
      <c r="C30" s="101">
        <v>8.9200000000000002E-2</v>
      </c>
      <c r="D30" s="86"/>
      <c r="E30" s="85"/>
    </row>
    <row r="31" spans="1:5" ht="14.25" customHeight="1" x14ac:dyDescent="0.3">
      <c r="A31" s="90"/>
      <c r="B31" s="32" t="s">
        <v>77</v>
      </c>
      <c r="C31" s="101">
        <v>0.14899999999999999</v>
      </c>
      <c r="D31" s="86"/>
      <c r="E31" s="85"/>
    </row>
    <row r="32" spans="1:5" ht="14.25" customHeight="1" x14ac:dyDescent="0.25">
      <c r="A32" s="90"/>
      <c r="B32" s="32" t="s">
        <v>78</v>
      </c>
      <c r="C32" s="101">
        <v>0.58350000000000002</v>
      </c>
    </row>
    <row r="33" spans="1:4" ht="13.2" x14ac:dyDescent="0.25">
      <c r="B33" s="34" t="s">
        <v>129</v>
      </c>
      <c r="C33" s="109">
        <f>SUM(C29:C32)</f>
        <v>0.99990000000000001</v>
      </c>
    </row>
    <row r="34" spans="1:4" ht="15" customHeight="1" x14ac:dyDescent="0.25">
      <c r="C34" s="103"/>
    </row>
    <row r="35" spans="1:4" ht="15" customHeight="1" x14ac:dyDescent="0.25">
      <c r="A35" s="4" t="s">
        <v>135</v>
      </c>
      <c r="C35" s="103"/>
    </row>
    <row r="36" spans="1:4" ht="15" customHeight="1" x14ac:dyDescent="0.25">
      <c r="A36" s="15" t="s">
        <v>74</v>
      </c>
      <c r="B36" s="9"/>
      <c r="C36" s="103"/>
    </row>
    <row r="37" spans="1:4" ht="15" customHeight="1" x14ac:dyDescent="0.25">
      <c r="A37" s="90"/>
      <c r="B37" s="47" t="s">
        <v>92</v>
      </c>
      <c r="C37" s="102">
        <v>21.857499999999998</v>
      </c>
      <c r="D37" s="87"/>
    </row>
    <row r="38" spans="1:4" ht="15" customHeight="1" x14ac:dyDescent="0.25">
      <c r="A38" s="90"/>
      <c r="B38" s="18" t="s">
        <v>91</v>
      </c>
      <c r="C38" s="102">
        <v>34.395299999999999</v>
      </c>
      <c r="D38" s="87"/>
    </row>
    <row r="39" spans="1:4" ht="15" customHeight="1" x14ac:dyDescent="0.25">
      <c r="A39" s="90"/>
      <c r="B39" s="18" t="s">
        <v>90</v>
      </c>
      <c r="C39" s="102">
        <v>45.456900000000005</v>
      </c>
      <c r="D39" s="94"/>
    </row>
    <row r="40" spans="1:4" ht="15" customHeight="1" x14ac:dyDescent="0.3">
      <c r="B40" s="18" t="s">
        <v>201</v>
      </c>
      <c r="C40" s="102">
        <v>84.600000000000009</v>
      </c>
      <c r="D40" s="95"/>
    </row>
    <row r="41" spans="1:4" ht="26.7" customHeight="1" x14ac:dyDescent="0.25">
      <c r="B41" s="18" t="s">
        <v>89</v>
      </c>
      <c r="C41" s="100">
        <v>0.13</v>
      </c>
      <c r="D41" s="96"/>
    </row>
    <row r="42" spans="1:4" ht="15" customHeight="1" x14ac:dyDescent="0.25">
      <c r="B42" s="47" t="s">
        <v>93</v>
      </c>
      <c r="C42" s="102">
        <v>27.27</v>
      </c>
      <c r="D42" s="97"/>
    </row>
    <row r="43" spans="1:4" ht="15.75" customHeight="1" x14ac:dyDescent="0.25">
      <c r="C43" s="103"/>
      <c r="D43" s="98"/>
    </row>
    <row r="44" spans="1:4" ht="15.75" customHeight="1" x14ac:dyDescent="0.25">
      <c r="A44" s="15" t="s">
        <v>133</v>
      </c>
      <c r="C44" s="103"/>
    </row>
    <row r="45" spans="1:4" ht="15.75" customHeight="1" x14ac:dyDescent="0.25">
      <c r="B45" s="18" t="s">
        <v>9</v>
      </c>
      <c r="C45" s="100">
        <v>1.9099999999999999E-2</v>
      </c>
    </row>
    <row r="46" spans="1:4" ht="15.75" customHeight="1" x14ac:dyDescent="0.25">
      <c r="B46" s="18" t="s">
        <v>11</v>
      </c>
      <c r="C46" s="100">
        <v>9.98E-2</v>
      </c>
    </row>
    <row r="47" spans="1:4" ht="15.75" customHeight="1" x14ac:dyDescent="0.25">
      <c r="B47" s="18" t="s">
        <v>12</v>
      </c>
      <c r="C47" s="100">
        <v>0.2</v>
      </c>
    </row>
    <row r="48" spans="1:4" ht="15" customHeight="1" x14ac:dyDescent="0.25">
      <c r="B48" s="18" t="s">
        <v>26</v>
      </c>
      <c r="C48" s="110">
        <f>1-term_SGA-preterm_AGA-preterm_SGA</f>
        <v>0.68110000000000004</v>
      </c>
    </row>
    <row r="50" spans="1:4" ht="15.75" customHeight="1" x14ac:dyDescent="0.25">
      <c r="A50" s="15" t="s">
        <v>72</v>
      </c>
    </row>
    <row r="51" spans="1:4" ht="15.75" customHeight="1" x14ac:dyDescent="0.25">
      <c r="B51" s="18" t="s">
        <v>124</v>
      </c>
      <c r="C51" s="7">
        <v>3.3</v>
      </c>
    </row>
    <row r="52" spans="1:4" ht="15" customHeight="1" x14ac:dyDescent="0.25">
      <c r="B52" s="18" t="s">
        <v>125</v>
      </c>
      <c r="C52" s="7">
        <v>3.3</v>
      </c>
    </row>
    <row r="53" spans="1:4" ht="15.75" customHeight="1" x14ac:dyDescent="0.25">
      <c r="B53" s="18" t="s">
        <v>126</v>
      </c>
      <c r="C53" s="7">
        <v>3.3</v>
      </c>
    </row>
    <row r="54" spans="1:4" ht="15.75" customHeight="1" x14ac:dyDescent="0.25">
      <c r="B54" s="18" t="s">
        <v>127</v>
      </c>
      <c r="C54" s="7">
        <v>3.3</v>
      </c>
    </row>
    <row r="55" spans="1:4" ht="15.75" customHeight="1" x14ac:dyDescent="0.25">
      <c r="B55" s="18" t="s">
        <v>128</v>
      </c>
      <c r="C55" s="7">
        <v>3.3</v>
      </c>
    </row>
    <row r="57" spans="1:4" ht="15.75" customHeight="1" x14ac:dyDescent="0.25">
      <c r="A57" s="15" t="s">
        <v>134</v>
      </c>
    </row>
    <row r="58" spans="1:4" ht="15.75" customHeight="1" x14ac:dyDescent="0.3">
      <c r="B58" s="9" t="s">
        <v>111</v>
      </c>
      <c r="C58" s="99">
        <v>0.218</v>
      </c>
      <c r="D58" s="86"/>
    </row>
    <row r="59" spans="1:4" ht="65.7" customHeight="1" x14ac:dyDescent="0.25">
      <c r="B59" s="18" t="s">
        <v>132</v>
      </c>
      <c r="C59" s="105">
        <v>0.43519999999999998</v>
      </c>
    </row>
    <row r="60" spans="1:4" ht="15.75" customHeight="1" x14ac:dyDescent="0.25">
      <c r="C60" s="89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290297.67271105823</v>
      </c>
      <c r="C2" s="78">
        <v>382947.73132497934</v>
      </c>
      <c r="D2" s="78">
        <v>606823.81282813707</v>
      </c>
      <c r="E2" s="78">
        <v>374183.40397712728</v>
      </c>
      <c r="F2" s="78">
        <v>241415.25517397723</v>
      </c>
      <c r="G2" s="23">
        <f t="shared" ref="G2:G15" si="0">C2+D2+E2+F2</f>
        <v>1605370.2033042209</v>
      </c>
      <c r="H2" s="23">
        <f>(B2 + stillbirth*B2/(1000-stillbirth))/(1-abortion)</f>
        <v>343029.91156310542</v>
      </c>
      <c r="I2" s="23">
        <f t="shared" ref="I2:I13" si="1">G2-H2</f>
        <v>1262340.2917411155</v>
      </c>
    </row>
    <row r="3" spans="1:9" ht="15.75" customHeight="1" x14ac:dyDescent="0.25">
      <c r="A3" s="9">
        <v>2018</v>
      </c>
      <c r="B3" s="77">
        <v>297982.75475970656</v>
      </c>
      <c r="C3" s="78">
        <v>397736.15863676608</v>
      </c>
      <c r="D3" s="78">
        <v>626668.39048611862</v>
      </c>
      <c r="E3" s="78">
        <v>386894.68183406285</v>
      </c>
      <c r="F3" s="78">
        <v>248962.61463000803</v>
      </c>
      <c r="G3" s="23">
        <f t="shared" si="0"/>
        <v>1660261.8455869555</v>
      </c>
      <c r="H3" s="23">
        <f>(B3 + stillbirth*B3/(1000-stillbirth))/(1-abortion)</f>
        <v>352110.97993986419</v>
      </c>
      <c r="I3" s="23">
        <f t="shared" si="1"/>
        <v>1308150.8656470913</v>
      </c>
    </row>
    <row r="4" spans="1:9" ht="15.75" customHeight="1" x14ac:dyDescent="0.25">
      <c r="A4" s="9">
        <v>2019</v>
      </c>
      <c r="B4" s="77">
        <v>305449.06490863493</v>
      </c>
      <c r="C4" s="78">
        <v>413193.55605536461</v>
      </c>
      <c r="D4" s="78">
        <v>647504.70521708811</v>
      </c>
      <c r="E4" s="78">
        <v>400128.73236880742</v>
      </c>
      <c r="F4" s="78">
        <v>257149.35308993055</v>
      </c>
      <c r="G4" s="23">
        <f t="shared" si="0"/>
        <v>1717976.3467311906</v>
      </c>
      <c r="H4" s="23">
        <f>(B4 + stillbirth*B4/(1000-stillbirth))/(1-abortion)</f>
        <v>360933.53675257007</v>
      </c>
      <c r="I4" s="23">
        <f t="shared" si="1"/>
        <v>1357042.8099786206</v>
      </c>
    </row>
    <row r="5" spans="1:9" ht="15.75" customHeight="1" x14ac:dyDescent="0.25">
      <c r="A5" s="9">
        <v>2020</v>
      </c>
      <c r="B5" s="77">
        <v>312781.84575462667</v>
      </c>
      <c r="C5" s="78">
        <v>429273.17649340985</v>
      </c>
      <c r="D5" s="78">
        <v>669526.80706748879</v>
      </c>
      <c r="E5" s="78">
        <v>413806.87685203773</v>
      </c>
      <c r="F5" s="78">
        <v>266636.0093258539</v>
      </c>
      <c r="G5" s="23">
        <f t="shared" si="0"/>
        <v>1779242.8697387902</v>
      </c>
      <c r="H5" s="23">
        <f>(B5 + stillbirth*B5/(1000-stillbirth))/(1-abortion)</f>
        <v>369598.30881781428</v>
      </c>
      <c r="I5" s="23">
        <f t="shared" si="1"/>
        <v>1409644.5609209759</v>
      </c>
    </row>
    <row r="6" spans="1:9" ht="15.75" customHeight="1" x14ac:dyDescent="0.25">
      <c r="A6" s="9">
        <v>2021</v>
      </c>
      <c r="B6" s="77">
        <v>320695.02583577187</v>
      </c>
      <c r="C6" s="78">
        <v>445884.00548414589</v>
      </c>
      <c r="D6" s="78">
        <v>692861.5161464134</v>
      </c>
      <c r="E6" s="78">
        <v>427896.81291751232</v>
      </c>
      <c r="F6" s="78">
        <v>275714.59581121238</v>
      </c>
      <c r="G6" s="23">
        <f t="shared" si="0"/>
        <v>1842356.9303592842</v>
      </c>
      <c r="H6" s="23">
        <f>(B6 + stillbirth*B6/(1000-stillbirth))/(1-abortion)</f>
        <v>378948.90897271095</v>
      </c>
      <c r="I6" s="23">
        <f t="shared" si="1"/>
        <v>1463408.0213865731</v>
      </c>
    </row>
    <row r="7" spans="1:9" ht="15.75" customHeight="1" x14ac:dyDescent="0.25">
      <c r="A7" s="9">
        <v>2022</v>
      </c>
      <c r="B7" s="77">
        <v>328511.54534449097</v>
      </c>
      <c r="C7" s="78">
        <v>462978.74489399116</v>
      </c>
      <c r="D7" s="78">
        <v>717510.55140112364</v>
      </c>
      <c r="E7" s="78">
        <v>442388.19702538475</v>
      </c>
      <c r="F7" s="78">
        <v>285200.68885938852</v>
      </c>
      <c r="G7" s="23">
        <f t="shared" si="0"/>
        <v>1908078.182179888</v>
      </c>
      <c r="H7" s="23">
        <f>(B7 + stillbirth*B7/(1000-stillbirth))/(1-abortion)</f>
        <v>388185.29027321137</v>
      </c>
      <c r="I7" s="23">
        <f t="shared" si="1"/>
        <v>1519892.8919066766</v>
      </c>
    </row>
    <row r="8" spans="1:9" ht="15.75" customHeight="1" x14ac:dyDescent="0.25">
      <c r="A8" s="9">
        <v>2023</v>
      </c>
      <c r="B8" s="77">
        <v>336487.65503185045</v>
      </c>
      <c r="C8" s="78">
        <v>480429.36831864913</v>
      </c>
      <c r="D8" s="78">
        <v>743595.48060185683</v>
      </c>
      <c r="E8" s="78">
        <v>457231.85496982821</v>
      </c>
      <c r="F8" s="78">
        <v>295110.46000426705</v>
      </c>
      <c r="G8" s="23">
        <f t="shared" si="0"/>
        <v>1976367.1638946012</v>
      </c>
      <c r="H8" s="23">
        <f>(B8 + stillbirth*B8/(1000-stillbirth))/(1-abortion)</f>
        <v>397610.25112501887</v>
      </c>
      <c r="I8" s="23">
        <f t="shared" si="1"/>
        <v>1578756.9127695824</v>
      </c>
    </row>
    <row r="9" spans="1:9" ht="15.75" customHeight="1" x14ac:dyDescent="0.25">
      <c r="A9" s="9">
        <v>2024</v>
      </c>
      <c r="B9" s="77">
        <v>345125.04854517616</v>
      </c>
      <c r="C9" s="78">
        <v>498103.80834823579</v>
      </c>
      <c r="D9" s="78">
        <v>771247.89871121093</v>
      </c>
      <c r="E9" s="78">
        <v>472427.44761838851</v>
      </c>
      <c r="F9" s="78">
        <v>305443.74833506305</v>
      </c>
      <c r="G9" s="23">
        <f t="shared" si="0"/>
        <v>2047222.9030128983</v>
      </c>
      <c r="H9" s="23">
        <f>(B9 + stillbirth*B9/(1000-stillbirth))/(1-abortion)</f>
        <v>407816.61725031986</v>
      </c>
      <c r="I9" s="23">
        <f t="shared" si="1"/>
        <v>1639406.2857625785</v>
      </c>
    </row>
    <row r="10" spans="1:9" ht="15.75" customHeight="1" x14ac:dyDescent="0.25">
      <c r="A10" s="9">
        <v>2025</v>
      </c>
      <c r="B10" s="77">
        <v>354089.90262712649</v>
      </c>
      <c r="C10" s="78">
        <v>515921.79591721657</v>
      </c>
      <c r="D10" s="78">
        <v>800540.76549074205</v>
      </c>
      <c r="E10" s="78">
        <v>488068.49074525054</v>
      </c>
      <c r="F10" s="78">
        <v>316156.46429670759</v>
      </c>
      <c r="G10" s="23">
        <f t="shared" si="0"/>
        <v>2120687.5164499166</v>
      </c>
      <c r="H10" s="23">
        <f>(B10 + stillbirth*B10/(1000-stillbirth))/(1-abortion)</f>
        <v>418409.92678046005</v>
      </c>
      <c r="I10" s="23">
        <f t="shared" si="1"/>
        <v>1702277.5896694567</v>
      </c>
    </row>
    <row r="11" spans="1:9" ht="15.75" customHeight="1" x14ac:dyDescent="0.25">
      <c r="A11" s="9">
        <v>2026</v>
      </c>
      <c r="B11" s="77">
        <v>362815.50218129542</v>
      </c>
      <c r="C11" s="78">
        <v>533736.75273200672</v>
      </c>
      <c r="D11" s="78">
        <v>831307.53405019594</v>
      </c>
      <c r="E11" s="78">
        <v>504179.31710398727</v>
      </c>
      <c r="F11" s="78">
        <v>327214.41434740456</v>
      </c>
      <c r="G11" s="23">
        <f t="shared" si="0"/>
        <v>2196438.0182335945</v>
      </c>
      <c r="H11" s="23">
        <f>(B11 + stillbirth*B11/(1000-stillbirth))/(1-abortion)</f>
        <v>428720.52147262206</v>
      </c>
      <c r="I11" s="23">
        <f t="shared" si="1"/>
        <v>1767717.4967609723</v>
      </c>
    </row>
    <row r="12" spans="1:9" ht="15.75" customHeight="1" x14ac:dyDescent="0.25">
      <c r="A12" s="9">
        <v>2027</v>
      </c>
      <c r="B12" s="77">
        <v>372610.90504110686</v>
      </c>
      <c r="C12" s="78">
        <v>551493.11496577738</v>
      </c>
      <c r="D12" s="78">
        <v>863402.66685474012</v>
      </c>
      <c r="E12" s="78">
        <v>520877.35130678903</v>
      </c>
      <c r="F12" s="78">
        <v>338672.95179716742</v>
      </c>
      <c r="G12" s="23">
        <f t="shared" si="0"/>
        <v>2274446.0849244739</v>
      </c>
      <c r="H12" s="23">
        <f>(B12 + stillbirth*B12/(1000-stillbirth))/(1-abortion)</f>
        <v>440295.24801226793</v>
      </c>
      <c r="I12" s="23">
        <f t="shared" si="1"/>
        <v>1834150.8369122059</v>
      </c>
    </row>
    <row r="13" spans="1:9" ht="15.75" customHeight="1" x14ac:dyDescent="0.25">
      <c r="A13" s="9">
        <v>2028</v>
      </c>
      <c r="B13" s="77">
        <v>381723.75700581592</v>
      </c>
      <c r="C13" s="78">
        <v>569143.58448494691</v>
      </c>
      <c r="D13" s="78">
        <v>896602.60526327079</v>
      </c>
      <c r="E13" s="78">
        <v>538295.2789262752</v>
      </c>
      <c r="F13" s="78">
        <v>350563.45424905617</v>
      </c>
      <c r="G13" s="23">
        <f t="shared" si="0"/>
        <v>2354604.9229235491</v>
      </c>
      <c r="H13" s="23">
        <f>(B13 + stillbirth*B13/(1000-stillbirth))/(1-abortion)</f>
        <v>451063.43907059997</v>
      </c>
      <c r="I13" s="23">
        <f t="shared" si="1"/>
        <v>1903541.483852949</v>
      </c>
    </row>
    <row r="14" spans="1:9" ht="15.75" customHeight="1" x14ac:dyDescent="0.25">
      <c r="A14" s="9">
        <v>2029</v>
      </c>
      <c r="B14" s="8">
        <v>391308.66817725135</v>
      </c>
      <c r="C14" s="22">
        <v>586631.77089336189</v>
      </c>
      <c r="D14" s="22">
        <v>930724.18589533609</v>
      </c>
      <c r="E14" s="22">
        <v>556576.12907491147</v>
      </c>
      <c r="F14" s="22">
        <v>362906.19646197127</v>
      </c>
      <c r="G14" s="23">
        <f t="shared" si="0"/>
        <v>2436838.2823255807</v>
      </c>
      <c r="H14" s="23">
        <f>(B14 + stillbirth*B14/(1000-stillbirth))/(1-abortion)</f>
        <v>462389.4383484181</v>
      </c>
      <c r="I14" s="23">
        <f t="shared" ref="I14:I15" si="2">G14-H14</f>
        <v>1974448.8439771626</v>
      </c>
    </row>
    <row r="15" spans="1:9" ht="15.75" customHeight="1" x14ac:dyDescent="0.25">
      <c r="A15" s="9">
        <v>2030</v>
      </c>
      <c r="B15" s="8">
        <v>404896.66931296483</v>
      </c>
      <c r="C15" s="22">
        <v>603721.09168207843</v>
      </c>
      <c r="D15" s="22">
        <v>965645.17250120814</v>
      </c>
      <c r="E15" s="22">
        <v>575895.74193008617</v>
      </c>
      <c r="F15" s="22">
        <v>375666.8239833315</v>
      </c>
      <c r="G15" s="23">
        <f t="shared" si="0"/>
        <v>2520928.8300967044</v>
      </c>
      <c r="H15" s="23">
        <f>(B15 + stillbirth*B15/(1000-stillbirth))/(1-abortion)</f>
        <v>478445.68428512767</v>
      </c>
      <c r="I15" s="23">
        <f t="shared" si="2"/>
        <v>2042483.1458115769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zoomScale="90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99">
        <v>0.59801320000000002</v>
      </c>
      <c r="D2" s="99">
        <v>0.59801320000000002</v>
      </c>
      <c r="E2" s="99">
        <v>0.37005759999999999</v>
      </c>
      <c r="F2" s="99">
        <v>0.19068940000000001</v>
      </c>
      <c r="G2" s="99">
        <v>0.18622759999999999</v>
      </c>
    </row>
    <row r="3" spans="1:15" ht="15.75" customHeight="1" x14ac:dyDescent="0.25">
      <c r="A3" s="5"/>
      <c r="B3" s="14" t="s">
        <v>118</v>
      </c>
      <c r="C3" s="99">
        <v>0.23314599999999999</v>
      </c>
      <c r="D3" s="99">
        <v>0.23314599999999999</v>
      </c>
      <c r="E3" s="99">
        <v>0.32718000000000003</v>
      </c>
      <c r="F3" s="99">
        <v>0.29234139999999997</v>
      </c>
      <c r="G3" s="99">
        <v>0.19193440000000001</v>
      </c>
    </row>
    <row r="4" spans="1:15" ht="15.75" customHeight="1" x14ac:dyDescent="0.25">
      <c r="A4" s="5"/>
      <c r="B4" s="14" t="s">
        <v>116</v>
      </c>
      <c r="C4" s="99">
        <v>0.13706969999999999</v>
      </c>
      <c r="D4" s="99">
        <v>0.13706969999999999</v>
      </c>
      <c r="E4" s="99">
        <v>0.12669050000000001</v>
      </c>
      <c r="F4" s="99">
        <v>0.2769354</v>
      </c>
      <c r="G4" s="99">
        <v>0.2485395</v>
      </c>
    </row>
    <row r="5" spans="1:15" ht="15.75" customHeight="1" x14ac:dyDescent="0.25">
      <c r="A5" s="5"/>
      <c r="B5" s="14" t="s">
        <v>119</v>
      </c>
      <c r="C5" s="99">
        <v>3.1771099999999997E-2</v>
      </c>
      <c r="D5" s="99">
        <v>3.1771099999999997E-2</v>
      </c>
      <c r="E5" s="99">
        <v>0.1760719</v>
      </c>
      <c r="F5" s="99">
        <v>0.24003379999999999</v>
      </c>
      <c r="G5" s="99">
        <v>0.37329849999999998</v>
      </c>
      <c r="H5" s="88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99">
        <v>0.78263519999999998</v>
      </c>
      <c r="D8" s="99">
        <v>0.78263519999999998</v>
      </c>
      <c r="E8" s="99">
        <v>0.82185209999999997</v>
      </c>
      <c r="F8" s="99">
        <v>0.83883890000000005</v>
      </c>
      <c r="G8" s="99">
        <v>0.87240390000000001</v>
      </c>
    </row>
    <row r="9" spans="1:15" ht="15.75" customHeight="1" x14ac:dyDescent="0.25">
      <c r="B9" s="9" t="s">
        <v>121</v>
      </c>
      <c r="C9" s="99">
        <v>0.1057768</v>
      </c>
      <c r="D9" s="99">
        <v>0.1057768</v>
      </c>
      <c r="E9" s="99">
        <v>0.1781479</v>
      </c>
      <c r="F9" s="99">
        <v>0.1021714</v>
      </c>
      <c r="G9" s="99">
        <v>9.3313599999999997E-2</v>
      </c>
    </row>
    <row r="10" spans="1:15" ht="15.75" customHeight="1" x14ac:dyDescent="0.25">
      <c r="B10" s="9" t="s">
        <v>122</v>
      </c>
      <c r="C10" s="99">
        <v>7.1894600000000003E-2</v>
      </c>
      <c r="D10" s="99">
        <v>7.1894600000000003E-2</v>
      </c>
      <c r="E10" s="99">
        <v>0</v>
      </c>
      <c r="F10" s="99">
        <v>4.2770200000000001E-2</v>
      </c>
      <c r="G10" s="99">
        <v>1.97313E-2</v>
      </c>
    </row>
    <row r="11" spans="1:15" ht="15.75" customHeight="1" x14ac:dyDescent="0.25">
      <c r="B11" s="9" t="s">
        <v>123</v>
      </c>
      <c r="C11" s="99">
        <v>3.9693399999999997E-2</v>
      </c>
      <c r="D11" s="99">
        <v>3.9693399999999997E-2</v>
      </c>
      <c r="E11" s="99">
        <v>0</v>
      </c>
      <c r="F11" s="99">
        <v>1.6219600000000001E-2</v>
      </c>
      <c r="G11" s="99">
        <v>1.45512E-2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99">
        <v>0.75329999999999997</v>
      </c>
      <c r="D14" s="99">
        <v>0.75329999999999997</v>
      </c>
      <c r="E14" s="99">
        <v>0.75329999999999997</v>
      </c>
      <c r="F14" s="99">
        <v>0.45119999999999999</v>
      </c>
      <c r="G14" s="99">
        <v>0.251</v>
      </c>
      <c r="H14" s="106">
        <v>0.36320000000000002</v>
      </c>
      <c r="I14" s="106">
        <v>0.1104</v>
      </c>
      <c r="J14" s="106">
        <v>0.16170000000000001</v>
      </c>
      <c r="K14" s="106">
        <v>0</v>
      </c>
      <c r="L14" s="106">
        <v>0.23980000000000001</v>
      </c>
      <c r="M14" s="106">
        <v>0.1951</v>
      </c>
      <c r="N14" s="106">
        <v>0.18820000000000001</v>
      </c>
      <c r="O14" s="106">
        <v>0.20669999999999999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0.32783615999999999</v>
      </c>
      <c r="D15" s="35">
        <f t="shared" si="0"/>
        <v>0.32783615999999999</v>
      </c>
      <c r="E15" s="35">
        <f t="shared" si="0"/>
        <v>0.32783615999999999</v>
      </c>
      <c r="F15" s="35">
        <f t="shared" si="0"/>
        <v>0.19636223999999999</v>
      </c>
      <c r="G15" s="35">
        <f t="shared" si="0"/>
        <v>0.10923519999999999</v>
      </c>
      <c r="H15" s="35">
        <f t="shared" si="0"/>
        <v>0.15806464000000001</v>
      </c>
      <c r="I15" s="35">
        <f t="shared" si="0"/>
        <v>4.8046079999999998E-2</v>
      </c>
      <c r="J15" s="35">
        <f t="shared" si="0"/>
        <v>7.0371840000000005E-2</v>
      </c>
      <c r="K15" s="35">
        <f t="shared" si="0"/>
        <v>0</v>
      </c>
      <c r="L15" s="35">
        <f t="shared" si="0"/>
        <v>0.10436096</v>
      </c>
      <c r="M15" s="35">
        <f t="shared" si="0"/>
        <v>8.490752E-2</v>
      </c>
      <c r="N15" s="35">
        <f t="shared" si="0"/>
        <v>8.1904640000000001E-2</v>
      </c>
      <c r="O15" s="35">
        <f t="shared" si="0"/>
        <v>8.9955839999999995E-2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="83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99">
        <v>1</v>
      </c>
      <c r="D2" s="99">
        <v>0.64908949999999999</v>
      </c>
      <c r="E2" s="99">
        <v>0</v>
      </c>
      <c r="F2" s="99">
        <v>0</v>
      </c>
      <c r="G2" s="99">
        <v>0</v>
      </c>
    </row>
    <row r="3" spans="1:7" x14ac:dyDescent="0.25">
      <c r="B3" s="48" t="s">
        <v>166</v>
      </c>
      <c r="C3" s="107">
        <v>0</v>
      </c>
      <c r="D3" s="107">
        <v>0.1845415</v>
      </c>
      <c r="E3" s="107">
        <v>0</v>
      </c>
      <c r="F3" s="107">
        <v>0</v>
      </c>
      <c r="G3" s="107">
        <v>0</v>
      </c>
    </row>
    <row r="4" spans="1:7" x14ac:dyDescent="0.25">
      <c r="B4" s="48" t="s">
        <v>167</v>
      </c>
      <c r="C4" s="107">
        <v>0</v>
      </c>
      <c r="D4" s="107">
        <v>0.13892489999999999</v>
      </c>
      <c r="E4" s="101">
        <v>0.99142129999999995</v>
      </c>
      <c r="F4" s="101">
        <v>0.8886925</v>
      </c>
      <c r="G4" s="101">
        <v>0.26493509999999998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2.7444099999999971E-2</v>
      </c>
      <c r="E5" s="35">
        <f t="shared" si="0"/>
        <v>8.5787000000000502E-3</v>
      </c>
      <c r="F5" s="35">
        <f t="shared" si="0"/>
        <v>0.1113075</v>
      </c>
      <c r="G5" s="35">
        <f t="shared" si="0"/>
        <v>0.73506490000000002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2018-11-14T07:02:34Z</dcterms:modified>
</cp:coreProperties>
</file>