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2" i="2"/>
  <c r="H3" i="2"/>
  <c r="H4" i="2"/>
  <c r="H5" i="2"/>
  <c r="H6" i="2"/>
  <c r="H7" i="2"/>
  <c r="H8" i="2"/>
  <c r="H9" i="2"/>
  <c r="H10" i="2"/>
  <c r="H11" i="2"/>
  <c r="H12" i="2"/>
  <c r="H13" i="2"/>
  <c r="G2" i="2" l="1"/>
  <c r="I2" i="2" s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<sst xmlns="http://schemas.openxmlformats.org/spreadsheetml/2006/main" count="378" uniqueCount="210">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</sst>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0" fillId="0" borderId="0" xfId="0"/>
    <xf numFmtId="0" fontId="26" fillId="0" borderId="0" xfId="0" applyFont="1"/>
    <xf numFmtId="168" fontId="5" fillId="0" borderId="0" xfId="0" applyNumberFormat="1" applyFont="1" applyAlignmen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7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6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/>
    <xf numFmtId="10" fontId="0" fillId="2" borderId="1" xfId="10" applyNumberFormat="1" applyFont="1" applyFill="1" applyBorder="1"/>
    <xf numFmtId="167" fontId="0" fillId="2" borderId="1" xfId="0" applyNumberFormat="1" applyFill="1" applyBorder="1"/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40"/>
  </cols>
  <sheetData>
    <row r="1" spans="1:1" x14ac:dyDescent="0.25">
      <c r="A1" s="40" t="s">
        <v>202</v>
      </c>
    </row>
    <row r="2" spans="1:1" x14ac:dyDescent="0.25">
      <c r="A2" s="40" t="s">
        <v>207</v>
      </c>
    </row>
    <row r="3" spans="1:1" x14ac:dyDescent="0.25">
      <c r="A3" s="40" t="s">
        <v>208</v>
      </c>
    </row>
    <row r="4" spans="1:1" x14ac:dyDescent="0.25">
      <c r="A4" s="40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E38"/>
  <sheetViews>
    <sheetView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5" customWidth="1"/>
    <col min="2" max="2" width="14.33203125" style="40"/>
    <col min="3" max="3" width="20.33203125" style="40" customWidth="1"/>
    <col min="4" max="4" width="20.109375" style="40" customWidth="1"/>
    <col min="5" max="5" width="12.109375" style="40" customWidth="1"/>
    <col min="6" max="16384" width="14.33203125" style="40"/>
  </cols>
  <sheetData>
    <row r="1" spans="1:5" ht="56.7" customHeight="1" x14ac:dyDescent="0.25">
      <c r="A1" s="59" t="s">
        <v>69</v>
      </c>
      <c r="B1" s="113" t="str">
        <f>"Baseline ("&amp;start_year&amp;") coverage"</f>
        <v>Baseline (2017) coverage</v>
      </c>
      <c r="C1" s="58" t="s">
        <v>198</v>
      </c>
      <c r="D1" s="58" t="s">
        <v>203</v>
      </c>
      <c r="E1" s="58" t="s">
        <v>204</v>
      </c>
    </row>
    <row r="2" spans="1:5" ht="15.75" customHeight="1" x14ac:dyDescent="0.25">
      <c r="A2" s="55" t="s">
        <v>29</v>
      </c>
      <c r="B2" s="112">
        <v>0</v>
      </c>
      <c r="C2" s="56">
        <v>0.95</v>
      </c>
      <c r="D2" s="57">
        <v>25</v>
      </c>
      <c r="E2" s="57" t="s">
        <v>202</v>
      </c>
    </row>
    <row r="3" spans="1:5" ht="15.75" customHeight="1" x14ac:dyDescent="0.25">
      <c r="A3" s="55" t="s">
        <v>86</v>
      </c>
      <c r="B3" s="112">
        <v>0</v>
      </c>
      <c r="C3" s="56">
        <v>0.95</v>
      </c>
      <c r="D3" s="57">
        <v>1</v>
      </c>
      <c r="E3" s="57" t="s">
        <v>202</v>
      </c>
    </row>
    <row r="4" spans="1:5" ht="15.75" customHeight="1" x14ac:dyDescent="0.25">
      <c r="A4" s="55" t="s">
        <v>61</v>
      </c>
      <c r="B4" s="112">
        <v>0</v>
      </c>
      <c r="C4" s="56">
        <v>0.95</v>
      </c>
      <c r="D4" s="57">
        <f>180</f>
        <v>180</v>
      </c>
      <c r="E4" s="57" t="s">
        <v>202</v>
      </c>
    </row>
    <row r="5" spans="1:5" ht="15.75" customHeight="1" x14ac:dyDescent="0.25">
      <c r="A5" s="55" t="s">
        <v>149</v>
      </c>
      <c r="B5" s="56">
        <v>0</v>
      </c>
      <c r="C5" s="56">
        <v>0.95</v>
      </c>
      <c r="D5" s="57">
        <v>1</v>
      </c>
      <c r="E5" s="57" t="s">
        <v>202</v>
      </c>
    </row>
    <row r="6" spans="1:5" ht="15.75" customHeight="1" x14ac:dyDescent="0.25">
      <c r="A6" s="82" t="s">
        <v>195</v>
      </c>
      <c r="B6" s="99">
        <v>0.13200000000000001</v>
      </c>
      <c r="C6" s="56">
        <v>0.95</v>
      </c>
      <c r="D6" s="91">
        <f>SUM('Programs family planning'!E2:E10)</f>
        <v>0.82100000000000006</v>
      </c>
      <c r="E6" s="57" t="s">
        <v>202</v>
      </c>
    </row>
    <row r="7" spans="1:5" ht="15.75" customHeight="1" x14ac:dyDescent="0.25">
      <c r="A7" s="55" t="s">
        <v>63</v>
      </c>
      <c r="B7" s="112">
        <v>0</v>
      </c>
      <c r="C7" s="56">
        <v>0.95</v>
      </c>
      <c r="D7" s="57">
        <v>0.82</v>
      </c>
      <c r="E7" s="57" t="s">
        <v>202</v>
      </c>
    </row>
    <row r="8" spans="1:5" ht="15.75" customHeight="1" x14ac:dyDescent="0.25">
      <c r="A8" s="55" t="s">
        <v>64</v>
      </c>
      <c r="B8" s="56">
        <v>0</v>
      </c>
      <c r="C8" s="56">
        <v>0.95</v>
      </c>
      <c r="D8" s="57">
        <v>0.75</v>
      </c>
      <c r="E8" s="57" t="s">
        <v>202</v>
      </c>
    </row>
    <row r="9" spans="1:5" ht="15.75" customHeight="1" x14ac:dyDescent="0.25">
      <c r="A9" s="55" t="s">
        <v>62</v>
      </c>
      <c r="B9" s="56">
        <v>0</v>
      </c>
      <c r="C9" s="56">
        <v>0.95</v>
      </c>
      <c r="D9" s="57">
        <v>0.19</v>
      </c>
      <c r="E9" s="57" t="s">
        <v>202</v>
      </c>
    </row>
    <row r="10" spans="1:5" ht="15.75" customHeight="1" x14ac:dyDescent="0.25">
      <c r="A10" s="67" t="s">
        <v>186</v>
      </c>
      <c r="B10" s="112">
        <v>0</v>
      </c>
      <c r="C10" s="56">
        <v>0.95</v>
      </c>
      <c r="D10" s="57">
        <v>0.73</v>
      </c>
      <c r="E10" s="57" t="s">
        <v>202</v>
      </c>
    </row>
    <row r="11" spans="1:5" ht="15.75" customHeight="1" x14ac:dyDescent="0.25">
      <c r="A11" s="67" t="s">
        <v>205</v>
      </c>
      <c r="B11" s="112">
        <v>0</v>
      </c>
      <c r="C11" s="56">
        <v>0.95</v>
      </c>
      <c r="D11" s="57">
        <v>1.78</v>
      </c>
      <c r="E11" s="57" t="s">
        <v>202</v>
      </c>
    </row>
    <row r="12" spans="1:5" ht="15.75" customHeight="1" x14ac:dyDescent="0.25">
      <c r="A12" s="67" t="s">
        <v>187</v>
      </c>
      <c r="B12" s="112">
        <v>0</v>
      </c>
      <c r="C12" s="56">
        <v>0.95</v>
      </c>
      <c r="D12" s="57">
        <v>0.24</v>
      </c>
      <c r="E12" s="57" t="s">
        <v>202</v>
      </c>
    </row>
    <row r="13" spans="1:5" ht="15.75" customHeight="1" x14ac:dyDescent="0.25">
      <c r="A13" s="67" t="s">
        <v>188</v>
      </c>
      <c r="B13" s="112">
        <v>0</v>
      </c>
      <c r="C13" s="56">
        <v>0.95</v>
      </c>
      <c r="D13" s="57">
        <v>0.55000000000000004</v>
      </c>
      <c r="E13" s="57" t="s">
        <v>202</v>
      </c>
    </row>
    <row r="14" spans="1:5" ht="15.75" customHeight="1" x14ac:dyDescent="0.25">
      <c r="A14" s="14" t="s">
        <v>185</v>
      </c>
      <c r="B14" s="112">
        <v>0</v>
      </c>
      <c r="C14" s="56">
        <v>0.95</v>
      </c>
      <c r="D14" s="57">
        <v>0.73</v>
      </c>
      <c r="E14" s="57" t="s">
        <v>202</v>
      </c>
    </row>
    <row r="15" spans="1:5" ht="15.75" customHeight="1" x14ac:dyDescent="0.25">
      <c r="A15" s="83" t="s">
        <v>206</v>
      </c>
      <c r="B15" s="99">
        <v>0.78700000000000003</v>
      </c>
      <c r="C15" s="56">
        <v>0.95</v>
      </c>
      <c r="D15" s="57">
        <v>2</v>
      </c>
      <c r="E15" s="57" t="s">
        <v>202</v>
      </c>
    </row>
    <row r="16" spans="1:5" ht="15.75" customHeight="1" x14ac:dyDescent="0.25">
      <c r="A16" s="82" t="s">
        <v>57</v>
      </c>
      <c r="B16" s="99">
        <v>0.42399999999999999</v>
      </c>
      <c r="C16" s="56">
        <v>0.95</v>
      </c>
      <c r="D16" s="57">
        <v>2.1800000000000002</v>
      </c>
      <c r="E16" s="57" t="s">
        <v>202</v>
      </c>
    </row>
    <row r="17" spans="1:5" ht="15.75" customHeight="1" x14ac:dyDescent="0.25">
      <c r="A17" s="55" t="s">
        <v>47</v>
      </c>
      <c r="B17" s="112">
        <v>0</v>
      </c>
      <c r="C17" s="56">
        <v>0.95</v>
      </c>
      <c r="D17" s="57">
        <v>0.05</v>
      </c>
      <c r="E17" s="57" t="s">
        <v>202</v>
      </c>
    </row>
    <row r="18" spans="1:5" ht="16.05" customHeight="1" x14ac:dyDescent="0.25">
      <c r="A18" s="55" t="s">
        <v>171</v>
      </c>
      <c r="B18" s="112">
        <v>0</v>
      </c>
      <c r="C18" s="56">
        <v>0.95</v>
      </c>
      <c r="D18" s="92">
        <v>5</v>
      </c>
      <c r="E18" s="57" t="s">
        <v>202</v>
      </c>
    </row>
    <row r="19" spans="1:5" ht="15.75" customHeight="1" x14ac:dyDescent="0.25">
      <c r="A19" s="55" t="s">
        <v>196</v>
      </c>
      <c r="B19" s="112">
        <v>0</v>
      </c>
      <c r="C19" s="56">
        <v>0.95</v>
      </c>
      <c r="D19" s="92">
        <f>SUMPRODUCT(('IYCF cost'!$C$2:$E$6)*('IYCF packages'!$C$9:$E$13&lt;&gt;""))</f>
        <v>4.8250000000000002</v>
      </c>
      <c r="E19" s="57" t="s">
        <v>202</v>
      </c>
    </row>
    <row r="20" spans="1:5" ht="15.75" customHeight="1" x14ac:dyDescent="0.25">
      <c r="A20" s="55" t="s">
        <v>197</v>
      </c>
      <c r="B20" s="112">
        <v>0</v>
      </c>
      <c r="C20" s="56">
        <v>0.95</v>
      </c>
      <c r="D20" s="92">
        <f>SUMPRODUCT(('IYCF cost'!$C$2:$E$6)*('IYCF packages'!$C$16:$E$20&lt;&gt;""))</f>
        <v>0.25</v>
      </c>
      <c r="E20" s="57" t="s">
        <v>202</v>
      </c>
    </row>
    <row r="21" spans="1:5" ht="15.75" customHeight="1" x14ac:dyDescent="0.25">
      <c r="A21" s="55" t="s">
        <v>193</v>
      </c>
      <c r="B21" s="112">
        <v>0</v>
      </c>
      <c r="C21" s="56">
        <v>0.95</v>
      </c>
      <c r="D21" s="57">
        <v>8.84</v>
      </c>
      <c r="E21" s="57" t="s">
        <v>202</v>
      </c>
    </row>
    <row r="22" spans="1:5" ht="15.75" customHeight="1" x14ac:dyDescent="0.25">
      <c r="A22" s="55" t="s">
        <v>136</v>
      </c>
      <c r="B22" s="112">
        <v>0</v>
      </c>
      <c r="C22" s="56">
        <v>0.95</v>
      </c>
      <c r="D22" s="57">
        <v>50</v>
      </c>
      <c r="E22" s="57" t="s">
        <v>202</v>
      </c>
    </row>
    <row r="23" spans="1:5" ht="15.75" customHeight="1" x14ac:dyDescent="0.25">
      <c r="A23" s="55" t="s">
        <v>34</v>
      </c>
      <c r="B23" s="112">
        <v>0</v>
      </c>
      <c r="C23" s="56">
        <v>0.95</v>
      </c>
      <c r="D23" s="57">
        <v>2.61</v>
      </c>
      <c r="E23" s="57" t="s">
        <v>202</v>
      </c>
    </row>
    <row r="24" spans="1:5" ht="15.75" customHeight="1" x14ac:dyDescent="0.25">
      <c r="A24" s="55" t="s">
        <v>88</v>
      </c>
      <c r="B24" s="112">
        <v>0</v>
      </c>
      <c r="C24" s="56">
        <v>0.95</v>
      </c>
      <c r="D24" s="57">
        <v>1</v>
      </c>
      <c r="E24" s="57" t="s">
        <v>202</v>
      </c>
    </row>
    <row r="25" spans="1:5" ht="15.75" customHeight="1" x14ac:dyDescent="0.25">
      <c r="A25" s="55" t="s">
        <v>87</v>
      </c>
      <c r="B25" s="112">
        <v>0</v>
      </c>
      <c r="C25" s="56">
        <v>0.95</v>
      </c>
      <c r="D25" s="57">
        <v>1</v>
      </c>
      <c r="E25" s="57" t="s">
        <v>202</v>
      </c>
    </row>
    <row r="26" spans="1:5" ht="15.75" customHeight="1" x14ac:dyDescent="0.25">
      <c r="A26" s="55" t="s">
        <v>137</v>
      </c>
      <c r="B26" s="112">
        <v>0</v>
      </c>
      <c r="C26" s="56">
        <v>0.95</v>
      </c>
      <c r="D26" s="57">
        <v>1</v>
      </c>
      <c r="E26" s="57" t="s">
        <v>202</v>
      </c>
    </row>
    <row r="27" spans="1:5" ht="15.75" customHeight="1" x14ac:dyDescent="0.25">
      <c r="A27" s="82" t="s">
        <v>59</v>
      </c>
      <c r="B27" s="112">
        <v>0</v>
      </c>
      <c r="C27" s="56">
        <v>0.95</v>
      </c>
      <c r="D27" s="57">
        <v>3.54</v>
      </c>
      <c r="E27" s="57" t="s">
        <v>202</v>
      </c>
    </row>
    <row r="28" spans="1:5" ht="15.75" customHeight="1" x14ac:dyDescent="0.25">
      <c r="A28" s="82" t="s">
        <v>84</v>
      </c>
      <c r="B28" s="99">
        <v>0.38500000000000001</v>
      </c>
      <c r="C28" s="56">
        <v>0.95</v>
      </c>
      <c r="D28" s="57">
        <v>1</v>
      </c>
      <c r="E28" s="57" t="s">
        <v>202</v>
      </c>
    </row>
    <row r="29" spans="1:5" ht="15.75" customHeight="1" x14ac:dyDescent="0.25">
      <c r="A29" s="55" t="s">
        <v>58</v>
      </c>
      <c r="B29" s="112">
        <v>0</v>
      </c>
      <c r="C29" s="56">
        <v>0.95</v>
      </c>
      <c r="D29" s="57">
        <v>40.25</v>
      </c>
      <c r="E29" s="57" t="s">
        <v>202</v>
      </c>
    </row>
    <row r="30" spans="1:5" ht="15.75" customHeight="1" x14ac:dyDescent="0.25">
      <c r="A30" s="55" t="s">
        <v>67</v>
      </c>
      <c r="B30" s="112">
        <v>0</v>
      </c>
      <c r="C30" s="56">
        <v>0.95</v>
      </c>
      <c r="D30" s="93">
        <f>162*AVERAGE('Incidence of conditions'!B4:F4) + 0*AVERAGE('Incidence of conditions'!B3:F3)*IF(ISBLANK(manage_mam), 0, 1)</f>
        <v>12.324766896</v>
      </c>
      <c r="E30" s="57" t="s">
        <v>202</v>
      </c>
    </row>
    <row r="31" spans="1:5" ht="15.75" customHeight="1" x14ac:dyDescent="0.25">
      <c r="A31" s="82" t="s">
        <v>28</v>
      </c>
      <c r="B31" s="99">
        <v>0.83499999999999996</v>
      </c>
      <c r="C31" s="56">
        <v>0.95</v>
      </c>
      <c r="D31" s="57">
        <v>0.55000000000000004</v>
      </c>
      <c r="E31" s="57" t="s">
        <v>202</v>
      </c>
    </row>
    <row r="32" spans="1:5" ht="15.75" customHeight="1" x14ac:dyDescent="0.25">
      <c r="A32" s="55" t="s">
        <v>83</v>
      </c>
      <c r="B32" s="112">
        <v>0</v>
      </c>
      <c r="C32" s="56">
        <v>0.95</v>
      </c>
      <c r="D32" s="57">
        <v>1</v>
      </c>
      <c r="E32" s="57" t="s">
        <v>202</v>
      </c>
    </row>
    <row r="33" spans="1:5" ht="15.75" customHeight="1" x14ac:dyDescent="0.25">
      <c r="A33" s="55" t="s">
        <v>82</v>
      </c>
      <c r="B33" s="112">
        <v>0</v>
      </c>
      <c r="C33" s="56">
        <v>0.95</v>
      </c>
      <c r="D33" s="57">
        <v>2.8</v>
      </c>
      <c r="E33" s="57" t="s">
        <v>202</v>
      </c>
    </row>
    <row r="34" spans="1:5" ht="15.75" customHeight="1" x14ac:dyDescent="0.25">
      <c r="A34" s="55" t="s">
        <v>81</v>
      </c>
      <c r="B34" s="112">
        <v>0</v>
      </c>
      <c r="C34" s="56">
        <v>0.95</v>
      </c>
      <c r="D34" s="57">
        <v>50.26</v>
      </c>
      <c r="E34" s="57" t="s">
        <v>202</v>
      </c>
    </row>
    <row r="35" spans="1:5" ht="15.75" customHeight="1" x14ac:dyDescent="0.25">
      <c r="A35" s="55" t="s">
        <v>79</v>
      </c>
      <c r="B35" s="112">
        <v>0</v>
      </c>
      <c r="C35" s="56">
        <v>0.95</v>
      </c>
      <c r="D35" s="57">
        <v>36.1</v>
      </c>
      <c r="E35" s="57" t="s">
        <v>202</v>
      </c>
    </row>
    <row r="36" spans="1:5" s="41" customFormat="1" ht="15.75" customHeight="1" x14ac:dyDescent="0.25">
      <c r="A36" s="55" t="s">
        <v>80</v>
      </c>
      <c r="B36" s="112">
        <v>0</v>
      </c>
      <c r="C36" s="56">
        <v>0.95</v>
      </c>
      <c r="D36" s="57">
        <v>231.85</v>
      </c>
      <c r="E36" s="57" t="s">
        <v>202</v>
      </c>
    </row>
    <row r="37" spans="1:5" ht="15.75" customHeight="1" x14ac:dyDescent="0.25">
      <c r="A37" s="82" t="s">
        <v>85</v>
      </c>
      <c r="B37" s="100">
        <v>8.0999999999999996E-3</v>
      </c>
      <c r="C37" s="56">
        <v>0.95</v>
      </c>
      <c r="D37" s="57">
        <v>0.92</v>
      </c>
      <c r="E37" s="57" t="s">
        <v>202</v>
      </c>
    </row>
    <row r="38" spans="1:5" ht="15.75" customHeight="1" x14ac:dyDescent="0.25">
      <c r="A38" s="55" t="s">
        <v>60</v>
      </c>
      <c r="B38" s="112">
        <v>0</v>
      </c>
      <c r="C38" s="56">
        <v>0.95</v>
      </c>
      <c r="D38" s="57">
        <v>4.6100000000000003</v>
      </c>
      <c r="E38" s="57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60" customWidth="1"/>
    <col min="2" max="16384" width="10.77734375" style="60"/>
  </cols>
  <sheetData>
    <row r="1" spans="1:5" ht="53.4" x14ac:dyDescent="0.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 x14ac:dyDescent="0.3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 x14ac:dyDescent="0.3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 x14ac:dyDescent="0.3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 x14ac:dyDescent="0.3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 x14ac:dyDescent="0.3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 x14ac:dyDescent="0.3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5" bestFit="1" customWidth="1"/>
    <col min="2" max="2" width="47.77734375" style="40" customWidth="1"/>
    <col min="3" max="3" width="42.33203125" style="40" customWidth="1"/>
    <col min="4" max="16384" width="11.33203125" style="40"/>
  </cols>
  <sheetData>
    <row r="1" spans="1:3" x14ac:dyDescent="0.25">
      <c r="A1" s="45" t="s">
        <v>69</v>
      </c>
      <c r="B1" s="45" t="s">
        <v>178</v>
      </c>
      <c r="C1" s="45" t="s">
        <v>177</v>
      </c>
    </row>
    <row r="2" spans="1:3" x14ac:dyDescent="0.25">
      <c r="A2" s="14" t="s">
        <v>185</v>
      </c>
      <c r="B2" s="51" t="s">
        <v>59</v>
      </c>
      <c r="C2" s="51"/>
    </row>
    <row r="3" spans="1:3" x14ac:dyDescent="0.25">
      <c r="A3" s="14" t="s">
        <v>206</v>
      </c>
      <c r="B3" s="51" t="s">
        <v>59</v>
      </c>
      <c r="C3" s="51"/>
    </row>
    <row r="4" spans="1:3" x14ac:dyDescent="0.25">
      <c r="A4" s="55" t="s">
        <v>58</v>
      </c>
      <c r="B4" s="51" t="s">
        <v>136</v>
      </c>
      <c r="C4" s="51"/>
    </row>
    <row r="5" spans="1:3" x14ac:dyDescent="0.25">
      <c r="A5" s="55" t="s">
        <v>137</v>
      </c>
      <c r="B5" s="51" t="s">
        <v>136</v>
      </c>
      <c r="C5" s="51"/>
    </row>
    <row r="11" spans="1:3" x14ac:dyDescent="0.25">
      <c r="A11" s="36"/>
    </row>
    <row r="12" spans="1:3" x14ac:dyDescent="0.25">
      <c r="A12" s="36"/>
    </row>
    <row r="13" spans="1:3" x14ac:dyDescent="0.25">
      <c r="A13" s="36"/>
    </row>
    <row r="14" spans="1:3" x14ac:dyDescent="0.25">
      <c r="A14" s="36"/>
    </row>
    <row r="15" spans="1:3" x14ac:dyDescent="0.25">
      <c r="A15" s="36"/>
    </row>
    <row r="16" spans="1:3" x14ac:dyDescent="0.25">
      <c r="A16" s="36"/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40" customWidth="1"/>
    <col min="2" max="16384" width="11.33203125" style="40"/>
  </cols>
  <sheetData>
    <row r="1" spans="1:1" x14ac:dyDescent="0.25">
      <c r="A1" s="45" t="s">
        <v>69</v>
      </c>
    </row>
    <row r="2" spans="1:1" x14ac:dyDescent="0.25">
      <c r="A2" s="51" t="s">
        <v>195</v>
      </c>
    </row>
    <row r="3" spans="1:1" x14ac:dyDescent="0.25">
      <c r="A3" s="51" t="s">
        <v>57</v>
      </c>
    </row>
    <row r="4" spans="1:1" x14ac:dyDescent="0.25">
      <c r="A4" s="51" t="s">
        <v>34</v>
      </c>
    </row>
    <row r="5" spans="1:1" x14ac:dyDescent="0.25">
      <c r="A5" s="51" t="s">
        <v>83</v>
      </c>
    </row>
    <row r="6" spans="1:1" x14ac:dyDescent="0.25">
      <c r="A6" s="51" t="s">
        <v>82</v>
      </c>
    </row>
    <row r="7" spans="1:1" x14ac:dyDescent="0.25">
      <c r="A7" s="51" t="s">
        <v>81</v>
      </c>
    </row>
    <row r="8" spans="1:1" x14ac:dyDescent="0.25">
      <c r="A8" s="51" t="s">
        <v>79</v>
      </c>
    </row>
    <row r="9" spans="1:1" x14ac:dyDescent="0.25">
      <c r="A9" s="51" t="s">
        <v>80</v>
      </c>
    </row>
    <row r="10" spans="1:1" x14ac:dyDescent="0.25">
      <c r="A10" s="51"/>
    </row>
    <row r="11" spans="1:1" x14ac:dyDescent="0.25">
      <c r="A11" s="51"/>
    </row>
    <row r="12" spans="1:1" x14ac:dyDescent="0.25">
      <c r="A12" s="51"/>
    </row>
    <row r="13" spans="1:1" x14ac:dyDescent="0.25">
      <c r="A13" s="51"/>
    </row>
    <row r="14" spans="1:1" x14ac:dyDescent="0.25">
      <c r="A14" s="51"/>
    </row>
    <row r="15" spans="1:1" x14ac:dyDescent="0.25">
      <c r="A15" s="51"/>
    </row>
    <row r="16" spans="1:1" x14ac:dyDescent="0.25">
      <c r="A16" s="5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 x14ac:dyDescent="0.25">
      <c r="A3" s="3" t="s">
        <v>65</v>
      </c>
      <c r="B3" s="28">
        <f>frac_mam_1month * 2.6</f>
        <v>0.38639224000000005</v>
      </c>
      <c r="C3" s="28">
        <f>frac_mam_1_5months * 2.6</f>
        <v>0.38639224000000005</v>
      </c>
      <c r="D3" s="28">
        <f>frac_mam_6_11months * 2.6</f>
        <v>0</v>
      </c>
      <c r="E3" s="28">
        <f>frac_mam_12_23months * 2.6</f>
        <v>0.18136352000000003</v>
      </c>
      <c r="F3" s="28">
        <f>frac_mam_24_59months * 2.6</f>
        <v>5.0671920000000009E-2</v>
      </c>
    </row>
    <row r="4" spans="1:6" ht="15.75" customHeight="1" x14ac:dyDescent="0.25">
      <c r="A4" s="3" t="s">
        <v>66</v>
      </c>
      <c r="B4" s="28">
        <f>frac_sam_1month * 2.6</f>
        <v>6.4753000000000005E-2</v>
      </c>
      <c r="C4" s="28">
        <f>frac_sam_1_5months * 2.6</f>
        <v>6.4753000000000005E-2</v>
      </c>
      <c r="D4" s="28">
        <f>frac_sam_6_11months * 2.6</f>
        <v>0.13586508</v>
      </c>
      <c r="E4" s="28">
        <f>frac_sam_12_23months * 2.6</f>
        <v>2.9617640000000001E-2</v>
      </c>
      <c r="F4" s="28">
        <f>frac_sam_24_59months * 2.6</f>
        <v>8.5405320000000007E-2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38">
        <v>0</v>
      </c>
      <c r="D2" s="38">
        <f>food_insecure</f>
        <v>0.64</v>
      </c>
      <c r="E2" s="38">
        <f>food_insecure</f>
        <v>0.64</v>
      </c>
      <c r="F2" s="38">
        <f>food_insecure</f>
        <v>0.64</v>
      </c>
      <c r="G2" s="38">
        <f>food_insecure</f>
        <v>0.64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4" t="s">
        <v>136</v>
      </c>
      <c r="C5" s="38">
        <v>0</v>
      </c>
      <c r="D5" s="38">
        <v>0</v>
      </c>
      <c r="E5" s="38">
        <f>food_insecure</f>
        <v>0.64</v>
      </c>
      <c r="F5" s="38">
        <f>food_insecure</f>
        <v>0.64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4" t="s">
        <v>58</v>
      </c>
      <c r="C8" s="38">
        <v>0</v>
      </c>
      <c r="D8" s="38">
        <v>0</v>
      </c>
      <c r="E8" s="38">
        <f>food_insecure</f>
        <v>0.64</v>
      </c>
      <c r="F8" s="38">
        <f>food_insecure</f>
        <v>0.64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4" t="s">
        <v>67</v>
      </c>
      <c r="C9" s="38">
        <v>0</v>
      </c>
      <c r="D9" s="38">
        <f>IF(ISBLANK(comm_deliv), frac_children_health_facility,1)</f>
        <v>0.623</v>
      </c>
      <c r="E9" s="38">
        <f>IF(ISBLANK(comm_deliv), frac_children_health_facility,1)</f>
        <v>0.623</v>
      </c>
      <c r="F9" s="38">
        <f>IF(ISBLANK(comm_deliv), frac_children_health_facility,1)</f>
        <v>0.623</v>
      </c>
      <c r="G9" s="38">
        <f>IF(ISBLANK(comm_deliv), frac_children_health_facility,1)</f>
        <v>0.623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0.64</v>
      </c>
      <c r="I14" s="38">
        <f>food_insecure</f>
        <v>0.64</v>
      </c>
      <c r="J14" s="38">
        <f>food_insecure</f>
        <v>0.64</v>
      </c>
      <c r="K14" s="38">
        <f>food_insecure</f>
        <v>0.64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4" t="s">
        <v>206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0.35260000000000002</v>
      </c>
      <c r="I17" s="38">
        <f>frac_PW_health_facility</f>
        <v>0.35260000000000002</v>
      </c>
      <c r="J17" s="38">
        <f>frac_PW_health_facility</f>
        <v>0.35260000000000002</v>
      </c>
      <c r="K17" s="38">
        <f>frac_PW_health_facility</f>
        <v>0.35260000000000002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0.1195</v>
      </c>
      <c r="I18" s="38">
        <f>frac_malaria_risk</f>
        <v>0.1195</v>
      </c>
      <c r="J18" s="38">
        <f>frac_malaria_risk</f>
        <v>0.1195</v>
      </c>
      <c r="K18" s="38">
        <f>frac_malaria_risk</f>
        <v>0.1195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 x14ac:dyDescent="0.25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0.24120571999999996</v>
      </c>
      <c r="M24" s="38">
        <f>(1-food_insecure)*(0.49)+food_insecure*(0.7)</f>
        <v>0.62439999999999996</v>
      </c>
      <c r="N24" s="38">
        <f>(1-food_insecure)*(0.49)+food_insecure*(0.7)</f>
        <v>0.62439999999999996</v>
      </c>
      <c r="O24" s="38">
        <f>(1-food_insecure)*(0.49)+food_insecure*(0.7)</f>
        <v>0.62439999999999996</v>
      </c>
    </row>
    <row r="25" spans="1:15" ht="15.75" customHeight="1" x14ac:dyDescent="0.25">
      <c r="B25" s="67" t="s">
        <v>205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0.10337388</v>
      </c>
      <c r="M25" s="38">
        <f>(1-food_insecure)*(0.21)+food_insecure*(0.3)</f>
        <v>0.2676</v>
      </c>
      <c r="N25" s="38">
        <f>(1-food_insecure)*(0.21)+food_insecure*(0.3)</f>
        <v>0.2676</v>
      </c>
      <c r="O25" s="38">
        <f>(1-food_insecure)*(0.21)+food_insecure*(0.3)</f>
        <v>0.2676</v>
      </c>
    </row>
    <row r="26" spans="1:15" ht="15.75" customHeight="1" x14ac:dyDescent="0.25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4.1720399999999998E-2</v>
      </c>
      <c r="M26" s="38">
        <f>(1-food_insecure)*(0.3)</f>
        <v>0.108</v>
      </c>
      <c r="N26" s="38">
        <f>(1-food_insecure)*(0.3)</f>
        <v>0.108</v>
      </c>
      <c r="O26" s="38">
        <f>(1-food_insecure)*(0.3)</f>
        <v>0.108</v>
      </c>
    </row>
    <row r="27" spans="1:15" ht="15.75" customHeight="1" x14ac:dyDescent="0.25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0.61370000000000002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 x14ac:dyDescent="0.25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4" t="s">
        <v>34</v>
      </c>
      <c r="C33" s="38">
        <f t="shared" ref="C33:O33" si="3">frac_malaria_risk</f>
        <v>0.1195</v>
      </c>
      <c r="D33" s="38">
        <f t="shared" si="3"/>
        <v>0.1195</v>
      </c>
      <c r="E33" s="38">
        <f t="shared" si="3"/>
        <v>0.1195</v>
      </c>
      <c r="F33" s="38">
        <f t="shared" si="3"/>
        <v>0.1195</v>
      </c>
      <c r="G33" s="38">
        <f t="shared" si="3"/>
        <v>0.1195</v>
      </c>
      <c r="H33" s="38">
        <f t="shared" si="3"/>
        <v>0.1195</v>
      </c>
      <c r="I33" s="38">
        <f t="shared" si="3"/>
        <v>0.1195</v>
      </c>
      <c r="J33" s="38">
        <f t="shared" si="3"/>
        <v>0.1195</v>
      </c>
      <c r="K33" s="38">
        <f t="shared" si="3"/>
        <v>0.1195</v>
      </c>
      <c r="L33" s="38">
        <f t="shared" si="3"/>
        <v>0.1195</v>
      </c>
      <c r="M33" s="38">
        <f t="shared" si="3"/>
        <v>0.1195</v>
      </c>
      <c r="N33" s="38">
        <f t="shared" si="3"/>
        <v>0.1195</v>
      </c>
      <c r="O33" s="38">
        <f t="shared" si="3"/>
        <v>0.1195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E60"/>
  <sheetViews>
    <sheetView tabSelected="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5" customWidth="1"/>
    <col min="2" max="2" width="38.5546875" style="18" customWidth="1"/>
    <col min="3" max="3" width="14.33203125" style="15" customWidth="1"/>
    <col min="4" max="16384" width="14.33203125" style="15"/>
  </cols>
  <sheetData>
    <row r="1" spans="1:4" ht="27" customHeight="1" x14ac:dyDescent="0.3">
      <c r="A1" s="1" t="s">
        <v>100</v>
      </c>
      <c r="B1" s="46" t="s">
        <v>164</v>
      </c>
      <c r="C1" s="109" t="s">
        <v>200</v>
      </c>
      <c r="D1" s="84"/>
    </row>
    <row r="2" spans="1:4" ht="16.05" customHeight="1" x14ac:dyDescent="0.25">
      <c r="A2" s="15" t="s">
        <v>189</v>
      </c>
      <c r="B2" s="46"/>
    </row>
    <row r="3" spans="1:4" ht="16.05" customHeight="1" x14ac:dyDescent="0.25">
      <c r="A3" s="1"/>
      <c r="B3" s="9" t="s">
        <v>191</v>
      </c>
      <c r="C3" s="70">
        <v>2017</v>
      </c>
    </row>
    <row r="4" spans="1:4" ht="16.05" customHeight="1" x14ac:dyDescent="0.25">
      <c r="A4" s="1"/>
      <c r="B4" s="12" t="s">
        <v>190</v>
      </c>
      <c r="C4" s="71">
        <v>2030</v>
      </c>
    </row>
    <row r="5" spans="1:4" ht="16.05" customHeight="1" x14ac:dyDescent="0.25">
      <c r="A5" s="1"/>
      <c r="B5" s="46"/>
    </row>
    <row r="6" spans="1:4" ht="15" customHeight="1" x14ac:dyDescent="0.25">
      <c r="A6" s="15" t="s">
        <v>48</v>
      </c>
    </row>
    <row r="7" spans="1:4" ht="15" customHeight="1" x14ac:dyDescent="0.25">
      <c r="B7" s="18" t="s">
        <v>199</v>
      </c>
      <c r="C7" s="78">
        <v>1204267.100614124</v>
      </c>
    </row>
    <row r="8" spans="1:4" ht="15" customHeight="1" x14ac:dyDescent="0.3">
      <c r="B8" s="9" t="s">
        <v>106</v>
      </c>
      <c r="C8" s="104">
        <v>0.64</v>
      </c>
    </row>
    <row r="9" spans="1:4" ht="38.25" customHeight="1" x14ac:dyDescent="0.25">
      <c r="A9" s="90"/>
      <c r="B9" s="12" t="s">
        <v>107</v>
      </c>
      <c r="C9" s="100">
        <v>0.1195</v>
      </c>
    </row>
    <row r="10" spans="1:4" ht="15" customHeight="1" x14ac:dyDescent="0.25">
      <c r="A10" s="90"/>
      <c r="B10" s="12" t="s">
        <v>105</v>
      </c>
      <c r="C10" s="99">
        <v>0.61370000000000002</v>
      </c>
    </row>
    <row r="11" spans="1:4" ht="15" customHeight="1" x14ac:dyDescent="0.25">
      <c r="A11" s="90"/>
      <c r="B11" s="9" t="s">
        <v>108</v>
      </c>
      <c r="C11" s="99">
        <v>0.35260000000000002</v>
      </c>
    </row>
    <row r="12" spans="1:4" ht="15" customHeight="1" x14ac:dyDescent="0.25">
      <c r="A12" s="90"/>
      <c r="B12" s="9" t="s">
        <v>109</v>
      </c>
      <c r="C12" s="99">
        <v>0.623</v>
      </c>
    </row>
    <row r="13" spans="1:4" ht="15" customHeight="1" x14ac:dyDescent="0.25">
      <c r="A13" s="90"/>
      <c r="B13" s="9" t="s">
        <v>110</v>
      </c>
      <c r="C13" s="99">
        <v>0.221</v>
      </c>
    </row>
    <row r="14" spans="1:4" ht="15" customHeight="1" x14ac:dyDescent="0.25">
      <c r="B14" s="15"/>
    </row>
    <row r="15" spans="1:4" ht="15" customHeight="1" x14ac:dyDescent="0.25">
      <c r="A15" s="15" t="s">
        <v>30</v>
      </c>
      <c r="B15" s="19"/>
    </row>
    <row r="16" spans="1:4" ht="15" customHeight="1" x14ac:dyDescent="0.25">
      <c r="B16" s="12" t="s">
        <v>94</v>
      </c>
      <c r="C16" s="100">
        <v>0.59699999999999998</v>
      </c>
    </row>
    <row r="17" spans="1:5" ht="15" customHeight="1" x14ac:dyDescent="0.25">
      <c r="B17" s="12" t="s">
        <v>95</v>
      </c>
      <c r="C17" s="100">
        <v>0.1</v>
      </c>
    </row>
    <row r="18" spans="1:5" ht="15" customHeight="1" x14ac:dyDescent="0.25">
      <c r="B18" s="12" t="s">
        <v>96</v>
      </c>
      <c r="C18" s="100">
        <v>0.1</v>
      </c>
    </row>
    <row r="19" spans="1:5" ht="15" customHeight="1" x14ac:dyDescent="0.25">
      <c r="B19" s="12" t="s">
        <v>97</v>
      </c>
      <c r="C19" s="100">
        <v>0.1</v>
      </c>
    </row>
    <row r="20" spans="1:5" ht="15" customHeight="1" x14ac:dyDescent="0.25">
      <c r="B20" s="12" t="s">
        <v>98</v>
      </c>
      <c r="C20" s="100">
        <v>0.1</v>
      </c>
    </row>
    <row r="21" spans="1:5" ht="15" customHeight="1" x14ac:dyDescent="0.25">
      <c r="B21" s="15"/>
      <c r="C21" s="89"/>
    </row>
    <row r="22" spans="1:5" ht="15" customHeight="1" x14ac:dyDescent="0.25">
      <c r="A22" s="15" t="s">
        <v>99</v>
      </c>
      <c r="C22" s="89"/>
    </row>
    <row r="23" spans="1:5" ht="15" customHeight="1" x14ac:dyDescent="0.3">
      <c r="A23" s="90"/>
      <c r="B23" s="20" t="s">
        <v>101</v>
      </c>
      <c r="C23" s="99">
        <v>0.13489999999999999</v>
      </c>
      <c r="D23" s="86"/>
    </row>
    <row r="24" spans="1:5" ht="15" customHeight="1" x14ac:dyDescent="0.3">
      <c r="A24" s="90"/>
      <c r="B24" s="20" t="s">
        <v>102</v>
      </c>
      <c r="C24" s="99">
        <v>0.63929999999999998</v>
      </c>
      <c r="D24" s="86"/>
    </row>
    <row r="25" spans="1:5" ht="15" customHeight="1" x14ac:dyDescent="0.3">
      <c r="A25" s="90"/>
      <c r="B25" s="20" t="s">
        <v>103</v>
      </c>
      <c r="C25" s="99">
        <v>0.20780000000000001</v>
      </c>
      <c r="D25" s="86"/>
    </row>
    <row r="26" spans="1:5" ht="15" customHeight="1" x14ac:dyDescent="0.3">
      <c r="A26" s="90"/>
      <c r="B26" s="20" t="s">
        <v>104</v>
      </c>
      <c r="C26" s="99">
        <v>1.7999999999999999E-2</v>
      </c>
      <c r="D26" s="86"/>
    </row>
    <row r="27" spans="1:5" ht="15" customHeight="1" x14ac:dyDescent="0.25">
      <c r="B27" s="20"/>
      <c r="C27" s="89"/>
    </row>
    <row r="28" spans="1:5" ht="15" customHeight="1" x14ac:dyDescent="0.25">
      <c r="A28" s="15" t="s">
        <v>194</v>
      </c>
      <c r="B28" s="20"/>
      <c r="C28" s="89"/>
    </row>
    <row r="29" spans="1:5" ht="14.25" customHeight="1" x14ac:dyDescent="0.25">
      <c r="A29" s="90"/>
      <c r="B29" s="32" t="s">
        <v>75</v>
      </c>
      <c r="C29" s="101">
        <v>0.16220000000000001</v>
      </c>
    </row>
    <row r="30" spans="1:5" ht="14.25" customHeight="1" x14ac:dyDescent="0.3">
      <c r="A30" s="90"/>
      <c r="B30" s="32" t="s">
        <v>76</v>
      </c>
      <c r="C30" s="101">
        <v>0.11890000000000001</v>
      </c>
      <c r="D30" s="86"/>
      <c r="E30" s="85"/>
    </row>
    <row r="31" spans="1:5" ht="14.25" customHeight="1" x14ac:dyDescent="0.3">
      <c r="A31" s="90"/>
      <c r="B31" s="32" t="s">
        <v>77</v>
      </c>
      <c r="C31" s="101">
        <v>0.17280000000000001</v>
      </c>
      <c r="D31" s="86"/>
      <c r="E31" s="85"/>
    </row>
    <row r="32" spans="1:5" ht="14.25" customHeight="1" x14ac:dyDescent="0.25">
      <c r="A32" s="90"/>
      <c r="B32" s="32" t="s">
        <v>78</v>
      </c>
      <c r="C32" s="101">
        <v>0.54600000000000004</v>
      </c>
    </row>
    <row r="33" spans="1:4" ht="13.2" x14ac:dyDescent="0.25">
      <c r="B33" s="34" t="s">
        <v>129</v>
      </c>
      <c r="C33" s="110">
        <f>SUM(C29:C32)</f>
        <v>0.99990000000000001</v>
      </c>
    </row>
    <row r="34" spans="1:4" ht="15" customHeight="1" x14ac:dyDescent="0.25">
      <c r="C34" s="103"/>
    </row>
    <row r="35" spans="1:4" ht="15" customHeight="1" x14ac:dyDescent="0.25">
      <c r="A35" s="4" t="s">
        <v>135</v>
      </c>
      <c r="C35" s="103"/>
    </row>
    <row r="36" spans="1:4" ht="15" customHeight="1" x14ac:dyDescent="0.25">
      <c r="A36" s="15" t="s">
        <v>74</v>
      </c>
      <c r="B36" s="9"/>
      <c r="C36" s="103"/>
    </row>
    <row r="37" spans="1:4" ht="15" customHeight="1" x14ac:dyDescent="0.25">
      <c r="A37" s="90"/>
      <c r="B37" s="47" t="s">
        <v>92</v>
      </c>
      <c r="C37" s="102">
        <v>39.6815</v>
      </c>
      <c r="D37" s="87"/>
    </row>
    <row r="38" spans="1:4" ht="15" customHeight="1" x14ac:dyDescent="0.25">
      <c r="A38" s="90"/>
      <c r="B38" s="18" t="s">
        <v>91</v>
      </c>
      <c r="C38" s="102">
        <v>71.740600000000001</v>
      </c>
      <c r="D38" s="87"/>
    </row>
    <row r="39" spans="1:4" ht="15" customHeight="1" x14ac:dyDescent="0.25">
      <c r="A39" s="90"/>
      <c r="B39" s="18" t="s">
        <v>90</v>
      </c>
      <c r="C39" s="102">
        <v>122.6448</v>
      </c>
      <c r="D39" s="94"/>
    </row>
    <row r="40" spans="1:4" ht="15" customHeight="1" x14ac:dyDescent="0.3">
      <c r="B40" s="18" t="s">
        <v>201</v>
      </c>
      <c r="C40" s="102">
        <v>84.600000000000009</v>
      </c>
      <c r="D40" s="95"/>
    </row>
    <row r="41" spans="1:4" ht="26.7" customHeight="1" x14ac:dyDescent="0.25">
      <c r="B41" s="18" t="s">
        <v>89</v>
      </c>
      <c r="C41" s="100">
        <v>0.13</v>
      </c>
      <c r="D41" s="96"/>
    </row>
    <row r="42" spans="1:4" ht="15" customHeight="1" x14ac:dyDescent="0.25">
      <c r="B42" s="47" t="s">
        <v>93</v>
      </c>
      <c r="C42" s="102">
        <v>27.27</v>
      </c>
      <c r="D42" s="97"/>
    </row>
    <row r="43" spans="1:4" ht="15.75" customHeight="1" x14ac:dyDescent="0.25">
      <c r="C43" s="103"/>
      <c r="D43" s="98"/>
    </row>
    <row r="44" spans="1:4" ht="15.75" customHeight="1" x14ac:dyDescent="0.25">
      <c r="A44" s="15" t="s">
        <v>133</v>
      </c>
      <c r="C44" s="103"/>
    </row>
    <row r="45" spans="1:4" ht="15.75" customHeight="1" x14ac:dyDescent="0.25">
      <c r="B45" s="18" t="s">
        <v>9</v>
      </c>
      <c r="C45" s="100">
        <v>1.9099999999999999E-2</v>
      </c>
    </row>
    <row r="46" spans="1:4" ht="15.75" customHeight="1" x14ac:dyDescent="0.25">
      <c r="B46" s="18" t="s">
        <v>11</v>
      </c>
      <c r="C46" s="100">
        <v>9.98E-2</v>
      </c>
    </row>
    <row r="47" spans="1:4" ht="15.75" customHeight="1" x14ac:dyDescent="0.25">
      <c r="B47" s="18" t="s">
        <v>12</v>
      </c>
      <c r="C47" s="100">
        <v>0.2</v>
      </c>
    </row>
    <row r="48" spans="1:4" ht="15" customHeight="1" x14ac:dyDescent="0.25">
      <c r="B48" s="18" t="s">
        <v>26</v>
      </c>
      <c r="C48" s="111">
        <f>1-term_SGA-preterm_AGA-preterm_SGA</f>
        <v>0.68110000000000004</v>
      </c>
    </row>
    <row r="50" spans="1:4" ht="15.75" customHeight="1" x14ac:dyDescent="0.25">
      <c r="A50" s="15" t="s">
        <v>72</v>
      </c>
    </row>
    <row r="51" spans="1:4" ht="15.75" customHeight="1" x14ac:dyDescent="0.25">
      <c r="B51" s="18" t="s">
        <v>124</v>
      </c>
      <c r="C51" s="7">
        <v>3.3</v>
      </c>
    </row>
    <row r="52" spans="1:4" ht="15" customHeight="1" x14ac:dyDescent="0.25">
      <c r="B52" s="18" t="s">
        <v>125</v>
      </c>
      <c r="C52" s="7">
        <v>3.3</v>
      </c>
    </row>
    <row r="53" spans="1:4" ht="15.75" customHeight="1" x14ac:dyDescent="0.25">
      <c r="B53" s="18" t="s">
        <v>126</v>
      </c>
      <c r="C53" s="7">
        <v>3.3</v>
      </c>
    </row>
    <row r="54" spans="1:4" ht="15.75" customHeight="1" x14ac:dyDescent="0.25">
      <c r="B54" s="18" t="s">
        <v>127</v>
      </c>
      <c r="C54" s="7">
        <v>3.3</v>
      </c>
    </row>
    <row r="55" spans="1:4" ht="15.75" customHeight="1" x14ac:dyDescent="0.25">
      <c r="B55" s="18" t="s">
        <v>128</v>
      </c>
      <c r="C55" s="7">
        <v>3.3</v>
      </c>
    </row>
    <row r="57" spans="1:4" ht="15.75" customHeight="1" x14ac:dyDescent="0.25">
      <c r="A57" s="15" t="s">
        <v>134</v>
      </c>
    </row>
    <row r="58" spans="1:4" ht="15.75" customHeight="1" x14ac:dyDescent="0.3">
      <c r="B58" s="9" t="s">
        <v>111</v>
      </c>
      <c r="C58" s="99">
        <v>0.16769999999999999</v>
      </c>
      <c r="D58" s="86"/>
    </row>
    <row r="59" spans="1:4" ht="65.7" customHeight="1" x14ac:dyDescent="0.25">
      <c r="B59" s="18" t="s">
        <v>132</v>
      </c>
      <c r="C59" s="105">
        <v>0.43519999999999998</v>
      </c>
    </row>
    <row r="60" spans="1:4" ht="15.75" customHeight="1" x14ac:dyDescent="0.25">
      <c r="C60" s="89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5" customWidth="1"/>
    <col min="2" max="9" width="16.77734375" style="15" customWidth="1"/>
    <col min="10" max="16384" width="14.33203125" style="15"/>
  </cols>
  <sheetData>
    <row r="1" spans="1:9" s="21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9">
        <v>2017</v>
      </c>
      <c r="B2" s="77">
        <v>251780.34062933558</v>
      </c>
      <c r="C2" s="78">
        <v>350585.95121300925</v>
      </c>
      <c r="D2" s="78">
        <v>508708.18755539786</v>
      </c>
      <c r="E2" s="78">
        <v>323935.91830019874</v>
      </c>
      <c r="F2" s="78">
        <v>221208.69196558266</v>
      </c>
      <c r="G2" s="23">
        <f t="shared" ref="G2:G15" si="0">C2+D2+E2+F2</f>
        <v>1404438.7490341887</v>
      </c>
      <c r="H2" s="23">
        <f>(B2 + stillbirth*B2/(1000-stillbirth))/(1-abortion)</f>
        <v>297515.95034443948</v>
      </c>
      <c r="I2" s="23">
        <f t="shared" ref="I2:I13" si="1">G2-H2</f>
        <v>1106922.7986897491</v>
      </c>
    </row>
    <row r="3" spans="1:9" ht="15.75" customHeight="1" x14ac:dyDescent="0.25">
      <c r="A3" s="9">
        <v>2018</v>
      </c>
      <c r="B3" s="77">
        <v>258445.74913193486</v>
      </c>
      <c r="C3" s="78">
        <v>364124.65227309568</v>
      </c>
      <c r="D3" s="78">
        <v>525344.15160259849</v>
      </c>
      <c r="E3" s="78">
        <v>334940.25313063152</v>
      </c>
      <c r="F3" s="78">
        <v>228124.33411031571</v>
      </c>
      <c r="G3" s="23">
        <f t="shared" si="0"/>
        <v>1452533.3911166412</v>
      </c>
      <c r="H3" s="23">
        <f>(B3 + stillbirth*B3/(1000-stillbirth))/(1-abortion)</f>
        <v>305392.12264656596</v>
      </c>
      <c r="I3" s="23">
        <f t="shared" si="1"/>
        <v>1147141.2684700752</v>
      </c>
    </row>
    <row r="4" spans="1:9" ht="15.75" customHeight="1" x14ac:dyDescent="0.25">
      <c r="A4" s="9">
        <v>2019</v>
      </c>
      <c r="B4" s="77">
        <v>264921.41287041944</v>
      </c>
      <c r="C4" s="78">
        <v>378275.79075491126</v>
      </c>
      <c r="D4" s="78">
        <v>542811.50156160106</v>
      </c>
      <c r="E4" s="78">
        <v>346397.15973642468</v>
      </c>
      <c r="F4" s="78">
        <v>235625.83895465001</v>
      </c>
      <c r="G4" s="23">
        <f t="shared" si="0"/>
        <v>1503110.291007587</v>
      </c>
      <c r="H4" s="23">
        <f>(B4 + stillbirth*B4/(1000-stillbirth))/(1-abortion)</f>
        <v>313044.08326609095</v>
      </c>
      <c r="I4" s="23">
        <f t="shared" si="1"/>
        <v>1190066.2077414962</v>
      </c>
    </row>
    <row r="5" spans="1:9" ht="15.75" customHeight="1" x14ac:dyDescent="0.25">
      <c r="A5" s="9">
        <v>2020</v>
      </c>
      <c r="B5" s="77">
        <v>271281.26426682284</v>
      </c>
      <c r="C5" s="78">
        <v>392996.57002917805</v>
      </c>
      <c r="D5" s="78">
        <v>561272.91207590885</v>
      </c>
      <c r="E5" s="78">
        <v>358238.52481762122</v>
      </c>
      <c r="F5" s="78">
        <v>244318.45788448286</v>
      </c>
      <c r="G5" s="23">
        <f t="shared" si="0"/>
        <v>1556826.4648071909</v>
      </c>
      <c r="H5" s="23">
        <f>(B5 + stillbirth*B5/(1000-stillbirth))/(1-abortion)</f>
        <v>320559.19436460186</v>
      </c>
      <c r="I5" s="23">
        <f t="shared" si="1"/>
        <v>1236267.2704425892</v>
      </c>
    </row>
    <row r="6" spans="1:9" ht="15.75" customHeight="1" x14ac:dyDescent="0.25">
      <c r="A6" s="9">
        <v>2021</v>
      </c>
      <c r="B6" s="77">
        <v>278144.50625455694</v>
      </c>
      <c r="C6" s="78">
        <v>408203.66699252796</v>
      </c>
      <c r="D6" s="78">
        <v>580834.69807001622</v>
      </c>
      <c r="E6" s="78">
        <v>370436.3837543035</v>
      </c>
      <c r="F6" s="78">
        <v>252637.16268163954</v>
      </c>
      <c r="G6" s="23">
        <f t="shared" si="0"/>
        <v>1612111.911498487</v>
      </c>
      <c r="H6" s="23">
        <f>(B6 + stillbirth*B6/(1000-stillbirth))/(1-abortion)</f>
        <v>328669.13637723355</v>
      </c>
      <c r="I6" s="23">
        <f t="shared" si="1"/>
        <v>1283442.7751212534</v>
      </c>
    </row>
    <row r="7" spans="1:9" ht="15.75" customHeight="1" x14ac:dyDescent="0.25">
      <c r="A7" s="9">
        <v>2022</v>
      </c>
      <c r="B7" s="77">
        <v>284923.91280667216</v>
      </c>
      <c r="C7" s="78">
        <v>423853.78053675249</v>
      </c>
      <c r="D7" s="78">
        <v>601498.30055946577</v>
      </c>
      <c r="E7" s="78">
        <v>382981.78199626168</v>
      </c>
      <c r="F7" s="78">
        <v>261329.26556278774</v>
      </c>
      <c r="G7" s="23">
        <f t="shared" si="0"/>
        <v>1669663.1286552674</v>
      </c>
      <c r="H7" s="23">
        <f>(B7 + stillbirth*B7/(1000-stillbirth))/(1-abortion)</f>
        <v>336680.01434364798</v>
      </c>
      <c r="I7" s="23">
        <f t="shared" si="1"/>
        <v>1332983.1143116194</v>
      </c>
    </row>
    <row r="8" spans="1:9" ht="15.75" customHeight="1" x14ac:dyDescent="0.25">
      <c r="A8" s="9">
        <v>2023</v>
      </c>
      <c r="B8" s="77">
        <v>291841.73476241052</v>
      </c>
      <c r="C8" s="78">
        <v>439829.70339031261</v>
      </c>
      <c r="D8" s="78">
        <v>623365.63136570435</v>
      </c>
      <c r="E8" s="78">
        <v>395832.14873102272</v>
      </c>
      <c r="F8" s="78">
        <v>270409.58449730201</v>
      </c>
      <c r="G8" s="23">
        <f t="shared" si="0"/>
        <v>1729437.0679843419</v>
      </c>
      <c r="H8" s="23">
        <f>(B8 + stillbirth*B8/(1000-stillbirth))/(1-abortion)</f>
        <v>344854.45071278897</v>
      </c>
      <c r="I8" s="23">
        <f t="shared" si="1"/>
        <v>1384582.6172715528</v>
      </c>
    </row>
    <row r="9" spans="1:9" ht="15.75" customHeight="1" x14ac:dyDescent="0.25">
      <c r="A9" s="9">
        <v>2024</v>
      </c>
      <c r="B9" s="77">
        <v>299333.09995533555</v>
      </c>
      <c r="C9" s="78">
        <v>456010.52876951167</v>
      </c>
      <c r="D9" s="78">
        <v>646547.00823417865</v>
      </c>
      <c r="E9" s="78">
        <v>408987.19036677637</v>
      </c>
      <c r="F9" s="78">
        <v>279877.97204270097</v>
      </c>
      <c r="G9" s="23">
        <f t="shared" si="0"/>
        <v>1791422.6994131678</v>
      </c>
      <c r="H9" s="23">
        <f>(B9 + stillbirth*B9/(1000-stillbirth))/(1-abortion)</f>
        <v>353706.61378945876</v>
      </c>
      <c r="I9" s="23">
        <f t="shared" si="1"/>
        <v>1437716.085623709</v>
      </c>
    </row>
    <row r="10" spans="1:9" ht="15.75" customHeight="1" x14ac:dyDescent="0.25">
      <c r="A10" s="9">
        <v>2025</v>
      </c>
      <c r="B10" s="77">
        <v>307108.47753024427</v>
      </c>
      <c r="C10" s="78">
        <v>472322.77091012785</v>
      </c>
      <c r="D10" s="78">
        <v>671103.59426904039</v>
      </c>
      <c r="E10" s="78">
        <v>422527.86484517407</v>
      </c>
      <c r="F10" s="78">
        <v>289694.02895909775</v>
      </c>
      <c r="G10" s="23">
        <f t="shared" si="0"/>
        <v>1855648.2589834402</v>
      </c>
      <c r="H10" s="23">
        <f>(B10 + stillbirth*B10/(1000-stillbirth))/(1-abortion)</f>
        <v>362894.37977112201</v>
      </c>
      <c r="I10" s="23">
        <f t="shared" si="1"/>
        <v>1492753.8792123182</v>
      </c>
    </row>
    <row r="11" spans="1:9" ht="15.75" customHeight="1" x14ac:dyDescent="0.25">
      <c r="A11" s="9">
        <v>2026</v>
      </c>
      <c r="B11" s="77">
        <v>314676.3453930036</v>
      </c>
      <c r="C11" s="78">
        <v>488632.23841662589</v>
      </c>
      <c r="D11" s="78">
        <v>696895.77107547189</v>
      </c>
      <c r="E11" s="78">
        <v>436475.2373785947</v>
      </c>
      <c r="F11" s="78">
        <v>299826.42371920776</v>
      </c>
      <c r="G11" s="23">
        <f t="shared" si="0"/>
        <v>1921829.6705899003</v>
      </c>
      <c r="H11" s="23">
        <f>(B11 + stillbirth*B11/(1000-stillbirth))/(1-abortion)</f>
        <v>371836.94213974109</v>
      </c>
      <c r="I11" s="23">
        <f t="shared" si="1"/>
        <v>1549992.7284501593</v>
      </c>
    </row>
    <row r="12" spans="1:9" ht="15.75" customHeight="1" x14ac:dyDescent="0.25">
      <c r="A12" s="9">
        <v>2027</v>
      </c>
      <c r="B12" s="77">
        <v>323172.07271183631</v>
      </c>
      <c r="C12" s="78">
        <v>504888.06299683847</v>
      </c>
      <c r="D12" s="78">
        <v>723801.53267084551</v>
      </c>
      <c r="E12" s="78">
        <v>450930.96413130593</v>
      </c>
      <c r="F12" s="78">
        <v>310325.87653661164</v>
      </c>
      <c r="G12" s="23">
        <f t="shared" si="0"/>
        <v>1989946.4363356016</v>
      </c>
      <c r="H12" s="23">
        <f>(B12 + stillbirth*B12/(1000-stillbirth))/(1-abortion)</f>
        <v>381875.90856901772</v>
      </c>
      <c r="I12" s="23">
        <f t="shared" si="1"/>
        <v>1608070.527766584</v>
      </c>
    </row>
    <row r="13" spans="1:9" ht="15.75" customHeight="1" x14ac:dyDescent="0.25">
      <c r="A13" s="9">
        <v>2028</v>
      </c>
      <c r="B13" s="77">
        <v>331075.81148573576</v>
      </c>
      <c r="C13" s="78">
        <v>521046.94354255713</v>
      </c>
      <c r="D13" s="78">
        <v>751633.46697817266</v>
      </c>
      <c r="E13" s="78">
        <v>466009.91289903253</v>
      </c>
      <c r="F13" s="78">
        <v>321221.13869517052</v>
      </c>
      <c r="G13" s="23">
        <f t="shared" si="0"/>
        <v>2059911.4621149329</v>
      </c>
      <c r="H13" s="23">
        <f>(B13 + stillbirth*B13/(1000-stillbirth))/(1-abortion)</f>
        <v>391215.35241405043</v>
      </c>
      <c r="I13" s="23">
        <f t="shared" si="1"/>
        <v>1668696.1097008826</v>
      </c>
    </row>
    <row r="14" spans="1:9" ht="15.75" customHeight="1" x14ac:dyDescent="0.25">
      <c r="A14" s="9">
        <v>2029</v>
      </c>
      <c r="B14" s="8">
        <v>339388.97561519116</v>
      </c>
      <c r="C14" s="22">
        <v>537057.25504321873</v>
      </c>
      <c r="D14" s="22">
        <v>780238.02578572126</v>
      </c>
      <c r="E14" s="22">
        <v>481835.90602770908</v>
      </c>
      <c r="F14" s="22">
        <v>332530.78794753324</v>
      </c>
      <c r="G14" s="23">
        <f t="shared" si="0"/>
        <v>2131661.9748041825</v>
      </c>
      <c r="H14" s="23">
        <f>(B14 + stillbirth*B14/(1000-stillbirth))/(1-abortion)</f>
        <v>401038.59326026629</v>
      </c>
      <c r="I14" s="23">
        <f t="shared" ref="I14:I15" si="2">G14-H14</f>
        <v>1730623.3815439162</v>
      </c>
    </row>
    <row r="15" spans="1:9" ht="15.75" customHeight="1" x14ac:dyDescent="0.25">
      <c r="A15" s="9">
        <v>2030</v>
      </c>
      <c r="B15" s="8">
        <v>351174.09095032839</v>
      </c>
      <c r="C15" s="22">
        <v>552702.40787795919</v>
      </c>
      <c r="D15" s="22">
        <v>809512.73687711137</v>
      </c>
      <c r="E15" s="22">
        <v>498561.17087090312</v>
      </c>
      <c r="F15" s="22">
        <v>344223.34532393381</v>
      </c>
      <c r="G15" s="23">
        <f t="shared" si="0"/>
        <v>2204999.6609499077</v>
      </c>
      <c r="H15" s="23">
        <f>(B15 + stillbirth*B15/(1000-stillbirth))/(1-abortion)</f>
        <v>414964.46126127121</v>
      </c>
      <c r="I15" s="23">
        <f t="shared" si="2"/>
        <v>1790035.1996886365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zoomScale="90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 x14ac:dyDescent="0.25">
      <c r="A2" s="6" t="s">
        <v>115</v>
      </c>
      <c r="B2" s="14" t="s">
        <v>117</v>
      </c>
      <c r="C2" s="99">
        <v>0.55182350000000002</v>
      </c>
      <c r="D2" s="99">
        <v>0.55182350000000002</v>
      </c>
      <c r="E2" s="99">
        <v>0.20857220000000001</v>
      </c>
      <c r="F2" s="99">
        <v>0.16391149999999999</v>
      </c>
      <c r="G2" s="99">
        <v>0.1977303</v>
      </c>
    </row>
    <row r="3" spans="1:15" ht="15.75" customHeight="1" x14ac:dyDescent="0.25">
      <c r="A3" s="5"/>
      <c r="B3" s="14" t="s">
        <v>118</v>
      </c>
      <c r="C3" s="99">
        <v>0.26982660000000003</v>
      </c>
      <c r="D3" s="99">
        <v>0.26982660000000003</v>
      </c>
      <c r="E3" s="99">
        <v>8.8806399999999994E-2</v>
      </c>
      <c r="F3" s="99">
        <v>0.39237</v>
      </c>
      <c r="G3" s="99">
        <v>0.2119685</v>
      </c>
    </row>
    <row r="4" spans="1:15" ht="15.75" customHeight="1" x14ac:dyDescent="0.25">
      <c r="A4" s="5"/>
      <c r="B4" s="14" t="s">
        <v>116</v>
      </c>
      <c r="C4" s="99">
        <v>5.5411599999999998E-2</v>
      </c>
      <c r="D4" s="99">
        <v>5.5411599999999998E-2</v>
      </c>
      <c r="E4" s="99">
        <v>0.1507076</v>
      </c>
      <c r="F4" s="99">
        <v>0.27805239999999998</v>
      </c>
      <c r="G4" s="99">
        <v>0.1931273</v>
      </c>
    </row>
    <row r="5" spans="1:15" ht="15.75" customHeight="1" x14ac:dyDescent="0.25">
      <c r="A5" s="5"/>
      <c r="B5" s="14" t="s">
        <v>119</v>
      </c>
      <c r="C5" s="99">
        <v>0.1229383</v>
      </c>
      <c r="D5" s="99">
        <v>0.1229383</v>
      </c>
      <c r="E5" s="99">
        <v>0.55191380000000001</v>
      </c>
      <c r="F5" s="99">
        <v>0.16566610000000001</v>
      </c>
      <c r="G5" s="99">
        <v>0.39717390000000002</v>
      </c>
      <c r="H5" s="88"/>
    </row>
    <row r="6" spans="1:15" ht="15.75" customHeight="1" x14ac:dyDescent="0.25">
      <c r="B6" s="16"/>
      <c r="C6" s="31"/>
      <c r="D6" s="31"/>
      <c r="E6" s="31"/>
      <c r="F6" s="31"/>
      <c r="G6" s="31"/>
    </row>
    <row r="7" spans="1:15" ht="15.75" customHeight="1" x14ac:dyDescent="0.25">
      <c r="B7" s="16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9" t="s">
        <v>120</v>
      </c>
      <c r="C8" s="99">
        <v>0.77356820000000004</v>
      </c>
      <c r="D8" s="99">
        <v>0.77356820000000004</v>
      </c>
      <c r="E8" s="99">
        <v>0.78923889999999997</v>
      </c>
      <c r="F8" s="99">
        <v>0.80190209999999995</v>
      </c>
      <c r="G8" s="99">
        <v>0.86105359999999997</v>
      </c>
    </row>
    <row r="9" spans="1:15" ht="15.75" customHeight="1" x14ac:dyDescent="0.25">
      <c r="B9" s="9" t="s">
        <v>121</v>
      </c>
      <c r="C9" s="99">
        <v>5.2914500000000003E-2</v>
      </c>
      <c r="D9" s="99">
        <v>5.2914500000000003E-2</v>
      </c>
      <c r="E9" s="99">
        <v>0.15850520000000001</v>
      </c>
      <c r="F9" s="99">
        <v>0.11695129999999999</v>
      </c>
      <c r="G9" s="99">
        <v>8.6609000000000005E-2</v>
      </c>
    </row>
    <row r="10" spans="1:15" ht="15.75" customHeight="1" x14ac:dyDescent="0.25">
      <c r="B10" s="9" t="s">
        <v>122</v>
      </c>
      <c r="C10" s="99">
        <v>0.14861240000000001</v>
      </c>
      <c r="D10" s="99">
        <v>0.14861240000000001</v>
      </c>
      <c r="E10" s="99">
        <v>0</v>
      </c>
      <c r="F10" s="99">
        <v>6.9755200000000003E-2</v>
      </c>
      <c r="G10" s="99">
        <v>1.9489200000000002E-2</v>
      </c>
    </row>
    <row r="11" spans="1:15" ht="15.75" customHeight="1" x14ac:dyDescent="0.25">
      <c r="B11" s="9" t="s">
        <v>123</v>
      </c>
      <c r="C11" s="99">
        <v>2.4905E-2</v>
      </c>
      <c r="D11" s="99">
        <v>2.4905E-2</v>
      </c>
      <c r="E11" s="99">
        <v>5.2255799999999998E-2</v>
      </c>
      <c r="F11" s="99">
        <v>1.1391399999999999E-2</v>
      </c>
      <c r="G11" s="99">
        <v>3.2848200000000001E-2</v>
      </c>
    </row>
    <row r="12" spans="1:15" ht="15.75" customHeight="1" x14ac:dyDescent="0.25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 x14ac:dyDescent="0.25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 x14ac:dyDescent="0.25">
      <c r="B14" s="18" t="s">
        <v>131</v>
      </c>
      <c r="C14" s="101">
        <v>0.44440000000000002</v>
      </c>
      <c r="D14" s="101">
        <v>0.44440000000000002</v>
      </c>
      <c r="E14" s="101">
        <v>0.44440000000000002</v>
      </c>
      <c r="F14" s="99">
        <v>0.63100000000000001</v>
      </c>
      <c r="G14" s="106">
        <v>0.26190000000000002</v>
      </c>
      <c r="H14" s="107">
        <v>0.5504</v>
      </c>
      <c r="I14" s="107">
        <v>0.24590000000000001</v>
      </c>
      <c r="J14" s="107">
        <v>0.41170000000000001</v>
      </c>
      <c r="K14" s="107">
        <v>0.18679999999999999</v>
      </c>
      <c r="L14" s="107">
        <v>0.23599999999999999</v>
      </c>
      <c r="M14" s="107">
        <v>0.25619999999999998</v>
      </c>
      <c r="N14" s="107">
        <v>0.1913</v>
      </c>
      <c r="O14" s="107">
        <v>0.19439999999999999</v>
      </c>
    </row>
    <row r="15" spans="1:15" ht="15.75" customHeight="1" x14ac:dyDescent="0.25">
      <c r="B15" s="18" t="s">
        <v>68</v>
      </c>
      <c r="C15" s="35">
        <f t="shared" ref="C15:O15" si="0">iron_deficiency_anaemia*C14</f>
        <v>0.19340288</v>
      </c>
      <c r="D15" s="35">
        <f t="shared" si="0"/>
        <v>0.19340288</v>
      </c>
      <c r="E15" s="35">
        <f t="shared" si="0"/>
        <v>0.19340288</v>
      </c>
      <c r="F15" s="35">
        <f t="shared" si="0"/>
        <v>0.2746112</v>
      </c>
      <c r="G15" s="35">
        <f t="shared" si="0"/>
        <v>0.11397888</v>
      </c>
      <c r="H15" s="35">
        <f t="shared" si="0"/>
        <v>0.23953407999999998</v>
      </c>
      <c r="I15" s="35">
        <f t="shared" si="0"/>
        <v>0.10701568</v>
      </c>
      <c r="J15" s="35">
        <f t="shared" si="0"/>
        <v>0.17917184</v>
      </c>
      <c r="K15" s="35">
        <f t="shared" si="0"/>
        <v>8.1295359999999997E-2</v>
      </c>
      <c r="L15" s="35">
        <f t="shared" si="0"/>
        <v>0.10270719999999998</v>
      </c>
      <c r="M15" s="35">
        <f t="shared" si="0"/>
        <v>0.11149823999999998</v>
      </c>
      <c r="N15" s="35">
        <f t="shared" si="0"/>
        <v>8.3253759999999996E-2</v>
      </c>
      <c r="O15" s="35">
        <f t="shared" si="0"/>
        <v>8.4602879999999991E-2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5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ht="13.2" customHeight="1" x14ac:dyDescent="0.25">
      <c r="A2" s="3" t="s">
        <v>24</v>
      </c>
      <c r="B2" s="48" t="s">
        <v>165</v>
      </c>
      <c r="C2" s="99">
        <v>0.94502719999999996</v>
      </c>
      <c r="D2" s="99">
        <v>0.63126110000000002</v>
      </c>
      <c r="E2" s="99">
        <v>0</v>
      </c>
      <c r="F2" s="99">
        <v>0</v>
      </c>
      <c r="G2" s="99">
        <v>0</v>
      </c>
    </row>
    <row r="3" spans="1:7" x14ac:dyDescent="0.25">
      <c r="B3" s="48" t="s">
        <v>166</v>
      </c>
      <c r="C3" s="108">
        <v>5.4972699999999999E-2</v>
      </c>
      <c r="D3" s="108">
        <v>0.112413</v>
      </c>
      <c r="E3" s="108">
        <v>0</v>
      </c>
      <c r="F3" s="108">
        <v>0</v>
      </c>
      <c r="G3" s="108">
        <v>0</v>
      </c>
    </row>
    <row r="4" spans="1:7" x14ac:dyDescent="0.25">
      <c r="B4" s="48" t="s">
        <v>167</v>
      </c>
      <c r="C4" s="108">
        <v>0</v>
      </c>
      <c r="D4" s="108">
        <v>0.2064763</v>
      </c>
      <c r="E4" s="101">
        <v>0.97858540000000005</v>
      </c>
      <c r="F4" s="101">
        <v>0.87522200000000006</v>
      </c>
      <c r="G4" s="101">
        <v>0.30281730000000001</v>
      </c>
    </row>
    <row r="5" spans="1:7" x14ac:dyDescent="0.25">
      <c r="B5" s="48" t="s">
        <v>168</v>
      </c>
      <c r="C5" s="35">
        <f>1-SUM(C2:C4)</f>
        <v>1.0000000005838672E-7</v>
      </c>
      <c r="D5" s="35">
        <f t="shared" ref="D5:G5" si="0">1-SUM(D2:D4)</f>
        <v>4.9849599999999938E-2</v>
      </c>
      <c r="E5" s="35">
        <f t="shared" si="0"/>
        <v>2.141459999999995E-2</v>
      </c>
      <c r="F5" s="35">
        <f t="shared" si="0"/>
        <v>0.12477799999999994</v>
      </c>
      <c r="G5" s="35">
        <f t="shared" si="0"/>
        <v>0.69718269999999993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6"/>
    </row>
    <row r="4" spans="1:11" x14ac:dyDescent="0.25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6"/>
    </row>
    <row r="6" spans="1:11" x14ac:dyDescent="0.25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40" customWidth="1"/>
    <col min="2" max="2" width="19.109375" style="40" customWidth="1"/>
    <col min="3" max="3" width="13.33203125" style="40" customWidth="1"/>
    <col min="4" max="16384" width="11.33203125" style="40"/>
  </cols>
  <sheetData>
    <row r="1" spans="1:5" x14ac:dyDescent="0.2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 x14ac:dyDescent="0.2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 x14ac:dyDescent="0.2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 x14ac:dyDescent="0.2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 x14ac:dyDescent="0.2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 x14ac:dyDescent="0.2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 x14ac:dyDescent="0.25">
      <c r="A7" s="50"/>
      <c r="B7" s="49" t="s">
        <v>170</v>
      </c>
      <c r="C7" s="74"/>
      <c r="D7" s="75"/>
      <c r="E7" s="72" t="b">
        <v>1</v>
      </c>
    </row>
    <row r="8" spans="1:5" x14ac:dyDescent="0.25">
      <c r="C8" s="76"/>
      <c r="D8" s="76"/>
      <c r="E8" s="76"/>
    </row>
    <row r="9" spans="1:5" x14ac:dyDescent="0.2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 x14ac:dyDescent="0.2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 x14ac:dyDescent="0.2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 x14ac:dyDescent="0.2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 x14ac:dyDescent="0.2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 x14ac:dyDescent="0.25">
      <c r="A14" s="50"/>
      <c r="B14" s="49" t="s">
        <v>170</v>
      </c>
      <c r="C14" s="74"/>
      <c r="D14" s="75"/>
      <c r="E14" s="72"/>
    </row>
    <row r="15" spans="1:5" x14ac:dyDescent="0.25">
      <c r="C15" s="76"/>
      <c r="D15" s="76"/>
      <c r="E15" s="76"/>
    </row>
    <row r="16" spans="1:5" x14ac:dyDescent="0.2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 x14ac:dyDescent="0.25">
      <c r="A17" s="50"/>
      <c r="B17" s="49" t="s">
        <v>1</v>
      </c>
      <c r="C17" s="72"/>
      <c r="D17" s="72"/>
      <c r="E17" s="73" t="b">
        <f>IF(E$7="","",E$7)</f>
        <v>1</v>
      </c>
    </row>
    <row r="18" spans="1:5" x14ac:dyDescent="0.25">
      <c r="A18" s="50"/>
      <c r="B18" s="49" t="s">
        <v>2</v>
      </c>
      <c r="C18" s="72"/>
      <c r="D18" s="72"/>
      <c r="E18" s="73" t="b">
        <f>IF(E$7="","",E$7)</f>
        <v>1</v>
      </c>
    </row>
    <row r="19" spans="1:5" x14ac:dyDescent="0.25">
      <c r="A19" s="50"/>
      <c r="B19" s="49" t="s">
        <v>3</v>
      </c>
      <c r="C19" s="72"/>
      <c r="D19" s="72"/>
      <c r="E19" s="73" t="b">
        <f>IF(E$7="","",E$7)</f>
        <v>1</v>
      </c>
    </row>
    <row r="20" spans="1:5" x14ac:dyDescent="0.25">
      <c r="A20" s="50"/>
      <c r="B20" s="49" t="s">
        <v>4</v>
      </c>
      <c r="C20" s="72"/>
      <c r="D20" s="72"/>
      <c r="E20" s="73" t="b">
        <f>IF(E$7="","",E$7)</f>
        <v>1</v>
      </c>
    </row>
    <row r="21" spans="1:5" x14ac:dyDescent="0.2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 x14ac:dyDescent="0.25">
      <c r="A2" s="69" t="s">
        <v>69</v>
      </c>
      <c r="B2" s="49" t="s">
        <v>67</v>
      </c>
      <c r="C2" s="49" t="s">
        <v>181</v>
      </c>
      <c r="D2" s="72"/>
    </row>
    <row r="3" spans="1:4" x14ac:dyDescent="0.25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2018-11-14T07:02:44Z</dcterms:modified>
</cp:coreProperties>
</file>