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Applications\DRC\Provincial projections\Updated\"/>
    </mc:Choice>
  </mc:AlternateContent>
  <bookViews>
    <workbookView xWindow="0" yWindow="0" windowWidth="23040" windowHeight="8616" tabRatio="933" firstSheet="1" activeTab="1"/>
  </bookViews>
  <sheets>
    <sheet name="Cost curve options" sheetId="61" state="hidden" r:id="rId1"/>
    <sheet name="Baseline year population inputs" sheetId="1" r:id="rId2"/>
    <sheet name="Demographic projections" sheetId="2" r:id="rId3"/>
    <sheet name="Causes of death" sheetId="4" r:id="rId4"/>
    <sheet name="Nutritional status distribution" sheetId="5" r:id="rId5"/>
    <sheet name="Breastfeeding distribution" sheetId="50" r:id="rId6"/>
    <sheet name="Time trends" sheetId="51" state="hidden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r:id="rId14"/>
    <sheet name="Programs target population" sheetId="21" r:id="rId15"/>
    <sheet name="Programs family planning" sheetId="54" r:id="rId16"/>
  </sheets>
  <externalReferences>
    <externalReference r:id="rId17"/>
  </externalReferences>
  <definedNames>
    <definedName name="abortion" localSheetId="0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0">'[1]Treatment of SAM'!$D$3</definedName>
    <definedName name="comm_deliv">'Treatment of SAM'!$D$3</definedName>
    <definedName name="diarrhoea_1_5mo" localSheetId="0">'[1]Baseline year population inputs'!$C$52</definedName>
    <definedName name="diarrhoea_1_5mo">'Baseline year population inputs'!$C$52</definedName>
    <definedName name="diarrhoea_12_23mo" localSheetId="0">'[1]Baseline year population inputs'!$C$54</definedName>
    <definedName name="diarrhoea_12_23mo">'Baseline year population inputs'!$C$54</definedName>
    <definedName name="diarrhoea_1mo" localSheetId="0">'[1]Baseline year population inputs'!$C$51</definedName>
    <definedName name="diarrhoea_1mo">'Baseline year population inputs'!$C$51</definedName>
    <definedName name="diarrhoea_24_59mo" localSheetId="0">'[1]Baseline year population inputs'!$C$55</definedName>
    <definedName name="diarrhoea_24_59mo">'Baseline year population inputs'!$C$55</definedName>
    <definedName name="diarrhoea_6_11mo" localSheetId="0">'[1]Baseline year population inputs'!$C$53</definedName>
    <definedName name="diarrhoea_6_11mo">'Baseline year population inputs'!$C$53</definedName>
    <definedName name="end_year" localSheetId="0">'[1]Baseline year population inputs'!$C$4</definedName>
    <definedName name="end_year">'Baseline year population inputs'!$C$4</definedName>
    <definedName name="famplan_unmet_need" localSheetId="0">'[1]Baseline year population inputs'!$C$13</definedName>
    <definedName name="famplan_unmet_need">'Baseline year population inputs'!$C$13</definedName>
    <definedName name="food_insecure" localSheetId="0">'[1]Baseline year population inputs'!$C$8</definedName>
    <definedName name="food_insecure">'Baseline year population inputs'!$C$8</definedName>
    <definedName name="frac_children_health_facility" localSheetId="0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0">'[1]Baseline year population inputs'!$C$19</definedName>
    <definedName name="frac_maize">'Baseline year population inputs'!$C$19</definedName>
    <definedName name="frac_malaria_risk" localSheetId="0">'[1]Baseline year population inputs'!$C$9</definedName>
    <definedName name="frac_malaria_risk">'Baseline year population inputs'!$C$9</definedName>
    <definedName name="frac_mam_1_5months" localSheetId="0">'[1]Nutritional status distribution'!$D$10</definedName>
    <definedName name="frac_mam_1_5months">'Nutritional status distribution'!$D$10</definedName>
    <definedName name="frac_mam_12_23months" localSheetId="0">'[1]Nutritional status distribution'!$F$10</definedName>
    <definedName name="frac_mam_12_23months">'Nutritional status distribution'!$F$10</definedName>
    <definedName name="frac_mam_1month" localSheetId="0">'[1]Nutritional status distribution'!$C$10</definedName>
    <definedName name="frac_mam_1month">'Nutritional status distribution'!$C$10</definedName>
    <definedName name="frac_mam_24_59months" localSheetId="0">'[1]Nutritional status distribution'!$G$10</definedName>
    <definedName name="frac_mam_24_59months">'Nutritional status distribution'!$G$10</definedName>
    <definedName name="frac_mam_6_11months" localSheetId="0">'[1]Nutritional status distribution'!$E$10</definedName>
    <definedName name="frac_mam_6_11months">'Nutritional status distribution'!$E$10</definedName>
    <definedName name="frac_MAMtoSAM" localSheetId="0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0">'[1]Baseline year population inputs'!$C$11</definedName>
    <definedName name="frac_PW_health_facility">'Baseline year population inputs'!$C$11</definedName>
    <definedName name="frac_rice" localSheetId="0">'[1]Baseline year population inputs'!$C$17</definedName>
    <definedName name="frac_rice">'Baseline year population inputs'!$C$17</definedName>
    <definedName name="frac_sam_1_5months" localSheetId="0">'[1]Nutritional status distribution'!$D$11</definedName>
    <definedName name="frac_sam_1_5months">'Nutritional status distribution'!$D$11</definedName>
    <definedName name="frac_sam_12_23months" localSheetId="0">'[1]Nutritional status distribution'!$F$11</definedName>
    <definedName name="frac_sam_12_23months">'Nutritional status distribution'!$F$11</definedName>
    <definedName name="frac_sam_1month" localSheetId="0">'[1]Nutritional status distribution'!$C$11</definedName>
    <definedName name="frac_sam_1month">'Nutritional status distribution'!$C$11</definedName>
    <definedName name="frac_sam_24_59months" localSheetId="0">'[1]Nutritional status distribution'!$G$11</definedName>
    <definedName name="frac_sam_24_59months">'Nutritional status distribution'!$G$11</definedName>
    <definedName name="frac_sam_6_11months" localSheetId="0">'[1]Nutritional status distribution'!$E$11</definedName>
    <definedName name="frac_sam_6_11months">'Nutritional status distribution'!$E$11</definedName>
    <definedName name="frac_SAMtoMAM" localSheetId="0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0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0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0">'[1]Baseline year population inputs'!$C$46</definedName>
    <definedName name="preterm_AGA">'Baseline year population inputs'!$C$46</definedName>
    <definedName name="preterm_SGA" localSheetId="0">'[1]Baseline year population inputs'!$C$45</definedName>
    <definedName name="preterm_SGA">'Baseline year population inputs'!$C$45</definedName>
    <definedName name="school_attendance" localSheetId="0">'[1]Baseline year population inputs'!$C$10</definedName>
    <definedName name="school_attendance">'Baseline year population inputs'!$C$10</definedName>
    <definedName name="start_year" localSheetId="0">'[1]Baseline year population inputs'!$C$3</definedName>
    <definedName name="start_year">'Baseline year population inputs'!$C$3</definedName>
    <definedName name="stillbirth" localSheetId="0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0">'[1]Baseline year population inputs'!$C$47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B1" i="56" l="1"/>
  <c r="C48" i="1"/>
  <c r="C33" i="1"/>
  <c r="D31" i="50" l="1"/>
  <c r="E31" i="50"/>
  <c r="F31" i="50"/>
  <c r="G31" i="50"/>
  <c r="H31" i="50"/>
  <c r="I31" i="50"/>
  <c r="J31" i="50"/>
  <c r="K31" i="50"/>
  <c r="L31" i="50"/>
  <c r="M31" i="50"/>
  <c r="N31" i="50"/>
  <c r="O31" i="50"/>
  <c r="P31" i="50"/>
  <c r="Q31" i="50"/>
  <c r="R31" i="50"/>
  <c r="S31" i="50"/>
  <c r="T31" i="50"/>
  <c r="U31" i="50"/>
  <c r="V31" i="50"/>
  <c r="W31" i="50"/>
  <c r="X31" i="50"/>
  <c r="Y31" i="50"/>
  <c r="Z31" i="50"/>
  <c r="AA31" i="50"/>
  <c r="AB31" i="50"/>
  <c r="D32" i="50"/>
  <c r="E32" i="50"/>
  <c r="F32" i="50"/>
  <c r="G32" i="50"/>
  <c r="H32" i="50"/>
  <c r="I32" i="50"/>
  <c r="J32" i="50"/>
  <c r="K32" i="50"/>
  <c r="L32" i="50"/>
  <c r="M32" i="50"/>
  <c r="N32" i="50"/>
  <c r="O32" i="50"/>
  <c r="P32" i="50"/>
  <c r="Q32" i="50"/>
  <c r="R32" i="50"/>
  <c r="S32" i="50"/>
  <c r="T32" i="50"/>
  <c r="U32" i="50"/>
  <c r="V32" i="50"/>
  <c r="W32" i="50"/>
  <c r="X32" i="50"/>
  <c r="Y32" i="50"/>
  <c r="Z32" i="50"/>
  <c r="AA32" i="50"/>
  <c r="AB32" i="50"/>
  <c r="D33" i="50"/>
  <c r="E33" i="50"/>
  <c r="F33" i="50"/>
  <c r="G33" i="50"/>
  <c r="H33" i="50"/>
  <c r="I33" i="50"/>
  <c r="J33" i="50"/>
  <c r="K33" i="50"/>
  <c r="L33" i="50"/>
  <c r="M33" i="50"/>
  <c r="N33" i="50"/>
  <c r="O33" i="50"/>
  <c r="P33" i="50"/>
  <c r="Q33" i="50"/>
  <c r="R33" i="50"/>
  <c r="S33" i="50"/>
  <c r="T33" i="50"/>
  <c r="U33" i="50"/>
  <c r="V33" i="50"/>
  <c r="W33" i="50"/>
  <c r="X33" i="50"/>
  <c r="Y33" i="50"/>
  <c r="Z33" i="50"/>
  <c r="AA33" i="50"/>
  <c r="AB33" i="50"/>
  <c r="C33" i="50"/>
  <c r="C32" i="50"/>
  <c r="C31" i="50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9" i="56" s="1"/>
  <c r="A1" i="50" l="1"/>
  <c r="A1" i="5"/>
  <c r="A1" i="4"/>
  <c r="D20" i="56" l="1"/>
  <c r="G14" i="2" l="1"/>
  <c r="H14" i="2"/>
  <c r="G15" i="2"/>
  <c r="H15" i="2"/>
  <c r="I15" i="2" l="1"/>
  <c r="I14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2" i="2"/>
  <c r="H3" i="2"/>
  <c r="H4" i="2"/>
  <c r="H5" i="2"/>
  <c r="H6" i="2"/>
  <c r="H7" i="2"/>
  <c r="H8" i="2"/>
  <c r="H9" i="2"/>
  <c r="H10" i="2"/>
  <c r="H11" i="2"/>
  <c r="H12" i="2"/>
  <c r="H13" i="2"/>
  <c r="G2" i="2" l="1"/>
  <c r="I2" i="2" s="1"/>
  <c r="G3" i="2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G12" i="2"/>
  <c r="I12" i="2" s="1"/>
  <c r="G13" i="2"/>
  <c r="I3" i="2"/>
  <c r="I11" i="2" l="1"/>
  <c r="I13" i="2"/>
</calcChain>
</file>

<file path=xl/comments1.xml><?xml version="1.0" encoding="utf-8"?>
<comments xmlns="http://schemas.openxmlformats.org/spreadsheetml/2006/main">
  <authors>
    <author>davide de beni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>
  <authors>
    <author>Avril Dawn Kaplan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Avril Dawn Kaplan:</t>
        </r>
        <r>
          <rPr>
            <sz val="9"/>
            <color indexed="81"/>
            <rFont val="Tahoma"/>
            <family val="2"/>
          </rPr>
          <t xml:space="preserve">
Prior LIST exercise used same estimate for 12-23 months and 24-59 months
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<sst xmlns="http://schemas.openxmlformats.org/spreadsheetml/2006/main" count="451" uniqueCount="242">
  <si>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</si>
  <si>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</si>
  <si>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</si>
  <si>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</si>
  <si>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</si>
  <si>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</si>
  <si>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</si>
  <si>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</si>
  <si>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</si>
  <si>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</si>
  <si>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</si>
  <si>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</si>
  <si>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</si>
  <si>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</si>
  <si>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</si>
  <si>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</si>
  <si>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</si>
  <si>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</si>
  <si>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</si>
  <si>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</si>
  <si>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</si>
  <si>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</si>
  <si>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</si>
  <si>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</si>
  <si>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</si>
  <si>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</si>
  <si>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</si>
  <si>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</si>
  <si>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</si>
  <si>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</si>
  <si>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</si>
  <si>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</si>
  <si>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</si>
  <si>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</si>
  <si>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</si>
  <si>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</si>
  <si>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</si>
  <si>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</si>
  <si>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</si>
  <si>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</si>
  <si>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</si>
  <si>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</si>
  <si>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</si>
  <si>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</si>
  <si>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</si>
  <si>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</si>
  <si>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</si>
  <si>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</si>
  <si>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</si>
  <si>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</si>
  <si>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</si>
  <si>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</si>
  <si>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</si>
  <si>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</si>
  <si>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</si>
  <si>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</si>
  <si>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</si>
  <si>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</si>
  <si>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</si>
  <si>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</si>
  <si>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</si>
  <si>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</si>
  <si>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</si>
  <si>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</si>
  <si>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</si>
  <si>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</si>
  <si>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</si>
  <si>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</si>
  <si>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</si>
  <si>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</si>
  <si>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</si>
  <si>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</si>
  <si>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</si>
  <si>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</si>
  <si>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</si>
  <si>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</si>
  <si>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</si>
  <si>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</si>
  <si>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</si>
  <si>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</si>
  <si>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</si>
  <si>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</si>
  <si>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</si>
  <si>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</si>
  <si>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</si>
  <si>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</si>
  <si>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</si>
  <si>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</si>
  <si>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</si>
  <si>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</si>
  <si>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</si>
  <si>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</si>
  <si>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</si>
  <si>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</si>
  <si>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</si>
  <si>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</si>
  <si>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</si>
  <si>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</si>
  <si>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</si>
  <si>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</si>
  <si>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</si>
  <si>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</si>
  <si>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</si>
  <si>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</si>
  <si>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</si>
  <si>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</si>
  <si>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</si>
  <si>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</si>
  <si>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</si>
  <si>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</si>
  <si>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</si>
  <si>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</si>
  <si>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</si>
  <si>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</si>
  <si>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</si>
  <si>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</si>
  <si>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</si>
  <si>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</si>
  <si>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</si>
  <si>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</si>
  <si>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</si>
  <si>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</si>
  <si>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</si>
  <si>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</si>
  <si>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</si>
  <si>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</si>
  <si>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</si>
  <si>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</si>
  <si>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</si>
  <si>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</si>
  <si>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</si>
  <si>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</si>
  <si>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</si>
  <si>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</si>
  <si>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</si>
  <si>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</si>
  <si>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</si>
  <si>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</si>
  <si>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</si>
  <si>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</si>
  <si>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</si>
  <si>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</si>
  <si>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</si>
  <si>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</si>
  <si>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</si>
  <si>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</si>
  <si>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</si>
  <si>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</si>
  <si>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</si>
  <si>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</si>
  <si>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</si>
  <si>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</si>
  <si>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</si>
  <si>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</si>
  <si>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</si>
  <si>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</si>
  <si>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</si>
  <si>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</si>
  <si>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</si>
  <si>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</si>
  <si>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</si>
  <si>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</si>
  <si>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</si>
  <si>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</si>
  <si>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</si>
  <si>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</si>
  <si>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</si>
  <si>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</si>
  <si>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</si>
  <si>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</si>
  <si>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</si>
  <si>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</si>
  <si>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</si>
  <si>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</si>
  <si>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</si>
  <si>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</si>
  <si>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</si>
  <si>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</si>
  <si>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</si>
  <si>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</si>
  <si>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</si>
  <si>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</si>
  <si>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</si>
  <si>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</si>
  <si>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</si>
  <si>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</si>
  <si>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</si>
  <si>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</si>
  <si>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</si>
  <si>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</si>
  <si>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</si>
  <si>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</si>
  <si>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</si>
  <si>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</si>
  <si>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</si>
  <si>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</si>
  <si>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</si>
  <si>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</si>
  <si>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</si>
  <si>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National</t>
  </si>
  <si>
    <t>Kinshasa</t>
  </si>
  <si>
    <t>Kwango</t>
  </si>
  <si>
    <t>Kwilu</t>
  </si>
  <si>
    <t>Mai-Ndombe</t>
  </si>
  <si>
    <t>Équateur</t>
  </si>
  <si>
    <t>Mongala</t>
  </si>
  <si>
    <t>Nord-Ubangi</t>
  </si>
  <si>
    <t>Sud-Ubangi</t>
  </si>
  <si>
    <t>Tshuapa</t>
  </si>
  <si>
    <t>Kasaï</t>
  </si>
  <si>
    <t>Kasaï Central</t>
  </si>
  <si>
    <t>Kasaï Oriental</t>
  </si>
  <si>
    <t>Lomami</t>
  </si>
  <si>
    <t>Sankuru</t>
  </si>
  <si>
    <t>Haut-Katanga</t>
  </si>
  <si>
    <t>Haut-Lomami</t>
  </si>
  <si>
    <t>Lualaba</t>
  </si>
  <si>
    <t>Tanganyika</t>
  </si>
  <si>
    <t>Maniema</t>
  </si>
  <si>
    <t>Nord-Kivu</t>
  </si>
  <si>
    <t>Bas-Uele</t>
  </si>
  <si>
    <t>Haut-Uele</t>
  </si>
  <si>
    <t>Ituri</t>
  </si>
  <si>
    <t>Tshopo</t>
  </si>
  <si>
    <t>Sud-Kivu</t>
  </si>
  <si>
    <t>DHS 2013-14</t>
  </si>
  <si>
    <t>Breastfeeding Distribution</t>
  </si>
  <si>
    <t>Exclusive = only breastmilk; predominant = breastmilk and water; partial = breastmilk and other milk/liquids/complementary foods; none = no breastmilk</t>
  </si>
  <si>
    <t>Sample size for each strata is tiny - so some figures may be unreliable (particularily for &lt;1 month)</t>
  </si>
  <si>
    <t>Child recode</t>
  </si>
  <si>
    <t>bfm</t>
  </si>
  <si>
    <t>Children under 5 population</t>
  </si>
  <si>
    <t>Data</t>
  </si>
  <si>
    <t>Maternal mortality (per 1,000 live births)</t>
  </si>
  <si>
    <t>Linear (constant marginal cost) [default]</t>
  </si>
  <si>
    <t>Unit cost (US$ per person per year)</t>
  </si>
  <si>
    <t>Cost-coverage relationship</t>
  </si>
  <si>
    <t>IFAS (health facility)</t>
  </si>
  <si>
    <t>IFAS for pregnant women (health facility)</t>
  </si>
  <si>
    <t>Curved with increasing marginal cost</t>
  </si>
  <si>
    <t>Curved with decreasing marginal cost</t>
  </si>
  <si>
    <t>S-shaped (decreasing then increasing marginal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</si>
</sst>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24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5" fontId="5" fillId="2" borderId="1" xfId="0" applyNumberFormat="1" applyFont="1" applyFill="1" applyBorder="1" applyAlignment="1"/>
    <xf numFmtId="165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6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7" fontId="5" fillId="2" borderId="1" xfId="0" applyNumberFormat="1" applyFont="1" applyFill="1" applyBorder="1" applyAlignment="1">
      <alignment horizontal="right"/>
    </xf>
    <xf numFmtId="167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7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7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5" fontId="5" fillId="2" borderId="1" xfId="9" applyNumberFormat="1" applyFont="1" applyFill="1" applyBorder="1" applyAlignment="1">
      <alignment horizontal="center"/>
    </xf>
    <xf numFmtId="165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6" fillId="0" borderId="0" xfId="727" applyFont="1" applyFill="1"/>
    <xf numFmtId="0" fontId="0" fillId="0" borderId="0" xfId="0"/>
    <xf numFmtId="0" fontId="27" fillId="0" borderId="0" xfId="0" applyFont="1"/>
    <xf numFmtId="168" fontId="5" fillId="0" borderId="0" xfId="0" applyNumberFormat="1" applyFont="1" applyAlignment="1"/>
    <xf numFmtId="0" fontId="29" fillId="0" borderId="0" xfId="0" applyFont="1" applyFill="1" applyAlignment="1">
      <alignment horizontal="right" wrapText="1"/>
    </xf>
    <xf numFmtId="167" fontId="0" fillId="0" borderId="0" xfId="0" applyNumberFormat="1"/>
    <xf numFmtId="0" fontId="30" fillId="0" borderId="0" xfId="0" applyFont="1" applyFill="1" applyAlignment="1">
      <alignment horizontal="right" wrapText="1"/>
    </xf>
    <xf numFmtId="0" fontId="25" fillId="0" borderId="0" xfId="0" applyFont="1" applyFill="1"/>
    <xf numFmtId="0" fontId="3" fillId="3" borderId="0" xfId="0" applyFont="1" applyFill="1" applyAlignment="1">
      <alignment wrapText="1"/>
    </xf>
    <xf numFmtId="0" fontId="4" fillId="3" borderId="0" xfId="0" applyFont="1" applyFill="1" applyAlignment="1"/>
    <xf numFmtId="0" fontId="28" fillId="0" borderId="0" xfId="725" applyFont="1" applyFill="1" applyAlignment="1">
      <alignment horizontal="right" wrapText="1"/>
    </xf>
    <xf numFmtId="0" fontId="31" fillId="0" borderId="0" xfId="0" applyFont="1" applyFill="1" applyAlignment="1">
      <alignment horizontal="right" wrapText="1"/>
    </xf>
    <xf numFmtId="0" fontId="0" fillId="3" borderId="0" xfId="0" applyFont="1" applyFill="1" applyAlignment="1"/>
    <xf numFmtId="0" fontId="3" fillId="0" borderId="0" xfId="725" applyFont="1" applyFill="1" applyAlignment="1">
      <alignment horizontal="right" wrapText="1"/>
    </xf>
    <xf numFmtId="167" fontId="0" fillId="0" borderId="0" xfId="0" applyNumberFormat="1" applyFont="1" applyAlignment="1"/>
    <xf numFmtId="167" fontId="5" fillId="0" borderId="0" xfId="10" applyNumberFormat="1" applyFont="1" applyAlignment="1"/>
    <xf numFmtId="0" fontId="32" fillId="0" borderId="0" xfId="0" applyFont="1" applyAlignment="1"/>
    <xf numFmtId="0" fontId="32" fillId="3" borderId="0" xfId="0" applyFont="1" applyFill="1" applyAlignment="1"/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8" fontId="5" fillId="0" borderId="0" xfId="0" applyNumberFormat="1" applyFont="1" applyFill="1" applyBorder="1" applyAlignment="1"/>
    <xf numFmtId="0" fontId="27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167" fontId="0" fillId="2" borderId="1" xfId="10" applyNumberFormat="1" applyFont="1" applyFill="1" applyBorder="1"/>
    <xf numFmtId="167" fontId="5" fillId="2" borderId="1" xfId="10" applyNumberFormat="1" applyFont="1" applyFill="1" applyBorder="1" applyAlignment="1"/>
    <xf numFmtId="167" fontId="0" fillId="2" borderId="1" xfId="10" applyNumberFormat="1" applyFont="1" applyFill="1" applyBorder="1" applyAlignment="1"/>
    <xf numFmtId="168" fontId="5" fillId="2" borderId="1" xfId="0" applyNumberFormat="1" applyFont="1" applyFill="1" applyBorder="1" applyAlignment="1"/>
    <xf numFmtId="0" fontId="5" fillId="0" borderId="0" xfId="0" applyNumberFormat="1" applyFont="1" applyAlignment="1"/>
    <xf numFmtId="167" fontId="1" fillId="2" borderId="1" xfId="10" applyNumberFormat="1" applyFont="1" applyFill="1" applyBorder="1"/>
    <xf numFmtId="167" fontId="5" fillId="2" borderId="1" xfId="10" applyNumberFormat="1" applyFont="1" applyFill="1" applyBorder="1" applyAlignment="1">
      <alignment horizontal="right"/>
    </xf>
    <xf numFmtId="10" fontId="0" fillId="2" borderId="1" xfId="10" applyNumberFormat="1" applyFont="1" applyFill="1" applyBorder="1"/>
    <xf numFmtId="167" fontId="0" fillId="2" borderId="1" xfId="0" applyNumberFormat="1" applyFill="1" applyBorder="1"/>
    <xf numFmtId="0" fontId="3" fillId="0" borderId="0" xfId="0" applyFont="1" applyFill="1" applyAlignment="1">
      <alignment horizontal="right"/>
    </xf>
    <xf numFmtId="9" fontId="10" fillId="3" borderId="1" xfId="10" applyFont="1" applyFill="1" applyBorder="1" applyAlignment="1">
      <alignment horizontal="right"/>
    </xf>
    <xf numFmtId="9" fontId="10" fillId="3" borderId="1" xfId="10" applyFont="1" applyFill="1" applyBorder="1" applyAlignment="1"/>
    <xf numFmtId="9" fontId="5" fillId="2" borderId="1" xfId="725" applyNumberFormat="1" applyFont="1" applyFill="1" applyBorder="1" applyAlignment="1"/>
    <xf numFmtId="0" fontId="3" fillId="0" borderId="0" xfId="725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Normal 4" xfId="727"/>
    <cellStyle name="Percent" xfId="10" builtinId="5"/>
    <cellStyle name="Percent 2" xfId="728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15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Applications/DRC/Provincial%20projections/MACRO_demo_inp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IYCF cost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</sheetNames>
    <sheetDataSet>
      <sheetData sheetId="0"/>
      <sheetData sheetId="1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2"/>
      <sheetData sheetId="3"/>
      <sheetData sheetId="4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4"/>
  <sheetViews>
    <sheetView workbookViewId="0">
      <selection activeCell="D24" sqref="D24"/>
    </sheetView>
  </sheetViews>
  <sheetFormatPr defaultColWidth="11.44140625" defaultRowHeight="13.2" x14ac:dyDescent="0.25"/>
  <cols>
    <col min="1" max="16384" width="11.44140625" style="40"/>
  </cols>
  <sheetData>
    <row r="1" spans="1:1" x14ac:dyDescent="0.25">
      <c r="A1" s="40" t="s">
        <v>234</v>
      </c>
    </row>
    <row r="2" spans="1:1" x14ac:dyDescent="0.25">
      <c r="A2" s="40" t="s">
        <v>239</v>
      </c>
    </row>
    <row r="3" spans="1:1" x14ac:dyDescent="0.25">
      <c r="A3" s="40" t="s">
        <v>240</v>
      </c>
    </row>
    <row r="4" spans="1:1" x14ac:dyDescent="0.25">
      <c r="A4" s="40" t="s">
        <v>241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E38"/>
  <sheetViews>
    <sheetView zoomScale="107" zoomScaleNormal="60" workbookViewId="0">
      <selection activeCell="E2" sqref="E2:E38"/>
    </sheetView>
  </sheetViews>
  <sheetFormatPr defaultColWidth="14.33203125" defaultRowHeight="15.75" customHeight="1" x14ac:dyDescent="0.25"/>
  <cols>
    <col min="1" max="1" width="56" style="55" customWidth="1"/>
    <col min="2" max="2" width="14.33203125" style="40"/>
    <col min="3" max="3" width="20.33203125" style="40" customWidth="1"/>
    <col min="4" max="4" width="20.109375" style="40" customWidth="1"/>
    <col min="5" max="5" width="12.109375" style="40" customWidth="1"/>
    <col min="6" max="16384" width="14.33203125" style="40"/>
  </cols>
  <sheetData>
    <row r="1" spans="1:5" ht="56.7" customHeight="1" x14ac:dyDescent="0.25">
      <c r="A1" s="59" t="s">
        <v>69</v>
      </c>
      <c r="B1" s="123" t="str">
        <f>"Baseline ("&amp;start_year&amp;") coverage"</f>
        <v>Baseline (2017) coverage</v>
      </c>
      <c r="C1" s="58" t="s">
        <v>198</v>
      </c>
      <c r="D1" s="58" t="s">
        <v>235</v>
      </c>
      <c r="E1" s="58" t="s">
        <v>236</v>
      </c>
    </row>
    <row r="2" spans="1:5" ht="15.75" customHeight="1" x14ac:dyDescent="0.25">
      <c r="A2" s="55" t="s">
        <v>29</v>
      </c>
      <c r="B2" s="122">
        <v>0</v>
      </c>
      <c r="C2" s="56">
        <v>0.95</v>
      </c>
      <c r="D2" s="57">
        <v>25</v>
      </c>
      <c r="E2" s="57" t="s">
        <v>234</v>
      </c>
    </row>
    <row r="3" spans="1:5" ht="15.75" customHeight="1" x14ac:dyDescent="0.25">
      <c r="A3" s="55" t="s">
        <v>86</v>
      </c>
      <c r="B3" s="122">
        <v>0</v>
      </c>
      <c r="C3" s="56">
        <v>0.95</v>
      </c>
      <c r="D3" s="57">
        <v>1</v>
      </c>
      <c r="E3" s="57" t="s">
        <v>234</v>
      </c>
    </row>
    <row r="4" spans="1:5" ht="15.75" customHeight="1" x14ac:dyDescent="0.25">
      <c r="A4" s="55" t="s">
        <v>61</v>
      </c>
      <c r="B4" s="122">
        <v>0</v>
      </c>
      <c r="C4" s="56">
        <v>0.95</v>
      </c>
      <c r="D4" s="57">
        <f>180</f>
        <v>180</v>
      </c>
      <c r="E4" s="57" t="s">
        <v>234</v>
      </c>
    </row>
    <row r="5" spans="1:5" ht="15.75" customHeight="1" x14ac:dyDescent="0.25">
      <c r="A5" s="55" t="s">
        <v>149</v>
      </c>
      <c r="B5" s="56">
        <v>0</v>
      </c>
      <c r="C5" s="56">
        <v>0.95</v>
      </c>
      <c r="D5" s="57">
        <v>1</v>
      </c>
      <c r="E5" s="57" t="s">
        <v>234</v>
      </c>
    </row>
    <row r="6" spans="1:5" ht="15.75" customHeight="1" x14ac:dyDescent="0.25">
      <c r="A6" s="82" t="s">
        <v>195</v>
      </c>
      <c r="B6" s="110">
        <v>0.156</v>
      </c>
      <c r="C6" s="56">
        <v>0.95</v>
      </c>
      <c r="D6" s="102">
        <f>SUM('Programs family planning'!E2:E10)</f>
        <v>0.82100000000000006</v>
      </c>
      <c r="E6" s="57" t="s">
        <v>234</v>
      </c>
    </row>
    <row r="7" spans="1:5" ht="15.75" customHeight="1" x14ac:dyDescent="0.25">
      <c r="A7" s="55" t="s">
        <v>63</v>
      </c>
      <c r="B7" s="122">
        <v>0</v>
      </c>
      <c r="C7" s="56">
        <v>0.95</v>
      </c>
      <c r="D7" s="57">
        <v>0.82</v>
      </c>
      <c r="E7" s="57" t="s">
        <v>234</v>
      </c>
    </row>
    <row r="8" spans="1:5" ht="15.75" customHeight="1" x14ac:dyDescent="0.25">
      <c r="A8" s="55" t="s">
        <v>64</v>
      </c>
      <c r="B8" s="56">
        <v>0</v>
      </c>
      <c r="C8" s="56">
        <v>0.95</v>
      </c>
      <c r="D8" s="57">
        <v>0.75</v>
      </c>
      <c r="E8" s="57" t="s">
        <v>234</v>
      </c>
    </row>
    <row r="9" spans="1:5" ht="15.75" customHeight="1" x14ac:dyDescent="0.25">
      <c r="A9" s="55" t="s">
        <v>62</v>
      </c>
      <c r="B9" s="56">
        <v>0</v>
      </c>
      <c r="C9" s="56">
        <v>0.95</v>
      </c>
      <c r="D9" s="57">
        <v>0.19</v>
      </c>
      <c r="E9" s="57" t="s">
        <v>234</v>
      </c>
    </row>
    <row r="10" spans="1:5" ht="15.75" customHeight="1" x14ac:dyDescent="0.25">
      <c r="A10" s="67" t="s">
        <v>186</v>
      </c>
      <c r="B10" s="122">
        <v>0</v>
      </c>
      <c r="C10" s="56">
        <v>0.95</v>
      </c>
      <c r="D10" s="57">
        <v>0.73</v>
      </c>
      <c r="E10" s="57" t="s">
        <v>234</v>
      </c>
    </row>
    <row r="11" spans="1:5" ht="15.75" customHeight="1" x14ac:dyDescent="0.25">
      <c r="A11" s="67" t="s">
        <v>237</v>
      </c>
      <c r="B11" s="122">
        <v>0</v>
      </c>
      <c r="C11" s="56">
        <v>0.95</v>
      </c>
      <c r="D11" s="57">
        <v>1.78</v>
      </c>
      <c r="E11" s="57" t="s">
        <v>234</v>
      </c>
    </row>
    <row r="12" spans="1:5" ht="15.75" customHeight="1" x14ac:dyDescent="0.25">
      <c r="A12" s="67" t="s">
        <v>187</v>
      </c>
      <c r="B12" s="122">
        <v>0</v>
      </c>
      <c r="C12" s="56">
        <v>0.95</v>
      </c>
      <c r="D12" s="57">
        <v>0.24</v>
      </c>
      <c r="E12" s="57" t="s">
        <v>234</v>
      </c>
    </row>
    <row r="13" spans="1:5" ht="15.75" customHeight="1" x14ac:dyDescent="0.25">
      <c r="A13" s="67" t="s">
        <v>188</v>
      </c>
      <c r="B13" s="122">
        <v>0</v>
      </c>
      <c r="C13" s="56">
        <v>0.95</v>
      </c>
      <c r="D13" s="57">
        <v>0.55000000000000004</v>
      </c>
      <c r="E13" s="57" t="s">
        <v>234</v>
      </c>
    </row>
    <row r="14" spans="1:5" ht="15.75" customHeight="1" x14ac:dyDescent="0.25">
      <c r="A14" s="14" t="s">
        <v>185</v>
      </c>
      <c r="B14" s="122">
        <v>0</v>
      </c>
      <c r="C14" s="56">
        <v>0.95</v>
      </c>
      <c r="D14" s="57">
        <v>0.73</v>
      </c>
      <c r="E14" s="57" t="s">
        <v>234</v>
      </c>
    </row>
    <row r="15" spans="1:5" ht="15.75" customHeight="1" x14ac:dyDescent="0.25">
      <c r="A15" s="83" t="s">
        <v>238</v>
      </c>
      <c r="B15" s="110">
        <v>0.47799999999999998</v>
      </c>
      <c r="C15" s="56">
        <v>0.95</v>
      </c>
      <c r="D15" s="57">
        <v>2</v>
      </c>
      <c r="E15" s="57" t="s">
        <v>234</v>
      </c>
    </row>
    <row r="16" spans="1:5" ht="15.75" customHeight="1" x14ac:dyDescent="0.25">
      <c r="A16" s="82" t="s">
        <v>57</v>
      </c>
      <c r="B16" s="110">
        <v>0.215</v>
      </c>
      <c r="C16" s="56">
        <v>0.95</v>
      </c>
      <c r="D16" s="57">
        <v>2.1800000000000002</v>
      </c>
      <c r="E16" s="57" t="s">
        <v>234</v>
      </c>
    </row>
    <row r="17" spans="1:5" ht="15.75" customHeight="1" x14ac:dyDescent="0.25">
      <c r="A17" s="55" t="s">
        <v>47</v>
      </c>
      <c r="B17" s="122">
        <v>0</v>
      </c>
      <c r="C17" s="56">
        <v>0.95</v>
      </c>
      <c r="D17" s="57">
        <v>0.05</v>
      </c>
      <c r="E17" s="57" t="s">
        <v>234</v>
      </c>
    </row>
    <row r="18" spans="1:5" ht="16.05" customHeight="1" x14ac:dyDescent="0.25">
      <c r="A18" s="55" t="s">
        <v>171</v>
      </c>
      <c r="B18" s="122">
        <v>0</v>
      </c>
      <c r="C18" s="56">
        <v>0.95</v>
      </c>
      <c r="D18" s="103">
        <v>5</v>
      </c>
      <c r="E18" s="57" t="s">
        <v>234</v>
      </c>
    </row>
    <row r="19" spans="1:5" ht="15.75" customHeight="1" x14ac:dyDescent="0.25">
      <c r="A19" s="55" t="s">
        <v>196</v>
      </c>
      <c r="B19" s="122">
        <v>0</v>
      </c>
      <c r="C19" s="56">
        <v>0.95</v>
      </c>
      <c r="D19" s="103">
        <f>SUMPRODUCT(('IYCF cost'!$C$2:$E$6)*('IYCF packages'!$C$9:$E$13&lt;&gt;""))</f>
        <v>4.8250000000000002</v>
      </c>
      <c r="E19" s="57" t="s">
        <v>234</v>
      </c>
    </row>
    <row r="20" spans="1:5" ht="15.75" customHeight="1" x14ac:dyDescent="0.25">
      <c r="A20" s="55" t="s">
        <v>197</v>
      </c>
      <c r="B20" s="122">
        <v>0</v>
      </c>
      <c r="C20" s="56">
        <v>0.95</v>
      </c>
      <c r="D20" s="103">
        <f>SUMPRODUCT(('IYCF cost'!$C$2:$E$6)*('IYCF packages'!$C$16:$E$20&lt;&gt;""))</f>
        <v>0.25</v>
      </c>
      <c r="E20" s="57" t="s">
        <v>234</v>
      </c>
    </row>
    <row r="21" spans="1:5" ht="15.75" customHeight="1" x14ac:dyDescent="0.25">
      <c r="A21" s="55" t="s">
        <v>193</v>
      </c>
      <c r="B21" s="122">
        <v>0</v>
      </c>
      <c r="C21" s="56">
        <v>0.95</v>
      </c>
      <c r="D21" s="57">
        <v>8.84</v>
      </c>
      <c r="E21" s="57" t="s">
        <v>234</v>
      </c>
    </row>
    <row r="22" spans="1:5" ht="15.75" customHeight="1" x14ac:dyDescent="0.25">
      <c r="A22" s="55" t="s">
        <v>136</v>
      </c>
      <c r="B22" s="122">
        <v>0</v>
      </c>
      <c r="C22" s="56">
        <v>0.95</v>
      </c>
      <c r="D22" s="57">
        <v>50</v>
      </c>
      <c r="E22" s="57" t="s">
        <v>234</v>
      </c>
    </row>
    <row r="23" spans="1:5" ht="15.75" customHeight="1" x14ac:dyDescent="0.25">
      <c r="A23" s="55" t="s">
        <v>34</v>
      </c>
      <c r="B23" s="122">
        <v>0</v>
      </c>
      <c r="C23" s="56">
        <v>0.95</v>
      </c>
      <c r="D23" s="57">
        <v>2.61</v>
      </c>
      <c r="E23" s="57" t="s">
        <v>234</v>
      </c>
    </row>
    <row r="24" spans="1:5" ht="15.75" customHeight="1" x14ac:dyDescent="0.25">
      <c r="A24" s="55" t="s">
        <v>88</v>
      </c>
      <c r="B24" s="122">
        <v>0</v>
      </c>
      <c r="C24" s="56">
        <v>0.95</v>
      </c>
      <c r="D24" s="57">
        <v>1</v>
      </c>
      <c r="E24" s="57" t="s">
        <v>234</v>
      </c>
    </row>
    <row r="25" spans="1:5" ht="15.75" customHeight="1" x14ac:dyDescent="0.25">
      <c r="A25" s="55" t="s">
        <v>87</v>
      </c>
      <c r="B25" s="122">
        <v>0</v>
      </c>
      <c r="C25" s="56">
        <v>0.95</v>
      </c>
      <c r="D25" s="57">
        <v>1</v>
      </c>
      <c r="E25" s="57" t="s">
        <v>234</v>
      </c>
    </row>
    <row r="26" spans="1:5" ht="15.75" customHeight="1" x14ac:dyDescent="0.25">
      <c r="A26" s="55" t="s">
        <v>137</v>
      </c>
      <c r="B26" s="122">
        <v>0</v>
      </c>
      <c r="C26" s="56">
        <v>0.95</v>
      </c>
      <c r="D26" s="57">
        <v>1</v>
      </c>
      <c r="E26" s="57" t="s">
        <v>234</v>
      </c>
    </row>
    <row r="27" spans="1:5" ht="15.75" customHeight="1" x14ac:dyDescent="0.25">
      <c r="A27" s="82" t="s">
        <v>59</v>
      </c>
      <c r="B27" s="122">
        <v>0</v>
      </c>
      <c r="C27" s="56">
        <v>0.95</v>
      </c>
      <c r="D27" s="57">
        <v>3.54</v>
      </c>
      <c r="E27" s="57" t="s">
        <v>234</v>
      </c>
    </row>
    <row r="28" spans="1:5" ht="15.75" customHeight="1" x14ac:dyDescent="0.25">
      <c r="A28" s="82" t="s">
        <v>84</v>
      </c>
      <c r="B28" s="110">
        <v>0.14400000000000002</v>
      </c>
      <c r="C28" s="56">
        <v>0.95</v>
      </c>
      <c r="D28" s="57">
        <v>1</v>
      </c>
      <c r="E28" s="57" t="s">
        <v>234</v>
      </c>
    </row>
    <row r="29" spans="1:5" ht="15.75" customHeight="1" x14ac:dyDescent="0.25">
      <c r="A29" s="55" t="s">
        <v>58</v>
      </c>
      <c r="B29" s="122">
        <v>0</v>
      </c>
      <c r="C29" s="56">
        <v>0.95</v>
      </c>
      <c r="D29" s="57">
        <v>40.25</v>
      </c>
      <c r="E29" s="57" t="s">
        <v>234</v>
      </c>
    </row>
    <row r="30" spans="1:5" ht="15.75" customHeight="1" x14ac:dyDescent="0.25">
      <c r="A30" s="55" t="s">
        <v>67</v>
      </c>
      <c r="B30" s="122">
        <v>0</v>
      </c>
      <c r="C30" s="56">
        <v>0.95</v>
      </c>
      <c r="D30" s="104">
        <f>162*AVERAGE('Incidence of conditions'!B4:F4) + 0*AVERAGE('Incidence of conditions'!B3:F3)*IF(ISBLANK(manage_mam), 0, 1)</f>
        <v>8.9172841679999983</v>
      </c>
      <c r="E30" s="57" t="s">
        <v>234</v>
      </c>
    </row>
    <row r="31" spans="1:5" ht="15.75" customHeight="1" x14ac:dyDescent="0.25">
      <c r="A31" s="82" t="s">
        <v>28</v>
      </c>
      <c r="B31" s="110">
        <v>0.63300000000000001</v>
      </c>
      <c r="C31" s="56">
        <v>0.95</v>
      </c>
      <c r="D31" s="57">
        <v>0.55000000000000004</v>
      </c>
      <c r="E31" s="57" t="s">
        <v>234</v>
      </c>
    </row>
    <row r="32" spans="1:5" ht="15.75" customHeight="1" x14ac:dyDescent="0.25">
      <c r="A32" s="55" t="s">
        <v>83</v>
      </c>
      <c r="B32" s="122">
        <v>0</v>
      </c>
      <c r="C32" s="56">
        <v>0.95</v>
      </c>
      <c r="D32" s="57">
        <v>1</v>
      </c>
      <c r="E32" s="57" t="s">
        <v>234</v>
      </c>
    </row>
    <row r="33" spans="1:5" ht="15.75" customHeight="1" x14ac:dyDescent="0.25">
      <c r="A33" s="55" t="s">
        <v>82</v>
      </c>
      <c r="B33" s="122">
        <v>0</v>
      </c>
      <c r="C33" s="56">
        <v>0.95</v>
      </c>
      <c r="D33" s="57">
        <v>2.8</v>
      </c>
      <c r="E33" s="57" t="s">
        <v>234</v>
      </c>
    </row>
    <row r="34" spans="1:5" ht="15.75" customHeight="1" x14ac:dyDescent="0.25">
      <c r="A34" s="55" t="s">
        <v>81</v>
      </c>
      <c r="B34" s="122">
        <v>0</v>
      </c>
      <c r="C34" s="56">
        <v>0.95</v>
      </c>
      <c r="D34" s="57">
        <v>50.26</v>
      </c>
      <c r="E34" s="57" t="s">
        <v>234</v>
      </c>
    </row>
    <row r="35" spans="1:5" ht="15.75" customHeight="1" x14ac:dyDescent="0.25">
      <c r="A35" s="55" t="s">
        <v>79</v>
      </c>
      <c r="B35" s="122">
        <v>0</v>
      </c>
      <c r="C35" s="56">
        <v>0.95</v>
      </c>
      <c r="D35" s="57">
        <v>36.1</v>
      </c>
      <c r="E35" s="57" t="s">
        <v>234</v>
      </c>
    </row>
    <row r="36" spans="1:5" s="41" customFormat="1" ht="15.75" customHeight="1" x14ac:dyDescent="0.25">
      <c r="A36" s="55" t="s">
        <v>80</v>
      </c>
      <c r="B36" s="122">
        <v>0</v>
      </c>
      <c r="C36" s="56">
        <v>0.95</v>
      </c>
      <c r="D36" s="57">
        <v>231.85</v>
      </c>
      <c r="E36" s="57" t="s">
        <v>234</v>
      </c>
    </row>
    <row r="37" spans="1:5" ht="15.75" customHeight="1" x14ac:dyDescent="0.25">
      <c r="A37" s="82" t="s">
        <v>85</v>
      </c>
      <c r="B37" s="111">
        <v>0</v>
      </c>
      <c r="C37" s="56">
        <v>0.95</v>
      </c>
      <c r="D37" s="57">
        <v>0.92</v>
      </c>
      <c r="E37" s="57" t="s">
        <v>234</v>
      </c>
    </row>
    <row r="38" spans="1:5" ht="15.75" customHeight="1" x14ac:dyDescent="0.25">
      <c r="A38" s="55" t="s">
        <v>60</v>
      </c>
      <c r="B38" s="122">
        <v>0</v>
      </c>
      <c r="C38" s="56">
        <v>0.95</v>
      </c>
      <c r="D38" s="57">
        <v>4.6100000000000003</v>
      </c>
      <c r="E38" s="57" t="s">
        <v>234</v>
      </c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E9"/>
  <sheetViews>
    <sheetView zoomScale="60" zoomScaleNormal="60" workbookViewId="0">
      <selection activeCell="F1" sqref="F1:F1048576"/>
    </sheetView>
  </sheetViews>
  <sheetFormatPr defaultColWidth="10.77734375" defaultRowHeight="15.6" x14ac:dyDescent="0.3"/>
  <cols>
    <col min="1" max="1" width="18.5546875" style="60" customWidth="1"/>
    <col min="2" max="16384" width="10.77734375" style="60"/>
  </cols>
  <sheetData>
    <row r="1" spans="1:5" ht="53.4" x14ac:dyDescent="0.3">
      <c r="A1" s="65" t="s">
        <v>192</v>
      </c>
      <c r="B1" s="64" t="s">
        <v>175</v>
      </c>
      <c r="C1" s="64" t="s">
        <v>174</v>
      </c>
      <c r="D1" s="64" t="s">
        <v>173</v>
      </c>
      <c r="E1" s="64" t="s">
        <v>172</v>
      </c>
    </row>
    <row r="2" spans="1:5" x14ac:dyDescent="0.3">
      <c r="A2" s="63" t="s">
        <v>164</v>
      </c>
      <c r="B2" s="62" t="s">
        <v>32</v>
      </c>
      <c r="C2" s="57">
        <f>1.5*0.61</f>
        <v>0.91500000000000004</v>
      </c>
      <c r="D2" s="57">
        <f>0.5*0.61</f>
        <v>0.30499999999999999</v>
      </c>
      <c r="E2" s="57">
        <v>0.05</v>
      </c>
    </row>
    <row r="3" spans="1:5" x14ac:dyDescent="0.3">
      <c r="A3" s="62"/>
      <c r="B3" s="62" t="s">
        <v>1</v>
      </c>
      <c r="C3" s="57">
        <f>1.5*0.61</f>
        <v>0.91500000000000004</v>
      </c>
      <c r="D3" s="57">
        <f>0.5*0.61</f>
        <v>0.30499999999999999</v>
      </c>
      <c r="E3" s="57">
        <v>0.05</v>
      </c>
    </row>
    <row r="4" spans="1:5" x14ac:dyDescent="0.3">
      <c r="A4" s="62"/>
      <c r="B4" s="62" t="s">
        <v>2</v>
      </c>
      <c r="C4" s="57">
        <f>1.5*0.61</f>
        <v>0.91500000000000004</v>
      </c>
      <c r="D4" s="57">
        <f>0.5*0.61</f>
        <v>0.30499999999999999</v>
      </c>
      <c r="E4" s="57">
        <v>0.05</v>
      </c>
    </row>
    <row r="5" spans="1:5" x14ac:dyDescent="0.3">
      <c r="A5" s="62"/>
      <c r="B5" s="62" t="s">
        <v>3</v>
      </c>
      <c r="C5" s="57">
        <f>1.5*0.61</f>
        <v>0.91500000000000004</v>
      </c>
      <c r="D5" s="57">
        <f>0.5*0.61</f>
        <v>0.30499999999999999</v>
      </c>
      <c r="E5" s="57">
        <v>0.05</v>
      </c>
    </row>
    <row r="6" spans="1:5" x14ac:dyDescent="0.3">
      <c r="A6" s="62"/>
      <c r="B6" s="62" t="s">
        <v>4</v>
      </c>
      <c r="C6" s="57">
        <f>1.5*0.61</f>
        <v>0.91500000000000004</v>
      </c>
      <c r="D6" s="57">
        <f>0.5*0.61</f>
        <v>0.30499999999999999</v>
      </c>
      <c r="E6" s="57">
        <v>0.05</v>
      </c>
    </row>
    <row r="9" spans="1:5" x14ac:dyDescent="0.3">
      <c r="C9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3203125" defaultRowHeight="13.2" x14ac:dyDescent="0.25"/>
  <cols>
    <col min="1" max="1" width="53" style="55" bestFit="1" customWidth="1"/>
    <col min="2" max="2" width="47.77734375" style="40" customWidth="1"/>
    <col min="3" max="3" width="42.33203125" style="40" customWidth="1"/>
    <col min="4" max="16384" width="11.33203125" style="40"/>
  </cols>
  <sheetData>
    <row r="1" spans="1:3" x14ac:dyDescent="0.25">
      <c r="A1" s="45" t="s">
        <v>69</v>
      </c>
      <c r="B1" s="45" t="s">
        <v>178</v>
      </c>
      <c r="C1" s="45" t="s">
        <v>177</v>
      </c>
    </row>
    <row r="2" spans="1:3" x14ac:dyDescent="0.25">
      <c r="A2" s="14" t="s">
        <v>185</v>
      </c>
      <c r="B2" s="51" t="s">
        <v>59</v>
      </c>
      <c r="C2" s="51"/>
    </row>
    <row r="3" spans="1:3" x14ac:dyDescent="0.25">
      <c r="A3" s="14" t="s">
        <v>238</v>
      </c>
      <c r="B3" s="51" t="s">
        <v>59</v>
      </c>
      <c r="C3" s="51"/>
    </row>
    <row r="4" spans="1:3" x14ac:dyDescent="0.25">
      <c r="A4" s="55" t="s">
        <v>58</v>
      </c>
      <c r="B4" s="51" t="s">
        <v>136</v>
      </c>
      <c r="C4" s="51"/>
    </row>
    <row r="5" spans="1:3" x14ac:dyDescent="0.25">
      <c r="A5" s="55" t="s">
        <v>137</v>
      </c>
      <c r="B5" s="51" t="s">
        <v>136</v>
      </c>
      <c r="C5" s="51"/>
    </row>
    <row r="11" spans="1:3" x14ac:dyDescent="0.25">
      <c r="A11" s="36"/>
    </row>
    <row r="12" spans="1:3" x14ac:dyDescent="0.25">
      <c r="A12" s="36"/>
    </row>
    <row r="13" spans="1:3" x14ac:dyDescent="0.25">
      <c r="A13" s="36"/>
    </row>
    <row r="14" spans="1:3" x14ac:dyDescent="0.25">
      <c r="A14" s="36"/>
    </row>
    <row r="15" spans="1:3" x14ac:dyDescent="0.25">
      <c r="A15" s="36"/>
    </row>
    <row r="16" spans="1:3" x14ac:dyDescent="0.25">
      <c r="A16" s="36"/>
    </row>
    <row r="17" spans="1:1" x14ac:dyDescent="0.25">
      <c r="A17" s="36"/>
    </row>
    <row r="18" spans="1:1" x14ac:dyDescent="0.25">
      <c r="A18" s="3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A19"/>
  <sheetViews>
    <sheetView workbookViewId="0">
      <selection activeCell="A6" sqref="A6"/>
    </sheetView>
  </sheetViews>
  <sheetFormatPr defaultColWidth="11.33203125" defaultRowHeight="13.2" x14ac:dyDescent="0.25"/>
  <cols>
    <col min="1" max="1" width="30.109375" style="40" customWidth="1"/>
    <col min="2" max="16384" width="11.33203125" style="40"/>
  </cols>
  <sheetData>
    <row r="1" spans="1:1" x14ac:dyDescent="0.25">
      <c r="A1" s="45" t="s">
        <v>69</v>
      </c>
    </row>
    <row r="2" spans="1:1" x14ac:dyDescent="0.25">
      <c r="A2" s="51" t="s">
        <v>195</v>
      </c>
    </row>
    <row r="3" spans="1:1" x14ac:dyDescent="0.25">
      <c r="A3" s="51" t="s">
        <v>57</v>
      </c>
    </row>
    <row r="4" spans="1:1" x14ac:dyDescent="0.25">
      <c r="A4" s="51" t="s">
        <v>34</v>
      </c>
    </row>
    <row r="5" spans="1:1" x14ac:dyDescent="0.25">
      <c r="A5" s="51" t="s">
        <v>83</v>
      </c>
    </row>
    <row r="6" spans="1:1" x14ac:dyDescent="0.25">
      <c r="A6" s="51" t="s">
        <v>82</v>
      </c>
    </row>
    <row r="7" spans="1:1" x14ac:dyDescent="0.25">
      <c r="A7" s="51" t="s">
        <v>81</v>
      </c>
    </row>
    <row r="8" spans="1:1" x14ac:dyDescent="0.25">
      <c r="A8" s="51" t="s">
        <v>79</v>
      </c>
    </row>
    <row r="9" spans="1:1" x14ac:dyDescent="0.25">
      <c r="A9" s="51" t="s">
        <v>80</v>
      </c>
    </row>
    <row r="10" spans="1:1" x14ac:dyDescent="0.25">
      <c r="A10" s="51"/>
    </row>
    <row r="11" spans="1:1" x14ac:dyDescent="0.25">
      <c r="A11" s="51"/>
    </row>
    <row r="12" spans="1:1" x14ac:dyDescent="0.25">
      <c r="A12" s="51"/>
    </row>
    <row r="13" spans="1:1" x14ac:dyDescent="0.25">
      <c r="A13" s="51"/>
    </row>
    <row r="14" spans="1:1" x14ac:dyDescent="0.25">
      <c r="A14" s="51"/>
    </row>
    <row r="15" spans="1:1" x14ac:dyDescent="0.25">
      <c r="A15" s="51"/>
    </row>
    <row r="16" spans="1:1" x14ac:dyDescent="0.25">
      <c r="A16" s="51"/>
    </row>
    <row r="17" spans="1:1" x14ac:dyDescent="0.25">
      <c r="A17" s="51"/>
    </row>
    <row r="18" spans="1:1" x14ac:dyDescent="0.25">
      <c r="A18" s="51"/>
    </row>
    <row r="19" spans="1:1" x14ac:dyDescent="0.25">
      <c r="A19" s="51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320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8">
        <f>'Baseline year population inputs'!C51</f>
        <v>3.3</v>
      </c>
      <c r="C2" s="28">
        <f>'Baseline year population inputs'!C52</f>
        <v>3.3</v>
      </c>
      <c r="D2" s="28">
        <f>'Baseline year population inputs'!C53</f>
        <v>3.3</v>
      </c>
      <c r="E2" s="28">
        <f>'Baseline year population inputs'!C54</f>
        <v>3.3</v>
      </c>
      <c r="F2" s="28">
        <f>'Baseline year population inputs'!C55</f>
        <v>3.3</v>
      </c>
    </row>
    <row r="3" spans="1:6" ht="15.75" customHeight="1" x14ac:dyDescent="0.25">
      <c r="A3" s="3" t="s">
        <v>65</v>
      </c>
      <c r="B3" s="28">
        <f>frac_mam_1month * 2.6</f>
        <v>0.54835741999999998</v>
      </c>
      <c r="C3" s="28">
        <f>frac_mam_1_5months * 2.6</f>
        <v>0.54835741999999998</v>
      </c>
      <c r="D3" s="28">
        <f>frac_mam_6_11months * 2.6</f>
        <v>0.12932114</v>
      </c>
      <c r="E3" s="28">
        <f>frac_mam_12_23months * 2.6</f>
        <v>0.14510886000000001</v>
      </c>
      <c r="F3" s="28">
        <f>frac_mam_24_59months * 2.6</f>
        <v>0.15533518000000002</v>
      </c>
    </row>
    <row r="4" spans="1:6" ht="15.75" customHeight="1" x14ac:dyDescent="0.25">
      <c r="A4" s="3" t="s">
        <v>66</v>
      </c>
      <c r="B4" s="28">
        <f>frac_sam_1month * 2.6</f>
        <v>5.2527539999999998E-2</v>
      </c>
      <c r="C4" s="28">
        <f>frac_sam_1_5months * 2.6</f>
        <v>5.2527539999999998E-2</v>
      </c>
      <c r="D4" s="28">
        <f>frac_sam_6_11months * 2.6</f>
        <v>0</v>
      </c>
      <c r="E4" s="28">
        <f>frac_sam_12_23months * 2.6</f>
        <v>0.12739402</v>
      </c>
      <c r="F4" s="28">
        <f>frac_sam_24_59months * 2.6</f>
        <v>4.2775720000000003E-2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3203125" defaultRowHeight="15.75" customHeight="1" x14ac:dyDescent="0.25"/>
  <cols>
    <col min="1" max="1" width="20" bestFit="1" customWidth="1"/>
    <col min="2" max="2" width="45.77734375" customWidth="1"/>
    <col min="3" max="3" width="8.332031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4" t="s">
        <v>61</v>
      </c>
      <c r="C2" s="38">
        <v>0</v>
      </c>
      <c r="D2" s="38">
        <f>food_insecure</f>
        <v>0.6</v>
      </c>
      <c r="E2" s="38">
        <f>food_insecure</f>
        <v>0.6</v>
      </c>
      <c r="F2" s="38">
        <f>food_insecure</f>
        <v>0.6</v>
      </c>
      <c r="G2" s="38">
        <f>food_insecure</f>
        <v>0.6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ht="15.75" customHeight="1" x14ac:dyDescent="0.25">
      <c r="B3" s="9" t="s">
        <v>149</v>
      </c>
      <c r="C3" s="38">
        <v>1</v>
      </c>
      <c r="D3" s="38">
        <v>0</v>
      </c>
      <c r="E3" s="38">
        <v>0</v>
      </c>
      <c r="F3" s="38">
        <v>0</v>
      </c>
      <c r="G3" s="38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ht="15.75" customHeight="1" x14ac:dyDescent="0.25">
      <c r="B4" s="9" t="s">
        <v>193</v>
      </c>
      <c r="C4" s="38">
        <v>1</v>
      </c>
      <c r="D4" s="38">
        <v>0</v>
      </c>
      <c r="E4" s="38">
        <v>0</v>
      </c>
      <c r="F4" s="38">
        <v>0</v>
      </c>
      <c r="G4" s="38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ht="15.75" customHeight="1" x14ac:dyDescent="0.25">
      <c r="B5" s="14" t="s">
        <v>136</v>
      </c>
      <c r="C5" s="38">
        <v>0</v>
      </c>
      <c r="D5" s="38">
        <v>0</v>
      </c>
      <c r="E5" s="38">
        <f>food_insecure</f>
        <v>0.6</v>
      </c>
      <c r="F5" s="38">
        <f>food_insecure</f>
        <v>0.6</v>
      </c>
      <c r="G5" s="38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ht="15.75" customHeight="1" x14ac:dyDescent="0.25">
      <c r="B6" s="14" t="s">
        <v>137</v>
      </c>
      <c r="C6" s="38">
        <v>0</v>
      </c>
      <c r="D6" s="38">
        <v>0</v>
      </c>
      <c r="E6" s="38">
        <f>1</f>
        <v>1</v>
      </c>
      <c r="F6" s="38">
        <f>1</f>
        <v>1</v>
      </c>
      <c r="G6" s="38">
        <f>1</f>
        <v>1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ht="15.75" customHeight="1" x14ac:dyDescent="0.25">
      <c r="B7" s="36" t="s">
        <v>84</v>
      </c>
      <c r="C7" s="38">
        <f>diarrhoea_1mo/26</f>
        <v>0.12692307692307692</v>
      </c>
      <c r="D7" s="38">
        <f>diarrhoea_1_5mo/26</f>
        <v>0.12692307692307692</v>
      </c>
      <c r="E7" s="38">
        <f>diarrhoea_6_11mo/26</f>
        <v>0.12692307692307692</v>
      </c>
      <c r="F7" s="38">
        <f>diarrhoea_12_23mo/26</f>
        <v>0.12692307692307692</v>
      </c>
      <c r="G7" s="38">
        <f>diarrhoea_24_59mo/26</f>
        <v>0.12692307692307692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ht="15.75" customHeight="1" x14ac:dyDescent="0.25">
      <c r="B8" s="14" t="s">
        <v>58</v>
      </c>
      <c r="C8" s="38">
        <v>0</v>
      </c>
      <c r="D8" s="38">
        <v>0</v>
      </c>
      <c r="E8" s="38">
        <f>food_insecure</f>
        <v>0.6</v>
      </c>
      <c r="F8" s="38">
        <f>food_insecure</f>
        <v>0.6</v>
      </c>
      <c r="G8" s="38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ht="15.75" customHeight="1" x14ac:dyDescent="0.25">
      <c r="B9" s="14" t="s">
        <v>67</v>
      </c>
      <c r="C9" s="38">
        <v>0</v>
      </c>
      <c r="D9" s="38">
        <f>IF(ISBLANK(comm_deliv), frac_children_health_facility,1)</f>
        <v>0.21199999999999999</v>
      </c>
      <c r="E9" s="38">
        <f>IF(ISBLANK(comm_deliv), frac_children_health_facility,1)</f>
        <v>0.21199999999999999</v>
      </c>
      <c r="F9" s="38">
        <f>IF(ISBLANK(comm_deliv), frac_children_health_facility,1)</f>
        <v>0.21199999999999999</v>
      </c>
      <c r="G9" s="38">
        <f>IF(ISBLANK(comm_deliv), frac_children_health_facility,1)</f>
        <v>0.21199999999999999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ht="15" customHeight="1" x14ac:dyDescent="0.25">
      <c r="B10" s="14" t="s">
        <v>28</v>
      </c>
      <c r="C10" s="38">
        <v>0</v>
      </c>
      <c r="D10" s="38">
        <v>0</v>
      </c>
      <c r="E10" s="38">
        <v>1</v>
      </c>
      <c r="F10" s="38">
        <v>1</v>
      </c>
      <c r="G10" s="38">
        <v>1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</row>
    <row r="11" spans="1:15" ht="15.75" customHeight="1" x14ac:dyDescent="0.25">
      <c r="B11" s="36" t="s">
        <v>85</v>
      </c>
      <c r="C11" s="38">
        <f>diarrhoea_1mo/26</f>
        <v>0.12692307692307692</v>
      </c>
      <c r="D11" s="38">
        <f>diarrhoea_1_5mo/26</f>
        <v>0.12692307692307692</v>
      </c>
      <c r="E11" s="38">
        <f>diarrhoea_6_11mo/26</f>
        <v>0.12692307692307692</v>
      </c>
      <c r="F11" s="38">
        <f>diarrhoea_12_23mo/26</f>
        <v>0.12692307692307692</v>
      </c>
      <c r="G11" s="38">
        <f>diarrhoea_24_59mo/26</f>
        <v>0.12692307692307692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</row>
    <row r="12" spans="1:15" ht="15.75" customHeight="1" x14ac:dyDescent="0.25">
      <c r="B12" s="14" t="s">
        <v>60</v>
      </c>
      <c r="C12" s="38">
        <v>0</v>
      </c>
      <c r="D12" s="38">
        <v>0</v>
      </c>
      <c r="E12" s="38">
        <v>1</v>
      </c>
      <c r="F12" s="38">
        <v>1</v>
      </c>
      <c r="G12" s="38">
        <v>1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</row>
    <row r="13" spans="1:15" ht="15.75" customHeight="1" x14ac:dyDescent="0.25">
      <c r="B13" s="36"/>
    </row>
    <row r="14" spans="1:15" ht="15.75" customHeight="1" x14ac:dyDescent="0.25">
      <c r="A14" s="4" t="s">
        <v>32</v>
      </c>
      <c r="B14" s="36" t="s">
        <v>29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8">
        <f>food_insecure</f>
        <v>0.6</v>
      </c>
      <c r="I14" s="38">
        <f>food_insecure</f>
        <v>0.6</v>
      </c>
      <c r="J14" s="38">
        <f>food_insecure</f>
        <v>0.6</v>
      </c>
      <c r="K14" s="38">
        <f>food_insecure</f>
        <v>0.6</v>
      </c>
      <c r="L14" s="39">
        <v>0</v>
      </c>
      <c r="M14" s="39">
        <v>0</v>
      </c>
      <c r="N14" s="39">
        <v>0</v>
      </c>
      <c r="O14" s="39">
        <v>0</v>
      </c>
    </row>
    <row r="15" spans="1:15" ht="15.75" customHeight="1" x14ac:dyDescent="0.25">
      <c r="A15" s="4"/>
      <c r="B15" s="14" t="s">
        <v>86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8">
        <v>1</v>
      </c>
      <c r="I15" s="38">
        <v>1</v>
      </c>
      <c r="J15" s="38">
        <v>1</v>
      </c>
      <c r="K15" s="38">
        <v>1</v>
      </c>
      <c r="L15" s="39">
        <v>0</v>
      </c>
      <c r="M15" s="39">
        <v>0</v>
      </c>
      <c r="N15" s="39">
        <v>0</v>
      </c>
      <c r="O15" s="39">
        <v>0</v>
      </c>
    </row>
    <row r="16" spans="1:15" ht="15.75" customHeight="1" x14ac:dyDescent="0.25">
      <c r="A16" s="4"/>
      <c r="B16" s="14" t="s">
        <v>185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8">
        <f xml:space="preserve"> 1</f>
        <v>1</v>
      </c>
      <c r="I16" s="38">
        <f xml:space="preserve"> 1</f>
        <v>1</v>
      </c>
      <c r="J16" s="38">
        <f xml:space="preserve"> 1</f>
        <v>1</v>
      </c>
      <c r="K16" s="38">
        <f xml:space="preserve"> 1</f>
        <v>1</v>
      </c>
      <c r="L16" s="39">
        <v>0</v>
      </c>
      <c r="M16" s="39">
        <v>0</v>
      </c>
      <c r="N16" s="39">
        <v>0</v>
      </c>
      <c r="O16" s="39">
        <v>0</v>
      </c>
    </row>
    <row r="17" spans="1:15" ht="15.75" customHeight="1" x14ac:dyDescent="0.25">
      <c r="A17" s="4"/>
      <c r="B17" s="14" t="s">
        <v>238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8">
        <f>frac_PW_health_facility</f>
        <v>0.35699999999999998</v>
      </c>
      <c r="I17" s="38">
        <f>frac_PW_health_facility</f>
        <v>0.35699999999999998</v>
      </c>
      <c r="J17" s="38">
        <f>frac_PW_health_facility</f>
        <v>0.35699999999999998</v>
      </c>
      <c r="K17" s="38">
        <f>frac_PW_health_facility</f>
        <v>0.35699999999999998</v>
      </c>
      <c r="L17" s="39">
        <v>0</v>
      </c>
      <c r="M17" s="39">
        <v>0</v>
      </c>
      <c r="N17" s="39">
        <v>0</v>
      </c>
      <c r="O17" s="39">
        <v>0</v>
      </c>
    </row>
    <row r="18" spans="1:15" ht="15" customHeight="1" x14ac:dyDescent="0.25">
      <c r="B18" s="36" t="s">
        <v>57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8">
        <f>frac_malaria_risk</f>
        <v>0.26629999999999998</v>
      </c>
      <c r="I18" s="38">
        <f>frac_malaria_risk</f>
        <v>0.26629999999999998</v>
      </c>
      <c r="J18" s="38">
        <f>frac_malaria_risk</f>
        <v>0.26629999999999998</v>
      </c>
      <c r="K18" s="38">
        <f>frac_malaria_risk</f>
        <v>0.26629999999999998</v>
      </c>
      <c r="L18" s="39">
        <v>0</v>
      </c>
      <c r="M18" s="39">
        <v>0</v>
      </c>
      <c r="N18" s="39">
        <v>0</v>
      </c>
      <c r="O18" s="39">
        <v>0</v>
      </c>
    </row>
    <row r="19" spans="1:15" ht="15.75" customHeight="1" x14ac:dyDescent="0.25">
      <c r="B19" s="14" t="s">
        <v>88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8">
        <v>1</v>
      </c>
      <c r="I19" s="38">
        <v>1</v>
      </c>
      <c r="J19" s="38">
        <v>1</v>
      </c>
      <c r="K19" s="38">
        <v>1</v>
      </c>
      <c r="L19" s="39">
        <v>0</v>
      </c>
      <c r="M19" s="39">
        <v>0</v>
      </c>
      <c r="N19" s="39">
        <v>0</v>
      </c>
      <c r="O19" s="39">
        <v>0</v>
      </c>
    </row>
    <row r="20" spans="1:15" ht="15.75" customHeight="1" x14ac:dyDescent="0.25">
      <c r="B20" s="14" t="s">
        <v>87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8">
        <v>1</v>
      </c>
      <c r="I20" s="38">
        <v>1</v>
      </c>
      <c r="J20" s="38">
        <v>1</v>
      </c>
      <c r="K20" s="38">
        <v>1</v>
      </c>
      <c r="L20" s="39">
        <v>0</v>
      </c>
      <c r="M20" s="39">
        <v>0</v>
      </c>
      <c r="N20" s="39">
        <v>0</v>
      </c>
      <c r="O20" s="39">
        <v>0</v>
      </c>
    </row>
    <row r="21" spans="1:15" ht="15.75" customHeight="1" x14ac:dyDescent="0.25">
      <c r="B21" s="36" t="s">
        <v>59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8">
        <f>1</f>
        <v>1</v>
      </c>
      <c r="I21" s="38">
        <f>1</f>
        <v>1</v>
      </c>
      <c r="J21" s="38">
        <f>1</f>
        <v>1</v>
      </c>
      <c r="K21" s="38">
        <f>1</f>
        <v>1</v>
      </c>
      <c r="L21" s="39">
        <v>0</v>
      </c>
      <c r="M21" s="39">
        <v>0</v>
      </c>
      <c r="N21" s="39">
        <v>0</v>
      </c>
      <c r="O21" s="39">
        <v>0</v>
      </c>
    </row>
    <row r="22" spans="1:15" ht="15.75" customHeight="1" x14ac:dyDescent="0.25">
      <c r="B22" s="36"/>
    </row>
    <row r="23" spans="1:15" ht="15.75" customHeight="1" x14ac:dyDescent="0.25">
      <c r="A23" s="66" t="s">
        <v>37</v>
      </c>
      <c r="B23" s="67" t="s">
        <v>195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8">
        <v>1</v>
      </c>
      <c r="M23" s="38">
        <v>1</v>
      </c>
      <c r="N23" s="38">
        <v>1</v>
      </c>
      <c r="O23" s="38">
        <v>1</v>
      </c>
    </row>
    <row r="24" spans="1:15" ht="15.75" customHeight="1" x14ac:dyDescent="0.25">
      <c r="B24" s="67" t="s">
        <v>186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8">
        <f>(1-food_insecure)*(0.49)*(1-school_attendance) + food_insecure*(0.7)*(1-school_attendance)</f>
        <v>0.18042640000000004</v>
      </c>
      <c r="M24" s="38">
        <f>(1-food_insecure)*(0.49)+food_insecure*(0.7)</f>
        <v>0.61599999999999999</v>
      </c>
      <c r="N24" s="38">
        <f>(1-food_insecure)*(0.49)+food_insecure*(0.7)</f>
        <v>0.61599999999999999</v>
      </c>
      <c r="O24" s="38">
        <f>(1-food_insecure)*(0.49)+food_insecure*(0.7)</f>
        <v>0.61599999999999999</v>
      </c>
    </row>
    <row r="25" spans="1:15" ht="15.75" customHeight="1" x14ac:dyDescent="0.25">
      <c r="B25" s="67" t="s">
        <v>237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8">
        <f>(1-food_insecure)*(0.21)*(1-school_attendance) + food_insecure*(0.3)*(1-school_attendance)</f>
        <v>7.7325600000000008E-2</v>
      </c>
      <c r="M25" s="38">
        <f>(1-food_insecure)*(0.21)+food_insecure*(0.3)</f>
        <v>0.26400000000000001</v>
      </c>
      <c r="N25" s="38">
        <f>(1-food_insecure)*(0.21)+food_insecure*(0.3)</f>
        <v>0.26400000000000001</v>
      </c>
      <c r="O25" s="38">
        <f>(1-food_insecure)*(0.21)+food_insecure*(0.3)</f>
        <v>0.26400000000000001</v>
      </c>
    </row>
    <row r="26" spans="1:15" ht="15.75" customHeight="1" x14ac:dyDescent="0.25">
      <c r="B26" s="67" t="s">
        <v>187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8">
        <f>(1-food_insecure)*(0.3)*(1-school_attendance)</f>
        <v>3.5148000000000006E-2</v>
      </c>
      <c r="M26" s="38">
        <f>(1-food_insecure)*(0.3)</f>
        <v>0.12</v>
      </c>
      <c r="N26" s="38">
        <f>(1-food_insecure)*(0.3)</f>
        <v>0.12</v>
      </c>
      <c r="O26" s="38">
        <f>(1-food_insecure)*(0.3)</f>
        <v>0.12</v>
      </c>
    </row>
    <row r="27" spans="1:15" ht="15.75" customHeight="1" x14ac:dyDescent="0.25">
      <c r="B27" s="67" t="s">
        <v>188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8">
        <f>(1-food_insecure)*1*school_attendance + food_insecure*1*school_attendance</f>
        <v>0.70709999999999995</v>
      </c>
      <c r="M27" s="38">
        <v>0</v>
      </c>
      <c r="N27" s="38">
        <v>0</v>
      </c>
      <c r="O27" s="38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5">
      <c r="A29" s="4" t="s">
        <v>35</v>
      </c>
      <c r="B29" s="14" t="s">
        <v>63</v>
      </c>
      <c r="C29" s="38">
        <v>0</v>
      </c>
      <c r="D29" s="38">
        <v>0</v>
      </c>
      <c r="E29" s="38">
        <f t="shared" ref="E29:O29" si="0">frac_maize</f>
        <v>0.1</v>
      </c>
      <c r="F29" s="38">
        <f t="shared" si="0"/>
        <v>0.1</v>
      </c>
      <c r="G29" s="38">
        <f t="shared" si="0"/>
        <v>0.1</v>
      </c>
      <c r="H29" s="38">
        <f t="shared" si="0"/>
        <v>0.1</v>
      </c>
      <c r="I29" s="38">
        <f t="shared" si="0"/>
        <v>0.1</v>
      </c>
      <c r="J29" s="38">
        <f t="shared" si="0"/>
        <v>0.1</v>
      </c>
      <c r="K29" s="38">
        <f t="shared" si="0"/>
        <v>0.1</v>
      </c>
      <c r="L29" s="38">
        <f t="shared" si="0"/>
        <v>0.1</v>
      </c>
      <c r="M29" s="38">
        <f t="shared" si="0"/>
        <v>0.1</v>
      </c>
      <c r="N29" s="38">
        <f t="shared" si="0"/>
        <v>0.1</v>
      </c>
      <c r="O29" s="38">
        <f t="shared" si="0"/>
        <v>0.1</v>
      </c>
    </row>
    <row r="30" spans="1:15" ht="15.75" customHeight="1" x14ac:dyDescent="0.25">
      <c r="B30" s="14" t="s">
        <v>64</v>
      </c>
      <c r="C30" s="38">
        <v>0</v>
      </c>
      <c r="D30" s="38">
        <v>0</v>
      </c>
      <c r="E30" s="38">
        <f t="shared" ref="E30:O30" si="1">frac_rice</f>
        <v>0.1</v>
      </c>
      <c r="F30" s="38">
        <f t="shared" si="1"/>
        <v>0.1</v>
      </c>
      <c r="G30" s="38">
        <f t="shared" si="1"/>
        <v>0.1</v>
      </c>
      <c r="H30" s="38">
        <f t="shared" si="1"/>
        <v>0.1</v>
      </c>
      <c r="I30" s="38">
        <f t="shared" si="1"/>
        <v>0.1</v>
      </c>
      <c r="J30" s="38">
        <f t="shared" si="1"/>
        <v>0.1</v>
      </c>
      <c r="K30" s="38">
        <f t="shared" si="1"/>
        <v>0.1</v>
      </c>
      <c r="L30" s="38">
        <f t="shared" si="1"/>
        <v>0.1</v>
      </c>
      <c r="M30" s="38">
        <f t="shared" si="1"/>
        <v>0.1</v>
      </c>
      <c r="N30" s="38">
        <f t="shared" si="1"/>
        <v>0.1</v>
      </c>
      <c r="O30" s="38">
        <f t="shared" si="1"/>
        <v>0.1</v>
      </c>
    </row>
    <row r="31" spans="1:15" ht="15.75" customHeight="1" x14ac:dyDescent="0.25">
      <c r="B31" s="14" t="s">
        <v>62</v>
      </c>
      <c r="C31" s="38">
        <v>0</v>
      </c>
      <c r="D31" s="38">
        <v>0</v>
      </c>
      <c r="E31" s="38">
        <f t="shared" ref="E31:O31" si="2">frac_wheat</f>
        <v>0.1</v>
      </c>
      <c r="F31" s="38">
        <f t="shared" si="2"/>
        <v>0.1</v>
      </c>
      <c r="G31" s="38">
        <f t="shared" si="2"/>
        <v>0.1</v>
      </c>
      <c r="H31" s="38">
        <f t="shared" si="2"/>
        <v>0.1</v>
      </c>
      <c r="I31" s="38">
        <f t="shared" si="2"/>
        <v>0.1</v>
      </c>
      <c r="J31" s="38">
        <f t="shared" si="2"/>
        <v>0.1</v>
      </c>
      <c r="K31" s="38">
        <f t="shared" si="2"/>
        <v>0.1</v>
      </c>
      <c r="L31" s="38">
        <f t="shared" si="2"/>
        <v>0.1</v>
      </c>
      <c r="M31" s="38">
        <f t="shared" si="2"/>
        <v>0.1</v>
      </c>
      <c r="N31" s="38">
        <f t="shared" si="2"/>
        <v>0.1</v>
      </c>
      <c r="O31" s="38">
        <f t="shared" si="2"/>
        <v>0.1</v>
      </c>
    </row>
    <row r="32" spans="1:15" ht="15.75" customHeight="1" x14ac:dyDescent="0.25">
      <c r="B32" s="14" t="s">
        <v>47</v>
      </c>
      <c r="C32" s="38">
        <v>0</v>
      </c>
      <c r="D32" s="38">
        <v>0</v>
      </c>
      <c r="E32" s="38">
        <v>1</v>
      </c>
      <c r="F32" s="38">
        <v>1</v>
      </c>
      <c r="G32" s="38">
        <v>1</v>
      </c>
      <c r="H32" s="38">
        <v>1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1</v>
      </c>
      <c r="O32" s="38">
        <v>1</v>
      </c>
    </row>
    <row r="33" spans="1:15" ht="15.75" customHeight="1" x14ac:dyDescent="0.25">
      <c r="B33" s="14" t="s">
        <v>34</v>
      </c>
      <c r="C33" s="38">
        <f t="shared" ref="C33:O33" si="3">frac_malaria_risk</f>
        <v>0.26629999999999998</v>
      </c>
      <c r="D33" s="38">
        <f t="shared" si="3"/>
        <v>0.26629999999999998</v>
      </c>
      <c r="E33" s="38">
        <f t="shared" si="3"/>
        <v>0.26629999999999998</v>
      </c>
      <c r="F33" s="38">
        <f t="shared" si="3"/>
        <v>0.26629999999999998</v>
      </c>
      <c r="G33" s="38">
        <f t="shared" si="3"/>
        <v>0.26629999999999998</v>
      </c>
      <c r="H33" s="38">
        <f t="shared" si="3"/>
        <v>0.26629999999999998</v>
      </c>
      <c r="I33" s="38">
        <f t="shared" si="3"/>
        <v>0.26629999999999998</v>
      </c>
      <c r="J33" s="38">
        <f t="shared" si="3"/>
        <v>0.26629999999999998</v>
      </c>
      <c r="K33" s="38">
        <f t="shared" si="3"/>
        <v>0.26629999999999998</v>
      </c>
      <c r="L33" s="38">
        <f t="shared" si="3"/>
        <v>0.26629999999999998</v>
      </c>
      <c r="M33" s="38">
        <f t="shared" si="3"/>
        <v>0.26629999999999998</v>
      </c>
      <c r="N33" s="38">
        <f t="shared" si="3"/>
        <v>0.26629999999999998</v>
      </c>
      <c r="O33" s="38">
        <f t="shared" si="3"/>
        <v>0.26629999999999998</v>
      </c>
    </row>
    <row r="34" spans="1:15" ht="15.75" customHeight="1" x14ac:dyDescent="0.25">
      <c r="B34" s="36" t="s">
        <v>83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  <c r="L34" s="38">
        <v>1</v>
      </c>
      <c r="M34" s="38">
        <v>1</v>
      </c>
      <c r="N34" s="38">
        <v>1</v>
      </c>
      <c r="O34" s="38">
        <v>1</v>
      </c>
    </row>
    <row r="35" spans="1:15" ht="15.75" customHeight="1" x14ac:dyDescent="0.25">
      <c r="A35" s="5"/>
      <c r="B35" s="36" t="s">
        <v>82</v>
      </c>
      <c r="C35" s="38">
        <v>1</v>
      </c>
      <c r="D35" s="38">
        <v>1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1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</row>
    <row r="36" spans="1:15" s="5" customFormat="1" ht="15.75" customHeight="1" x14ac:dyDescent="0.25">
      <c r="B36" s="36" t="s">
        <v>81</v>
      </c>
      <c r="C36" s="38">
        <v>1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1</v>
      </c>
      <c r="K36" s="38">
        <v>1</v>
      </c>
      <c r="L36" s="38">
        <v>1</v>
      </c>
      <c r="M36" s="38">
        <v>1</v>
      </c>
      <c r="N36" s="38">
        <v>1</v>
      </c>
      <c r="O36" s="38">
        <v>1</v>
      </c>
    </row>
    <row r="37" spans="1:15" s="5" customFormat="1" ht="15.75" customHeight="1" x14ac:dyDescent="0.25">
      <c r="B37" s="36" t="s">
        <v>79</v>
      </c>
      <c r="C37" s="38">
        <v>1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1</v>
      </c>
      <c r="K37" s="38">
        <v>1</v>
      </c>
      <c r="L37" s="38">
        <v>1</v>
      </c>
      <c r="M37" s="38">
        <v>1</v>
      </c>
      <c r="N37" s="38">
        <v>1</v>
      </c>
      <c r="O37" s="38">
        <v>1</v>
      </c>
    </row>
    <row r="38" spans="1:15" s="5" customFormat="1" ht="15.75" customHeight="1" x14ac:dyDescent="0.25">
      <c r="B38" s="36" t="s">
        <v>80</v>
      </c>
      <c r="C38" s="38">
        <v>1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1</v>
      </c>
      <c r="K38" s="38">
        <v>1</v>
      </c>
      <c r="L38" s="38">
        <v>1</v>
      </c>
      <c r="M38" s="38">
        <v>1</v>
      </c>
      <c r="N38" s="38">
        <v>1</v>
      </c>
      <c r="O38" s="38">
        <v>1</v>
      </c>
    </row>
    <row r="39" spans="1:15" ht="15.75" customHeight="1" x14ac:dyDescent="0.25">
      <c r="B39" s="36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E11"/>
  <sheetViews>
    <sheetView workbookViewId="0">
      <selection activeCell="E2" sqref="E2:E10"/>
    </sheetView>
  </sheetViews>
  <sheetFormatPr defaultColWidth="11.33203125" defaultRowHeight="13.2" x14ac:dyDescent="0.25"/>
  <cols>
    <col min="1" max="1" width="33.5546875" style="40" customWidth="1"/>
    <col min="2" max="2" width="12.33203125" style="40" customWidth="1"/>
    <col min="3" max="4" width="11.33203125" style="40"/>
    <col min="5" max="5" width="17.33203125" style="40" customWidth="1"/>
    <col min="6" max="16384" width="11.33203125" style="40"/>
  </cols>
  <sheetData>
    <row r="1" spans="1:5" x14ac:dyDescent="0.25">
      <c r="A1" s="45" t="s">
        <v>163</v>
      </c>
      <c r="B1" s="45" t="s">
        <v>162</v>
      </c>
      <c r="C1" s="45" t="s">
        <v>161</v>
      </c>
      <c r="D1" s="45" t="s">
        <v>160</v>
      </c>
      <c r="E1" s="45" t="s">
        <v>159</v>
      </c>
    </row>
    <row r="2" spans="1:5" ht="13.8" x14ac:dyDescent="0.25">
      <c r="A2" s="44" t="s">
        <v>158</v>
      </c>
      <c r="B2" s="43">
        <v>0.9</v>
      </c>
      <c r="C2" s="42">
        <v>0.09</v>
      </c>
      <c r="D2" s="40">
        <v>0.8</v>
      </c>
      <c r="E2" s="40">
        <f t="shared" ref="E2:E10" si="0">C2*D2</f>
        <v>7.1999999999999995E-2</v>
      </c>
    </row>
    <row r="3" spans="1:5" ht="13.8" x14ac:dyDescent="0.25">
      <c r="A3" s="44" t="s">
        <v>157</v>
      </c>
      <c r="B3" s="43">
        <v>1</v>
      </c>
      <c r="C3" s="42">
        <v>0.02</v>
      </c>
      <c r="D3" s="40">
        <v>1.9</v>
      </c>
      <c r="E3" s="40">
        <f t="shared" si="0"/>
        <v>3.7999999999999999E-2</v>
      </c>
    </row>
    <row r="4" spans="1:5" ht="13.8" x14ac:dyDescent="0.25">
      <c r="A4" s="44" t="s">
        <v>156</v>
      </c>
      <c r="B4" s="43">
        <v>1</v>
      </c>
      <c r="C4" s="42">
        <v>0.08</v>
      </c>
      <c r="D4" s="40">
        <v>2</v>
      </c>
      <c r="E4" s="40">
        <f t="shared" si="0"/>
        <v>0.16</v>
      </c>
    </row>
    <row r="5" spans="1:5" ht="13.8" x14ac:dyDescent="0.25">
      <c r="A5" s="44" t="s">
        <v>155</v>
      </c>
      <c r="B5" s="43">
        <v>1</v>
      </c>
      <c r="C5" s="42">
        <v>0.18</v>
      </c>
      <c r="D5" s="40">
        <v>0.7</v>
      </c>
      <c r="E5" s="40">
        <f t="shared" si="0"/>
        <v>0.126</v>
      </c>
    </row>
    <row r="6" spans="1:5" ht="13.8" x14ac:dyDescent="0.25">
      <c r="A6" s="44" t="s">
        <v>154</v>
      </c>
      <c r="B6" s="43">
        <v>1</v>
      </c>
      <c r="C6" s="42">
        <v>0.02</v>
      </c>
      <c r="D6" s="40">
        <v>0.7</v>
      </c>
      <c r="E6" s="40">
        <f t="shared" si="0"/>
        <v>1.3999999999999999E-2</v>
      </c>
    </row>
    <row r="7" spans="1:5" ht="13.8" x14ac:dyDescent="0.25">
      <c r="A7" s="44" t="s">
        <v>153</v>
      </c>
      <c r="B7" s="43">
        <v>0.93</v>
      </c>
      <c r="C7" s="42">
        <v>0.45</v>
      </c>
      <c r="D7" s="40">
        <v>0.9</v>
      </c>
      <c r="E7" s="40">
        <f t="shared" si="0"/>
        <v>0.40500000000000003</v>
      </c>
    </row>
    <row r="8" spans="1:5" ht="13.8" x14ac:dyDescent="0.25">
      <c r="A8" s="44" t="s">
        <v>152</v>
      </c>
      <c r="B8" s="43">
        <v>0.5</v>
      </c>
      <c r="C8" s="42">
        <v>0.03</v>
      </c>
      <c r="D8" s="40">
        <v>0</v>
      </c>
      <c r="E8" s="40">
        <f t="shared" si="0"/>
        <v>0</v>
      </c>
    </row>
    <row r="9" spans="1:5" ht="13.8" x14ac:dyDescent="0.25">
      <c r="A9" s="44" t="s">
        <v>151</v>
      </c>
      <c r="B9" s="43">
        <v>0.5</v>
      </c>
      <c r="C9" s="42">
        <v>0.11</v>
      </c>
      <c r="D9" s="40">
        <v>0</v>
      </c>
      <c r="E9" s="40">
        <f t="shared" si="0"/>
        <v>0</v>
      </c>
    </row>
    <row r="10" spans="1:5" ht="13.8" x14ac:dyDescent="0.25">
      <c r="A10" s="44" t="s">
        <v>150</v>
      </c>
      <c r="B10" s="43">
        <v>0.98</v>
      </c>
      <c r="C10" s="42">
        <v>0.01</v>
      </c>
      <c r="D10" s="40">
        <v>0.6</v>
      </c>
      <c r="E10" s="40">
        <f t="shared" si="0"/>
        <v>6.0000000000000001E-3</v>
      </c>
    </row>
    <row r="11" spans="1:5" x14ac:dyDescent="0.25">
      <c r="C11" s="4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600"/>
  </sheetPr>
  <dimension ref="A1:E60"/>
  <sheetViews>
    <sheetView tabSelected="1" zoomScale="119" zoomScaleNormal="115" workbookViewId="0">
      <selection activeCell="C20" sqref="C20"/>
    </sheetView>
  </sheetViews>
  <sheetFormatPr defaultColWidth="14.33203125" defaultRowHeight="15.75" customHeight="1" x14ac:dyDescent="0.25"/>
  <cols>
    <col min="1" max="1" width="30.6640625" style="15" customWidth="1"/>
    <col min="2" max="2" width="38.5546875" style="18" customWidth="1"/>
    <col min="3" max="3" width="14.33203125" style="15" customWidth="1"/>
    <col min="4" max="16384" width="14.33203125" style="15"/>
  </cols>
  <sheetData>
    <row r="1" spans="1:4" ht="27" customHeight="1" x14ac:dyDescent="0.3">
      <c r="A1" s="1" t="s">
        <v>100</v>
      </c>
      <c r="B1" s="46" t="s">
        <v>164</v>
      </c>
      <c r="C1" s="119" t="s">
        <v>232</v>
      </c>
      <c r="D1" s="84"/>
    </row>
    <row r="2" spans="1:4" ht="16.05" customHeight="1" x14ac:dyDescent="0.25">
      <c r="A2" s="15" t="s">
        <v>189</v>
      </c>
      <c r="B2" s="46"/>
    </row>
    <row r="3" spans="1:4" ht="16.05" customHeight="1" x14ac:dyDescent="0.25">
      <c r="A3" s="1"/>
      <c r="B3" s="9" t="s">
        <v>191</v>
      </c>
      <c r="C3" s="70">
        <v>2017</v>
      </c>
    </row>
    <row r="4" spans="1:4" ht="16.05" customHeight="1" x14ac:dyDescent="0.25">
      <c r="A4" s="1"/>
      <c r="B4" s="12" t="s">
        <v>190</v>
      </c>
      <c r="C4" s="71">
        <v>2030</v>
      </c>
    </row>
    <row r="5" spans="1:4" ht="16.05" customHeight="1" x14ac:dyDescent="0.25">
      <c r="A5" s="1"/>
      <c r="B5" s="46"/>
    </row>
    <row r="6" spans="1:4" ht="15" customHeight="1" x14ac:dyDescent="0.25">
      <c r="A6" s="15" t="s">
        <v>48</v>
      </c>
    </row>
    <row r="7" spans="1:4" ht="15" customHeight="1" x14ac:dyDescent="0.25">
      <c r="B7" s="18" t="s">
        <v>231</v>
      </c>
      <c r="C7" s="78">
        <v>305795.57266903151</v>
      </c>
    </row>
    <row r="8" spans="1:4" ht="15" customHeight="1" x14ac:dyDescent="0.3">
      <c r="B8" s="9" t="s">
        <v>106</v>
      </c>
      <c r="C8" s="115">
        <v>0.6</v>
      </c>
    </row>
    <row r="9" spans="1:4" ht="38.25" customHeight="1" x14ac:dyDescent="0.25">
      <c r="A9" s="100"/>
      <c r="B9" s="12" t="s">
        <v>107</v>
      </c>
      <c r="C9" s="111">
        <v>0.26629999999999998</v>
      </c>
    </row>
    <row r="10" spans="1:4" ht="15" customHeight="1" x14ac:dyDescent="0.25">
      <c r="A10" s="100"/>
      <c r="B10" s="12" t="s">
        <v>105</v>
      </c>
      <c r="C10" s="110">
        <v>0.70709999999999995</v>
      </c>
    </row>
    <row r="11" spans="1:4" ht="15" customHeight="1" x14ac:dyDescent="0.25">
      <c r="A11" s="100"/>
      <c r="B11" s="9" t="s">
        <v>108</v>
      </c>
      <c r="C11" s="110">
        <v>0.35699999999999998</v>
      </c>
    </row>
    <row r="12" spans="1:4" ht="15" customHeight="1" x14ac:dyDescent="0.25">
      <c r="A12" s="100"/>
      <c r="B12" s="9" t="s">
        <v>109</v>
      </c>
      <c r="C12" s="110">
        <v>0.21199999999999999</v>
      </c>
    </row>
    <row r="13" spans="1:4" ht="15" customHeight="1" x14ac:dyDescent="0.25">
      <c r="A13" s="100"/>
      <c r="B13" s="9" t="s">
        <v>110</v>
      </c>
      <c r="C13" s="110">
        <v>0.247</v>
      </c>
    </row>
    <row r="14" spans="1:4" ht="15" customHeight="1" x14ac:dyDescent="0.25">
      <c r="B14" s="15"/>
    </row>
    <row r="15" spans="1:4" ht="15" customHeight="1" x14ac:dyDescent="0.25">
      <c r="A15" s="15" t="s">
        <v>30</v>
      </c>
      <c r="B15" s="19"/>
    </row>
    <row r="16" spans="1:4" ht="15" customHeight="1" x14ac:dyDescent="0.25">
      <c r="B16" s="12" t="s">
        <v>94</v>
      </c>
      <c r="C16" s="111">
        <v>0.59699999999999998</v>
      </c>
    </row>
    <row r="17" spans="1:5" ht="15" customHeight="1" x14ac:dyDescent="0.25">
      <c r="B17" s="12" t="s">
        <v>95</v>
      </c>
      <c r="C17" s="111">
        <v>0.1</v>
      </c>
    </row>
    <row r="18" spans="1:5" ht="15" customHeight="1" x14ac:dyDescent="0.25">
      <c r="B18" s="12" t="s">
        <v>96</v>
      </c>
      <c r="C18" s="111">
        <v>0.1</v>
      </c>
    </row>
    <row r="19" spans="1:5" ht="15" customHeight="1" x14ac:dyDescent="0.25">
      <c r="B19" s="12" t="s">
        <v>97</v>
      </c>
      <c r="C19" s="111">
        <v>0.1</v>
      </c>
    </row>
    <row r="20" spans="1:5" ht="15" customHeight="1" x14ac:dyDescent="0.25">
      <c r="B20" s="12" t="s">
        <v>98</v>
      </c>
      <c r="C20" s="111">
        <v>0.1</v>
      </c>
    </row>
    <row r="21" spans="1:5" ht="15" customHeight="1" x14ac:dyDescent="0.25">
      <c r="B21" s="15"/>
      <c r="C21" s="99"/>
    </row>
    <row r="22" spans="1:5" ht="15" customHeight="1" x14ac:dyDescent="0.25">
      <c r="A22" s="15" t="s">
        <v>99</v>
      </c>
      <c r="C22" s="99"/>
    </row>
    <row r="23" spans="1:5" ht="15" customHeight="1" x14ac:dyDescent="0.3">
      <c r="A23" s="100"/>
      <c r="B23" s="20" t="s">
        <v>101</v>
      </c>
      <c r="C23" s="110">
        <v>0.17019999999999999</v>
      </c>
      <c r="D23" s="86"/>
    </row>
    <row r="24" spans="1:5" ht="15" customHeight="1" x14ac:dyDescent="0.3">
      <c r="A24" s="100"/>
      <c r="B24" s="20" t="s">
        <v>102</v>
      </c>
      <c r="C24" s="110">
        <v>0.497</v>
      </c>
      <c r="D24" s="86"/>
    </row>
    <row r="25" spans="1:5" ht="15" customHeight="1" x14ac:dyDescent="0.3">
      <c r="A25" s="100"/>
      <c r="B25" s="20" t="s">
        <v>103</v>
      </c>
      <c r="C25" s="110">
        <v>0.26719999999999999</v>
      </c>
      <c r="D25" s="86"/>
    </row>
    <row r="26" spans="1:5" ht="15" customHeight="1" x14ac:dyDescent="0.3">
      <c r="A26" s="100"/>
      <c r="B26" s="20" t="s">
        <v>104</v>
      </c>
      <c r="C26" s="110">
        <v>6.5600000000000006E-2</v>
      </c>
      <c r="D26" s="86"/>
    </row>
    <row r="27" spans="1:5" ht="15" customHeight="1" x14ac:dyDescent="0.25">
      <c r="B27" s="20"/>
      <c r="C27" s="99"/>
    </row>
    <row r="28" spans="1:5" ht="15" customHeight="1" x14ac:dyDescent="0.25">
      <c r="A28" s="15" t="s">
        <v>194</v>
      </c>
      <c r="B28" s="20"/>
      <c r="C28" s="99"/>
    </row>
    <row r="29" spans="1:5" ht="14.25" customHeight="1" x14ac:dyDescent="0.25">
      <c r="A29" s="100"/>
      <c r="B29" s="32" t="s">
        <v>75</v>
      </c>
      <c r="C29" s="112">
        <v>0.20910000000000001</v>
      </c>
    </row>
    <row r="30" spans="1:5" ht="14.25" customHeight="1" x14ac:dyDescent="0.3">
      <c r="A30" s="100"/>
      <c r="B30" s="32" t="s">
        <v>76</v>
      </c>
      <c r="C30" s="112">
        <v>8.3099999999999993E-2</v>
      </c>
      <c r="D30" s="86"/>
      <c r="E30" s="85"/>
    </row>
    <row r="31" spans="1:5" ht="14.25" customHeight="1" x14ac:dyDescent="0.3">
      <c r="A31" s="100"/>
      <c r="B31" s="32" t="s">
        <v>77</v>
      </c>
      <c r="C31" s="112">
        <v>0.14910000000000001</v>
      </c>
      <c r="D31" s="86"/>
      <c r="E31" s="85"/>
    </row>
    <row r="32" spans="1:5" ht="14.25" customHeight="1" x14ac:dyDescent="0.25">
      <c r="A32" s="100"/>
      <c r="B32" s="32" t="s">
        <v>78</v>
      </c>
      <c r="C32" s="112">
        <v>0.55879999999999996</v>
      </c>
    </row>
    <row r="33" spans="1:4" ht="13.2" x14ac:dyDescent="0.25">
      <c r="B33" s="34" t="s">
        <v>129</v>
      </c>
      <c r="C33" s="120">
        <f>SUM(C29:C32)</f>
        <v>1.0001</v>
      </c>
    </row>
    <row r="34" spans="1:4" ht="15" customHeight="1" x14ac:dyDescent="0.25">
      <c r="C34" s="114"/>
    </row>
    <row r="35" spans="1:4" ht="15" customHeight="1" x14ac:dyDescent="0.25">
      <c r="A35" s="4" t="s">
        <v>135</v>
      </c>
      <c r="C35" s="114"/>
    </row>
    <row r="36" spans="1:4" ht="15" customHeight="1" x14ac:dyDescent="0.25">
      <c r="A36" s="15" t="s">
        <v>74</v>
      </c>
      <c r="B36" s="9"/>
      <c r="C36" s="114"/>
    </row>
    <row r="37" spans="1:4" ht="15" customHeight="1" x14ac:dyDescent="0.25">
      <c r="A37" s="100"/>
      <c r="B37" s="47" t="s">
        <v>92</v>
      </c>
      <c r="C37" s="113">
        <v>51.554900000000004</v>
      </c>
      <c r="D37" s="87"/>
    </row>
    <row r="38" spans="1:4" ht="15" customHeight="1" x14ac:dyDescent="0.25">
      <c r="A38" s="100"/>
      <c r="B38" s="18" t="s">
        <v>91</v>
      </c>
      <c r="C38" s="113">
        <v>85.210800000000006</v>
      </c>
      <c r="D38" s="87"/>
    </row>
    <row r="39" spans="1:4" ht="15" customHeight="1" x14ac:dyDescent="0.25">
      <c r="A39" s="100"/>
      <c r="B39" s="18" t="s">
        <v>90</v>
      </c>
      <c r="C39" s="113">
        <v>161.39339999999999</v>
      </c>
      <c r="D39" s="105"/>
    </row>
    <row r="40" spans="1:4" ht="15" customHeight="1" x14ac:dyDescent="0.3">
      <c r="B40" s="18" t="s">
        <v>233</v>
      </c>
      <c r="C40" s="113">
        <v>84.600000000000009</v>
      </c>
      <c r="D40" s="106"/>
    </row>
    <row r="41" spans="1:4" ht="26.7" customHeight="1" x14ac:dyDescent="0.25">
      <c r="B41" s="18" t="s">
        <v>89</v>
      </c>
      <c r="C41" s="111">
        <v>0.13</v>
      </c>
      <c r="D41" s="107"/>
    </row>
    <row r="42" spans="1:4" ht="15" customHeight="1" x14ac:dyDescent="0.25">
      <c r="B42" s="47" t="s">
        <v>93</v>
      </c>
      <c r="C42" s="113">
        <v>27.27</v>
      </c>
      <c r="D42" s="108"/>
    </row>
    <row r="43" spans="1:4" ht="15.75" customHeight="1" x14ac:dyDescent="0.25">
      <c r="C43" s="114"/>
      <c r="D43" s="109"/>
    </row>
    <row r="44" spans="1:4" ht="15.75" customHeight="1" x14ac:dyDescent="0.25">
      <c r="A44" s="15" t="s">
        <v>133</v>
      </c>
      <c r="C44" s="114"/>
    </row>
    <row r="45" spans="1:4" ht="15.75" customHeight="1" x14ac:dyDescent="0.25">
      <c r="B45" s="18" t="s">
        <v>9</v>
      </c>
      <c r="C45" s="111">
        <v>1.9099999999999999E-2</v>
      </c>
    </row>
    <row r="46" spans="1:4" ht="15.75" customHeight="1" x14ac:dyDescent="0.25">
      <c r="B46" s="18" t="s">
        <v>11</v>
      </c>
      <c r="C46" s="111">
        <v>9.98E-2</v>
      </c>
    </row>
    <row r="47" spans="1:4" ht="15.75" customHeight="1" x14ac:dyDescent="0.25">
      <c r="B47" s="18" t="s">
        <v>12</v>
      </c>
      <c r="C47" s="111">
        <v>0.2</v>
      </c>
    </row>
    <row r="48" spans="1:4" ht="15" customHeight="1" x14ac:dyDescent="0.25">
      <c r="B48" s="18" t="s">
        <v>26</v>
      </c>
      <c r="C48" s="121">
        <f>1-term_SGA-preterm_AGA-preterm_SGA</f>
        <v>0.68110000000000004</v>
      </c>
    </row>
    <row r="50" spans="1:4" ht="15.75" customHeight="1" x14ac:dyDescent="0.25">
      <c r="A50" s="15" t="s">
        <v>72</v>
      </c>
    </row>
    <row r="51" spans="1:4" ht="15.75" customHeight="1" x14ac:dyDescent="0.25">
      <c r="B51" s="18" t="s">
        <v>124</v>
      </c>
      <c r="C51" s="7">
        <v>3.3</v>
      </c>
    </row>
    <row r="52" spans="1:4" ht="15" customHeight="1" x14ac:dyDescent="0.25">
      <c r="B52" s="18" t="s">
        <v>125</v>
      </c>
      <c r="C52" s="7">
        <v>3.3</v>
      </c>
    </row>
    <row r="53" spans="1:4" ht="15.75" customHeight="1" x14ac:dyDescent="0.25">
      <c r="B53" s="18" t="s">
        <v>126</v>
      </c>
      <c r="C53" s="7">
        <v>3.3</v>
      </c>
    </row>
    <row r="54" spans="1:4" ht="15.75" customHeight="1" x14ac:dyDescent="0.25">
      <c r="B54" s="18" t="s">
        <v>127</v>
      </c>
      <c r="C54" s="7">
        <v>3.3</v>
      </c>
    </row>
    <row r="55" spans="1:4" ht="15.75" customHeight="1" x14ac:dyDescent="0.25">
      <c r="B55" s="18" t="s">
        <v>128</v>
      </c>
      <c r="C55" s="7">
        <v>3.3</v>
      </c>
    </row>
    <row r="57" spans="1:4" ht="15.75" customHeight="1" x14ac:dyDescent="0.25">
      <c r="A57" s="15" t="s">
        <v>134</v>
      </c>
    </row>
    <row r="58" spans="1:4" ht="15.75" customHeight="1" x14ac:dyDescent="0.3">
      <c r="B58" s="9" t="s">
        <v>111</v>
      </c>
      <c r="C58" s="110">
        <v>0.31230000000000002</v>
      </c>
      <c r="D58" s="86"/>
    </row>
    <row r="59" spans="1:4" ht="65.7" customHeight="1" x14ac:dyDescent="0.25">
      <c r="B59" s="18" t="s">
        <v>132</v>
      </c>
      <c r="C59" s="116">
        <v>0.43519999999999998</v>
      </c>
    </row>
    <row r="60" spans="1:4" ht="15.75" customHeight="1" x14ac:dyDescent="0.25">
      <c r="C60" s="99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600"/>
  </sheetPr>
  <dimension ref="A1:I15"/>
  <sheetViews>
    <sheetView zoomScaleNormal="100" workbookViewId="0">
      <selection activeCell="A16" sqref="A16:XFD40"/>
    </sheetView>
  </sheetViews>
  <sheetFormatPr defaultColWidth="14.33203125" defaultRowHeight="15.75" customHeight="1" x14ac:dyDescent="0.25"/>
  <cols>
    <col min="1" max="1" width="8.33203125" style="15" customWidth="1"/>
    <col min="2" max="9" width="16.77734375" style="15" customWidth="1"/>
    <col min="10" max="16384" width="14.33203125" style="15"/>
  </cols>
  <sheetData>
    <row r="1" spans="1:9" s="21" customFormat="1" ht="30" customHeight="1" x14ac:dyDescent="0.25">
      <c r="A1" s="33" t="s">
        <v>0</v>
      </c>
      <c r="B1" s="27" t="s">
        <v>112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113</v>
      </c>
      <c r="H1" s="24" t="s">
        <v>130</v>
      </c>
      <c r="I1" s="24" t="s">
        <v>36</v>
      </c>
    </row>
    <row r="2" spans="1:9" ht="15.75" customHeight="1" x14ac:dyDescent="0.25">
      <c r="A2" s="9">
        <v>2017</v>
      </c>
      <c r="B2" s="77">
        <v>69793.580216032031</v>
      </c>
      <c r="C2" s="78">
        <v>93849.162324713252</v>
      </c>
      <c r="D2" s="78">
        <v>135442.22184388997</v>
      </c>
      <c r="E2" s="78">
        <v>101564.06679379169</v>
      </c>
      <c r="F2" s="78">
        <v>60619.689625183717</v>
      </c>
      <c r="G2" s="23">
        <f t="shared" ref="G2:G15" si="0">C2+D2+E2+F2</f>
        <v>391475.14058757864</v>
      </c>
      <c r="H2" s="23">
        <f>(B2 + stillbirth*B2/(1000-stillbirth))/(1-abortion)</f>
        <v>82471.503906982543</v>
      </c>
      <c r="I2" s="23">
        <f t="shared" ref="I2:I13" si="1">G2-H2</f>
        <v>309003.6366805961</v>
      </c>
    </row>
    <row r="3" spans="1:9" ht="15.75" customHeight="1" x14ac:dyDescent="0.25">
      <c r="A3" s="9">
        <v>2018</v>
      </c>
      <c r="B3" s="77">
        <v>71641.233300605643</v>
      </c>
      <c r="C3" s="78">
        <v>97473.368454644093</v>
      </c>
      <c r="D3" s="78">
        <v>139871.50367616353</v>
      </c>
      <c r="E3" s="78">
        <v>105014.27078353133</v>
      </c>
      <c r="F3" s="78">
        <v>62514.841559076907</v>
      </c>
      <c r="G3" s="23">
        <f t="shared" si="0"/>
        <v>404873.98447341588</v>
      </c>
      <c r="H3" s="23">
        <f>(B3 + stillbirth*B3/(1000-stillbirth))/(1-abortion)</f>
        <v>84654.781052409133</v>
      </c>
      <c r="I3" s="23">
        <f t="shared" si="1"/>
        <v>320219.20342100674</v>
      </c>
    </row>
    <row r="4" spans="1:9" ht="15.75" customHeight="1" x14ac:dyDescent="0.25">
      <c r="A4" s="9">
        <v>2019</v>
      </c>
      <c r="B4" s="77">
        <v>73436.289083969343</v>
      </c>
      <c r="C4" s="78">
        <v>101261.51937131472</v>
      </c>
      <c r="D4" s="78">
        <v>144522.13982877007</v>
      </c>
      <c r="E4" s="78">
        <v>108606.37021439058</v>
      </c>
      <c r="F4" s="78">
        <v>64570.542405841596</v>
      </c>
      <c r="G4" s="23">
        <f t="shared" si="0"/>
        <v>418960.57182031695</v>
      </c>
      <c r="H4" s="23">
        <f>(B4 + stillbirth*B4/(1000-stillbirth))/(1-abortion)</f>
        <v>86775.906657267056</v>
      </c>
      <c r="I4" s="23">
        <f t="shared" si="1"/>
        <v>332184.66516304988</v>
      </c>
    </row>
    <row r="5" spans="1:9" ht="15.75" customHeight="1" x14ac:dyDescent="0.25">
      <c r="A5" s="9">
        <v>2020</v>
      </c>
      <c r="B5" s="77">
        <v>75199.241654004931</v>
      </c>
      <c r="C5" s="78">
        <v>105202.15874627228</v>
      </c>
      <c r="D5" s="78">
        <v>149437.44199924613</v>
      </c>
      <c r="E5" s="78">
        <v>112319.00943126739</v>
      </c>
      <c r="F5" s="78">
        <v>66952.6543241131</v>
      </c>
      <c r="G5" s="23">
        <f t="shared" si="0"/>
        <v>433911.26450089889</v>
      </c>
      <c r="H5" s="23">
        <f>(B5 + stillbirth*B5/(1000-stillbirth))/(1-abortion)</f>
        <v>88859.097536965142</v>
      </c>
      <c r="I5" s="23">
        <f t="shared" si="1"/>
        <v>345052.16696393373</v>
      </c>
    </row>
    <row r="6" spans="1:9" ht="15.75" customHeight="1" x14ac:dyDescent="0.25">
      <c r="A6" s="9">
        <v>2021</v>
      </c>
      <c r="B6" s="77">
        <v>77101.734235497395</v>
      </c>
      <c r="C6" s="78">
        <v>109272.9816256921</v>
      </c>
      <c r="D6" s="78">
        <v>154645.7162576353</v>
      </c>
      <c r="E6" s="78">
        <v>116143.42064903906</v>
      </c>
      <c r="F6" s="78">
        <v>69232.299388718529</v>
      </c>
      <c r="G6" s="23">
        <f t="shared" si="0"/>
        <v>449294.41792108503</v>
      </c>
      <c r="H6" s="23">
        <f>(B6 + stillbirth*B6/(1000-stillbirth))/(1-abortion)</f>
        <v>91107.175710944823</v>
      </c>
      <c r="I6" s="23">
        <f t="shared" si="1"/>
        <v>358187.24221014022</v>
      </c>
    </row>
    <row r="7" spans="1:9" ht="15.75" customHeight="1" x14ac:dyDescent="0.25">
      <c r="A7" s="9">
        <v>2022</v>
      </c>
      <c r="B7" s="77">
        <v>78980.987610997108</v>
      </c>
      <c r="C7" s="78">
        <v>113462.39663599221</v>
      </c>
      <c r="D7" s="78">
        <v>160147.34627054955</v>
      </c>
      <c r="E7" s="78">
        <v>120076.79633546159</v>
      </c>
      <c r="F7" s="78">
        <v>71614.26988980241</v>
      </c>
      <c r="G7" s="23">
        <f t="shared" si="0"/>
        <v>465300.80913180579</v>
      </c>
      <c r="H7" s="23">
        <f>(B7 + stillbirth*B7/(1000-stillbirth))/(1-abortion)</f>
        <v>93327.793303852508</v>
      </c>
      <c r="I7" s="23">
        <f t="shared" si="1"/>
        <v>371973.01582795329</v>
      </c>
    </row>
    <row r="8" spans="1:9" ht="15.75" customHeight="1" x14ac:dyDescent="0.25">
      <c r="A8" s="9">
        <v>2023</v>
      </c>
      <c r="B8" s="77">
        <v>80898.609774749944</v>
      </c>
      <c r="C8" s="78">
        <v>117739.02829217599</v>
      </c>
      <c r="D8" s="78">
        <v>165969.46579338456</v>
      </c>
      <c r="E8" s="78">
        <v>124105.78920609623</v>
      </c>
      <c r="F8" s="78">
        <v>74102.626520895254</v>
      </c>
      <c r="G8" s="23">
        <f t="shared" si="0"/>
        <v>481916.90981255204</v>
      </c>
      <c r="H8" s="23">
        <f>(B8 + stillbirth*B8/(1000-stillbirth))/(1-abortion)</f>
        <v>95593.749331334388</v>
      </c>
      <c r="I8" s="23">
        <f t="shared" si="1"/>
        <v>386323.16048121767</v>
      </c>
    </row>
    <row r="9" spans="1:9" ht="15.75" customHeight="1" x14ac:dyDescent="0.25">
      <c r="A9" s="9">
        <v>2024</v>
      </c>
      <c r="B9" s="77">
        <v>82975.218282837261</v>
      </c>
      <c r="C9" s="78">
        <v>122070.51077830006</v>
      </c>
      <c r="D9" s="78">
        <v>172141.44663677289</v>
      </c>
      <c r="E9" s="78">
        <v>128230.30721070546</v>
      </c>
      <c r="F9" s="78">
        <v>76697.328877086315</v>
      </c>
      <c r="G9" s="23">
        <f t="shared" si="0"/>
        <v>499139.59350286471</v>
      </c>
      <c r="H9" s="23">
        <f>(B9 + stillbirth*B9/(1000-stillbirth))/(1-abortion)</f>
        <v>98047.571390009311</v>
      </c>
      <c r="I9" s="23">
        <f t="shared" si="1"/>
        <v>401092.0221128554</v>
      </c>
    </row>
    <row r="10" spans="1:9" ht="15.75" customHeight="1" x14ac:dyDescent="0.25">
      <c r="A10" s="9">
        <v>2025</v>
      </c>
      <c r="B10" s="77">
        <v>85130.555101938779</v>
      </c>
      <c r="C10" s="78">
        <v>126437.17252055732</v>
      </c>
      <c r="D10" s="78">
        <v>178679.57331691426</v>
      </c>
      <c r="E10" s="78">
        <v>132475.73320228231</v>
      </c>
      <c r="F10" s="78">
        <v>79387.306012829664</v>
      </c>
      <c r="G10" s="23">
        <f t="shared" si="0"/>
        <v>516979.78505258355</v>
      </c>
      <c r="H10" s="23">
        <f>(B10 + stillbirth*B10/(1000-stillbirth))/(1-abortion)</f>
        <v>100594.42266697765</v>
      </c>
      <c r="I10" s="23">
        <f t="shared" si="1"/>
        <v>416385.36238560593</v>
      </c>
    </row>
    <row r="11" spans="1:9" ht="15.75" customHeight="1" x14ac:dyDescent="0.25">
      <c r="A11" s="9">
        <v>2026</v>
      </c>
      <c r="B11" s="77">
        <v>87228.370171310729</v>
      </c>
      <c r="C11" s="78">
        <v>130803.09151460449</v>
      </c>
      <c r="D11" s="78">
        <v>185546.67280206477</v>
      </c>
      <c r="E11" s="78">
        <v>136848.671785368</v>
      </c>
      <c r="F11" s="78">
        <v>82163.971884590574</v>
      </c>
      <c r="G11" s="23">
        <f t="shared" si="0"/>
        <v>535362.40798662789</v>
      </c>
      <c r="H11" s="23">
        <f>(B11 + stillbirth*B11/(1000-stillbirth))/(1-abortion)</f>
        <v>103073.30343443963</v>
      </c>
      <c r="I11" s="23">
        <f t="shared" si="1"/>
        <v>432289.10455218825</v>
      </c>
    </row>
    <row r="12" spans="1:9" ht="15.75" customHeight="1" x14ac:dyDescent="0.25">
      <c r="A12" s="9">
        <v>2027</v>
      </c>
      <c r="B12" s="77">
        <v>89583.388139109127</v>
      </c>
      <c r="C12" s="78">
        <v>135154.65070992292</v>
      </c>
      <c r="D12" s="78">
        <v>192710.26131907201</v>
      </c>
      <c r="E12" s="78">
        <v>141380.9953546999</v>
      </c>
      <c r="F12" s="78">
        <v>85041.225781667599</v>
      </c>
      <c r="G12" s="23">
        <f t="shared" si="0"/>
        <v>554287.13316536241</v>
      </c>
      <c r="H12" s="23">
        <f>(B12 + stillbirth*B12/(1000-stillbirth))/(1-abortion)</f>
        <v>105856.10771143937</v>
      </c>
      <c r="I12" s="23">
        <f t="shared" si="1"/>
        <v>448431.02545392304</v>
      </c>
    </row>
    <row r="13" spans="1:9" ht="15.75" customHeight="1" x14ac:dyDescent="0.25">
      <c r="A13" s="9">
        <v>2028</v>
      </c>
      <c r="B13" s="77">
        <v>91774.306718152628</v>
      </c>
      <c r="C13" s="78">
        <v>139480.25873293067</v>
      </c>
      <c r="D13" s="78">
        <v>200120.44089355951</v>
      </c>
      <c r="E13" s="78">
        <v>146108.71856570328</v>
      </c>
      <c r="F13" s="78">
        <v>88026.94666165729</v>
      </c>
      <c r="G13" s="23">
        <f t="shared" si="0"/>
        <v>573736.3648538508</v>
      </c>
      <c r="H13" s="23">
        <f>(B13 + stillbirth*B13/(1000-stillbirth))/(1-abortion)</f>
        <v>108445.00413417886</v>
      </c>
      <c r="I13" s="23">
        <f t="shared" si="1"/>
        <v>465291.36071967194</v>
      </c>
    </row>
    <row r="14" spans="1:9" ht="15.75" customHeight="1" x14ac:dyDescent="0.25">
      <c r="A14" s="9">
        <v>2029</v>
      </c>
      <c r="B14" s="8">
        <v>94078.718119249053</v>
      </c>
      <c r="C14" s="22">
        <v>143766.09596541547</v>
      </c>
      <c r="D14" s="22">
        <v>207736.32971653368</v>
      </c>
      <c r="E14" s="22">
        <v>151070.6636060474</v>
      </c>
      <c r="F14" s="22">
        <v>91126.225543314387</v>
      </c>
      <c r="G14" s="23">
        <f t="shared" si="0"/>
        <v>593699.31483131088</v>
      </c>
      <c r="H14" s="23">
        <f>(B14 + stillbirth*B14/(1000-stillbirth))/(1-abortion)</f>
        <v>111168.00921975497</v>
      </c>
      <c r="I14" s="23">
        <f t="shared" ref="I14:I15" si="2">G14-H14</f>
        <v>482531.30561155593</v>
      </c>
    </row>
    <row r="15" spans="1:9" ht="15.75" customHeight="1" x14ac:dyDescent="0.25">
      <c r="A15" s="9">
        <v>2030</v>
      </c>
      <c r="B15" s="8">
        <v>97345.55535698634</v>
      </c>
      <c r="C15" s="22">
        <v>147954.18303194598</v>
      </c>
      <c r="D15" s="22">
        <v>215530.64482891638</v>
      </c>
      <c r="E15" s="22">
        <v>156314.55852388052</v>
      </c>
      <c r="F15" s="22">
        <v>94330.435978193389</v>
      </c>
      <c r="G15" s="23">
        <f t="shared" si="0"/>
        <v>614129.82236293633</v>
      </c>
      <c r="H15" s="23">
        <f>(B15 + stillbirth*B15/(1000-stillbirth))/(1-abortion)</f>
        <v>115028.263689888</v>
      </c>
      <c r="I15" s="23">
        <f t="shared" si="2"/>
        <v>499101.55867304833</v>
      </c>
    </row>
  </sheetData>
  <conditionalFormatting sqref="B2:I15">
    <cfRule type="expression" dxfId="0" priority="10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600"/>
  </sheetPr>
  <dimension ref="A1:G27"/>
  <sheetViews>
    <sheetView zoomScale="60" zoomScaleNormal="60" workbookViewId="0">
      <selection activeCell="H1" sqref="H1:H1048576"/>
    </sheetView>
  </sheetViews>
  <sheetFormatPr defaultColWidth="14.332031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11" t="str">
        <f>"Percentage of deaths in baseline year ("&amp;start_year&amp;") attributable to cause"</f>
        <v>Percentage of deaths in baseline year (2017) attributable to cause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32</v>
      </c>
    </row>
    <row r="2" spans="1:7" ht="15.75" customHeight="1" x14ac:dyDescent="0.25">
      <c r="A2" s="25" t="s">
        <v>73</v>
      </c>
      <c r="B2" s="79">
        <v>4.4999999999999997E-3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</row>
    <row r="3" spans="1:7" ht="15.75" customHeight="1" x14ac:dyDescent="0.25">
      <c r="A3" s="25" t="s">
        <v>7</v>
      </c>
      <c r="B3" s="79">
        <v>0.1603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</row>
    <row r="4" spans="1:7" ht="15.75" customHeight="1" x14ac:dyDescent="0.25">
      <c r="A4" s="25" t="s">
        <v>8</v>
      </c>
      <c r="B4" s="79">
        <v>6.3500000000000001E-2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</row>
    <row r="5" spans="1:7" ht="15.75" customHeight="1" x14ac:dyDescent="0.25">
      <c r="A5" s="25" t="s">
        <v>10</v>
      </c>
      <c r="B5" s="79">
        <v>0.28639999999999999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</row>
    <row r="6" spans="1:7" ht="15.75" customHeight="1" x14ac:dyDescent="0.25">
      <c r="A6" s="25" t="s">
        <v>13</v>
      </c>
      <c r="B6" s="79">
        <v>0.34749999999999998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</row>
    <row r="7" spans="1:7" ht="15.75" customHeight="1" x14ac:dyDescent="0.25">
      <c r="A7" s="25" t="s">
        <v>14</v>
      </c>
      <c r="B7" s="79">
        <v>1.12E-2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</row>
    <row r="8" spans="1:7" ht="15.75" customHeight="1" x14ac:dyDescent="0.25">
      <c r="A8" s="25" t="s">
        <v>27</v>
      </c>
      <c r="B8" s="79">
        <v>7.1300000000000002E-2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</row>
    <row r="9" spans="1:7" ht="15.75" customHeight="1" x14ac:dyDescent="0.25">
      <c r="A9" s="25" t="s">
        <v>15</v>
      </c>
      <c r="B9" s="79">
        <v>5.5300000000000002E-2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</row>
    <row r="10" spans="1:7" ht="15.75" customHeight="1" x14ac:dyDescent="0.25">
      <c r="A10" s="25" t="s">
        <v>71</v>
      </c>
      <c r="B10" s="26">
        <v>0</v>
      </c>
      <c r="C10" s="79">
        <v>0.15160000000000001</v>
      </c>
      <c r="D10" s="79">
        <v>0.15160000000000001</v>
      </c>
      <c r="E10" s="79">
        <v>0.15160000000000001</v>
      </c>
      <c r="F10" s="79">
        <v>0.15160000000000001</v>
      </c>
      <c r="G10" s="26">
        <v>0</v>
      </c>
    </row>
    <row r="11" spans="1:7" ht="15.75" customHeight="1" x14ac:dyDescent="0.25">
      <c r="A11" s="25" t="s">
        <v>16</v>
      </c>
      <c r="B11" s="26">
        <v>0</v>
      </c>
      <c r="C11" s="79">
        <v>0.19289999999999999</v>
      </c>
      <c r="D11" s="79">
        <v>0.19289999999999999</v>
      </c>
      <c r="E11" s="79">
        <v>0.19289999999999999</v>
      </c>
      <c r="F11" s="79">
        <v>0.19289999999999999</v>
      </c>
      <c r="G11" s="26">
        <v>0</v>
      </c>
    </row>
    <row r="12" spans="1:7" ht="15.75" customHeight="1" x14ac:dyDescent="0.25">
      <c r="A12" s="25" t="s">
        <v>17</v>
      </c>
      <c r="B12" s="26">
        <v>0</v>
      </c>
      <c r="C12" s="79">
        <v>3.7999999999999999E-2</v>
      </c>
      <c r="D12" s="79">
        <v>3.7999999999999999E-2</v>
      </c>
      <c r="E12" s="79">
        <v>3.7999999999999999E-2</v>
      </c>
      <c r="F12" s="79">
        <v>3.7999999999999999E-2</v>
      </c>
      <c r="G12" s="26">
        <v>0</v>
      </c>
    </row>
    <row r="13" spans="1:7" ht="15.75" customHeight="1" x14ac:dyDescent="0.25">
      <c r="A13" s="25" t="s">
        <v>18</v>
      </c>
      <c r="B13" s="26">
        <v>0</v>
      </c>
      <c r="C13" s="79">
        <v>4.5499999999999999E-2</v>
      </c>
      <c r="D13" s="79">
        <v>4.5499999999999999E-2</v>
      </c>
      <c r="E13" s="79">
        <v>4.5499999999999999E-2</v>
      </c>
      <c r="F13" s="79">
        <v>4.5499999999999999E-2</v>
      </c>
      <c r="G13" s="26">
        <v>0</v>
      </c>
    </row>
    <row r="14" spans="1:7" ht="15.75" customHeight="1" x14ac:dyDescent="0.25">
      <c r="A14" s="25" t="s">
        <v>19</v>
      </c>
      <c r="B14" s="26">
        <v>0</v>
      </c>
      <c r="C14" s="79">
        <v>0.1739</v>
      </c>
      <c r="D14" s="79">
        <v>0.1739</v>
      </c>
      <c r="E14" s="79">
        <v>0.1739</v>
      </c>
      <c r="F14" s="79">
        <v>0.1739</v>
      </c>
      <c r="G14" s="26">
        <v>0</v>
      </c>
    </row>
    <row r="15" spans="1:7" ht="15.75" customHeight="1" x14ac:dyDescent="0.25">
      <c r="A15" s="25" t="s">
        <v>20</v>
      </c>
      <c r="B15" s="26">
        <v>0</v>
      </c>
      <c r="C15" s="79">
        <v>1.32E-2</v>
      </c>
      <c r="D15" s="79">
        <v>1.32E-2</v>
      </c>
      <c r="E15" s="79">
        <v>1.32E-2</v>
      </c>
      <c r="F15" s="79">
        <v>1.32E-2</v>
      </c>
      <c r="G15" s="26">
        <v>0</v>
      </c>
    </row>
    <row r="16" spans="1:7" ht="15.75" customHeight="1" x14ac:dyDescent="0.25">
      <c r="A16" s="25" t="s">
        <v>21</v>
      </c>
      <c r="B16" s="26">
        <v>0</v>
      </c>
      <c r="C16" s="79">
        <v>7.7000000000000002E-3</v>
      </c>
      <c r="D16" s="79">
        <v>7.7000000000000002E-3</v>
      </c>
      <c r="E16" s="79">
        <v>7.7000000000000002E-3</v>
      </c>
      <c r="F16" s="79">
        <v>7.7000000000000002E-3</v>
      </c>
      <c r="G16" s="26">
        <v>0</v>
      </c>
    </row>
    <row r="17" spans="1:7" ht="15.75" customHeight="1" x14ac:dyDescent="0.25">
      <c r="A17" s="25" t="s">
        <v>22</v>
      </c>
      <c r="B17" s="26">
        <v>0</v>
      </c>
      <c r="C17" s="79">
        <v>7.8600000000000003E-2</v>
      </c>
      <c r="D17" s="79">
        <v>7.8600000000000003E-2</v>
      </c>
      <c r="E17" s="79">
        <v>7.8600000000000003E-2</v>
      </c>
      <c r="F17" s="79">
        <v>7.8600000000000003E-2</v>
      </c>
      <c r="G17" s="26">
        <v>0</v>
      </c>
    </row>
    <row r="18" spans="1:7" ht="15.75" customHeight="1" x14ac:dyDescent="0.25">
      <c r="A18" s="25" t="s">
        <v>23</v>
      </c>
      <c r="B18" s="26">
        <v>0</v>
      </c>
      <c r="C18" s="79">
        <v>0.29859999999999998</v>
      </c>
      <c r="D18" s="79">
        <v>0.29859999999999998</v>
      </c>
      <c r="E18" s="79">
        <v>0.29859999999999998</v>
      </c>
      <c r="F18" s="79">
        <v>0.29859999999999998</v>
      </c>
      <c r="G18" s="26">
        <v>0</v>
      </c>
    </row>
    <row r="19" spans="1:7" ht="15.75" customHeight="1" x14ac:dyDescent="0.25">
      <c r="A19" s="25" t="s">
        <v>38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80">
        <v>8.8900000000000007E-2</v>
      </c>
    </row>
    <row r="20" spans="1:7" ht="15.75" customHeight="1" x14ac:dyDescent="0.25">
      <c r="A20" s="25" t="s">
        <v>39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80">
        <v>8.6999999999999994E-3</v>
      </c>
    </row>
    <row r="21" spans="1:7" ht="15.75" customHeight="1" x14ac:dyDescent="0.25">
      <c r="A21" s="25" t="s">
        <v>40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80">
        <v>0.1575</v>
      </c>
    </row>
    <row r="22" spans="1:7" ht="15.75" customHeight="1" x14ac:dyDescent="0.25">
      <c r="A22" s="25" t="s">
        <v>41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80">
        <v>0.16980000000000001</v>
      </c>
    </row>
    <row r="23" spans="1:7" ht="15.75" customHeight="1" x14ac:dyDescent="0.25">
      <c r="A23" s="25" t="s">
        <v>42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80">
        <v>0.10489999999999999</v>
      </c>
    </row>
    <row r="24" spans="1:7" ht="15.75" customHeight="1" x14ac:dyDescent="0.25">
      <c r="A24" s="25" t="s">
        <v>43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80">
        <v>0.1087</v>
      </c>
    </row>
    <row r="25" spans="1:7" ht="15.75" customHeight="1" x14ac:dyDescent="0.25">
      <c r="A25" s="25" t="s">
        <v>44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80">
        <v>1.8800000000000001E-2</v>
      </c>
    </row>
    <row r="26" spans="1:7" ht="15.75" customHeight="1" x14ac:dyDescent="0.25">
      <c r="A26" s="25" t="s">
        <v>45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80">
        <v>8.5800000000000001E-2</v>
      </c>
    </row>
    <row r="27" spans="1:7" ht="15.75" customHeight="1" x14ac:dyDescent="0.25">
      <c r="A27" s="25" t="s">
        <v>46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80">
        <v>0.25690000000000002</v>
      </c>
    </row>
  </sheetData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600"/>
  </sheetPr>
  <dimension ref="A1:O15"/>
  <sheetViews>
    <sheetView zoomScale="68" zoomScaleNormal="60" workbookViewId="0">
      <selection activeCell="H1" sqref="H1:H11"/>
    </sheetView>
  </sheetViews>
  <sheetFormatPr defaultColWidth="14.33203125" defaultRowHeight="15.75" customHeight="1" x14ac:dyDescent="0.25"/>
  <cols>
    <col min="1" max="1" width="31.33203125" customWidth="1"/>
    <col min="2" max="2" width="24" customWidth="1"/>
    <col min="8" max="8" width="16.109375" bestFit="1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15" ht="15.75" customHeight="1" x14ac:dyDescent="0.25">
      <c r="A2" s="6" t="s">
        <v>115</v>
      </c>
      <c r="B2" s="14" t="s">
        <v>117</v>
      </c>
      <c r="C2" s="110">
        <v>0.64348479999999997</v>
      </c>
      <c r="D2" s="110">
        <v>0.64348479999999997</v>
      </c>
      <c r="E2" s="110">
        <v>0.48154960000000002</v>
      </c>
      <c r="F2" s="110">
        <v>0.39770349999999999</v>
      </c>
      <c r="G2" s="110">
        <v>0.21143380000000001</v>
      </c>
    </row>
    <row r="3" spans="1:15" ht="15.75" customHeight="1" x14ac:dyDescent="0.25">
      <c r="A3" s="5"/>
      <c r="B3" s="14" t="s">
        <v>118</v>
      </c>
      <c r="C3" s="110">
        <v>0.23375360000000001</v>
      </c>
      <c r="D3" s="110">
        <v>0.23375360000000001</v>
      </c>
      <c r="E3" s="110">
        <v>0.30330829999999998</v>
      </c>
      <c r="F3" s="110">
        <v>0.18618899999999999</v>
      </c>
      <c r="G3" s="110">
        <v>0.214342</v>
      </c>
    </row>
    <row r="4" spans="1:15" ht="15.75" customHeight="1" x14ac:dyDescent="0.25">
      <c r="A4" s="5"/>
      <c r="B4" s="14" t="s">
        <v>116</v>
      </c>
      <c r="C4" s="110">
        <v>0.1227616</v>
      </c>
      <c r="D4" s="110">
        <v>0.1227616</v>
      </c>
      <c r="E4" s="110">
        <v>9.1596899999999995E-2</v>
      </c>
      <c r="F4" s="110">
        <v>0.27650089999999999</v>
      </c>
      <c r="G4" s="110">
        <v>0.21108940000000001</v>
      </c>
    </row>
    <row r="5" spans="1:15" ht="15.75" customHeight="1" x14ac:dyDescent="0.25">
      <c r="A5" s="5"/>
      <c r="B5" s="14" t="s">
        <v>119</v>
      </c>
      <c r="C5" s="110">
        <v>0</v>
      </c>
      <c r="D5" s="110">
        <v>0</v>
      </c>
      <c r="E5" s="110">
        <v>0.12354519999999999</v>
      </c>
      <c r="F5" s="110">
        <v>0.1396066</v>
      </c>
      <c r="G5" s="110">
        <v>0.36313469999999998</v>
      </c>
      <c r="H5" s="98"/>
    </row>
    <row r="6" spans="1:15" ht="15.75" customHeight="1" x14ac:dyDescent="0.25">
      <c r="B6" s="16"/>
      <c r="C6" s="31"/>
      <c r="D6" s="31"/>
      <c r="E6" s="31"/>
      <c r="F6" s="31"/>
      <c r="G6" s="31"/>
    </row>
    <row r="7" spans="1:15" ht="15.75" customHeight="1" x14ac:dyDescent="0.25">
      <c r="B7" s="16"/>
      <c r="C7" s="31"/>
      <c r="D7" s="31"/>
      <c r="E7" s="31"/>
      <c r="F7" s="31"/>
      <c r="G7" s="31"/>
    </row>
    <row r="8" spans="1:15" ht="15.75" customHeight="1" x14ac:dyDescent="0.25">
      <c r="A8" s="3" t="s">
        <v>114</v>
      </c>
      <c r="B8" s="9" t="s">
        <v>120</v>
      </c>
      <c r="C8" s="110">
        <v>0.57919350000000003</v>
      </c>
      <c r="D8" s="110">
        <v>0.57919350000000003</v>
      </c>
      <c r="E8" s="110">
        <v>0.78624810000000001</v>
      </c>
      <c r="F8" s="110">
        <v>0.80122879999999996</v>
      </c>
      <c r="G8" s="110">
        <v>0.75123879999999998</v>
      </c>
    </row>
    <row r="9" spans="1:15" ht="15.75" customHeight="1" x14ac:dyDescent="0.25">
      <c r="B9" s="9" t="s">
        <v>121</v>
      </c>
      <c r="C9" s="110">
        <v>0.189697</v>
      </c>
      <c r="D9" s="110">
        <v>0.189697</v>
      </c>
      <c r="E9" s="110">
        <v>0.16401299999999999</v>
      </c>
      <c r="F9" s="110">
        <v>9.3962400000000001E-2</v>
      </c>
      <c r="G9" s="110">
        <v>0.17256469999999999</v>
      </c>
    </row>
    <row r="10" spans="1:15" ht="15.75" customHeight="1" x14ac:dyDescent="0.25">
      <c r="B10" s="9" t="s">
        <v>122</v>
      </c>
      <c r="C10" s="110">
        <v>0.2109067</v>
      </c>
      <c r="D10" s="110">
        <v>0.2109067</v>
      </c>
      <c r="E10" s="110">
        <v>4.9738900000000003E-2</v>
      </c>
      <c r="F10" s="110">
        <v>5.5811100000000002E-2</v>
      </c>
      <c r="G10" s="110">
        <v>5.97443E-2</v>
      </c>
    </row>
    <row r="11" spans="1:15" ht="15.75" customHeight="1" x14ac:dyDescent="0.25">
      <c r="B11" s="9" t="s">
        <v>123</v>
      </c>
      <c r="C11" s="110">
        <v>2.0202899999999999E-2</v>
      </c>
      <c r="D11" s="110">
        <v>2.0202899999999999E-2</v>
      </c>
      <c r="E11" s="110">
        <v>0</v>
      </c>
      <c r="F11" s="110">
        <v>4.8997699999999998E-2</v>
      </c>
      <c r="G11" s="110">
        <v>1.64522E-2</v>
      </c>
    </row>
    <row r="12" spans="1:15" ht="15.75" customHeight="1" x14ac:dyDescent="0.25">
      <c r="C12" s="10"/>
      <c r="D12" s="10"/>
      <c r="E12" s="10"/>
      <c r="F12" s="10"/>
      <c r="G12" s="10"/>
      <c r="I12" s="17"/>
      <c r="J12" s="17"/>
      <c r="K12" s="17"/>
      <c r="L12" s="17"/>
      <c r="M12" s="17"/>
      <c r="N12" s="17"/>
      <c r="O12" s="17"/>
    </row>
    <row r="13" spans="1:15" ht="27" customHeight="1" x14ac:dyDescent="0.25">
      <c r="A13" s="15" t="s">
        <v>70</v>
      </c>
      <c r="C13" s="47" t="s">
        <v>1</v>
      </c>
      <c r="D13" s="47" t="s">
        <v>2</v>
      </c>
      <c r="E13" s="47" t="s">
        <v>3</v>
      </c>
      <c r="F13" s="47" t="s">
        <v>4</v>
      </c>
      <c r="G13" s="47" t="s">
        <v>5</v>
      </c>
      <c r="H13" s="81" t="s">
        <v>53</v>
      </c>
      <c r="I13" s="81" t="s">
        <v>54</v>
      </c>
      <c r="J13" s="81" t="s">
        <v>55</v>
      </c>
      <c r="K13" s="81" t="s">
        <v>56</v>
      </c>
      <c r="L13" s="81" t="s">
        <v>49</v>
      </c>
      <c r="M13" s="81" t="s">
        <v>50</v>
      </c>
      <c r="N13" s="81" t="s">
        <v>51</v>
      </c>
      <c r="O13" s="81" t="s">
        <v>52</v>
      </c>
    </row>
    <row r="14" spans="1:15" ht="15.75" customHeight="1" x14ac:dyDescent="0.25">
      <c r="B14" s="18" t="s">
        <v>131</v>
      </c>
      <c r="C14" s="110">
        <v>0.50349999999999995</v>
      </c>
      <c r="D14" s="110">
        <v>0.50349999999999995</v>
      </c>
      <c r="E14" s="110">
        <v>0.50349999999999995</v>
      </c>
      <c r="F14" s="110">
        <v>0.63260000000000005</v>
      </c>
      <c r="G14" s="110">
        <v>0.68799999999999994</v>
      </c>
      <c r="H14" s="117">
        <v>0.64780000000000004</v>
      </c>
      <c r="I14" s="117">
        <v>0.53990000000000005</v>
      </c>
      <c r="J14" s="117">
        <v>0.33789999999999998</v>
      </c>
      <c r="K14" s="117">
        <v>1</v>
      </c>
      <c r="L14" s="117">
        <v>0.50649999999999995</v>
      </c>
      <c r="M14" s="117">
        <v>0.46050000000000002</v>
      </c>
      <c r="N14" s="117">
        <v>0.42359999999999998</v>
      </c>
      <c r="O14" s="117">
        <v>0.39460000000000001</v>
      </c>
    </row>
    <row r="15" spans="1:15" ht="15.75" customHeight="1" x14ac:dyDescent="0.25">
      <c r="B15" s="18" t="s">
        <v>68</v>
      </c>
      <c r="C15" s="35">
        <f t="shared" ref="C15:O15" si="0">iron_deficiency_anaemia*C14</f>
        <v>0.21912319999999996</v>
      </c>
      <c r="D15" s="35">
        <f t="shared" si="0"/>
        <v>0.21912319999999996</v>
      </c>
      <c r="E15" s="35">
        <f t="shared" si="0"/>
        <v>0.21912319999999996</v>
      </c>
      <c r="F15" s="35">
        <f t="shared" si="0"/>
        <v>0.27530752000000003</v>
      </c>
      <c r="G15" s="35">
        <f t="shared" si="0"/>
        <v>0.29941759999999995</v>
      </c>
      <c r="H15" s="35">
        <f t="shared" si="0"/>
        <v>0.28192255999999999</v>
      </c>
      <c r="I15" s="35">
        <f t="shared" si="0"/>
        <v>0.23496448</v>
      </c>
      <c r="J15" s="35">
        <f t="shared" si="0"/>
        <v>0.14705407999999998</v>
      </c>
      <c r="K15" s="35">
        <f t="shared" si="0"/>
        <v>0.43519999999999998</v>
      </c>
      <c r="L15" s="35">
        <f t="shared" si="0"/>
        <v>0.22042879999999995</v>
      </c>
      <c r="M15" s="35">
        <f t="shared" si="0"/>
        <v>0.20040959999999999</v>
      </c>
      <c r="N15" s="35">
        <f t="shared" si="0"/>
        <v>0.18435071999999997</v>
      </c>
      <c r="O15" s="35">
        <f t="shared" si="0"/>
        <v>0.17172991999999998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7600"/>
  </sheetPr>
  <dimension ref="A1:AF35"/>
  <sheetViews>
    <sheetView zoomScale="89" zoomScaleNormal="60" workbookViewId="0">
      <selection activeCell="H1" sqref="H1:H1048576"/>
    </sheetView>
  </sheetViews>
  <sheetFormatPr defaultColWidth="8.77734375" defaultRowHeight="13.2" x14ac:dyDescent="0.25"/>
  <cols>
    <col min="1" max="1" width="28.77734375" customWidth="1"/>
    <col min="2" max="7" width="13.33203125" customWidth="1"/>
  </cols>
  <sheetData>
    <row r="1" spans="1:31" ht="40.5" customHeight="1" x14ac:dyDescent="0.25">
      <c r="A1" s="29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31" ht="13.2" customHeight="1" x14ac:dyDescent="0.25">
      <c r="A2" s="3" t="s">
        <v>24</v>
      </c>
      <c r="B2" s="48" t="s">
        <v>165</v>
      </c>
      <c r="C2" s="30"/>
      <c r="D2" s="30"/>
      <c r="E2" s="30">
        <v>0</v>
      </c>
      <c r="F2" s="30">
        <v>0</v>
      </c>
      <c r="G2" s="30">
        <v>0</v>
      </c>
    </row>
    <row r="3" spans="1:31" x14ac:dyDescent="0.25">
      <c r="B3" s="48" t="s">
        <v>166</v>
      </c>
      <c r="C3" s="30"/>
      <c r="D3" s="30"/>
      <c r="E3" s="30">
        <v>0</v>
      </c>
      <c r="F3" s="30">
        <v>0</v>
      </c>
      <c r="G3" s="30">
        <v>0</v>
      </c>
    </row>
    <row r="4" spans="1:31" x14ac:dyDescent="0.25">
      <c r="B4" s="48" t="s">
        <v>167</v>
      </c>
      <c r="C4" s="30"/>
      <c r="D4" s="30"/>
      <c r="E4" s="30"/>
      <c r="F4" s="30"/>
      <c r="G4" s="30"/>
    </row>
    <row r="5" spans="1:31" x14ac:dyDescent="0.25">
      <c r="B5" s="48" t="s">
        <v>168</v>
      </c>
      <c r="C5" s="35">
        <f>1-SUM(C2:C4)</f>
        <v>1</v>
      </c>
      <c r="D5" s="35">
        <f t="shared" ref="D5:G5" si="0">1-SUM(D2:D4)</f>
        <v>1</v>
      </c>
      <c r="E5" s="35">
        <f t="shared" si="0"/>
        <v>1</v>
      </c>
      <c r="F5" s="35">
        <f t="shared" si="0"/>
        <v>1</v>
      </c>
      <c r="G5" s="35">
        <f t="shared" si="0"/>
        <v>1</v>
      </c>
    </row>
    <row r="7" spans="1:31" x14ac:dyDescent="0.25">
      <c r="E7" s="15" t="s">
        <v>230</v>
      </c>
      <c r="F7" s="15" t="s">
        <v>230</v>
      </c>
      <c r="G7" s="15" t="s">
        <v>230</v>
      </c>
    </row>
    <row r="9" spans="1:31" s="85" customFormat="1" ht="14.4" x14ac:dyDescent="0.3">
      <c r="A9" s="92" t="s">
        <v>226</v>
      </c>
      <c r="B9" s="33" t="s">
        <v>24</v>
      </c>
      <c r="C9" s="33"/>
      <c r="D9" s="15"/>
      <c r="E9" s="15"/>
      <c r="F9" s="15"/>
      <c r="G9" s="15"/>
      <c r="AE9" s="86"/>
    </row>
    <row r="10" spans="1:31" s="85" customFormat="1" ht="14.4" x14ac:dyDescent="0.3">
      <c r="A10" s="101" t="s">
        <v>229</v>
      </c>
      <c r="B10" s="94" t="s">
        <v>165</v>
      </c>
      <c r="C10" s="91" t="s">
        <v>199</v>
      </c>
      <c r="D10" s="91" t="s">
        <v>200</v>
      </c>
      <c r="E10" s="91" t="s">
        <v>201</v>
      </c>
      <c r="F10" s="91" t="s">
        <v>202</v>
      </c>
      <c r="G10" s="91" t="s">
        <v>203</v>
      </c>
      <c r="H10" s="91" t="s">
        <v>204</v>
      </c>
      <c r="I10" s="91" t="s">
        <v>205</v>
      </c>
      <c r="J10" s="91" t="s">
        <v>206</v>
      </c>
      <c r="K10" s="91" t="s">
        <v>207</v>
      </c>
      <c r="L10" s="91" t="s">
        <v>208</v>
      </c>
      <c r="M10" s="91" t="s">
        <v>209</v>
      </c>
      <c r="N10" s="91" t="s">
        <v>210</v>
      </c>
      <c r="O10" s="91" t="s">
        <v>211</v>
      </c>
      <c r="P10" s="91" t="s">
        <v>212</v>
      </c>
      <c r="Q10" s="91" t="s">
        <v>213</v>
      </c>
      <c r="R10" s="91" t="s">
        <v>214</v>
      </c>
      <c r="S10" s="91" t="s">
        <v>215</v>
      </c>
      <c r="T10" s="91" t="s">
        <v>216</v>
      </c>
      <c r="U10" s="91" t="s">
        <v>217</v>
      </c>
      <c r="V10" s="91" t="s">
        <v>218</v>
      </c>
      <c r="W10" s="91" t="s">
        <v>219</v>
      </c>
      <c r="X10" s="91" t="s">
        <v>220</v>
      </c>
      <c r="Y10" s="91" t="s">
        <v>221</v>
      </c>
      <c r="Z10" s="91" t="s">
        <v>222</v>
      </c>
      <c r="AA10" s="91" t="s">
        <v>223</v>
      </c>
      <c r="AB10" s="91" t="s">
        <v>224</v>
      </c>
      <c r="AE10" s="86"/>
    </row>
    <row r="11" spans="1:31" s="85" customFormat="1" ht="14.4" x14ac:dyDescent="0.3">
      <c r="A11" s="93"/>
      <c r="B11" s="95" t="s">
        <v>1</v>
      </c>
      <c r="C11" s="110">
        <v>0.82742304</v>
      </c>
      <c r="D11" s="110">
        <v>0.76725639999999995</v>
      </c>
      <c r="E11" s="110">
        <v>0.79273190000000004</v>
      </c>
      <c r="F11" s="110">
        <v>0.78233390000000003</v>
      </c>
      <c r="G11" s="110">
        <v>1</v>
      </c>
      <c r="H11" s="110">
        <v>1</v>
      </c>
      <c r="I11" s="110">
        <v>0.77965379999999995</v>
      </c>
      <c r="J11" s="110">
        <v>1</v>
      </c>
      <c r="K11" s="110">
        <v>1</v>
      </c>
      <c r="L11" s="110">
        <v>0</v>
      </c>
      <c r="M11" s="110">
        <v>0.70158379999999998</v>
      </c>
      <c r="N11" s="110">
        <v>0.74815129999999996</v>
      </c>
      <c r="O11" s="110">
        <v>0.92368589999999995</v>
      </c>
      <c r="P11" s="110">
        <v>0.74172709999999997</v>
      </c>
      <c r="Q11" s="110">
        <v>0.87879589999999996</v>
      </c>
      <c r="R11" s="110">
        <v>0.82051689999999999</v>
      </c>
      <c r="S11" s="110">
        <v>0.28680119999999998</v>
      </c>
      <c r="T11" s="110">
        <v>0.5611237</v>
      </c>
      <c r="U11" s="110">
        <v>0.78187280000000003</v>
      </c>
      <c r="V11" s="110">
        <v>0.83315950000000005</v>
      </c>
      <c r="W11" s="110">
        <v>1</v>
      </c>
      <c r="X11" s="110">
        <v>1</v>
      </c>
      <c r="Y11" s="110">
        <v>0.84400699999999995</v>
      </c>
      <c r="Z11" s="110">
        <v>1</v>
      </c>
      <c r="AA11" s="110">
        <v>0.96081609999999995</v>
      </c>
      <c r="AB11" s="110">
        <v>0.94502719999999996</v>
      </c>
      <c r="AD11" s="85" t="s">
        <v>225</v>
      </c>
      <c r="AE11" s="86" t="s">
        <v>227</v>
      </c>
    </row>
    <row r="12" spans="1:31" s="85" customFormat="1" ht="14.4" x14ac:dyDescent="0.3">
      <c r="A12" s="93"/>
      <c r="B12" s="95" t="s">
        <v>2</v>
      </c>
      <c r="C12" s="110">
        <v>0.44188228000000002</v>
      </c>
      <c r="D12" s="110">
        <v>0.2478079</v>
      </c>
      <c r="E12" s="110">
        <v>0.26665739999999999</v>
      </c>
      <c r="F12" s="110">
        <v>0.36827300000000002</v>
      </c>
      <c r="G12" s="110">
        <v>0.35376730000000001</v>
      </c>
      <c r="H12" s="110">
        <v>0.57757219999999998</v>
      </c>
      <c r="I12" s="110">
        <v>0.49114229999999998</v>
      </c>
      <c r="J12" s="110">
        <v>0.59735380000000005</v>
      </c>
      <c r="K12" s="110">
        <v>0.64204629999999996</v>
      </c>
      <c r="L12" s="110">
        <v>0.1702351</v>
      </c>
      <c r="M12" s="110">
        <v>0.2367184</v>
      </c>
      <c r="N12" s="110">
        <v>0.43913570000000002</v>
      </c>
      <c r="O12" s="110">
        <v>0.32459120000000002</v>
      </c>
      <c r="P12" s="110">
        <v>0.43658469999999999</v>
      </c>
      <c r="Q12" s="110">
        <v>0.62435079999999998</v>
      </c>
      <c r="R12" s="110">
        <v>0.23947570000000001</v>
      </c>
      <c r="S12" s="110">
        <v>0.37767040000000002</v>
      </c>
      <c r="T12" s="110">
        <v>0.31535980000000002</v>
      </c>
      <c r="U12" s="110">
        <v>0.33437339999999999</v>
      </c>
      <c r="V12" s="110">
        <v>0.75604950000000004</v>
      </c>
      <c r="W12" s="110">
        <v>0.64908949999999999</v>
      </c>
      <c r="X12" s="110">
        <v>0.9042751</v>
      </c>
      <c r="Y12" s="110">
        <v>0.52520549999999999</v>
      </c>
      <c r="Z12" s="110">
        <v>0.56233770000000005</v>
      </c>
      <c r="AA12" s="110">
        <v>0.49104300000000001</v>
      </c>
      <c r="AB12" s="110">
        <v>0.63126110000000002</v>
      </c>
      <c r="AD12" s="85" t="s">
        <v>225</v>
      </c>
      <c r="AE12" s="86" t="s">
        <v>228</v>
      </c>
    </row>
    <row r="13" spans="1:31" s="85" customFormat="1" ht="14.4" x14ac:dyDescent="0.3">
      <c r="A13" s="93"/>
      <c r="B13" s="95" t="s">
        <v>3</v>
      </c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D13" s="85" t="s">
        <v>225</v>
      </c>
      <c r="AE13" s="86"/>
    </row>
    <row r="14" spans="1:31" s="85" customFormat="1" ht="14.4" x14ac:dyDescent="0.3">
      <c r="A14" s="93"/>
      <c r="B14" s="95" t="s">
        <v>4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D14" s="85" t="s">
        <v>225</v>
      </c>
      <c r="AE14" s="86"/>
    </row>
    <row r="15" spans="1:31" s="85" customFormat="1" ht="14.4" x14ac:dyDescent="0.3">
      <c r="A15" s="93"/>
      <c r="B15" s="95" t="s">
        <v>5</v>
      </c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D15" s="85" t="s">
        <v>225</v>
      </c>
      <c r="AE15" s="86"/>
    </row>
    <row r="16" spans="1:31" s="85" customFormat="1" ht="14.4" x14ac:dyDescent="0.3">
      <c r="A16" s="96"/>
      <c r="B16" s="94" t="s">
        <v>166</v>
      </c>
      <c r="AE16" s="86"/>
    </row>
    <row r="17" spans="1:32" s="85" customFormat="1" ht="14.4" x14ac:dyDescent="0.3">
      <c r="A17" s="96"/>
      <c r="B17" s="88" t="s">
        <v>1</v>
      </c>
      <c r="C17" s="118">
        <v>0.14884900000000001</v>
      </c>
      <c r="D17" s="118">
        <v>0</v>
      </c>
      <c r="E17" s="118">
        <v>0.1402042</v>
      </c>
      <c r="F17" s="118">
        <v>0.2176661</v>
      </c>
      <c r="G17" s="118">
        <v>0</v>
      </c>
      <c r="H17" s="118">
        <v>0</v>
      </c>
      <c r="I17" s="118">
        <v>0.10069069999999999</v>
      </c>
      <c r="J17" s="118">
        <v>0</v>
      </c>
      <c r="K17" s="118">
        <v>0</v>
      </c>
      <c r="L17" s="118">
        <v>1</v>
      </c>
      <c r="M17" s="118">
        <v>0.29841620000000002</v>
      </c>
      <c r="N17" s="118">
        <v>0.25184869999999998</v>
      </c>
      <c r="O17" s="118">
        <v>7.6314099999999996E-2</v>
      </c>
      <c r="P17" s="118">
        <v>0.1834143</v>
      </c>
      <c r="Q17" s="118">
        <v>0</v>
      </c>
      <c r="R17" s="118">
        <v>0.17948310000000001</v>
      </c>
      <c r="S17" s="118">
        <v>0.64592249999999996</v>
      </c>
      <c r="T17" s="118">
        <v>0.4388763</v>
      </c>
      <c r="U17" s="118">
        <v>0.21812719999999999</v>
      </c>
      <c r="V17" s="118">
        <v>0.1668405</v>
      </c>
      <c r="W17" s="118">
        <v>0</v>
      </c>
      <c r="X17" s="118">
        <v>0</v>
      </c>
      <c r="Y17" s="118">
        <v>0</v>
      </c>
      <c r="Z17" s="118">
        <v>0</v>
      </c>
      <c r="AA17" s="118">
        <v>3.9183900000000001E-2</v>
      </c>
      <c r="AB17" s="118">
        <v>5.4972699999999999E-2</v>
      </c>
      <c r="AE17" s="86"/>
    </row>
    <row r="18" spans="1:32" s="85" customFormat="1" ht="14.4" x14ac:dyDescent="0.3">
      <c r="A18" s="96"/>
      <c r="B18" s="88" t="s">
        <v>2</v>
      </c>
      <c r="C18" s="118">
        <v>0.2367987</v>
      </c>
      <c r="D18" s="118">
        <v>0.27532849999999998</v>
      </c>
      <c r="E18" s="118">
        <v>0.24340059999999999</v>
      </c>
      <c r="F18" s="118">
        <v>0.30685050000000003</v>
      </c>
      <c r="G18" s="118">
        <v>0.32535140000000001</v>
      </c>
      <c r="H18" s="118">
        <v>0.2425436</v>
      </c>
      <c r="I18" s="118">
        <v>0.37850850000000003</v>
      </c>
      <c r="J18" s="118">
        <v>7.5688099999999994E-2</v>
      </c>
      <c r="K18" s="118">
        <v>0.13919690000000001</v>
      </c>
      <c r="L18" s="118">
        <v>0.56369860000000005</v>
      </c>
      <c r="M18" s="118">
        <v>0.3704209</v>
      </c>
      <c r="N18" s="118">
        <v>0.3333198</v>
      </c>
      <c r="O18" s="118">
        <v>0.39654080000000003</v>
      </c>
      <c r="P18" s="118">
        <v>0.17585410000000001</v>
      </c>
      <c r="Q18" s="118">
        <v>0.14249490000000001</v>
      </c>
      <c r="R18" s="118">
        <v>0.12763969999999999</v>
      </c>
      <c r="S18" s="118">
        <v>0.364593</v>
      </c>
      <c r="T18" s="118">
        <v>0.2283462</v>
      </c>
      <c r="U18" s="118">
        <v>0.33815079999999997</v>
      </c>
      <c r="V18" s="118">
        <v>4.8908100000000003E-2</v>
      </c>
      <c r="W18" s="118">
        <v>0.1845415</v>
      </c>
      <c r="X18" s="118">
        <v>0</v>
      </c>
      <c r="Y18" s="118">
        <v>0.32589360000000001</v>
      </c>
      <c r="Z18" s="118">
        <v>0.15626670000000001</v>
      </c>
      <c r="AA18" s="118">
        <v>0.21271219999999999</v>
      </c>
      <c r="AB18" s="118">
        <v>0.112413</v>
      </c>
      <c r="AE18" s="86"/>
    </row>
    <row r="19" spans="1:32" s="85" customFormat="1" ht="14.4" x14ac:dyDescent="0.3">
      <c r="A19" s="96"/>
      <c r="B19" s="88" t="s">
        <v>3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E19" s="86"/>
    </row>
    <row r="20" spans="1:32" s="85" customFormat="1" ht="14.4" x14ac:dyDescent="0.3">
      <c r="A20" s="96"/>
      <c r="B20" s="88" t="s">
        <v>4</v>
      </c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E20" s="86"/>
    </row>
    <row r="21" spans="1:32" s="85" customFormat="1" ht="14.4" x14ac:dyDescent="0.3">
      <c r="A21" s="96"/>
      <c r="B21" s="88" t="s">
        <v>5</v>
      </c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E21" s="86"/>
    </row>
    <row r="22" spans="1:32" s="85" customFormat="1" ht="14.4" x14ac:dyDescent="0.3">
      <c r="A22" s="96"/>
      <c r="B22" s="97" t="s">
        <v>167</v>
      </c>
      <c r="AE22" s="86"/>
    </row>
    <row r="23" spans="1:32" s="85" customFormat="1" ht="14.4" x14ac:dyDescent="0.3">
      <c r="A23" s="96"/>
      <c r="B23" s="95" t="s">
        <v>1</v>
      </c>
      <c r="C23" s="110">
        <v>1.864443E-2</v>
      </c>
      <c r="D23" s="118">
        <v>8.7817500000000007E-2</v>
      </c>
      <c r="E23" s="118">
        <v>6.7063899999999996E-2</v>
      </c>
      <c r="F23" s="118">
        <v>0</v>
      </c>
      <c r="G23" s="118">
        <v>0</v>
      </c>
      <c r="H23" s="118">
        <v>0</v>
      </c>
      <c r="I23" s="118">
        <v>0.1196555</v>
      </c>
      <c r="J23" s="118">
        <v>0</v>
      </c>
      <c r="K23" s="118">
        <v>0</v>
      </c>
      <c r="L23" s="118">
        <v>0</v>
      </c>
      <c r="M23" s="118">
        <v>0</v>
      </c>
      <c r="N23" s="118">
        <v>0</v>
      </c>
      <c r="O23" s="118">
        <v>0</v>
      </c>
      <c r="P23" s="118">
        <v>7.4858599999999997E-2</v>
      </c>
      <c r="Q23" s="118">
        <v>0.1212041</v>
      </c>
      <c r="R23" s="118">
        <v>0</v>
      </c>
      <c r="S23" s="118">
        <v>6.72764E-2</v>
      </c>
      <c r="T23" s="118">
        <v>0</v>
      </c>
      <c r="U23" s="118">
        <v>0</v>
      </c>
      <c r="V23" s="118">
        <v>0</v>
      </c>
      <c r="W23" s="118">
        <v>0</v>
      </c>
      <c r="X23" s="118">
        <v>0</v>
      </c>
      <c r="Y23" s="118">
        <v>0.1559931</v>
      </c>
      <c r="Z23" s="118">
        <v>0</v>
      </c>
      <c r="AA23" s="118">
        <v>0</v>
      </c>
      <c r="AB23" s="118">
        <v>0</v>
      </c>
      <c r="AD23" s="85" t="s">
        <v>225</v>
      </c>
      <c r="AE23" s="86"/>
    </row>
    <row r="24" spans="1:32" s="85" customFormat="1" ht="14.4" x14ac:dyDescent="0.3">
      <c r="A24" s="96"/>
      <c r="B24" s="95" t="s">
        <v>2</v>
      </c>
      <c r="C24" s="110">
        <v>0.30473650000000002</v>
      </c>
      <c r="D24" s="118">
        <v>0.45908189999999999</v>
      </c>
      <c r="E24" s="118">
        <v>0.45914460000000001</v>
      </c>
      <c r="F24" s="118">
        <v>0.32487650000000001</v>
      </c>
      <c r="G24" s="118">
        <v>0.31012279999999998</v>
      </c>
      <c r="H24" s="118">
        <v>9.4858100000000001E-2</v>
      </c>
      <c r="I24" s="118">
        <v>0.1303492</v>
      </c>
      <c r="J24" s="118">
        <v>0.31910189999999999</v>
      </c>
      <c r="K24" s="118">
        <v>0.2187567</v>
      </c>
      <c r="L24" s="118">
        <v>0.26606629999999998</v>
      </c>
      <c r="M24" s="118">
        <v>0.39286070000000001</v>
      </c>
      <c r="N24" s="118">
        <v>0.22754450000000001</v>
      </c>
      <c r="O24" s="118">
        <v>0.278868</v>
      </c>
      <c r="P24" s="118">
        <v>0.3875613</v>
      </c>
      <c r="Q24" s="118">
        <v>0.20820739999999999</v>
      </c>
      <c r="R24" s="118">
        <v>0.62574189999999996</v>
      </c>
      <c r="S24" s="118">
        <v>0.22757939999999999</v>
      </c>
      <c r="T24" s="118">
        <v>0.45629399999999998</v>
      </c>
      <c r="U24" s="118">
        <v>0.32747579999999998</v>
      </c>
      <c r="V24" s="118">
        <v>0.1660547</v>
      </c>
      <c r="W24" s="118">
        <v>0.13892489999999999</v>
      </c>
      <c r="X24" s="118">
        <v>9.5724900000000002E-2</v>
      </c>
      <c r="Y24" s="118">
        <v>0.1489009</v>
      </c>
      <c r="Z24" s="118">
        <v>0.22294939999999999</v>
      </c>
      <c r="AA24" s="118">
        <v>0.29624479999999997</v>
      </c>
      <c r="AB24" s="118">
        <v>0.2064763</v>
      </c>
      <c r="AD24" s="85" t="s">
        <v>225</v>
      </c>
      <c r="AE24" s="86"/>
    </row>
    <row r="25" spans="1:32" s="85" customFormat="1" ht="14.4" x14ac:dyDescent="0.3">
      <c r="A25" s="96"/>
      <c r="B25" s="95" t="s">
        <v>3</v>
      </c>
      <c r="C25" s="110">
        <v>0.97464609000000002</v>
      </c>
      <c r="D25" s="112">
        <v>0.93142349999999996</v>
      </c>
      <c r="E25" s="112">
        <v>0.9587755</v>
      </c>
      <c r="F25" s="112">
        <v>0.98154140000000001</v>
      </c>
      <c r="G25" s="112">
        <v>0.97220309999999999</v>
      </c>
      <c r="H25" s="112">
        <v>0.87429730000000005</v>
      </c>
      <c r="I25" s="112">
        <v>1</v>
      </c>
      <c r="J25" s="112">
        <v>0.93439240000000001</v>
      </c>
      <c r="K25" s="112">
        <v>1</v>
      </c>
      <c r="L25" s="112">
        <v>1</v>
      </c>
      <c r="M25" s="112">
        <v>0.98100569999999998</v>
      </c>
      <c r="N25" s="112">
        <v>0.99308859999999999</v>
      </c>
      <c r="O25" s="112">
        <v>1</v>
      </c>
      <c r="P25" s="112">
        <v>1</v>
      </c>
      <c r="Q25" s="112">
        <v>0.99086799999999997</v>
      </c>
      <c r="R25" s="112">
        <v>0.97776209999999997</v>
      </c>
      <c r="S25" s="112">
        <v>0.97423119999999996</v>
      </c>
      <c r="T25" s="112">
        <v>0.97742530000000005</v>
      </c>
      <c r="U25" s="112">
        <v>0.99347719999999995</v>
      </c>
      <c r="V25" s="112">
        <v>0.91892240000000003</v>
      </c>
      <c r="W25" s="112">
        <v>0.99142129999999995</v>
      </c>
      <c r="X25" s="112">
        <v>0.99616709999999997</v>
      </c>
      <c r="Y25" s="112">
        <v>0.98233289999999995</v>
      </c>
      <c r="Z25" s="112">
        <v>1</v>
      </c>
      <c r="AA25" s="112">
        <v>1</v>
      </c>
      <c r="AB25" s="112">
        <v>0.97858540000000005</v>
      </c>
      <c r="AD25" s="85" t="s">
        <v>225</v>
      </c>
      <c r="AE25" s="86"/>
    </row>
    <row r="26" spans="1:32" s="85" customFormat="1" ht="14.4" x14ac:dyDescent="0.3">
      <c r="A26" s="96"/>
      <c r="B26" s="95" t="s">
        <v>4</v>
      </c>
      <c r="C26" s="110">
        <v>0.81968302000000004</v>
      </c>
      <c r="D26" s="112">
        <v>0.66051130000000002</v>
      </c>
      <c r="E26" s="112">
        <v>0.96370319999999998</v>
      </c>
      <c r="F26" s="112">
        <v>0.88201940000000001</v>
      </c>
      <c r="G26" s="112">
        <v>0.87321939999999998</v>
      </c>
      <c r="H26" s="112">
        <v>0.70960690000000004</v>
      </c>
      <c r="I26" s="112">
        <v>0.84767409999999999</v>
      </c>
      <c r="J26" s="112">
        <v>0.84550959999999997</v>
      </c>
      <c r="K26" s="112">
        <v>0.82804690000000003</v>
      </c>
      <c r="L26" s="112">
        <v>0.75737109999999996</v>
      </c>
      <c r="M26" s="112">
        <v>0.90403520000000004</v>
      </c>
      <c r="N26" s="112">
        <v>0.81574480000000005</v>
      </c>
      <c r="O26" s="112">
        <v>0.82835060000000005</v>
      </c>
      <c r="P26" s="112">
        <v>0.86545749999999999</v>
      </c>
      <c r="Q26" s="112">
        <v>0.76478190000000001</v>
      </c>
      <c r="R26" s="112">
        <v>0.66194350000000002</v>
      </c>
      <c r="S26" s="112">
        <v>0.81283070000000002</v>
      </c>
      <c r="T26" s="112">
        <v>0.67534000000000005</v>
      </c>
      <c r="U26" s="112">
        <v>0.93050980000000005</v>
      </c>
      <c r="V26" s="112">
        <v>0.90827480000000005</v>
      </c>
      <c r="W26" s="112">
        <v>0.8886925</v>
      </c>
      <c r="X26" s="112">
        <v>0.69069769999999997</v>
      </c>
      <c r="Y26" s="112">
        <v>0.78248870000000004</v>
      </c>
      <c r="Z26" s="112">
        <v>0.85887420000000003</v>
      </c>
      <c r="AA26" s="112">
        <v>0.82722150000000005</v>
      </c>
      <c r="AB26" s="112">
        <v>0.87522200000000006</v>
      </c>
      <c r="AD26" s="85" t="s">
        <v>225</v>
      </c>
      <c r="AE26" s="86"/>
    </row>
    <row r="27" spans="1:32" s="85" customFormat="1" ht="14.4" x14ac:dyDescent="0.3">
      <c r="A27" s="96"/>
      <c r="B27" s="95" t="s">
        <v>5</v>
      </c>
      <c r="C27" s="110">
        <v>0.16946613999999999</v>
      </c>
      <c r="D27" s="112">
        <v>4.5005799999999999E-2</v>
      </c>
      <c r="E27" s="112">
        <v>0.31377189999999999</v>
      </c>
      <c r="F27" s="112">
        <v>0.2170716</v>
      </c>
      <c r="G27" s="112">
        <v>0.1381558</v>
      </c>
      <c r="H27" s="112">
        <v>9.0500200000000003E-2</v>
      </c>
      <c r="I27" s="112">
        <v>0.2043528</v>
      </c>
      <c r="J27" s="112">
        <v>0.10314039999999999</v>
      </c>
      <c r="K27" s="112">
        <v>5.7929899999999999E-2</v>
      </c>
      <c r="L27" s="112">
        <v>0.1560512</v>
      </c>
      <c r="M27" s="112">
        <v>0.40674670000000002</v>
      </c>
      <c r="N27" s="112">
        <v>0.28048299999999998</v>
      </c>
      <c r="O27" s="112">
        <v>0.13487089999999999</v>
      </c>
      <c r="P27" s="112">
        <v>0.17880509999999999</v>
      </c>
      <c r="Q27" s="112">
        <v>0.14204069999999999</v>
      </c>
      <c r="R27" s="112">
        <v>0.1159123</v>
      </c>
      <c r="S27" s="112">
        <v>0.1835745</v>
      </c>
      <c r="T27" s="112">
        <v>0.13053400000000001</v>
      </c>
      <c r="U27" s="112">
        <v>0.12664220000000001</v>
      </c>
      <c r="V27" s="112">
        <v>8.0342899999999995E-2</v>
      </c>
      <c r="W27" s="112">
        <v>0.26493509999999998</v>
      </c>
      <c r="X27" s="112">
        <v>1.6511399999999999E-2</v>
      </c>
      <c r="Y27" s="112">
        <v>6.1289000000000003E-2</v>
      </c>
      <c r="Z27" s="112">
        <v>0.2245731</v>
      </c>
      <c r="AA27" s="112">
        <v>4.8443E-2</v>
      </c>
      <c r="AB27" s="112">
        <v>0.30281730000000001</v>
      </c>
      <c r="AD27" s="85" t="s">
        <v>225</v>
      </c>
      <c r="AE27" s="86"/>
    </row>
    <row r="28" spans="1:32" s="85" customFormat="1" ht="14.4" x14ac:dyDescent="0.3">
      <c r="A28" s="96"/>
      <c r="B28" s="94" t="s">
        <v>168</v>
      </c>
      <c r="AE28" s="86"/>
    </row>
    <row r="29" spans="1:32" s="85" customFormat="1" ht="14.4" x14ac:dyDescent="0.3">
      <c r="A29" s="96"/>
      <c r="B29" s="90" t="s">
        <v>1</v>
      </c>
      <c r="C29" s="110">
        <v>5.0835300000000002E-3</v>
      </c>
      <c r="D29" s="110">
        <v>0.1449261</v>
      </c>
      <c r="E29" s="110">
        <v>0</v>
      </c>
      <c r="F29" s="110">
        <v>0</v>
      </c>
      <c r="G29" s="110">
        <v>0</v>
      </c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0">
        <v>0</v>
      </c>
      <c r="U29" s="110">
        <v>0</v>
      </c>
      <c r="V29" s="110">
        <v>0</v>
      </c>
      <c r="W29" s="110">
        <v>0</v>
      </c>
      <c r="X29" s="110">
        <v>0</v>
      </c>
      <c r="Y29" s="110">
        <v>0</v>
      </c>
      <c r="Z29" s="110">
        <v>0</v>
      </c>
      <c r="AA29" s="110">
        <v>0</v>
      </c>
      <c r="AB29" s="110">
        <v>0</v>
      </c>
      <c r="AD29" s="85" t="s">
        <v>225</v>
      </c>
      <c r="AE29" s="86"/>
      <c r="AF29" s="89"/>
    </row>
    <row r="30" spans="1:32" s="85" customFormat="1" ht="14.4" x14ac:dyDescent="0.3">
      <c r="A30" s="96"/>
      <c r="B30" s="90" t="s">
        <v>2</v>
      </c>
      <c r="C30" s="110">
        <v>1.6582599999999999E-2</v>
      </c>
      <c r="D30" s="110">
        <v>1.7781700000000001E-2</v>
      </c>
      <c r="E30" s="110">
        <v>3.0797399999999999E-2</v>
      </c>
      <c r="F30" s="110">
        <v>0</v>
      </c>
      <c r="G30" s="110">
        <v>1.0758500000000001E-2</v>
      </c>
      <c r="H30" s="110">
        <v>8.5026199999999996E-2</v>
      </c>
      <c r="I30" s="110">
        <v>0</v>
      </c>
      <c r="J30" s="110">
        <v>7.8562000000000007E-3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2.4946900000000001E-2</v>
      </c>
      <c r="R30" s="110">
        <v>7.1427000000000001E-3</v>
      </c>
      <c r="S30" s="110">
        <v>3.0157300000000001E-2</v>
      </c>
      <c r="T30" s="110">
        <v>0</v>
      </c>
      <c r="U30" s="110">
        <v>0</v>
      </c>
      <c r="V30" s="110">
        <v>2.8987700000000002E-2</v>
      </c>
      <c r="W30" s="110">
        <v>2.7444099999999999E-2</v>
      </c>
      <c r="X30" s="110">
        <v>0</v>
      </c>
      <c r="Y30" s="110">
        <v>0</v>
      </c>
      <c r="Z30" s="110">
        <v>5.8446199999999997E-2</v>
      </c>
      <c r="AA30" s="110">
        <v>0</v>
      </c>
      <c r="AB30" s="110">
        <v>4.9849600000000001E-2</v>
      </c>
      <c r="AD30" s="85" t="s">
        <v>225</v>
      </c>
      <c r="AE30" s="86"/>
      <c r="AF30" s="89"/>
    </row>
    <row r="31" spans="1:32" s="85" customFormat="1" ht="14.4" x14ac:dyDescent="0.3">
      <c r="A31" s="96"/>
      <c r="B31" s="90" t="s">
        <v>3</v>
      </c>
      <c r="C31" s="110">
        <f>1-C25</f>
        <v>2.535390999999998E-2</v>
      </c>
      <c r="D31" s="110">
        <f t="shared" ref="D31:AB31" si="1">1-D25</f>
        <v>6.857650000000004E-2</v>
      </c>
      <c r="E31" s="110">
        <f t="shared" si="1"/>
        <v>4.1224499999999997E-2</v>
      </c>
      <c r="F31" s="110">
        <f t="shared" si="1"/>
        <v>1.8458599999999992E-2</v>
      </c>
      <c r="G31" s="110">
        <f t="shared" si="1"/>
        <v>2.7796900000000013E-2</v>
      </c>
      <c r="H31" s="110">
        <f t="shared" si="1"/>
        <v>0.12570269999999995</v>
      </c>
      <c r="I31" s="110">
        <f t="shared" si="1"/>
        <v>0</v>
      </c>
      <c r="J31" s="110">
        <f t="shared" si="1"/>
        <v>6.5607599999999988E-2</v>
      </c>
      <c r="K31" s="110">
        <f t="shared" si="1"/>
        <v>0</v>
      </c>
      <c r="L31" s="110">
        <f t="shared" si="1"/>
        <v>0</v>
      </c>
      <c r="M31" s="110">
        <f t="shared" si="1"/>
        <v>1.899430000000002E-2</v>
      </c>
      <c r="N31" s="110">
        <f t="shared" si="1"/>
        <v>6.911400000000012E-3</v>
      </c>
      <c r="O31" s="110">
        <f t="shared" si="1"/>
        <v>0</v>
      </c>
      <c r="P31" s="110">
        <f t="shared" si="1"/>
        <v>0</v>
      </c>
      <c r="Q31" s="110">
        <f t="shared" si="1"/>
        <v>9.132000000000029E-3</v>
      </c>
      <c r="R31" s="110">
        <f t="shared" si="1"/>
        <v>2.2237900000000033E-2</v>
      </c>
      <c r="S31" s="110">
        <f t="shared" si="1"/>
        <v>2.5768800000000036E-2</v>
      </c>
      <c r="T31" s="110">
        <f t="shared" si="1"/>
        <v>2.2574699999999948E-2</v>
      </c>
      <c r="U31" s="110">
        <f t="shared" si="1"/>
        <v>6.5228000000000508E-3</v>
      </c>
      <c r="V31" s="110">
        <f t="shared" si="1"/>
        <v>8.1077599999999972E-2</v>
      </c>
      <c r="W31" s="110">
        <f t="shared" si="1"/>
        <v>8.5787000000000502E-3</v>
      </c>
      <c r="X31" s="110">
        <f t="shared" si="1"/>
        <v>3.832900000000028E-3</v>
      </c>
      <c r="Y31" s="110">
        <f t="shared" si="1"/>
        <v>1.7667100000000047E-2</v>
      </c>
      <c r="Z31" s="110">
        <f t="shared" si="1"/>
        <v>0</v>
      </c>
      <c r="AA31" s="110">
        <f t="shared" si="1"/>
        <v>0</v>
      </c>
      <c r="AB31" s="110">
        <f t="shared" si="1"/>
        <v>2.141459999999995E-2</v>
      </c>
      <c r="AD31" s="85" t="s">
        <v>225</v>
      </c>
      <c r="AE31" s="86"/>
      <c r="AF31" s="89"/>
    </row>
    <row r="32" spans="1:32" s="85" customFormat="1" ht="14.4" x14ac:dyDescent="0.3">
      <c r="A32" s="96"/>
      <c r="B32" s="90" t="s">
        <v>4</v>
      </c>
      <c r="C32" s="110">
        <f>1-C26</f>
        <v>0.18031697999999996</v>
      </c>
      <c r="D32" s="110">
        <f t="shared" ref="D32:AB32" si="2">1-D26</f>
        <v>0.33948869999999998</v>
      </c>
      <c r="E32" s="110">
        <f t="shared" si="2"/>
        <v>3.6296800000000018E-2</v>
      </c>
      <c r="F32" s="110">
        <f t="shared" si="2"/>
        <v>0.11798059999999999</v>
      </c>
      <c r="G32" s="110">
        <f t="shared" si="2"/>
        <v>0.12678060000000002</v>
      </c>
      <c r="H32" s="110">
        <f t="shared" si="2"/>
        <v>0.29039309999999996</v>
      </c>
      <c r="I32" s="110">
        <f t="shared" si="2"/>
        <v>0.15232590000000001</v>
      </c>
      <c r="J32" s="110">
        <f t="shared" si="2"/>
        <v>0.15449040000000003</v>
      </c>
      <c r="K32" s="110">
        <f t="shared" si="2"/>
        <v>0.17195309999999997</v>
      </c>
      <c r="L32" s="110">
        <f t="shared" si="2"/>
        <v>0.24262890000000004</v>
      </c>
      <c r="M32" s="110">
        <f t="shared" si="2"/>
        <v>9.5964799999999961E-2</v>
      </c>
      <c r="N32" s="110">
        <f t="shared" si="2"/>
        <v>0.18425519999999995</v>
      </c>
      <c r="O32" s="110">
        <f t="shared" si="2"/>
        <v>0.17164939999999995</v>
      </c>
      <c r="P32" s="110">
        <f t="shared" si="2"/>
        <v>0.13454250000000001</v>
      </c>
      <c r="Q32" s="110">
        <f t="shared" si="2"/>
        <v>0.23521809999999999</v>
      </c>
      <c r="R32" s="110">
        <f t="shared" si="2"/>
        <v>0.33805649999999998</v>
      </c>
      <c r="S32" s="110">
        <f t="shared" si="2"/>
        <v>0.18716929999999998</v>
      </c>
      <c r="T32" s="110">
        <f t="shared" si="2"/>
        <v>0.32465999999999995</v>
      </c>
      <c r="U32" s="110">
        <f t="shared" si="2"/>
        <v>6.9490199999999946E-2</v>
      </c>
      <c r="V32" s="110">
        <f t="shared" si="2"/>
        <v>9.1725199999999951E-2</v>
      </c>
      <c r="W32" s="110">
        <f t="shared" si="2"/>
        <v>0.1113075</v>
      </c>
      <c r="X32" s="110">
        <f t="shared" si="2"/>
        <v>0.30930230000000003</v>
      </c>
      <c r="Y32" s="110">
        <f t="shared" si="2"/>
        <v>0.21751129999999996</v>
      </c>
      <c r="Z32" s="110">
        <f t="shared" si="2"/>
        <v>0.14112579999999997</v>
      </c>
      <c r="AA32" s="110">
        <f t="shared" si="2"/>
        <v>0.17277849999999995</v>
      </c>
      <c r="AB32" s="110">
        <f t="shared" si="2"/>
        <v>0.12477799999999994</v>
      </c>
      <c r="AD32" s="85" t="s">
        <v>225</v>
      </c>
      <c r="AE32" s="86"/>
      <c r="AF32" s="89"/>
    </row>
    <row r="33" spans="1:32" s="85" customFormat="1" ht="14.4" x14ac:dyDescent="0.3">
      <c r="A33" s="96"/>
      <c r="B33" s="90" t="s">
        <v>5</v>
      </c>
      <c r="C33" s="110">
        <f>1-C27</f>
        <v>0.83053386000000007</v>
      </c>
      <c r="D33" s="110">
        <f t="shared" ref="D33:AB33" si="3">1-D27</f>
        <v>0.95499420000000002</v>
      </c>
      <c r="E33" s="110">
        <f t="shared" si="3"/>
        <v>0.68622810000000001</v>
      </c>
      <c r="F33" s="110">
        <f t="shared" si="3"/>
        <v>0.78292839999999997</v>
      </c>
      <c r="G33" s="110">
        <f t="shared" si="3"/>
        <v>0.86184419999999995</v>
      </c>
      <c r="H33" s="110">
        <f t="shared" si="3"/>
        <v>0.90949979999999997</v>
      </c>
      <c r="I33" s="110">
        <f t="shared" si="3"/>
        <v>0.7956472</v>
      </c>
      <c r="J33" s="110">
        <f t="shared" si="3"/>
        <v>0.89685959999999998</v>
      </c>
      <c r="K33" s="110">
        <f t="shared" si="3"/>
        <v>0.94207010000000002</v>
      </c>
      <c r="L33" s="110">
        <f t="shared" si="3"/>
        <v>0.84394879999999994</v>
      </c>
      <c r="M33" s="110">
        <f t="shared" si="3"/>
        <v>0.59325329999999998</v>
      </c>
      <c r="N33" s="110">
        <f t="shared" si="3"/>
        <v>0.71951699999999996</v>
      </c>
      <c r="O33" s="110">
        <f t="shared" si="3"/>
        <v>0.86512909999999998</v>
      </c>
      <c r="P33" s="110">
        <f t="shared" si="3"/>
        <v>0.82119490000000006</v>
      </c>
      <c r="Q33" s="110">
        <f t="shared" si="3"/>
        <v>0.85795929999999998</v>
      </c>
      <c r="R33" s="110">
        <f t="shared" si="3"/>
        <v>0.88408770000000003</v>
      </c>
      <c r="S33" s="110">
        <f t="shared" si="3"/>
        <v>0.81642550000000003</v>
      </c>
      <c r="T33" s="110">
        <f t="shared" si="3"/>
        <v>0.86946599999999996</v>
      </c>
      <c r="U33" s="110">
        <f t="shared" si="3"/>
        <v>0.87335779999999996</v>
      </c>
      <c r="V33" s="110">
        <f t="shared" si="3"/>
        <v>0.91965710000000001</v>
      </c>
      <c r="W33" s="110">
        <f t="shared" si="3"/>
        <v>0.73506490000000002</v>
      </c>
      <c r="X33" s="110">
        <f t="shared" si="3"/>
        <v>0.98348860000000005</v>
      </c>
      <c r="Y33" s="110">
        <f t="shared" si="3"/>
        <v>0.93871099999999996</v>
      </c>
      <c r="Z33" s="110">
        <f t="shared" si="3"/>
        <v>0.77542690000000003</v>
      </c>
      <c r="AA33" s="110">
        <f t="shared" si="3"/>
        <v>0.95155699999999999</v>
      </c>
      <c r="AB33" s="110">
        <f t="shared" si="3"/>
        <v>0.69718269999999993</v>
      </c>
      <c r="AD33" s="85" t="s">
        <v>225</v>
      </c>
      <c r="AE33" s="86"/>
      <c r="AF33" s="89"/>
    </row>
    <row r="35" spans="1:32" x14ac:dyDescent="0.25">
      <c r="C35" s="98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600"/>
  </sheetPr>
  <dimension ref="A1:K14"/>
  <sheetViews>
    <sheetView zoomScale="60" zoomScaleNormal="60" workbookViewId="0">
      <selection activeCell="G35" sqref="G35"/>
    </sheetView>
  </sheetViews>
  <sheetFormatPr defaultColWidth="8.77734375" defaultRowHeight="13.2" x14ac:dyDescent="0.25"/>
  <cols>
    <col min="1" max="1" width="37" customWidth="1"/>
    <col min="2" max="2" width="29.332031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6" t="s">
        <v>143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5">
      <c r="B3" s="16"/>
    </row>
    <row r="4" spans="1:11" x14ac:dyDescent="0.25">
      <c r="A4" t="s">
        <v>140</v>
      </c>
      <c r="B4" s="16" t="s">
        <v>143</v>
      </c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B5" s="16"/>
    </row>
    <row r="6" spans="1:11" x14ac:dyDescent="0.25">
      <c r="A6" t="s">
        <v>141</v>
      </c>
      <c r="B6" s="16" t="s">
        <v>143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x14ac:dyDescent="0.25">
      <c r="B7" s="16" t="s">
        <v>32</v>
      </c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B8" s="16" t="s">
        <v>144</v>
      </c>
      <c r="C8" s="30"/>
      <c r="D8" s="30"/>
      <c r="E8" s="30"/>
      <c r="F8" s="30"/>
      <c r="G8" s="30"/>
      <c r="H8" s="30"/>
      <c r="I8" s="30"/>
      <c r="J8" s="30"/>
      <c r="K8" s="30"/>
    </row>
    <row r="10" spans="1:11" x14ac:dyDescent="0.25">
      <c r="A10" t="s">
        <v>142</v>
      </c>
      <c r="B10" s="18" t="s">
        <v>147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1:11" x14ac:dyDescent="0.25">
      <c r="B11" s="37" t="s">
        <v>146</v>
      </c>
      <c r="C11" s="30"/>
      <c r="D11" s="30"/>
      <c r="E11" s="30"/>
      <c r="F11" s="30"/>
      <c r="G11" s="30"/>
      <c r="H11" s="30"/>
      <c r="I11" s="30"/>
      <c r="J11" s="30"/>
      <c r="K11" s="30"/>
    </row>
    <row r="13" spans="1:11" x14ac:dyDescent="0.25">
      <c r="A13" s="15" t="s">
        <v>74</v>
      </c>
      <c r="B13" s="37" t="s">
        <v>148</v>
      </c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25">
      <c r="B14" s="18" t="s">
        <v>169</v>
      </c>
      <c r="C14" s="30"/>
      <c r="D14" s="30"/>
      <c r="E14" s="30"/>
      <c r="F14" s="30"/>
      <c r="G14" s="30"/>
      <c r="H14" s="30"/>
      <c r="I14" s="30"/>
      <c r="J14" s="30"/>
      <c r="K14" s="30"/>
    </row>
  </sheetData>
  <pageMargins left="0.7" right="0.7" top="0.75" bottom="0.75" header="0.3" footer="0.3"/>
  <pageSetup paperSize="1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3203125" defaultRowHeight="13.2" x14ac:dyDescent="0.25"/>
  <cols>
    <col min="1" max="1" width="17" style="40" customWidth="1"/>
    <col min="2" max="2" width="19.109375" style="40" customWidth="1"/>
    <col min="3" max="3" width="13.33203125" style="40" customWidth="1"/>
    <col min="4" max="16384" width="11.33203125" style="40"/>
  </cols>
  <sheetData>
    <row r="1" spans="1:5" x14ac:dyDescent="0.25">
      <c r="A1" s="53" t="s">
        <v>176</v>
      </c>
      <c r="B1" s="54" t="s">
        <v>175</v>
      </c>
      <c r="C1" s="54" t="s">
        <v>174</v>
      </c>
      <c r="D1" s="54" t="s">
        <v>173</v>
      </c>
      <c r="E1" s="54" t="s">
        <v>172</v>
      </c>
    </row>
    <row r="2" spans="1:5" x14ac:dyDescent="0.25">
      <c r="A2" s="52" t="s">
        <v>171</v>
      </c>
      <c r="B2" s="49" t="s">
        <v>32</v>
      </c>
      <c r="C2" s="72"/>
      <c r="D2" s="72" t="b">
        <v>1</v>
      </c>
      <c r="E2" s="73" t="b">
        <f>IF(E$7="","",E$7)</f>
        <v>1</v>
      </c>
    </row>
    <row r="3" spans="1:5" x14ac:dyDescent="0.25">
      <c r="A3" s="50"/>
      <c r="B3" s="49" t="s">
        <v>1</v>
      </c>
      <c r="C3" s="72"/>
      <c r="D3" s="72" t="b">
        <v>1</v>
      </c>
      <c r="E3" s="73" t="b">
        <f>IF(E$7="","",E$7)</f>
        <v>1</v>
      </c>
    </row>
    <row r="4" spans="1:5" x14ac:dyDescent="0.25">
      <c r="A4" s="50"/>
      <c r="B4" s="49" t="s">
        <v>2</v>
      </c>
      <c r="C4" s="72"/>
      <c r="D4" s="72" t="b">
        <v>1</v>
      </c>
      <c r="E4" s="73" t="b">
        <f>IF(E$7="","",E$7)</f>
        <v>1</v>
      </c>
    </row>
    <row r="5" spans="1:5" x14ac:dyDescent="0.25">
      <c r="A5" s="50"/>
      <c r="B5" s="49" t="s">
        <v>3</v>
      </c>
      <c r="C5" s="72"/>
      <c r="D5" s="72" t="b">
        <v>1</v>
      </c>
      <c r="E5" s="73" t="b">
        <f>IF(E$7="","",E$7)</f>
        <v>1</v>
      </c>
    </row>
    <row r="6" spans="1:5" x14ac:dyDescent="0.25">
      <c r="A6" s="50"/>
      <c r="B6" s="49" t="s">
        <v>4</v>
      </c>
      <c r="C6" s="72"/>
      <c r="D6" s="72" t="b">
        <v>1</v>
      </c>
      <c r="E6" s="73" t="b">
        <f>IF(E$7="","",E$7)</f>
        <v>1</v>
      </c>
    </row>
    <row r="7" spans="1:5" x14ac:dyDescent="0.25">
      <c r="A7" s="50"/>
      <c r="B7" s="49" t="s">
        <v>170</v>
      </c>
      <c r="C7" s="74"/>
      <c r="D7" s="75"/>
      <c r="E7" s="72" t="b">
        <v>1</v>
      </c>
    </row>
    <row r="8" spans="1:5" x14ac:dyDescent="0.25">
      <c r="C8" s="76"/>
      <c r="D8" s="76"/>
      <c r="E8" s="76"/>
    </row>
    <row r="9" spans="1:5" x14ac:dyDescent="0.25">
      <c r="A9" s="52" t="s">
        <v>196</v>
      </c>
      <c r="B9" s="49" t="s">
        <v>32</v>
      </c>
      <c r="C9" s="72" t="b">
        <v>1</v>
      </c>
      <c r="D9" s="72"/>
      <c r="E9" s="73" t="b">
        <f>IF(E$7="","",E$7)</f>
        <v>1</v>
      </c>
    </row>
    <row r="10" spans="1:5" x14ac:dyDescent="0.25">
      <c r="A10" s="50"/>
      <c r="B10" s="49" t="s">
        <v>1</v>
      </c>
      <c r="C10" s="72" t="b">
        <v>1</v>
      </c>
      <c r="D10" s="72"/>
      <c r="E10" s="73" t="b">
        <f>IF(E$7="","",E$7)</f>
        <v>1</v>
      </c>
    </row>
    <row r="11" spans="1:5" x14ac:dyDescent="0.25">
      <c r="A11" s="50"/>
      <c r="B11" s="49" t="s">
        <v>2</v>
      </c>
      <c r="C11" s="72" t="b">
        <v>1</v>
      </c>
      <c r="D11" s="72"/>
      <c r="E11" s="73" t="b">
        <f>IF(E$7="","",E$7)</f>
        <v>1</v>
      </c>
    </row>
    <row r="12" spans="1:5" x14ac:dyDescent="0.25">
      <c r="A12" s="50"/>
      <c r="B12" s="49" t="s">
        <v>3</v>
      </c>
      <c r="C12" s="72" t="b">
        <v>1</v>
      </c>
      <c r="D12" s="72"/>
      <c r="E12" s="73" t="b">
        <f>IF(E$7="","",E$7)</f>
        <v>1</v>
      </c>
    </row>
    <row r="13" spans="1:5" x14ac:dyDescent="0.25">
      <c r="A13" s="50"/>
      <c r="B13" s="49" t="s">
        <v>4</v>
      </c>
      <c r="C13" s="72" t="b">
        <v>1</v>
      </c>
      <c r="D13" s="72"/>
      <c r="E13" s="73" t="b">
        <f>IF(E$7="","",E$7)</f>
        <v>1</v>
      </c>
    </row>
    <row r="14" spans="1:5" x14ac:dyDescent="0.25">
      <c r="A14" s="50"/>
      <c r="B14" s="49" t="s">
        <v>170</v>
      </c>
      <c r="C14" s="74"/>
      <c r="D14" s="75"/>
      <c r="E14" s="72"/>
    </row>
    <row r="15" spans="1:5" x14ac:dyDescent="0.25">
      <c r="C15" s="76"/>
      <c r="D15" s="76"/>
      <c r="E15" s="76"/>
    </row>
    <row r="16" spans="1:5" x14ac:dyDescent="0.25">
      <c r="A16" s="52" t="s">
        <v>197</v>
      </c>
      <c r="B16" s="49" t="s">
        <v>32</v>
      </c>
      <c r="C16" s="72"/>
      <c r="D16" s="72"/>
      <c r="E16" s="73" t="b">
        <f>IF(E$7="","",E$7)</f>
        <v>1</v>
      </c>
    </row>
    <row r="17" spans="1:5" x14ac:dyDescent="0.25">
      <c r="A17" s="50"/>
      <c r="B17" s="49" t="s">
        <v>1</v>
      </c>
      <c r="C17" s="72"/>
      <c r="D17" s="72"/>
      <c r="E17" s="73" t="b">
        <f>IF(E$7="","",E$7)</f>
        <v>1</v>
      </c>
    </row>
    <row r="18" spans="1:5" x14ac:dyDescent="0.25">
      <c r="A18" s="50"/>
      <c r="B18" s="49" t="s">
        <v>2</v>
      </c>
      <c r="C18" s="72"/>
      <c r="D18" s="72"/>
      <c r="E18" s="73" t="b">
        <f>IF(E$7="","",E$7)</f>
        <v>1</v>
      </c>
    </row>
    <row r="19" spans="1:5" x14ac:dyDescent="0.25">
      <c r="A19" s="50"/>
      <c r="B19" s="49" t="s">
        <v>3</v>
      </c>
      <c r="C19" s="72"/>
      <c r="D19" s="72"/>
      <c r="E19" s="73" t="b">
        <f>IF(E$7="","",E$7)</f>
        <v>1</v>
      </c>
    </row>
    <row r="20" spans="1:5" x14ac:dyDescent="0.25">
      <c r="A20" s="50"/>
      <c r="B20" s="49" t="s">
        <v>4</v>
      </c>
      <c r="C20" s="72"/>
      <c r="D20" s="72"/>
      <c r="E20" s="73" t="b">
        <f>IF(E$7="","",E$7)</f>
        <v>1</v>
      </c>
    </row>
    <row r="21" spans="1:5" x14ac:dyDescent="0.25">
      <c r="A21" s="50"/>
      <c r="B21" s="49" t="s">
        <v>170</v>
      </c>
      <c r="C21" s="74"/>
      <c r="D21" s="75"/>
      <c r="E21" s="72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77734375" defaultRowHeight="13.2" x14ac:dyDescent="0.25"/>
  <cols>
    <col min="1" max="1" width="15.5546875" customWidth="1"/>
    <col min="2" max="2" width="15.33203125" customWidth="1"/>
    <col min="3" max="3" width="21" customWidth="1"/>
    <col min="4" max="4" width="12.77734375" customWidth="1"/>
  </cols>
  <sheetData>
    <row r="1" spans="1:4" x14ac:dyDescent="0.25">
      <c r="A1" s="68" t="s">
        <v>164</v>
      </c>
      <c r="B1" s="54" t="s">
        <v>179</v>
      </c>
      <c r="C1" s="69" t="s">
        <v>180</v>
      </c>
      <c r="D1" s="69" t="s">
        <v>184</v>
      </c>
    </row>
    <row r="2" spans="1:4" x14ac:dyDescent="0.25">
      <c r="A2" s="69" t="s">
        <v>69</v>
      </c>
      <c r="B2" s="49" t="s">
        <v>67</v>
      </c>
      <c r="C2" s="49" t="s">
        <v>181</v>
      </c>
      <c r="D2" s="72"/>
    </row>
    <row r="3" spans="1:4" x14ac:dyDescent="0.25">
      <c r="A3" s="69" t="s">
        <v>183</v>
      </c>
      <c r="B3" s="49" t="s">
        <v>174</v>
      </c>
      <c r="C3" s="49" t="s">
        <v>182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Cost curve options</vt:lpstr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2018-11-14T07:02:57Z</dcterms:modified>
</cp:coreProperties>
</file>