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My Drive\Optima Nutrition\Applications\Papua New Guinea\Databook\Multi-region analysis\"/>
    </mc:Choice>
  </mc:AlternateContent>
  <bookViews>
    <workbookView xWindow="-11520" yWindow="-14475" windowWidth="20730" windowHeight="11760" tabRatio="961" activeTab="6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C58" i="1" l="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48" i="1"/>
  <c r="H3" i="2"/>
  <c r="H4" i="2"/>
  <c r="I4" i="2" s="1"/>
  <c r="H5" i="2"/>
  <c r="H6" i="2"/>
  <c r="H7" i="2"/>
  <c r="H8" i="2"/>
  <c r="I8" i="2" s="1"/>
  <c r="H9" i="2"/>
  <c r="I9" i="2" s="1"/>
  <c r="H10" i="2"/>
  <c r="H11" i="2"/>
  <c r="H12" i="2"/>
  <c r="H13" i="2"/>
  <c r="H14" i="2"/>
  <c r="H15" i="2"/>
  <c r="I15" i="2" s="1"/>
  <c r="C20" i="1"/>
  <c r="G3" i="2"/>
  <c r="I3" i="2" s="1"/>
  <c r="G4" i="2"/>
  <c r="G5" i="2"/>
  <c r="G6" i="2"/>
  <c r="I6" i="2"/>
  <c r="G7" i="2"/>
  <c r="I7" i="2"/>
  <c r="G8" i="2"/>
  <c r="G9" i="2"/>
  <c r="G10" i="2"/>
  <c r="I10" i="2" s="1"/>
  <c r="G11" i="2"/>
  <c r="I11" i="2"/>
  <c r="G12" i="2"/>
  <c r="I12" i="2" s="1"/>
  <c r="G13" i="2"/>
  <c r="I13" i="2" s="1"/>
  <c r="G14" i="2"/>
  <c r="I14" i="2" s="1"/>
  <c r="G15" i="2"/>
  <c r="G2" i="2"/>
  <c r="I5" i="2"/>
  <c r="I2" i="2"/>
</calcChain>
</file>

<file path=xl/comments1.xml><?xml version="1.0" encoding="utf-8"?>
<comments xmlns="http://schemas.openxmlformats.org/spreadsheetml/2006/main">
  <authors>
    <author>Optima team</author>
    <author>Nick Scott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WPP Annual population both sexes
and 2011 Census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0-4 population 2017 (thousands)
1,042,546 
15% of total population lives in Momase
=0.15*1,042,546 
=156,382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 xml:space="preserve">Missing data FAO /WB
Source: </t>
        </r>
        <r>
          <rPr>
            <sz val="9"/>
            <color indexed="81"/>
            <rFont val="Tahoma"/>
            <family val="2"/>
          </rPr>
          <t>Asia Development Bank Country Partnership Strategy PNG 2016-2020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https://www.adb.org/sites/default/files/institutional-document/157927/cps-png-2016-2020.pdf ["Country at a glance" page 5]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 Population below poverty line (%) 39.9 [2009]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MIS 2016-2017
page 2/3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"Malaria has been endemic throughout PNG[…] Below 1600 m altitude, 7.1% of the population was infected with malaria parasites, in
highland areas at 1600 m and above, only 0.9%"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Source: UNESCO institute 
</t>
        </r>
        <r>
          <rPr>
            <sz val="9"/>
            <color indexed="81"/>
            <rFont val="Tahoma"/>
            <family val="2"/>
          </rPr>
          <t xml:space="preserve">http://uis.unesco.org/country/PG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Participation in Education - Secondary education by sex</t>
        </r>
        <r>
          <rPr>
            <b/>
            <sz val="9"/>
            <color indexed="81"/>
            <rFont val="Tahoma"/>
            <family val="2"/>
          </rPr>
          <t xml:space="preserve">
Net enrolment rate (%) female: </t>
        </r>
        <r>
          <rPr>
            <sz val="9"/>
            <color indexed="81"/>
            <rFont val="Tahoma"/>
            <family val="2"/>
          </rPr>
          <t>29.96%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National Health Information System found in SPAR 2016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At least one visit to antenatal care (%) 2016
National: 63%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MIS 2016-2017 
page 44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Children under age 5 with fever seeking care in health facilities (44.5%)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 page 89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Unmet need for family planning among currently married women 29.8%
FYI: Unmet need for men is 22% (pg 90)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  <comment ref="C23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4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5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6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9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0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2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neonatal mortality rate per 1000 live births = 24.7
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infant mortality rate per 1000 live births = 44.4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under five mortality rate per 1000 live births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57.1
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Mola G, Kirby B. Discrepancies between national maternal mortality data and international estimates: the experience of Papua New Guinea. Reproductive Health Matters. 2013;21(42):191-202.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In 2015 MMR per 100,000 live births = 500
Maternal mortality per 1000 live births = (500/100) 
= 5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Ranges from 238 (WHO estimates) to 755 (official Government figure from DHS 2006) per 100,000 births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Percent of pregnancies ending in spontaneous abortion (13%)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
http://apps.who.int/gho/data/node.country.country-PNG?lang=en
</t>
        </r>
        <r>
          <rPr>
            <b/>
            <sz val="9"/>
            <color indexed="81"/>
            <rFont val="Tahoma"/>
            <family val="2"/>
          </rPr>
          <t xml:space="preserve">
Value</t>
        </r>
        <r>
          <rPr>
            <sz val="9"/>
            <color indexed="81"/>
            <rFont val="Tahoma"/>
            <family val="2"/>
          </rPr>
          <t>: Number of neonatal deaths (thousands): 5 in 2015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SPAR 2016 (NHIS data)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Incidence of diarrhoeal disease in children &lt; 5 years (185 cases per 1000 children)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sz val="9"/>
            <color indexed="81"/>
            <rFont val="Tahoma"/>
            <family val="2"/>
          </rPr>
          <t xml:space="preserve">: National nutrition survey 2005
</t>
        </r>
        <r>
          <rPr>
            <b/>
            <sz val="9"/>
            <color indexed="81"/>
            <rFont val="Tahoma"/>
            <family val="2"/>
          </rPr>
          <t xml:space="preserve">Value: 
</t>
        </r>
        <r>
          <rPr>
            <sz val="9"/>
            <color indexed="81"/>
            <rFont val="Tahoma"/>
            <family val="2"/>
          </rPr>
          <t>Children 6-59 months 
National 22.8% (N=868)
Southern 35.6% (N=194)
Highlands 7.7% (N=195)
Mamose 31.4% (N=236)
Islands 21.8 % (N=243)Non-pregnant 15-49
Women of reproductive age
National 15% (N=742)
Southern 44.2% (N=242)
Highlands 2.3% (N=171)
Mamose 22.6% (N=168)
Islands 23.0% (N=161)
Weighted average = ((868*22.8)+(742*0.15))/(868+742)
= 19.21%</t>
        </r>
      </text>
    </comment>
  </commentList>
</comments>
</file>

<file path=xl/comments10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>
  <authors>
    <author>Optima team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>
  <authors>
    <author>Optima team</author>
    <author>Debra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  <comment ref="C4" authorId="1" shapeId="0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298 neonatal infections deaths of 601 neonatal deaths reported – page 36) </t>
        </r>
      </text>
    </comment>
    <comment ref="C6" authorId="1" shapeId="0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>(239 asphyxia deaths out of 601 neonatal deaths reported - page 38)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</commentList>
</comments>
</file>

<file path=xl/comments4.xml><?xml version="1.0" encoding="utf-8"?>
<comments xmlns="http://schemas.openxmlformats.org/spreadsheetml/2006/main">
  <authors>
    <author>Optima team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53.4%
Children are classified as stunted if Z scores of height for age are less than 2 SD below the median of the WHO Child Growth Standards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48.2%
Children are classified as stunted if Z scores of height for age are less than 2 SD below the median of the WHO Child Growth Standards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World Bank databank PNG (World development indicators)
row 203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pregnant women (%)
Applied across all age groups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</commentList>
</comments>
</file>

<file path=xl/comments5.xml><?xml version="1.0" encoding="utf-8"?>
<comments xmlns="http://schemas.openxmlformats.org/spreadsheetml/2006/main">
  <authors>
    <author>Debra</author>
    <author>Optima team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Original values as no calculation possible due to lack of regional data for this age group regarding breastfeeding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  <comment ref="F4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</commentList>
</comments>
</file>

<file path=xl/comments6.xml><?xml version="1.0" encoding="utf-8"?>
<comments xmlns="http://schemas.openxmlformats.org/spreadsheetml/2006/main">
  <authors>
    <author>Optima team</author>
    <author>Nick Scott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$25.00 (2010)
CPI inflation calculator Jan 2010-Jan 2017 = $28.02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$9.16 (2010)
CPI inflation calculator Jan 2010-Jan 2017 = $10.27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Tanzania analysis 2018
Uses 2013 PSS data hence corrected for inflation (2013: $60, 2017: $63.27)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 table 4.3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Ever use of contraception for all women 38.7%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maize Vietnam $ 0.15 (2015)
$0.16 (2017)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rice Vietnam $ 1.41 (2015)
$1.47 (2017)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wheat flour Vietnam $ 0.20 (2015)
$0.21 (2017)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community health system delivery + supplement Vietnam $ 0.28 (2015)
$0.29 (2017)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hospital/clinic delivery + supplement Vietnam $ 2.07 (2015)
$2.15 (2017)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retailer + supplement Vietnam $ 0.24 (2015)
$0.25 (2017)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in-school program delivery + supplement Vietnam $0.63 (2015)
$0.65 (2017)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No data in MIS 2016-2017
WMR 2018
IPTp coverage in SSA for one, two or three doses respectively is 54%/42%/22%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262 (original source White et al 2011)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Sub-Saharan Africa - IPTp $ 2.18 (2015)
$2.27 (2017)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LiST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MIS 2016-2017 page 4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
Proportion of pregnant women and children under 5 that slept under an insecticide treated net the previous night were 59.6% and 59.5% respectively  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LiST/DHS 2006 pg 130
</t>
        </r>
        <r>
          <rPr>
            <b/>
            <sz val="9"/>
            <color indexed="81"/>
            <rFont val="Tahoma"/>
            <family val="2"/>
          </rPr>
          <t xml:space="preserve">Value: *not really coverage??* </t>
        </r>
        <r>
          <rPr>
            <sz val="9"/>
            <color indexed="81"/>
            <rFont val="Tahoma"/>
            <family val="2"/>
          </rPr>
          <t>Of the children who were reported to have diarrhoea in the two weeks preceding the survey, 8 percent were given oral rehydration salts</t>
        </r>
      </text>
    </comment>
    <comment ref="D28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Value = $1*2.2
= $2.20
Diarrhoea incidence is the average in children under 5.  See user guide for further information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$50.00 (2010)
CPI inflation calculator Jan 2010-Jan 2017 = $56.03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$198.25 (2010)
CPI inflation calculator Jan 2010-Jan 2017 = $222.18
Weighted SAM prevalence = =((0.058*1)+(0.058*5)+(0.043*5)+(0.037*11)+(0.02*35))/(1+5+5+11+35)
= 2.93%
Unit cost per person per year = 222.18*0.0293*2.6
= $16.93
</t>
        </r>
        <r>
          <rPr>
            <b/>
            <sz val="9"/>
            <color indexed="81"/>
            <rFont val="Tahoma"/>
            <family val="2"/>
          </rPr>
          <t>FYI:</t>
        </r>
        <r>
          <rPr>
            <sz val="9"/>
            <color indexed="81"/>
            <rFont val="Tahoma"/>
            <family val="2"/>
          </rPr>
          <t xml:space="preserve"> Tanzania $90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$2.22 (2010)
CPI inflation calculator Jan 2010-Jan 2017 = $2.80
FYI Tanzania: 0.40 per child per year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= $1.5*2.2
=$3.30
Diarrhoea incidence is the average in children under 5.  See user guide for further information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Coverage zinc supplementation 0.0
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<sst xmlns="http://schemas.openxmlformats.org/spreadsheetml/2006/main" count="1101" uniqueCount="271">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</sst>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1" sqref="C1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7">
        <v>2017</v>
      </c>
    </row>
    <row r="4" spans="1:3" ht="15.95" customHeight="1" x14ac:dyDescent="0.2">
      <c r="A4" s="1"/>
      <c r="B4" s="9" t="s">
        <v>192</v>
      </c>
      <c r="C4" s="68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210</v>
      </c>
      <c r="C7" s="69">
        <v>156381.9</v>
      </c>
    </row>
    <row r="8" spans="1:3" ht="15" customHeight="1" x14ac:dyDescent="0.2">
      <c r="B8" s="7" t="s">
        <v>106</v>
      </c>
      <c r="C8" s="70">
        <v>0.39900000000000002</v>
      </c>
    </row>
    <row r="9" spans="1:3" ht="15" customHeight="1" x14ac:dyDescent="0.2">
      <c r="B9" s="9" t="s">
        <v>107</v>
      </c>
      <c r="C9" s="71">
        <v>1</v>
      </c>
    </row>
    <row r="10" spans="1:3" ht="15" customHeight="1" x14ac:dyDescent="0.2">
      <c r="B10" s="9" t="s">
        <v>105</v>
      </c>
      <c r="C10" s="71">
        <v>0.29959999999999998</v>
      </c>
    </row>
    <row r="11" spans="1:3" ht="15" customHeight="1" x14ac:dyDescent="0.2">
      <c r="B11" s="7" t="s">
        <v>108</v>
      </c>
      <c r="C11" s="70">
        <v>0.69</v>
      </c>
    </row>
    <row r="12" spans="1:3" ht="15" customHeight="1" x14ac:dyDescent="0.2">
      <c r="B12" s="7" t="s">
        <v>109</v>
      </c>
      <c r="C12" s="70">
        <v>0.44500000000000001</v>
      </c>
    </row>
    <row r="13" spans="1:3" ht="15" customHeight="1" x14ac:dyDescent="0.2">
      <c r="B13" s="7" t="s">
        <v>110</v>
      </c>
      <c r="C13" s="70">
        <v>0.29799999999999999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71">
        <v>0.8</v>
      </c>
    </row>
    <row r="17" spans="1:3" ht="15" customHeight="1" x14ac:dyDescent="0.2">
      <c r="B17" s="9" t="s">
        <v>95</v>
      </c>
      <c r="C17" s="71">
        <v>0.8</v>
      </c>
    </row>
    <row r="18" spans="1:3" ht="15" customHeight="1" x14ac:dyDescent="0.2">
      <c r="B18" s="9" t="s">
        <v>96</v>
      </c>
      <c r="C18" s="71">
        <v>0.1</v>
      </c>
    </row>
    <row r="19" spans="1:3" ht="15" customHeight="1" x14ac:dyDescent="0.2">
      <c r="B19" s="9" t="s">
        <v>97</v>
      </c>
      <c r="C19" s="71">
        <v>0.1</v>
      </c>
    </row>
    <row r="20" spans="1:3" ht="15" customHeight="1" x14ac:dyDescent="0.2">
      <c r="B20" s="9" t="s">
        <v>98</v>
      </c>
      <c r="C20" s="72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71">
        <v>8.4099999999999994E-2</v>
      </c>
    </row>
    <row r="24" spans="1:3" ht="15" customHeight="1" x14ac:dyDescent="0.2">
      <c r="B24" s="20" t="s">
        <v>102</v>
      </c>
      <c r="C24" s="71">
        <v>0.46600000000000003</v>
      </c>
    </row>
    <row r="25" spans="1:3" ht="15" customHeight="1" x14ac:dyDescent="0.2">
      <c r="B25" s="20" t="s">
        <v>103</v>
      </c>
      <c r="C25" s="71">
        <v>0.34670000000000001</v>
      </c>
    </row>
    <row r="26" spans="1:3" ht="15" customHeight="1" x14ac:dyDescent="0.2">
      <c r="B26" s="20" t="s">
        <v>104</v>
      </c>
      <c r="C26" s="71">
        <v>0.1032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197</v>
      </c>
      <c r="B28" s="20"/>
      <c r="C28" s="20"/>
    </row>
    <row r="29" spans="1:3" ht="14.25" customHeight="1" x14ac:dyDescent="0.2">
      <c r="B29" s="30" t="s">
        <v>75</v>
      </c>
      <c r="C29" s="73">
        <v>0.223</v>
      </c>
    </row>
    <row r="30" spans="1:3" ht="14.25" customHeight="1" x14ac:dyDescent="0.2">
      <c r="B30" s="30" t="s">
        <v>76</v>
      </c>
      <c r="C30" s="73">
        <v>0.11700000000000001</v>
      </c>
    </row>
    <row r="31" spans="1:3" ht="14.25" customHeight="1" x14ac:dyDescent="0.2">
      <c r="B31" s="30" t="s">
        <v>77</v>
      </c>
      <c r="C31" s="73">
        <v>0.161</v>
      </c>
    </row>
    <row r="32" spans="1:3" ht="14.25" customHeight="1" x14ac:dyDescent="0.2">
      <c r="B32" s="30" t="s">
        <v>78</v>
      </c>
      <c r="C32" s="73">
        <v>0.499</v>
      </c>
    </row>
    <row r="33" spans="1:5" ht="12.75" x14ac:dyDescent="0.2">
      <c r="B33" s="32" t="s">
        <v>129</v>
      </c>
      <c r="C33" s="74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5">
        <v>24.7</v>
      </c>
    </row>
    <row r="38" spans="1:5" ht="15" customHeight="1" x14ac:dyDescent="0.2">
      <c r="B38" s="16" t="s">
        <v>91</v>
      </c>
      <c r="C38" s="75">
        <v>44.4</v>
      </c>
      <c r="D38" s="17"/>
      <c r="E38" s="18"/>
    </row>
    <row r="39" spans="1:5" ht="15" customHeight="1" x14ac:dyDescent="0.2">
      <c r="B39" s="16" t="s">
        <v>90</v>
      </c>
      <c r="C39" s="75">
        <v>57.1</v>
      </c>
      <c r="D39" s="17"/>
      <c r="E39" s="17"/>
    </row>
    <row r="40" spans="1:5" ht="15" customHeight="1" x14ac:dyDescent="0.2">
      <c r="B40" s="16" t="s">
        <v>171</v>
      </c>
      <c r="C40" s="75">
        <v>5</v>
      </c>
    </row>
    <row r="41" spans="1:5" ht="15" customHeight="1" x14ac:dyDescent="0.2">
      <c r="B41" s="16" t="s">
        <v>89</v>
      </c>
      <c r="C41" s="71">
        <v>0.13</v>
      </c>
    </row>
    <row r="42" spans="1:5" ht="15" customHeight="1" x14ac:dyDescent="0.2">
      <c r="B42" s="42" t="s">
        <v>93</v>
      </c>
      <c r="C42" s="75">
        <v>5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71">
        <v>1.46E-2</v>
      </c>
      <c r="D45" s="17"/>
    </row>
    <row r="46" spans="1:5" ht="15.75" customHeight="1" x14ac:dyDescent="0.2">
      <c r="B46" s="16" t="s">
        <v>11</v>
      </c>
      <c r="C46" s="71">
        <v>5.0799999999999998E-2</v>
      </c>
      <c r="D46" s="17"/>
    </row>
    <row r="47" spans="1:5" ht="15.75" customHeight="1" x14ac:dyDescent="0.2">
      <c r="B47" s="16" t="s">
        <v>12</v>
      </c>
      <c r="C47" s="71">
        <v>0.2014</v>
      </c>
      <c r="D47" s="17"/>
      <c r="E47" s="18"/>
    </row>
    <row r="48" spans="1:5" ht="15" customHeight="1" x14ac:dyDescent="0.2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6">
        <v>2.2000000000000002</v>
      </c>
      <c r="D51" s="17"/>
    </row>
    <row r="52" spans="1:4" ht="15" customHeight="1" x14ac:dyDescent="0.2">
      <c r="B52" s="16" t="s">
        <v>125</v>
      </c>
      <c r="C52" s="76">
        <v>2.2000000000000002</v>
      </c>
    </row>
    <row r="53" spans="1:4" ht="15.75" customHeight="1" x14ac:dyDescent="0.2">
      <c r="B53" s="16" t="s">
        <v>126</v>
      </c>
      <c r="C53" s="76">
        <v>2.2000000000000002</v>
      </c>
    </row>
    <row r="54" spans="1:4" ht="15.75" customHeight="1" x14ac:dyDescent="0.2">
      <c r="B54" s="16" t="s">
        <v>127</v>
      </c>
      <c r="C54" s="76">
        <v>2.2000000000000002</v>
      </c>
    </row>
    <row r="55" spans="1:4" ht="15.75" customHeight="1" x14ac:dyDescent="0.2">
      <c r="B55" s="16" t="s">
        <v>128</v>
      </c>
      <c r="C55" s="76">
        <v>2.2000000000000002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70">
        <f>185/1000</f>
        <v>0.185</v>
      </c>
    </row>
    <row r="59" spans="1:4" ht="15.75" customHeight="1" x14ac:dyDescent="0.2">
      <c r="B59" s="16" t="s">
        <v>132</v>
      </c>
      <c r="C59" s="70">
        <v>0.2228</v>
      </c>
    </row>
    <row r="63" spans="1:4" ht="15.75" customHeight="1" x14ac:dyDescent="0.2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5546875" defaultRowHeight="15.75" x14ac:dyDescent="0.25"/>
  <cols>
    <col min="1" max="1" width="18.7109375" style="55" customWidth="1"/>
    <col min="2" max="16384" width="10.85546875" style="55"/>
  </cols>
  <sheetData>
    <row r="1" spans="1:5" ht="51.75" x14ac:dyDescent="0.2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2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2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2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2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2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2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8" t="s">
        <v>187</v>
      </c>
      <c r="B2" s="84" t="s">
        <v>59</v>
      </c>
      <c r="C2" s="84"/>
    </row>
    <row r="3" spans="1:3" x14ac:dyDescent="0.2">
      <c r="A3" s="88" t="s">
        <v>209</v>
      </c>
      <c r="B3" s="84" t="s">
        <v>59</v>
      </c>
      <c r="C3" s="84"/>
    </row>
    <row r="4" spans="1:3" x14ac:dyDescent="0.2">
      <c r="A4" s="89" t="s">
        <v>58</v>
      </c>
      <c r="B4" s="84" t="s">
        <v>136</v>
      </c>
      <c r="C4" s="84"/>
    </row>
    <row r="5" spans="1:3" x14ac:dyDescent="0.2">
      <c r="A5" s="89" t="s">
        <v>137</v>
      </c>
      <c r="B5" s="84" t="s">
        <v>136</v>
      </c>
      <c r="C5" s="84"/>
    </row>
    <row r="6" spans="1:3" x14ac:dyDescent="0.2">
      <c r="A6" s="89"/>
      <c r="B6" s="90"/>
      <c r="C6" s="90"/>
    </row>
    <row r="7" spans="1:3" x14ac:dyDescent="0.2">
      <c r="A7" s="89"/>
      <c r="B7" s="90"/>
      <c r="C7" s="90"/>
    </row>
    <row r="8" spans="1:3" x14ac:dyDescent="0.2">
      <c r="A8" s="89"/>
      <c r="B8" s="90"/>
      <c r="C8" s="90"/>
    </row>
    <row r="9" spans="1:3" x14ac:dyDescent="0.2">
      <c r="A9" s="89"/>
      <c r="B9" s="90"/>
      <c r="C9" s="90"/>
    </row>
    <row r="10" spans="1:3" x14ac:dyDescent="0.2">
      <c r="A10" s="89"/>
      <c r="B10" s="90"/>
      <c r="C10" s="90"/>
    </row>
    <row r="11" spans="1:3" x14ac:dyDescent="0.2">
      <c r="A11" s="91"/>
      <c r="B11" s="90"/>
      <c r="C11" s="90"/>
    </row>
    <row r="12" spans="1:3" x14ac:dyDescent="0.2">
      <c r="A12" s="91"/>
      <c r="B12" s="90"/>
      <c r="C12" s="90"/>
    </row>
    <row r="13" spans="1:3" x14ac:dyDescent="0.2">
      <c r="A13" s="91"/>
      <c r="B13" s="90"/>
      <c r="C13" s="90"/>
    </row>
    <row r="14" spans="1:3" x14ac:dyDescent="0.2">
      <c r="A14" s="91"/>
      <c r="B14" s="90"/>
      <c r="C14" s="90"/>
    </row>
    <row r="15" spans="1:3" x14ac:dyDescent="0.2">
      <c r="A15" s="91"/>
      <c r="B15" s="90"/>
      <c r="C15" s="90"/>
    </row>
    <row r="16" spans="1:3" x14ac:dyDescent="0.2">
      <c r="A16" s="91"/>
      <c r="B16" s="90"/>
      <c r="C16" s="90"/>
    </row>
    <row r="17" spans="1:3" x14ac:dyDescent="0.2">
      <c r="A17" s="91"/>
      <c r="B17" s="90"/>
      <c r="C17" s="90"/>
    </row>
    <row r="18" spans="1:3" x14ac:dyDescent="0.2">
      <c r="A18" s="91"/>
      <c r="B18" s="90"/>
      <c r="C18" s="90"/>
    </row>
    <row r="19" spans="1:3" x14ac:dyDescent="0.2">
      <c r="A19" s="89"/>
      <c r="B19" s="90"/>
      <c r="C19" s="90"/>
    </row>
    <row r="20" spans="1:3" x14ac:dyDescent="0.2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198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2.2000000000000002</v>
      </c>
      <c r="C2" s="26">
        <f>'Baseline year population inputs'!C52</f>
        <v>2.2000000000000002</v>
      </c>
      <c r="D2" s="26">
        <f>'Baseline year population inputs'!C53</f>
        <v>2.2000000000000002</v>
      </c>
      <c r="E2" s="26">
        <f>'Baseline year population inputs'!C54</f>
        <v>2.2000000000000002</v>
      </c>
      <c r="F2" s="26">
        <f>'Baseline year population inputs'!C55</f>
        <v>2.2000000000000002</v>
      </c>
    </row>
    <row r="3" spans="1:6" ht="15.75" customHeight="1" x14ac:dyDescent="0.2">
      <c r="A3" s="3" t="s">
        <v>65</v>
      </c>
      <c r="B3" s="26">
        <f>frac_mam_1month * 2.6</f>
        <v>0.88660000000000005</v>
      </c>
      <c r="C3" s="26">
        <f>frac_mam_1_5months * 2.6</f>
        <v>0.88660000000000005</v>
      </c>
      <c r="D3" s="26">
        <f>frac_mam_6_11months * 2.6</f>
        <v>0.51480000000000004</v>
      </c>
      <c r="E3" s="26">
        <f>frac_mam_12_23months * 2.6</f>
        <v>0.43600408163265308</v>
      </c>
      <c r="F3" s="26">
        <f>frac_mam_24_59months * 2.6</f>
        <v>0.32083486842105258</v>
      </c>
    </row>
    <row r="4" spans="1:6" ht="15.75" customHeight="1" x14ac:dyDescent="0.2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7.8795918367346923E-2</v>
      </c>
      <c r="F4" s="26">
        <f>frac_sam_24_59months * 2.6</f>
        <v>9.7765131578947367E-2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35" sqref="C3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92">
        <v>0</v>
      </c>
      <c r="D2" s="92">
        <f>food_insecure</f>
        <v>0.39900000000000002</v>
      </c>
      <c r="E2" s="92">
        <f>food_insecure</f>
        <v>0.39900000000000002</v>
      </c>
      <c r="F2" s="92">
        <f>food_insecure</f>
        <v>0.39900000000000002</v>
      </c>
      <c r="G2" s="92">
        <f>food_insecure</f>
        <v>0.39900000000000002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">
      <c r="B5" s="11" t="s">
        <v>136</v>
      </c>
      <c r="C5" s="92">
        <v>0</v>
      </c>
      <c r="D5" s="92">
        <v>0</v>
      </c>
      <c r="E5" s="92">
        <f>food_insecure</f>
        <v>0.39900000000000002</v>
      </c>
      <c r="F5" s="92">
        <f>food_insecure</f>
        <v>0.39900000000000002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">
      <c r="B7" s="33" t="s">
        <v>84</v>
      </c>
      <c r="C7" s="92">
        <f>diarrhoea_1mo/26</f>
        <v>8.461538461538462E-2</v>
      </c>
      <c r="D7" s="92">
        <f>diarrhoea_1_5mo/26</f>
        <v>8.461538461538462E-2</v>
      </c>
      <c r="E7" s="92">
        <f>diarrhoea_6_11mo/26</f>
        <v>8.461538461538462E-2</v>
      </c>
      <c r="F7" s="92">
        <f>diarrhoea_12_23mo/26</f>
        <v>8.461538461538462E-2</v>
      </c>
      <c r="G7" s="92">
        <f>diarrhoea_24_59mo/26</f>
        <v>8.461538461538462E-2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">
      <c r="B8" s="11" t="s">
        <v>58</v>
      </c>
      <c r="C8" s="92">
        <v>0</v>
      </c>
      <c r="D8" s="92">
        <v>0</v>
      </c>
      <c r="E8" s="92">
        <f>food_insecure</f>
        <v>0.39900000000000002</v>
      </c>
      <c r="F8" s="92">
        <f>food_insecure</f>
        <v>0.39900000000000002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">
      <c r="B9" s="11" t="s">
        <v>67</v>
      </c>
      <c r="C9" s="92">
        <v>0</v>
      </c>
      <c r="D9" s="92">
        <f>IF(ISBLANK(comm_deliv), frac_children_health_facility,1)</f>
        <v>0.44500000000000001</v>
      </c>
      <c r="E9" s="92">
        <f>IF(ISBLANK(comm_deliv), frac_children_health_facility,1)</f>
        <v>0.44500000000000001</v>
      </c>
      <c r="F9" s="92">
        <f>IF(ISBLANK(comm_deliv), frac_children_health_facility,1)</f>
        <v>0.44500000000000001</v>
      </c>
      <c r="G9" s="92">
        <f>IF(ISBLANK(comm_deliv), frac_children_health_facility,1)</f>
        <v>0.44500000000000001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">
      <c r="B11" s="33" t="s">
        <v>85</v>
      </c>
      <c r="C11" s="92">
        <f>diarrhoea_1mo/26</f>
        <v>8.461538461538462E-2</v>
      </c>
      <c r="D11" s="92">
        <f>diarrhoea_1_5mo/26</f>
        <v>8.461538461538462E-2</v>
      </c>
      <c r="E11" s="92">
        <f>diarrhoea_6_11mo/26</f>
        <v>8.461538461538462E-2</v>
      </c>
      <c r="F11" s="92">
        <f>diarrhoea_12_23mo/26</f>
        <v>8.461538461538462E-2</v>
      </c>
      <c r="G11" s="92">
        <f>diarrhoea_24_59mo/26</f>
        <v>8.461538461538462E-2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0.39900000000000002</v>
      </c>
      <c r="I14" s="92">
        <f>food_insecure</f>
        <v>0.39900000000000002</v>
      </c>
      <c r="J14" s="92">
        <f>food_insecure</f>
        <v>0.39900000000000002</v>
      </c>
      <c r="K14" s="92">
        <f>food_insecure</f>
        <v>0.39900000000000002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0.69</v>
      </c>
      <c r="I17" s="92">
        <f>frac_PW_health_facility</f>
        <v>0.69</v>
      </c>
      <c r="J17" s="92">
        <f>frac_PW_health_facility</f>
        <v>0.69</v>
      </c>
      <c r="K17" s="92">
        <f>frac_PW_health_facility</f>
        <v>0.69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">
      <c r="B22" s="33"/>
    </row>
    <row r="23" spans="1:15" ht="15.75" customHeight="1" x14ac:dyDescent="0.2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0.29799999999999999</v>
      </c>
      <c r="M23" s="92">
        <f>famplan_unmet_need</f>
        <v>0.29799999999999999</v>
      </c>
      <c r="N23" s="92">
        <f>famplan_unmet_need</f>
        <v>0.29799999999999999</v>
      </c>
      <c r="O23" s="92">
        <f>famplan_unmet_need</f>
        <v>0.29799999999999999</v>
      </c>
    </row>
    <row r="24" spans="1:15" ht="15.75" customHeight="1" x14ac:dyDescent="0.2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0.40188251600000002</v>
      </c>
      <c r="M24" s="92">
        <f>(1-food_insecure)*(0.49)+food_insecure*(0.7)</f>
        <v>0.57379000000000002</v>
      </c>
      <c r="N24" s="92">
        <f>(1-food_insecure)*(0.49)+food_insecure*(0.7)</f>
        <v>0.57379000000000002</v>
      </c>
      <c r="O24" s="92">
        <f>(1-food_insecure)*(0.49)+food_insecure*(0.7)</f>
        <v>0.57379000000000002</v>
      </c>
    </row>
    <row r="25" spans="1:15" ht="15.75" customHeight="1" x14ac:dyDescent="0.2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0.172235364</v>
      </c>
      <c r="M25" s="92">
        <f>(1-food_insecure)*(0.21)+food_insecure*(0.3)</f>
        <v>0.24590999999999999</v>
      </c>
      <c r="N25" s="92">
        <f>(1-food_insecure)*(0.21)+food_insecure*(0.3)</f>
        <v>0.24590999999999999</v>
      </c>
      <c r="O25" s="92">
        <f>(1-food_insecure)*(0.21)+food_insecure*(0.3)</f>
        <v>0.24590999999999999</v>
      </c>
    </row>
    <row r="26" spans="1:15" ht="15.75" customHeight="1" x14ac:dyDescent="0.2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0.12628212</v>
      </c>
      <c r="M26" s="92">
        <f>(1-food_insecure)*(0.3)</f>
        <v>0.18029999999999999</v>
      </c>
      <c r="N26" s="92">
        <f>(1-food_insecure)*(0.3)</f>
        <v>0.18029999999999999</v>
      </c>
      <c r="O26" s="92">
        <f>(1-food_insecure)*(0.3)</f>
        <v>0.18029999999999999</v>
      </c>
    </row>
    <row r="27" spans="1:15" ht="15.75" customHeight="1" x14ac:dyDescent="0.2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0.29959999999999998</v>
      </c>
      <c r="M27" s="92">
        <v>0</v>
      </c>
      <c r="N27" s="92">
        <v>0</v>
      </c>
      <c r="O27" s="92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0.1</v>
      </c>
      <c r="F29" s="92">
        <f t="shared" si="0"/>
        <v>0.1</v>
      </c>
      <c r="G29" s="92">
        <f t="shared" si="0"/>
        <v>0.1</v>
      </c>
      <c r="H29" s="92">
        <f t="shared" si="0"/>
        <v>0.1</v>
      </c>
      <c r="I29" s="92">
        <f t="shared" si="0"/>
        <v>0.1</v>
      </c>
      <c r="J29" s="92">
        <f t="shared" si="0"/>
        <v>0.1</v>
      </c>
      <c r="K29" s="92">
        <f t="shared" si="0"/>
        <v>0.1</v>
      </c>
      <c r="L29" s="92">
        <f t="shared" si="0"/>
        <v>0.1</v>
      </c>
      <c r="M29" s="92">
        <f t="shared" si="0"/>
        <v>0.1</v>
      </c>
      <c r="N29" s="92">
        <f t="shared" si="0"/>
        <v>0.1</v>
      </c>
      <c r="O29" s="92">
        <f t="shared" si="0"/>
        <v>0.1</v>
      </c>
    </row>
    <row r="30" spans="1:15" ht="15.75" customHeight="1" x14ac:dyDescent="0.2">
      <c r="B30" s="11" t="s">
        <v>64</v>
      </c>
      <c r="C30" s="92">
        <v>0</v>
      </c>
      <c r="D30" s="92">
        <v>0</v>
      </c>
      <c r="E30" s="92">
        <f t="shared" ref="E30:O30" si="1">frac_rice</f>
        <v>0.8</v>
      </c>
      <c r="F30" s="92">
        <f t="shared" si="1"/>
        <v>0.8</v>
      </c>
      <c r="G30" s="92">
        <f t="shared" si="1"/>
        <v>0.8</v>
      </c>
      <c r="H30" s="92">
        <f t="shared" si="1"/>
        <v>0.8</v>
      </c>
      <c r="I30" s="92">
        <f t="shared" si="1"/>
        <v>0.8</v>
      </c>
      <c r="J30" s="92">
        <f t="shared" si="1"/>
        <v>0.8</v>
      </c>
      <c r="K30" s="92">
        <f t="shared" si="1"/>
        <v>0.8</v>
      </c>
      <c r="L30" s="92">
        <f t="shared" si="1"/>
        <v>0.8</v>
      </c>
      <c r="M30" s="92">
        <f t="shared" si="1"/>
        <v>0.8</v>
      </c>
      <c r="N30" s="92">
        <f t="shared" si="1"/>
        <v>0.8</v>
      </c>
      <c r="O30" s="92">
        <f t="shared" si="1"/>
        <v>0.8</v>
      </c>
    </row>
    <row r="31" spans="1:15" ht="15.75" customHeight="1" x14ac:dyDescent="0.2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202</v>
      </c>
    </row>
    <row r="2" spans="1:1" x14ac:dyDescent="0.2">
      <c r="A2" s="12" t="s">
        <v>203</v>
      </c>
    </row>
    <row r="3" spans="1:1" x14ac:dyDescent="0.2">
      <c r="A3" s="12" t="s">
        <v>204</v>
      </c>
    </row>
    <row r="4" spans="1:1" x14ac:dyDescent="0.2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28515625" style="57" bestFit="1" customWidth="1"/>
    <col min="2" max="2" width="58.85546875" style="57" bestFit="1" customWidth="1"/>
    <col min="3" max="3" width="9.42578125" style="57" bestFit="1" customWidth="1"/>
    <col min="4" max="4" width="11.140625" style="57" bestFit="1" customWidth="1"/>
    <col min="5" max="5" width="12" style="57" bestFit="1" customWidth="1"/>
    <col min="6" max="7" width="13.140625" style="57" bestFit="1" customWidth="1"/>
    <col min="8" max="11" width="15.28515625" style="57" bestFit="1" customWidth="1"/>
    <col min="12" max="15" width="16.85546875" style="57" bestFit="1" customWidth="1"/>
    <col min="16" max="16384" width="16.140625" style="57"/>
  </cols>
  <sheetData>
    <row r="1" spans="1:15" ht="15.75" customHeight="1" x14ac:dyDescent="0.2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2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2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2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2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2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2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2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2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2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2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2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2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2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2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2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2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2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2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2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2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2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2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2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2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2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2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2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2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2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2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2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2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2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2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2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2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2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2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2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2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B2" sqref="B2:B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7">
        <v>34584</v>
      </c>
      <c r="C2" s="78">
        <v>62437.649999999994</v>
      </c>
      <c r="D2" s="78">
        <v>102640.5</v>
      </c>
      <c r="E2" s="78">
        <v>82884</v>
      </c>
      <c r="F2" s="78">
        <v>61504.35</v>
      </c>
      <c r="G2" s="22">
        <f t="shared" ref="G2:G40" si="0">C2+D2+E2+F2</f>
        <v>309466.5</v>
      </c>
      <c r="H2" s="22">
        <f t="shared" ref="H2:H40" si="1">(B2 + stillbirth*B2/(1000-stillbirth))/(1-abortion)</f>
        <v>39951.481545659328</v>
      </c>
      <c r="I2" s="22">
        <f>G2-H2</f>
        <v>269515.01845434069</v>
      </c>
    </row>
    <row r="3" spans="1:9" ht="15.75" customHeight="1" x14ac:dyDescent="0.2">
      <c r="A3" s="7">
        <f t="shared" ref="A3:A40" si="2">IF($A$2+ROW(A3)-2&lt;=end_year,A2+1,"")</f>
        <v>2018</v>
      </c>
      <c r="B3" s="77">
        <v>34896</v>
      </c>
      <c r="C3" s="78">
        <v>63463.95</v>
      </c>
      <c r="D3" s="78">
        <v>105348.9</v>
      </c>
      <c r="E3" s="78">
        <v>84380.099999999991</v>
      </c>
      <c r="F3" s="78">
        <v>63432.899999999987</v>
      </c>
      <c r="G3" s="22">
        <f t="shared" si="0"/>
        <v>316625.84999999992</v>
      </c>
      <c r="H3" s="22">
        <f t="shared" si="1"/>
        <v>40311.904349332872</v>
      </c>
      <c r="I3" s="22">
        <f t="shared" ref="I3:I15" si="3">G3-H3</f>
        <v>276313.94565066707</v>
      </c>
    </row>
    <row r="4" spans="1:9" ht="15.75" customHeight="1" x14ac:dyDescent="0.2">
      <c r="A4" s="7">
        <f t="shared" si="2"/>
        <v>2019</v>
      </c>
      <c r="B4" s="77">
        <v>35208</v>
      </c>
      <c r="C4" s="78">
        <v>64445.399999999994</v>
      </c>
      <c r="D4" s="78">
        <v>108133.50000000001</v>
      </c>
      <c r="E4" s="78">
        <v>85858.199999999983</v>
      </c>
      <c r="F4" s="78">
        <v>65396.7</v>
      </c>
      <c r="G4" s="22">
        <f t="shared" si="0"/>
        <v>323833.8</v>
      </c>
      <c r="H4" s="22">
        <f t="shared" si="1"/>
        <v>40672.327153006408</v>
      </c>
      <c r="I4" s="22">
        <f t="shared" si="3"/>
        <v>283161.47284699359</v>
      </c>
    </row>
    <row r="5" spans="1:9" ht="15.75" customHeight="1" x14ac:dyDescent="0.2">
      <c r="A5" s="7">
        <f t="shared" si="2"/>
        <v>2020</v>
      </c>
      <c r="B5" s="77">
        <v>35520</v>
      </c>
      <c r="C5" s="78">
        <v>65431.649999999994</v>
      </c>
      <c r="D5" s="78">
        <v>110920.5</v>
      </c>
      <c r="E5" s="78">
        <v>87359.849999999991</v>
      </c>
      <c r="F5" s="78">
        <v>67380.899999999994</v>
      </c>
      <c r="G5" s="22">
        <f t="shared" si="0"/>
        <v>331092.90000000002</v>
      </c>
      <c r="H5" s="22">
        <f t="shared" si="1"/>
        <v>41032.749956679952</v>
      </c>
      <c r="I5" s="22">
        <f t="shared" si="3"/>
        <v>290060.15004332009</v>
      </c>
    </row>
    <row r="6" spans="1:9" ht="15.75" customHeight="1" x14ac:dyDescent="0.2">
      <c r="A6" s="7">
        <f t="shared" si="2"/>
        <v>2021</v>
      </c>
      <c r="B6" s="77">
        <v>35802</v>
      </c>
      <c r="C6" s="78">
        <v>66400.349999999991</v>
      </c>
      <c r="D6" s="78">
        <v>113687.54999999997</v>
      </c>
      <c r="E6" s="78">
        <v>88854.599999999991</v>
      </c>
      <c r="F6" s="78">
        <v>69299.399999999994</v>
      </c>
      <c r="G6" s="22">
        <f t="shared" si="0"/>
        <v>338241.89999999991</v>
      </c>
      <c r="H6" s="22">
        <f t="shared" si="1"/>
        <v>41358.516721538726</v>
      </c>
      <c r="I6" s="22">
        <f t="shared" si="3"/>
        <v>296883.38327846117</v>
      </c>
    </row>
    <row r="7" spans="1:9" ht="15.75" customHeight="1" x14ac:dyDescent="0.2">
      <c r="A7" s="7">
        <f t="shared" si="2"/>
        <v>2022</v>
      </c>
      <c r="B7" s="77">
        <v>36084</v>
      </c>
      <c r="C7" s="78">
        <v>67371.45</v>
      </c>
      <c r="D7" s="78">
        <v>116463.3</v>
      </c>
      <c r="E7" s="78">
        <v>90374.550000000017</v>
      </c>
      <c r="F7" s="78">
        <v>71254.649999999994</v>
      </c>
      <c r="G7" s="22">
        <f t="shared" si="0"/>
        <v>345463.95000000007</v>
      </c>
      <c r="H7" s="22">
        <f t="shared" si="1"/>
        <v>41684.283486397508</v>
      </c>
      <c r="I7" s="22">
        <f t="shared" si="3"/>
        <v>303779.66651360254</v>
      </c>
    </row>
    <row r="8" spans="1:9" ht="15.75" customHeight="1" x14ac:dyDescent="0.2">
      <c r="A8" s="7">
        <f t="shared" si="2"/>
        <v>2023</v>
      </c>
      <c r="B8" s="77">
        <v>36366</v>
      </c>
      <c r="C8" s="78">
        <v>68314.649999999994</v>
      </c>
      <c r="D8" s="78">
        <v>119193.15</v>
      </c>
      <c r="E8" s="78">
        <v>91985.4</v>
      </c>
      <c r="F8" s="78">
        <v>73202.399999999994</v>
      </c>
      <c r="G8" s="22">
        <f t="shared" si="0"/>
        <v>352695.6</v>
      </c>
      <c r="H8" s="22">
        <f t="shared" si="1"/>
        <v>42010.050251256282</v>
      </c>
      <c r="I8" s="22">
        <f t="shared" si="3"/>
        <v>310685.54974874371</v>
      </c>
    </row>
    <row r="9" spans="1:9" ht="15.75" customHeight="1" x14ac:dyDescent="0.2">
      <c r="A9" s="7">
        <f t="shared" si="2"/>
        <v>2024</v>
      </c>
      <c r="B9" s="77">
        <v>36648</v>
      </c>
      <c r="C9" s="78">
        <v>69180.899999999994</v>
      </c>
      <c r="D9" s="78">
        <v>121805.54999999999</v>
      </c>
      <c r="E9" s="78">
        <v>93784.5</v>
      </c>
      <c r="F9" s="78">
        <v>75080.849999999991</v>
      </c>
      <c r="G9" s="22">
        <f t="shared" si="0"/>
        <v>359851.79999999993</v>
      </c>
      <c r="H9" s="22">
        <f t="shared" si="1"/>
        <v>42335.817016115063</v>
      </c>
      <c r="I9" s="22">
        <f t="shared" si="3"/>
        <v>317515.98298388487</v>
      </c>
    </row>
    <row r="10" spans="1:9" ht="15.75" customHeight="1" x14ac:dyDescent="0.2">
      <c r="A10" s="7">
        <f t="shared" si="2"/>
        <v>2025</v>
      </c>
      <c r="B10" s="77">
        <v>36930</v>
      </c>
      <c r="C10" s="78">
        <v>69945.899999999994</v>
      </c>
      <c r="D10" s="78">
        <v>124256.25</v>
      </c>
      <c r="E10" s="78">
        <v>95829.300000000017</v>
      </c>
      <c r="F10" s="78">
        <v>76854.600000000006</v>
      </c>
      <c r="G10" s="22">
        <f t="shared" si="0"/>
        <v>366886.05000000005</v>
      </c>
      <c r="H10" s="22">
        <f t="shared" si="1"/>
        <v>42661.583780973837</v>
      </c>
      <c r="I10" s="22">
        <f t="shared" si="3"/>
        <v>324224.46621902619</v>
      </c>
    </row>
    <row r="11" spans="1:9" ht="15.75" customHeight="1" x14ac:dyDescent="0.2">
      <c r="A11" s="7">
        <f t="shared" si="2"/>
        <v>2026</v>
      </c>
      <c r="B11" s="77">
        <v>37170</v>
      </c>
      <c r="C11" s="78">
        <v>70639.649999999994</v>
      </c>
      <c r="D11" s="78">
        <v>126562.2</v>
      </c>
      <c r="E11" s="78">
        <v>98113.95</v>
      </c>
      <c r="F11" s="78">
        <v>78471.3</v>
      </c>
      <c r="G11" s="22">
        <f t="shared" si="0"/>
        <v>373787.1</v>
      </c>
      <c r="H11" s="22">
        <f t="shared" si="1"/>
        <v>42938.832091491946</v>
      </c>
      <c r="I11" s="22">
        <f t="shared" si="3"/>
        <v>330848.26790850802</v>
      </c>
    </row>
    <row r="12" spans="1:9" ht="15.75" customHeight="1" x14ac:dyDescent="0.2">
      <c r="A12" s="7">
        <f t="shared" si="2"/>
        <v>2027</v>
      </c>
      <c r="B12" s="77">
        <v>37410</v>
      </c>
      <c r="C12" s="78">
        <v>71248.95</v>
      </c>
      <c r="D12" s="78">
        <v>128696.4</v>
      </c>
      <c r="E12" s="78">
        <v>100646.39999999999</v>
      </c>
      <c r="F12" s="78">
        <v>80016.149999999994</v>
      </c>
      <c r="G12" s="22">
        <f t="shared" si="0"/>
        <v>380607.9</v>
      </c>
      <c r="H12" s="22">
        <f t="shared" si="1"/>
        <v>43216.080402010048</v>
      </c>
      <c r="I12" s="22">
        <f t="shared" si="3"/>
        <v>337391.81959798996</v>
      </c>
    </row>
    <row r="13" spans="1:9" ht="15.75" customHeight="1" x14ac:dyDescent="0.2">
      <c r="A13" s="7">
        <f t="shared" si="2"/>
        <v>2028</v>
      </c>
      <c r="B13" s="77">
        <v>37650</v>
      </c>
      <c r="C13" s="78">
        <v>71809.8</v>
      </c>
      <c r="D13" s="78">
        <v>130671.9</v>
      </c>
      <c r="E13" s="78">
        <v>103355.4</v>
      </c>
      <c r="F13" s="78">
        <v>81511.95</v>
      </c>
      <c r="G13" s="22">
        <f t="shared" si="0"/>
        <v>387349.05</v>
      </c>
      <c r="H13" s="22">
        <f t="shared" si="1"/>
        <v>43493.328712528157</v>
      </c>
      <c r="I13" s="22">
        <f t="shared" si="3"/>
        <v>343855.72128747182</v>
      </c>
    </row>
    <row r="14" spans="1:9" ht="15.75" customHeight="1" x14ac:dyDescent="0.2">
      <c r="A14" s="7">
        <f t="shared" si="2"/>
        <v>2029</v>
      </c>
      <c r="B14" s="77">
        <v>37890</v>
      </c>
      <c r="C14" s="78">
        <v>72382.95</v>
      </c>
      <c r="D14" s="78">
        <v>132525</v>
      </c>
      <c r="E14" s="78">
        <v>106132.5</v>
      </c>
      <c r="F14" s="78">
        <v>83000.10000000002</v>
      </c>
      <c r="G14" s="22">
        <f t="shared" si="0"/>
        <v>394040.55000000005</v>
      </c>
      <c r="H14" s="22">
        <f t="shared" si="1"/>
        <v>43770.577023046266</v>
      </c>
      <c r="I14" s="22">
        <f t="shared" si="3"/>
        <v>350269.97297695378</v>
      </c>
    </row>
    <row r="15" spans="1:9" ht="15.75" customHeight="1" x14ac:dyDescent="0.2">
      <c r="A15" s="7">
        <f t="shared" si="2"/>
        <v>2030</v>
      </c>
      <c r="B15" s="77">
        <v>38130</v>
      </c>
      <c r="C15" s="78">
        <v>73006.8</v>
      </c>
      <c r="D15" s="78">
        <v>134278.94999999998</v>
      </c>
      <c r="E15" s="78">
        <v>108899.40000000001</v>
      </c>
      <c r="F15" s="78">
        <v>84513.3</v>
      </c>
      <c r="G15" s="22">
        <f t="shared" si="0"/>
        <v>400698.45</v>
      </c>
      <c r="H15" s="22">
        <f t="shared" si="1"/>
        <v>44047.825333564375</v>
      </c>
      <c r="I15" s="22">
        <f t="shared" si="3"/>
        <v>356650.62466643564</v>
      </c>
    </row>
    <row r="16" spans="1:9" ht="15.75" customHeight="1" x14ac:dyDescent="0.2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x14ac:dyDescent="0.2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x14ac:dyDescent="0.2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">
      <c r="D18" s="137"/>
      <c r="E18" s="137"/>
      <c r="F18" s="137"/>
      <c r="G18" s="137"/>
      <c r="H18" s="137"/>
    </row>
    <row r="19" spans="1:8" x14ac:dyDescent="0.2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x14ac:dyDescent="0.2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">
      <c r="D35" s="137"/>
      <c r="E35" s="137"/>
      <c r="F35" s="137"/>
      <c r="G35" s="137"/>
      <c r="H35" s="137"/>
    </row>
    <row r="36" spans="1:8" x14ac:dyDescent="0.2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x14ac:dyDescent="0.2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5" customFormat="1" ht="18.75" customHeight="1" x14ac:dyDescent="0.2">
      <c r="A1" s="104" t="s">
        <v>223</v>
      </c>
    </row>
    <row r="2" spans="1:7" ht="15.75" customHeight="1" x14ac:dyDescent="0.2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2">
      <c r="A3" s="40" t="s">
        <v>224</v>
      </c>
      <c r="B3" s="109"/>
      <c r="C3" s="110"/>
      <c r="D3" s="111"/>
      <c r="E3" s="111"/>
      <c r="F3" s="111"/>
    </row>
    <row r="4" spans="1:7" ht="15.75" customHeight="1" x14ac:dyDescent="0.2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">
      <c r="C8" s="113"/>
      <c r="D8" s="100"/>
      <c r="E8" s="100"/>
      <c r="F8" s="100"/>
    </row>
    <row r="9" spans="1:7" ht="15.75" customHeight="1" x14ac:dyDescent="0.2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">
      <c r="C10" s="113"/>
      <c r="D10" s="100"/>
      <c r="E10" s="100"/>
      <c r="F10" s="100"/>
      <c r="G10" s="114"/>
    </row>
    <row r="11" spans="1:7" s="105" customFormat="1" ht="15" customHeight="1" x14ac:dyDescent="0.2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2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2">
      <c r="A16" s="40"/>
      <c r="B16" s="118"/>
      <c r="C16" s="119"/>
      <c r="D16" s="100"/>
      <c r="E16" s="100"/>
      <c r="F16" s="100"/>
      <c r="G16" s="114"/>
    </row>
    <row r="17" spans="1:7" ht="15.75" customHeight="1" x14ac:dyDescent="0.2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">
      <c r="B26" s="118"/>
    </row>
    <row r="28" spans="1:7" ht="15.75" customHeight="1" x14ac:dyDescent="0.2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5" customFormat="1" x14ac:dyDescent="0.2">
      <c r="A1" s="104" t="s">
        <v>232</v>
      </c>
    </row>
    <row r="2" spans="1:16" x14ac:dyDescent="0.2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x14ac:dyDescent="0.2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x14ac:dyDescent="0.2">
      <c r="A28" s="104" t="s">
        <v>239</v>
      </c>
    </row>
    <row r="29" spans="1:16" s="36" customFormat="1" x14ac:dyDescent="0.2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x14ac:dyDescent="0.2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">
      <c r="C54" s="43"/>
      <c r="D54" s="43"/>
    </row>
    <row r="55" spans="1:16" s="105" customFormat="1" x14ac:dyDescent="0.2">
      <c r="A55" s="104" t="s">
        <v>242</v>
      </c>
    </row>
    <row r="56" spans="1:16" s="36" customFormat="1" ht="25.5" x14ac:dyDescent="0.2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x14ac:dyDescent="0.2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">
      <c r="C63" s="43"/>
      <c r="D63" s="43"/>
    </row>
    <row r="64" spans="1:16" s="105" customFormat="1" x14ac:dyDescent="0.2">
      <c r="A64" s="104" t="s">
        <v>246</v>
      </c>
    </row>
    <row r="65" spans="1:16" s="36" customFormat="1" ht="25.5" x14ac:dyDescent="0.2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x14ac:dyDescent="0.2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x14ac:dyDescent="0.2">
      <c r="A103" s="104" t="s">
        <v>248</v>
      </c>
    </row>
    <row r="104" spans="1:16" s="36" customFormat="1" ht="25.5" x14ac:dyDescent="0.2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x14ac:dyDescent="0.2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x14ac:dyDescent="0.2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109375" defaultRowHeight="12.75" x14ac:dyDescent="0.2"/>
  <cols>
    <col min="1" max="1" width="25.71093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5" customFormat="1" ht="14.25" customHeight="1" x14ac:dyDescent="0.2">
      <c r="A1" s="104" t="s">
        <v>249</v>
      </c>
    </row>
    <row r="2" spans="1:7" ht="14.25" customHeight="1" x14ac:dyDescent="0.2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2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2">
      <c r="A5" s="109" t="s">
        <v>253</v>
      </c>
    </row>
    <row r="6" spans="1:7" ht="14.25" customHeight="1" x14ac:dyDescent="0.2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">
      <c r="B9" s="122"/>
      <c r="C9" s="122"/>
      <c r="D9" s="122"/>
      <c r="E9" s="122"/>
      <c r="F9" s="122"/>
      <c r="G9" s="122"/>
    </row>
    <row r="10" spans="1:7" s="105" customFormat="1" ht="14.25" customHeight="1" x14ac:dyDescent="0.2">
      <c r="A10" s="104" t="s">
        <v>254</v>
      </c>
    </row>
    <row r="11" spans="1:7" ht="14.25" customHeight="1" x14ac:dyDescent="0.2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2">
      <c r="A12" s="109"/>
      <c r="B12" s="118"/>
    </row>
    <row r="13" spans="1:7" s="105" customFormat="1" ht="14.25" customHeight="1" x14ac:dyDescent="0.2">
      <c r="A13" s="104" t="s">
        <v>255</v>
      </c>
    </row>
    <row r="14" spans="1:7" ht="14.25" customHeight="1" x14ac:dyDescent="0.2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2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2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"/>
    <row r="18" spans="1:6" s="105" customFormat="1" ht="14.25" customHeight="1" x14ac:dyDescent="0.2">
      <c r="A18" s="104" t="s">
        <v>259</v>
      </c>
    </row>
    <row r="19" spans="1:6" s="109" customFormat="1" ht="14.25" customHeight="1" x14ac:dyDescent="0.2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">
      <c r="A19" s="95"/>
    </row>
    <row r="20" spans="1:1" ht="15.75" customHeight="1" x14ac:dyDescent="0.2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x14ac:dyDescent="0.2">
      <c r="A2" s="40" t="s">
        <v>262</v>
      </c>
    </row>
    <row r="3" spans="1:15" x14ac:dyDescent="0.2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x14ac:dyDescent="0.2">
      <c r="A16" s="40" t="s">
        <v>263</v>
      </c>
      <c r="B16" s="63"/>
    </row>
    <row r="17" spans="2:15" x14ac:dyDescent="0.2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7109375" defaultRowHeight="12.75" x14ac:dyDescent="0.2"/>
  <cols>
    <col min="1" max="1" width="21.28515625" style="35" customWidth="1"/>
    <col min="2" max="2" width="27.2851562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264</v>
      </c>
    </row>
    <row r="3" spans="1:7" x14ac:dyDescent="0.2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x14ac:dyDescent="0.2">
      <c r="A4" s="40" t="s">
        <v>265</v>
      </c>
      <c r="B4" s="63"/>
      <c r="C4" s="132"/>
      <c r="D4" s="132"/>
      <c r="E4" s="132"/>
      <c r="F4" s="132"/>
      <c r="G4" s="132"/>
    </row>
    <row r="5" spans="1:7" x14ac:dyDescent="0.2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x14ac:dyDescent="0.2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x14ac:dyDescent="0.2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x14ac:dyDescent="0.2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x14ac:dyDescent="0.2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x14ac:dyDescent="0.2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x14ac:dyDescent="0.2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x14ac:dyDescent="0.2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x14ac:dyDescent="0.2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x14ac:dyDescent="0.2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x14ac:dyDescent="0.2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14" sqref="C14:F2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9">
        <v>0.02</v>
      </c>
    </row>
    <row r="4" spans="1:8" ht="15.75" customHeight="1" x14ac:dyDescent="0.2">
      <c r="B4" s="24" t="s">
        <v>7</v>
      </c>
      <c r="C4" s="79">
        <v>0.49580000000000002</v>
      </c>
    </row>
    <row r="5" spans="1:8" ht="15.75" customHeight="1" x14ac:dyDescent="0.2">
      <c r="B5" s="24" t="s">
        <v>8</v>
      </c>
      <c r="C5" s="79">
        <v>6.1100000000000002E-2</v>
      </c>
    </row>
    <row r="6" spans="1:8" ht="15.75" customHeight="1" x14ac:dyDescent="0.2">
      <c r="B6" s="24" t="s">
        <v>10</v>
      </c>
      <c r="C6" s="79">
        <v>0.39700000000000002</v>
      </c>
    </row>
    <row r="7" spans="1:8" ht="15.75" customHeight="1" x14ac:dyDescent="0.2">
      <c r="B7" s="24" t="s">
        <v>13</v>
      </c>
      <c r="C7" s="79">
        <v>0.02</v>
      </c>
    </row>
    <row r="8" spans="1:8" ht="15.75" customHeight="1" x14ac:dyDescent="0.2">
      <c r="B8" s="24" t="s">
        <v>14</v>
      </c>
      <c r="C8" s="79">
        <v>0</v>
      </c>
    </row>
    <row r="9" spans="1:8" ht="15.75" customHeight="1" x14ac:dyDescent="0.2">
      <c r="B9" s="24" t="s">
        <v>27</v>
      </c>
      <c r="C9" s="79">
        <v>0</v>
      </c>
    </row>
    <row r="10" spans="1:8" ht="15.75" customHeight="1" x14ac:dyDescent="0.2">
      <c r="B10" s="24" t="s">
        <v>15</v>
      </c>
      <c r="C10" s="79">
        <v>6.1000000000000004E-3</v>
      </c>
    </row>
    <row r="11" spans="1:8" ht="15.75" customHeight="1" x14ac:dyDescent="0.2">
      <c r="B11" s="32" t="s">
        <v>129</v>
      </c>
      <c r="C11" s="74">
        <f>SUM(C3:C10)</f>
        <v>1.0000000000000002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9">
        <v>6.7466266866566718E-2</v>
      </c>
      <c r="D14" s="79">
        <v>6.7466266866566718E-2</v>
      </c>
      <c r="E14" s="79">
        <v>6.7466266866566718E-2</v>
      </c>
      <c r="F14" s="79">
        <v>6.7466266866566718E-2</v>
      </c>
    </row>
    <row r="15" spans="1:8" ht="15.75" customHeight="1" x14ac:dyDescent="0.2">
      <c r="B15" s="24" t="s">
        <v>16</v>
      </c>
      <c r="C15" s="79">
        <v>0.24187906046976512</v>
      </c>
      <c r="D15" s="79">
        <v>0.24187906046976512</v>
      </c>
      <c r="E15" s="79">
        <v>0.24187906046976512</v>
      </c>
      <c r="F15" s="79">
        <v>0.24187906046976512</v>
      </c>
    </row>
    <row r="16" spans="1:8" ht="15.75" customHeight="1" x14ac:dyDescent="0.2">
      <c r="B16" s="24" t="s">
        <v>17</v>
      </c>
      <c r="C16" s="79">
        <v>6.7966016991504244E-2</v>
      </c>
      <c r="D16" s="79">
        <v>6.7966016991504244E-2</v>
      </c>
      <c r="E16" s="79">
        <v>6.7966016991504244E-2</v>
      </c>
      <c r="F16" s="79">
        <v>6.7966016991504244E-2</v>
      </c>
    </row>
    <row r="17" spans="1:8" ht="15.75" customHeight="1" x14ac:dyDescent="0.2">
      <c r="B17" s="24" t="s">
        <v>18</v>
      </c>
      <c r="C17" s="79">
        <v>0</v>
      </c>
      <c r="D17" s="79">
        <v>0</v>
      </c>
      <c r="E17" s="79">
        <v>0</v>
      </c>
      <c r="F17" s="79">
        <v>0</v>
      </c>
    </row>
    <row r="18" spans="1:8" ht="15.75" customHeight="1" x14ac:dyDescent="0.2">
      <c r="B18" s="24" t="s">
        <v>19</v>
      </c>
      <c r="C18" s="79">
        <v>2.2488755622188907E-2</v>
      </c>
      <c r="D18" s="79">
        <v>2.2488755622188907E-2</v>
      </c>
      <c r="E18" s="79">
        <v>2.2488755622188907E-2</v>
      </c>
      <c r="F18" s="79">
        <v>2.2488755622188907E-2</v>
      </c>
    </row>
    <row r="19" spans="1:8" ht="15.75" customHeight="1" x14ac:dyDescent="0.2">
      <c r="B19" s="24" t="s">
        <v>20</v>
      </c>
      <c r="C19" s="79">
        <v>0</v>
      </c>
      <c r="D19" s="79">
        <v>0</v>
      </c>
      <c r="E19" s="79">
        <v>0</v>
      </c>
      <c r="F19" s="79">
        <v>0</v>
      </c>
    </row>
    <row r="20" spans="1:8" ht="15.75" customHeight="1" x14ac:dyDescent="0.2">
      <c r="B20" s="24" t="s">
        <v>21</v>
      </c>
      <c r="C20" s="79">
        <v>4.0479760119940027E-2</v>
      </c>
      <c r="D20" s="79">
        <v>4.0479760119940027E-2</v>
      </c>
      <c r="E20" s="79">
        <v>4.0479760119940027E-2</v>
      </c>
      <c r="F20" s="79">
        <v>4.0479760119940027E-2</v>
      </c>
    </row>
    <row r="21" spans="1:8" ht="15.75" customHeight="1" x14ac:dyDescent="0.2">
      <c r="B21" s="24" t="s">
        <v>22</v>
      </c>
      <c r="C21" s="79">
        <v>8.4957521239380305E-3</v>
      </c>
      <c r="D21" s="79">
        <v>8.4957521239380305E-3</v>
      </c>
      <c r="E21" s="79">
        <v>8.4957521239380305E-3</v>
      </c>
      <c r="F21" s="79">
        <v>8.4957521239380305E-3</v>
      </c>
    </row>
    <row r="22" spans="1:8" ht="15.75" customHeight="1" x14ac:dyDescent="0.2">
      <c r="B22" s="24" t="s">
        <v>23</v>
      </c>
      <c r="C22" s="79">
        <v>0.55122438780609695</v>
      </c>
      <c r="D22" s="79">
        <v>0.55122438780609695</v>
      </c>
      <c r="E22" s="79">
        <v>0.55122438780609695</v>
      </c>
      <c r="F22" s="79">
        <v>0.55122438780609695</v>
      </c>
    </row>
    <row r="23" spans="1:8" ht="15.75" customHeight="1" x14ac:dyDescent="0.2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9">
        <v>4.7899999999999998E-2</v>
      </c>
    </row>
    <row r="27" spans="1:8" ht="15.75" customHeight="1" x14ac:dyDescent="0.2">
      <c r="B27" s="24" t="s">
        <v>39</v>
      </c>
      <c r="C27" s="79">
        <v>1.89E-2</v>
      </c>
    </row>
    <row r="28" spans="1:8" ht="15.75" customHeight="1" x14ac:dyDescent="0.2">
      <c r="B28" s="24" t="s">
        <v>40</v>
      </c>
      <c r="C28" s="79">
        <v>0.22969999999999999</v>
      </c>
    </row>
    <row r="29" spans="1:8" ht="15.75" customHeight="1" x14ac:dyDescent="0.2">
      <c r="B29" s="24" t="s">
        <v>41</v>
      </c>
      <c r="C29" s="79">
        <v>0.13800000000000001</v>
      </c>
    </row>
    <row r="30" spans="1:8" ht="15.75" customHeight="1" x14ac:dyDescent="0.2">
      <c r="B30" s="24" t="s">
        <v>42</v>
      </c>
      <c r="C30" s="79">
        <v>0.05</v>
      </c>
    </row>
    <row r="31" spans="1:8" ht="15.75" customHeight="1" x14ac:dyDescent="0.2">
      <c r="B31" s="24" t="s">
        <v>43</v>
      </c>
      <c r="C31" s="79">
        <v>7.0400000000000004E-2</v>
      </c>
    </row>
    <row r="32" spans="1:8" ht="15.75" customHeight="1" x14ac:dyDescent="0.2">
      <c r="B32" s="24" t="s">
        <v>44</v>
      </c>
      <c r="C32" s="79">
        <v>0.14729999999999999</v>
      </c>
    </row>
    <row r="33" spans="2:3" ht="15.75" customHeight="1" x14ac:dyDescent="0.2">
      <c r="B33" s="24" t="s">
        <v>45</v>
      </c>
      <c r="C33" s="79">
        <v>0.1241</v>
      </c>
    </row>
    <row r="34" spans="2:3" ht="15.75" customHeight="1" x14ac:dyDescent="0.2">
      <c r="B34" s="24" t="s">
        <v>46</v>
      </c>
      <c r="C34" s="79">
        <v>0.1744</v>
      </c>
    </row>
    <row r="35" spans="2:3" ht="15.75" customHeight="1" x14ac:dyDescent="0.2">
      <c r="B35" s="32" t="s">
        <v>129</v>
      </c>
      <c r="C35" s="74">
        <f>SUM(C26:C34)</f>
        <v>1.0006999999999999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M14" sqref="M14:O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80">
        <v>0.37478626030093787</v>
      </c>
      <c r="D2" s="80">
        <v>0.37478626030093787</v>
      </c>
      <c r="E2" s="80">
        <v>0.23635593184254577</v>
      </c>
      <c r="F2" s="80">
        <v>0.23635593184254566</v>
      </c>
      <c r="G2" s="80">
        <v>0.21092368408064532</v>
      </c>
    </row>
    <row r="3" spans="1:15" ht="15.75" customHeight="1" x14ac:dyDescent="0.2">
      <c r="A3" s="5"/>
      <c r="B3" s="11" t="s">
        <v>118</v>
      </c>
      <c r="C3" s="80">
        <v>0.37721373969906213</v>
      </c>
      <c r="D3" s="80">
        <v>0.37721373969906213</v>
      </c>
      <c r="E3" s="80">
        <v>0.37464406815745427</v>
      </c>
      <c r="F3" s="80">
        <v>0.37464406815745432</v>
      </c>
      <c r="G3" s="80">
        <v>0.36707631591935469</v>
      </c>
    </row>
    <row r="4" spans="1:15" ht="15.75" customHeight="1" x14ac:dyDescent="0.2">
      <c r="A4" s="5"/>
      <c r="B4" s="11" t="s">
        <v>116</v>
      </c>
      <c r="C4" s="81">
        <v>0.1979072847682119</v>
      </c>
      <c r="D4" s="81">
        <v>0.19725412541254125</v>
      </c>
      <c r="E4" s="81">
        <v>0.31042715231788076</v>
      </c>
      <c r="F4" s="81">
        <v>0.27314043209876543</v>
      </c>
      <c r="G4" s="81">
        <v>0.30047325918025292</v>
      </c>
    </row>
    <row r="5" spans="1:15" ht="15.75" customHeight="1" x14ac:dyDescent="0.2">
      <c r="A5" s="5"/>
      <c r="B5" s="11" t="s">
        <v>119</v>
      </c>
      <c r="C5" s="81">
        <v>5.0092715231788078E-2</v>
      </c>
      <c r="D5" s="81">
        <v>5.0745874587458752E-2</v>
      </c>
      <c r="E5" s="81">
        <v>7.857284768211921E-2</v>
      </c>
      <c r="F5" s="81">
        <v>0.11585956790123456</v>
      </c>
      <c r="G5" s="81">
        <v>0.12152674081974707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80">
        <v>0.27750666118555944</v>
      </c>
      <c r="D8" s="80">
        <v>0.27750666118555944</v>
      </c>
      <c r="E8" s="80">
        <v>0.43990372397087851</v>
      </c>
      <c r="F8" s="80">
        <v>0.43990372397087851</v>
      </c>
      <c r="G8" s="80">
        <v>0.49615277765476296</v>
      </c>
    </row>
    <row r="9" spans="1:15" ht="15.75" customHeight="1" x14ac:dyDescent="0.2">
      <c r="B9" s="7" t="s">
        <v>121</v>
      </c>
      <c r="C9" s="80">
        <v>0.38149333881444053</v>
      </c>
      <c r="D9" s="80">
        <v>0.38149333881444053</v>
      </c>
      <c r="E9" s="80">
        <v>0.36209627602912148</v>
      </c>
      <c r="F9" s="80">
        <v>0.36209627602912148</v>
      </c>
      <c r="G9" s="80">
        <v>0.34284722234523707</v>
      </c>
    </row>
    <row r="10" spans="1:15" ht="15.75" customHeight="1" x14ac:dyDescent="0.2">
      <c r="B10" s="7" t="s">
        <v>122</v>
      </c>
      <c r="C10" s="81">
        <v>0.34100000000000003</v>
      </c>
      <c r="D10" s="81">
        <v>0.34100000000000003</v>
      </c>
      <c r="E10" s="81">
        <v>0.19800000000000001</v>
      </c>
      <c r="F10" s="81">
        <v>0.16769387755102041</v>
      </c>
      <c r="G10" s="81">
        <v>0.12339802631578946</v>
      </c>
    </row>
    <row r="11" spans="1:15" ht="15.75" customHeight="1" x14ac:dyDescent="0.2">
      <c r="B11" s="7" t="s">
        <v>123</v>
      </c>
      <c r="C11" s="81">
        <v>0</v>
      </c>
      <c r="D11" s="81">
        <v>0</v>
      </c>
      <c r="E11" s="81">
        <v>0</v>
      </c>
      <c r="F11" s="81">
        <v>3.0306122448979587E-2</v>
      </c>
      <c r="G11" s="81">
        <v>3.7601973684210525E-2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82">
        <v>0.498</v>
      </c>
      <c r="D14" s="82">
        <v>0.498</v>
      </c>
      <c r="E14" s="82">
        <v>0.498</v>
      </c>
      <c r="F14" s="82">
        <v>0.498</v>
      </c>
      <c r="G14" s="82">
        <v>0.498</v>
      </c>
      <c r="H14" s="83">
        <v>0.44800000000000001</v>
      </c>
      <c r="I14" s="83">
        <v>0.44800000000000001</v>
      </c>
      <c r="J14" s="83">
        <v>0.44800000000000001</v>
      </c>
      <c r="K14" s="83">
        <v>0.44800000000000001</v>
      </c>
      <c r="L14" s="83">
        <v>0.46300000000000002</v>
      </c>
      <c r="M14" s="83">
        <v>0.46300000000000002</v>
      </c>
      <c r="N14" s="83">
        <v>0.46300000000000002</v>
      </c>
      <c r="O14" s="83">
        <v>0.46300000000000002</v>
      </c>
    </row>
    <row r="15" spans="1:15" ht="15.75" customHeight="1" x14ac:dyDescent="0.2">
      <c r="B15" s="16" t="s">
        <v>68</v>
      </c>
      <c r="C15" s="80">
        <f t="shared" ref="C15:O15" si="0">iron_deficiency_anaemia*C14</f>
        <v>0.11095439999999999</v>
      </c>
      <c r="D15" s="80">
        <f t="shared" si="0"/>
        <v>0.11095439999999999</v>
      </c>
      <c r="E15" s="80">
        <f t="shared" si="0"/>
        <v>0.11095439999999999</v>
      </c>
      <c r="F15" s="80">
        <f t="shared" si="0"/>
        <v>0.11095439999999999</v>
      </c>
      <c r="G15" s="80">
        <f t="shared" si="0"/>
        <v>0.11095439999999999</v>
      </c>
      <c r="H15" s="80">
        <f t="shared" si="0"/>
        <v>9.9814399999999998E-2</v>
      </c>
      <c r="I15" s="80">
        <f t="shared" si="0"/>
        <v>9.9814399999999998E-2</v>
      </c>
      <c r="J15" s="80">
        <f t="shared" si="0"/>
        <v>9.9814399999999998E-2</v>
      </c>
      <c r="K15" s="80">
        <f t="shared" si="0"/>
        <v>9.9814399999999998E-2</v>
      </c>
      <c r="L15" s="80">
        <f t="shared" si="0"/>
        <v>0.10315640000000001</v>
      </c>
      <c r="M15" s="80">
        <f t="shared" si="0"/>
        <v>0.10315640000000001</v>
      </c>
      <c r="N15" s="80">
        <f t="shared" si="0"/>
        <v>0.10315640000000001</v>
      </c>
      <c r="O15" s="80">
        <f t="shared" si="0"/>
        <v>0.10315640000000001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81">
        <v>0.90395454545454557</v>
      </c>
      <c r="D2" s="81">
        <v>0.5267404306220097</v>
      </c>
      <c r="E2" s="81">
        <v>0.14899999999999999</v>
      </c>
      <c r="F2" s="81">
        <v>6.3E-2</v>
      </c>
      <c r="G2" s="81">
        <v>1.7999999999999999E-2</v>
      </c>
    </row>
    <row r="3" spans="1:7" x14ac:dyDescent="0.2">
      <c r="B3" s="43" t="s">
        <v>167</v>
      </c>
      <c r="C3" s="81">
        <v>1.188681368136813E-2</v>
      </c>
      <c r="D3" s="81">
        <v>3.6268490363546929E-2</v>
      </c>
      <c r="E3" s="81">
        <v>4.1000000000000002E-2</v>
      </c>
      <c r="F3" s="81">
        <v>3.4000000000000002E-2</v>
      </c>
      <c r="G3" s="81">
        <v>8.9999999999999993E-3</v>
      </c>
    </row>
    <row r="4" spans="1:7" x14ac:dyDescent="0.2">
      <c r="B4" s="43" t="s">
        <v>168</v>
      </c>
      <c r="C4" s="81">
        <v>6.9418991899189875E-2</v>
      </c>
      <c r="D4" s="81">
        <v>0.40072258865089655</v>
      </c>
      <c r="E4" s="81">
        <v>0.70535799782372144</v>
      </c>
      <c r="F4" s="81">
        <v>0.70486690400382845</v>
      </c>
      <c r="G4" s="81">
        <v>0.40899999999999997</v>
      </c>
    </row>
    <row r="5" spans="1:7" x14ac:dyDescent="0.2">
      <c r="B5" s="43" t="s">
        <v>169</v>
      </c>
      <c r="C5" s="80">
        <v>1.473964896489644E-2</v>
      </c>
      <c r="D5" s="80">
        <v>3.626849036354686E-2</v>
      </c>
      <c r="E5" s="80">
        <v>0.10464200217627861</v>
      </c>
      <c r="F5" s="80">
        <v>0.19813309599617157</v>
      </c>
      <c r="G5" s="80">
        <v>0.56400000000000006</v>
      </c>
    </row>
  </sheetData>
  <sheetProtection algorithmName="SHA-512" hashValue="w6EkKCHAotUfMIZdb6P1tTBdonY812utudiyJrPoH0H73YASjFvVszAzXx8nKYc2VkB5N+8Y9XWzBsP79TVFjg==" saltValue="2w8I+NrBcYYxqLtH79/nbQ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tabSelected="1" zoomScale="115" zoomScaleNormal="115" workbookViewId="0">
      <selection activeCell="E21" sqref="E21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">
      <c r="A3" s="47"/>
      <c r="B3" s="46" t="s">
        <v>1</v>
      </c>
      <c r="C3" s="84"/>
      <c r="D3" s="84"/>
      <c r="E3" s="61" t="str">
        <f>IF(E$7="","",E$7)</f>
        <v/>
      </c>
    </row>
    <row r="4" spans="1:5" x14ac:dyDescent="0.2">
      <c r="A4" s="47"/>
      <c r="B4" s="46" t="s">
        <v>2</v>
      </c>
      <c r="C4" s="84"/>
      <c r="D4" s="84"/>
      <c r="E4" s="61" t="str">
        <f>IF(E$7="","",E$7)</f>
        <v/>
      </c>
    </row>
    <row r="5" spans="1:5" x14ac:dyDescent="0.2">
      <c r="A5" s="47"/>
      <c r="B5" s="46" t="s">
        <v>3</v>
      </c>
      <c r="C5" s="84"/>
      <c r="D5" s="84"/>
      <c r="E5" s="61" t="str">
        <f>IF(E$7="","",E$7)</f>
        <v/>
      </c>
    </row>
    <row r="6" spans="1:5" x14ac:dyDescent="0.2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4"/>
    </row>
    <row r="9" spans="1:5" x14ac:dyDescent="0.2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4"/>
    </row>
    <row r="16" spans="1:5" x14ac:dyDescent="0.2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">
      <c r="A2" s="65" t="s">
        <v>69</v>
      </c>
      <c r="B2" s="46" t="s">
        <v>67</v>
      </c>
      <c r="C2" s="46" t="s">
        <v>183</v>
      </c>
      <c r="D2" s="84"/>
    </row>
    <row r="3" spans="1:4" x14ac:dyDescent="0.2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E2" sqref="E2:E38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28515625" style="35" bestFit="1" customWidth="1"/>
    <col min="6" max="16384" width="14.42578125" style="35"/>
  </cols>
  <sheetData>
    <row r="1" spans="1:5" ht="25.5" x14ac:dyDescent="0.2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">
      <c r="A2" s="52" t="s">
        <v>29</v>
      </c>
      <c r="B2" s="85">
        <v>0</v>
      </c>
      <c r="C2" s="85">
        <v>0.95</v>
      </c>
      <c r="D2" s="86">
        <v>28.02</v>
      </c>
      <c r="E2" s="86" t="s">
        <v>203</v>
      </c>
    </row>
    <row r="3" spans="1:5" ht="15.75" customHeight="1" x14ac:dyDescent="0.2">
      <c r="A3" s="52" t="s">
        <v>86</v>
      </c>
      <c r="B3" s="85">
        <v>0</v>
      </c>
      <c r="C3" s="85">
        <v>0.95</v>
      </c>
      <c r="D3" s="86">
        <v>10.27</v>
      </c>
      <c r="E3" s="86" t="s">
        <v>203</v>
      </c>
    </row>
    <row r="4" spans="1:5" ht="15.75" customHeight="1" x14ac:dyDescent="0.2">
      <c r="A4" s="52" t="s">
        <v>61</v>
      </c>
      <c r="B4" s="85">
        <v>0</v>
      </c>
      <c r="C4" s="85">
        <v>0.95</v>
      </c>
      <c r="D4" s="86">
        <v>63.27</v>
      </c>
      <c r="E4" s="86" t="s">
        <v>203</v>
      </c>
    </row>
    <row r="5" spans="1:5" ht="15.75" customHeight="1" x14ac:dyDescent="0.2">
      <c r="A5" s="52" t="s">
        <v>149</v>
      </c>
      <c r="B5" s="85">
        <v>0</v>
      </c>
      <c r="C5" s="85">
        <v>0.95</v>
      </c>
      <c r="D5" s="86">
        <v>1</v>
      </c>
      <c r="E5" s="86" t="s">
        <v>203</v>
      </c>
    </row>
    <row r="6" spans="1:5" ht="15.75" customHeight="1" x14ac:dyDescent="0.2">
      <c r="A6" s="52" t="s">
        <v>198</v>
      </c>
      <c r="B6" s="85">
        <v>0.38700000000000001</v>
      </c>
      <c r="C6" s="85">
        <v>0.95</v>
      </c>
      <c r="D6" s="86">
        <v>1</v>
      </c>
      <c r="E6" s="86" t="s">
        <v>203</v>
      </c>
    </row>
    <row r="7" spans="1:5" ht="15.75" customHeight="1" x14ac:dyDescent="0.2">
      <c r="A7" s="52" t="s">
        <v>63</v>
      </c>
      <c r="B7" s="85">
        <v>0</v>
      </c>
      <c r="C7" s="85">
        <v>0.95</v>
      </c>
      <c r="D7" s="86">
        <v>0.16</v>
      </c>
      <c r="E7" s="86" t="s">
        <v>203</v>
      </c>
    </row>
    <row r="8" spans="1:5" ht="15.75" customHeight="1" x14ac:dyDescent="0.2">
      <c r="A8" s="52" t="s">
        <v>64</v>
      </c>
      <c r="B8" s="85">
        <v>0</v>
      </c>
      <c r="C8" s="85">
        <v>0.95</v>
      </c>
      <c r="D8" s="86">
        <v>1.47</v>
      </c>
      <c r="E8" s="86" t="s">
        <v>203</v>
      </c>
    </row>
    <row r="9" spans="1:5" ht="15.75" customHeight="1" x14ac:dyDescent="0.2">
      <c r="A9" s="52" t="s">
        <v>62</v>
      </c>
      <c r="B9" s="85">
        <v>0</v>
      </c>
      <c r="C9" s="85">
        <v>0.95</v>
      </c>
      <c r="D9" s="86">
        <v>0.21</v>
      </c>
      <c r="E9" s="86" t="s">
        <v>203</v>
      </c>
    </row>
    <row r="10" spans="1:5" ht="15.75" customHeight="1" x14ac:dyDescent="0.2">
      <c r="A10" s="63" t="s">
        <v>188</v>
      </c>
      <c r="B10" s="85">
        <v>0</v>
      </c>
      <c r="C10" s="85">
        <v>0.95</v>
      </c>
      <c r="D10" s="86">
        <v>0.28999999999999998</v>
      </c>
      <c r="E10" s="86" t="s">
        <v>203</v>
      </c>
    </row>
    <row r="11" spans="1:5" ht="15.75" customHeight="1" x14ac:dyDescent="0.2">
      <c r="A11" s="63" t="s">
        <v>208</v>
      </c>
      <c r="B11" s="85">
        <v>0</v>
      </c>
      <c r="C11" s="85">
        <v>0.95</v>
      </c>
      <c r="D11" s="86">
        <v>2.15</v>
      </c>
      <c r="E11" s="86" t="s">
        <v>203</v>
      </c>
    </row>
    <row r="12" spans="1:5" ht="15.75" customHeight="1" x14ac:dyDescent="0.2">
      <c r="A12" s="63" t="s">
        <v>189</v>
      </c>
      <c r="B12" s="85">
        <v>0</v>
      </c>
      <c r="C12" s="85">
        <v>0.95</v>
      </c>
      <c r="D12" s="86">
        <v>0.25</v>
      </c>
      <c r="E12" s="86" t="s">
        <v>203</v>
      </c>
    </row>
    <row r="13" spans="1:5" ht="15.75" customHeight="1" x14ac:dyDescent="0.2">
      <c r="A13" s="63" t="s">
        <v>190</v>
      </c>
      <c r="B13" s="85">
        <v>0</v>
      </c>
      <c r="C13" s="85">
        <v>0.95</v>
      </c>
      <c r="D13" s="86">
        <v>0.65</v>
      </c>
      <c r="E13" s="86" t="s">
        <v>203</v>
      </c>
    </row>
    <row r="14" spans="1:5" ht="15.75" customHeight="1" x14ac:dyDescent="0.2">
      <c r="A14" s="11" t="s">
        <v>187</v>
      </c>
      <c r="B14" s="85">
        <v>0</v>
      </c>
      <c r="C14" s="85">
        <v>0.95</v>
      </c>
      <c r="D14" s="86">
        <v>0.73</v>
      </c>
      <c r="E14" s="86" t="s">
        <v>203</v>
      </c>
    </row>
    <row r="15" spans="1:5" ht="15.75" customHeight="1" x14ac:dyDescent="0.2">
      <c r="A15" s="11" t="s">
        <v>209</v>
      </c>
      <c r="B15" s="85">
        <v>0</v>
      </c>
      <c r="C15" s="85">
        <v>0.95</v>
      </c>
      <c r="D15" s="86">
        <v>1.78</v>
      </c>
      <c r="E15" s="86" t="s">
        <v>203</v>
      </c>
    </row>
    <row r="16" spans="1:5" ht="15.75" customHeight="1" x14ac:dyDescent="0.2">
      <c r="A16" s="52" t="s">
        <v>57</v>
      </c>
      <c r="B16" s="85">
        <v>0</v>
      </c>
      <c r="C16" s="85">
        <v>0.95</v>
      </c>
      <c r="D16" s="86">
        <v>2.27</v>
      </c>
      <c r="E16" s="86" t="s">
        <v>203</v>
      </c>
    </row>
    <row r="17" spans="1:5" ht="15.75" customHeight="1" x14ac:dyDescent="0.2">
      <c r="A17" s="52" t="s">
        <v>47</v>
      </c>
      <c r="B17" s="85">
        <v>0</v>
      </c>
      <c r="C17" s="85">
        <v>0.95</v>
      </c>
      <c r="D17" s="86">
        <v>0.25</v>
      </c>
      <c r="E17" s="86" t="s">
        <v>203</v>
      </c>
    </row>
    <row r="18" spans="1:5" ht="15.95" customHeight="1" x14ac:dyDescent="0.2">
      <c r="A18" s="52" t="s">
        <v>173</v>
      </c>
      <c r="B18" s="85">
        <v>0.57099999999999995</v>
      </c>
      <c r="C18" s="85">
        <v>0.95</v>
      </c>
      <c r="D18" s="87">
        <v>5.66</v>
      </c>
      <c r="E18" s="86" t="s">
        <v>203</v>
      </c>
    </row>
    <row r="19" spans="1:5" ht="15.75" customHeight="1" x14ac:dyDescent="0.2">
      <c r="A19" s="52" t="s">
        <v>199</v>
      </c>
      <c r="B19" s="85">
        <v>0</v>
      </c>
      <c r="C19" s="85">
        <v>0.95</v>
      </c>
      <c r="D19" s="87">
        <v>5.66</v>
      </c>
      <c r="E19" s="86" t="s">
        <v>203</v>
      </c>
    </row>
    <row r="20" spans="1:5" ht="15.75" customHeight="1" x14ac:dyDescent="0.2">
      <c r="A20" s="52" t="s">
        <v>200</v>
      </c>
      <c r="B20" s="85">
        <v>0</v>
      </c>
      <c r="C20" s="85">
        <v>0.95</v>
      </c>
      <c r="D20" s="87">
        <v>5.66</v>
      </c>
      <c r="E20" s="86" t="s">
        <v>203</v>
      </c>
    </row>
    <row r="21" spans="1:5" ht="15.75" customHeight="1" x14ac:dyDescent="0.2">
      <c r="A21" s="52" t="s">
        <v>196</v>
      </c>
      <c r="B21" s="85">
        <v>0</v>
      </c>
      <c r="C21" s="85">
        <v>0.95</v>
      </c>
      <c r="D21" s="86">
        <v>8.84</v>
      </c>
      <c r="E21" s="86" t="s">
        <v>203</v>
      </c>
    </row>
    <row r="22" spans="1:5" ht="15.75" customHeight="1" x14ac:dyDescent="0.2">
      <c r="A22" s="52" t="s">
        <v>136</v>
      </c>
      <c r="B22" s="85">
        <v>0</v>
      </c>
      <c r="C22" s="85">
        <v>0.95</v>
      </c>
      <c r="D22" s="86">
        <v>50</v>
      </c>
      <c r="E22" s="86" t="s">
        <v>203</v>
      </c>
    </row>
    <row r="23" spans="1:5" ht="15.75" customHeight="1" x14ac:dyDescent="0.2">
      <c r="A23" s="52" t="s">
        <v>34</v>
      </c>
      <c r="B23" s="85">
        <v>0.59499999999999997</v>
      </c>
      <c r="C23" s="85">
        <v>0.95</v>
      </c>
      <c r="D23" s="86">
        <v>2.61</v>
      </c>
      <c r="E23" s="86" t="s">
        <v>203</v>
      </c>
    </row>
    <row r="24" spans="1:5" ht="15.75" customHeight="1" x14ac:dyDescent="0.2">
      <c r="A24" s="52" t="s">
        <v>88</v>
      </c>
      <c r="B24" s="85">
        <v>0.38900000000000001</v>
      </c>
      <c r="C24" s="85">
        <v>0.95</v>
      </c>
      <c r="D24" s="86">
        <v>1</v>
      </c>
      <c r="E24" s="86" t="s">
        <v>203</v>
      </c>
    </row>
    <row r="25" spans="1:5" ht="15.75" customHeight="1" x14ac:dyDescent="0.2">
      <c r="A25" s="52" t="s">
        <v>87</v>
      </c>
      <c r="B25" s="85">
        <v>6.0000000000000001E-3</v>
      </c>
      <c r="C25" s="85">
        <v>0.95</v>
      </c>
      <c r="D25" s="86">
        <v>1</v>
      </c>
      <c r="E25" s="86" t="s">
        <v>203</v>
      </c>
    </row>
    <row r="26" spans="1:5" ht="15.75" customHeight="1" x14ac:dyDescent="0.2">
      <c r="A26" s="52" t="s">
        <v>137</v>
      </c>
      <c r="B26" s="85">
        <v>0</v>
      </c>
      <c r="C26" s="85">
        <v>0.95</v>
      </c>
      <c r="D26" s="86">
        <v>1</v>
      </c>
      <c r="E26" s="86" t="s">
        <v>203</v>
      </c>
    </row>
    <row r="27" spans="1:5" ht="15.75" customHeight="1" x14ac:dyDescent="0.2">
      <c r="A27" s="52" t="s">
        <v>59</v>
      </c>
      <c r="B27" s="85">
        <v>0</v>
      </c>
      <c r="C27" s="85">
        <v>0.95</v>
      </c>
      <c r="D27" s="86">
        <v>2.99</v>
      </c>
      <c r="E27" s="86" t="s">
        <v>203</v>
      </c>
    </row>
    <row r="28" spans="1:5" ht="15.75" customHeight="1" x14ac:dyDescent="0.2">
      <c r="A28" s="52" t="s">
        <v>84</v>
      </c>
      <c r="B28" s="85">
        <v>0.08</v>
      </c>
      <c r="C28" s="85">
        <v>0.95</v>
      </c>
      <c r="D28" s="86">
        <v>2.2000000000000002</v>
      </c>
      <c r="E28" s="86" t="s">
        <v>203</v>
      </c>
    </row>
    <row r="29" spans="1:5" ht="15.75" customHeight="1" x14ac:dyDescent="0.2">
      <c r="A29" s="52" t="s">
        <v>58</v>
      </c>
      <c r="B29" s="85">
        <v>0.57099999999999995</v>
      </c>
      <c r="C29" s="85">
        <v>0.95</v>
      </c>
      <c r="D29" s="86">
        <v>56.03</v>
      </c>
      <c r="E29" s="86" t="s">
        <v>203</v>
      </c>
    </row>
    <row r="30" spans="1:5" ht="15.75" customHeight="1" x14ac:dyDescent="0.2">
      <c r="A30" s="52" t="s">
        <v>67</v>
      </c>
      <c r="B30" s="85">
        <v>1.7000000000000001E-2</v>
      </c>
      <c r="C30" s="85">
        <v>0.95</v>
      </c>
      <c r="D30" s="86">
        <v>16.9256724</v>
      </c>
      <c r="E30" s="86" t="s">
        <v>203</v>
      </c>
    </row>
    <row r="31" spans="1:5" ht="15.75" customHeight="1" x14ac:dyDescent="0.2">
      <c r="A31" s="52" t="s">
        <v>28</v>
      </c>
      <c r="B31" s="85">
        <v>0.15</v>
      </c>
      <c r="C31" s="85">
        <v>0.95</v>
      </c>
      <c r="D31" s="86">
        <v>2.4900000000000002</v>
      </c>
      <c r="E31" s="86" t="s">
        <v>203</v>
      </c>
    </row>
    <row r="32" spans="1:5" ht="15.75" customHeight="1" x14ac:dyDescent="0.2">
      <c r="A32" s="52" t="s">
        <v>83</v>
      </c>
      <c r="B32" s="85">
        <v>0.17</v>
      </c>
      <c r="C32" s="85">
        <v>0.95</v>
      </c>
      <c r="D32" s="86">
        <v>1</v>
      </c>
      <c r="E32" s="86" t="s">
        <v>203</v>
      </c>
    </row>
    <row r="33" spans="1:6" ht="15.75" customHeight="1" x14ac:dyDescent="0.2">
      <c r="A33" s="52" t="s">
        <v>82</v>
      </c>
      <c r="B33" s="85">
        <v>0</v>
      </c>
      <c r="C33" s="85">
        <v>0.95</v>
      </c>
      <c r="D33" s="86">
        <v>2.8</v>
      </c>
      <c r="E33" s="86" t="s">
        <v>203</v>
      </c>
    </row>
    <row r="34" spans="1:6" ht="15.75" customHeight="1" x14ac:dyDescent="0.2">
      <c r="A34" s="52" t="s">
        <v>81</v>
      </c>
      <c r="B34" s="85">
        <v>0.189</v>
      </c>
      <c r="C34" s="85">
        <v>0.95</v>
      </c>
      <c r="D34" s="86">
        <v>50.26</v>
      </c>
      <c r="E34" s="86" t="s">
        <v>203</v>
      </c>
    </row>
    <row r="35" spans="1:6" ht="15.75" customHeight="1" x14ac:dyDescent="0.2">
      <c r="A35" s="52" t="s">
        <v>79</v>
      </c>
      <c r="B35" s="85">
        <v>0.4</v>
      </c>
      <c r="C35" s="85">
        <v>0.95</v>
      </c>
      <c r="D35" s="86">
        <v>36.1</v>
      </c>
      <c r="E35" s="86" t="s">
        <v>203</v>
      </c>
    </row>
    <row r="36" spans="1:6" s="36" customFormat="1" ht="15.75" customHeight="1" x14ac:dyDescent="0.2">
      <c r="A36" s="52" t="s">
        <v>80</v>
      </c>
      <c r="B36" s="85">
        <v>0</v>
      </c>
      <c r="C36" s="85">
        <v>0.95</v>
      </c>
      <c r="D36" s="86">
        <v>231.85</v>
      </c>
      <c r="E36" s="86" t="s">
        <v>203</v>
      </c>
      <c r="F36" s="35"/>
    </row>
    <row r="37" spans="1:6" ht="15.75" customHeight="1" x14ac:dyDescent="0.2">
      <c r="A37" s="52" t="s">
        <v>85</v>
      </c>
      <c r="B37" s="85">
        <v>0</v>
      </c>
      <c r="C37" s="85">
        <v>0.95</v>
      </c>
      <c r="D37" s="86">
        <v>3.3</v>
      </c>
      <c r="E37" s="86" t="s">
        <v>203</v>
      </c>
    </row>
    <row r="38" spans="1:6" ht="15.75" customHeight="1" x14ac:dyDescent="0.2">
      <c r="A38" s="52" t="s">
        <v>60</v>
      </c>
      <c r="B38" s="85">
        <v>0</v>
      </c>
      <c r="C38" s="85">
        <v>0.95</v>
      </c>
      <c r="D38" s="86">
        <v>5.92</v>
      </c>
      <c r="E38" s="86" t="s">
        <v>203</v>
      </c>
    </row>
    <row r="39" spans="1:6" ht="15.75" customHeight="1" x14ac:dyDescent="0.2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Debra</cp:lastModifiedBy>
  <dcterms:created xsi:type="dcterms:W3CDTF">2017-08-01T10:42:13Z</dcterms:created>
  <dcterms:modified xsi:type="dcterms:W3CDTF">2019-03-27T04:39:27Z</dcterms:modified>
</cp:coreProperties>
</file>